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5a968d2edbdd959/Maquina 01/Danny Riva/Blog Experto Excel/Otras plantillas/"/>
    </mc:Choice>
  </mc:AlternateContent>
  <xr:revisionPtr revIDLastSave="18" documentId="13_ncr:1_{E9329A0F-FD13-4B66-B45F-17943CAE7E0A}" xr6:coauthVersionLast="47" xr6:coauthVersionMax="47" xr10:uidLastSave="{96EB9333-B351-4743-8C3D-DFDCB82680C4}"/>
  <bookViews>
    <workbookView showSheetTabs="0" xWindow="-108" yWindow="-108" windowWidth="23256" windowHeight="12456" tabRatio="743" xr2:uid="{00000000-000D-0000-FFFF-FFFF00000000}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Cuadro Final" sheetId="10" r:id="rId11"/>
    <sheet name="CONTACTO" sheetId="16" r:id="rId12"/>
    <sheet name="Horario" sheetId="11" state="veryHidden" r:id="rId13"/>
    <sheet name="Hoja1" sheetId="12" state="hidden" r:id="rId14"/>
    <sheet name="equipos" sheetId="13" state="veryHidden" r:id="rId15"/>
    <sheet name="tabla posiciones auxiliar" sheetId="14" state="veryHidden" r:id="rId16"/>
  </sheets>
  <definedNames>
    <definedName name="_xlnm._FilterDatabase" localSheetId="12" hidden="1">Horario!$B$19:$D$19</definedName>
    <definedName name="anscount" hidden="1">2</definedName>
    <definedName name="paises">Inicio!$AA$5:$AA$17</definedName>
    <definedName name="sencount" hidden="1">1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C6" i="1"/>
  <c r="F8" i="10" l="1"/>
  <c r="I54" i="9" l="1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4" i="9"/>
  <c r="L4" i="9"/>
  <c r="M4" i="9"/>
  <c r="N4" i="9"/>
  <c r="O4" i="9"/>
  <c r="P4" i="9"/>
  <c r="Q4" i="9"/>
  <c r="R4" i="9"/>
  <c r="B19" i="11" l="1"/>
  <c r="D19" i="11" s="1"/>
  <c r="H18" i="8" l="1"/>
  <c r="H54" i="9" s="1"/>
  <c r="H17" i="8"/>
  <c r="H53" i="9" s="1"/>
  <c r="F17" i="8"/>
  <c r="F53" i="9" s="1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6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H15" i="9" s="1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B6" i="14" s="1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J18" i="14"/>
  <c r="A19" i="14"/>
  <c r="E19" i="14"/>
  <c r="G19" i="14"/>
  <c r="J19" i="14"/>
  <c r="A20" i="14"/>
  <c r="E20" i="14"/>
  <c r="G20" i="14"/>
  <c r="J20" i="14"/>
  <c r="A21" i="14"/>
  <c r="D21" i="14"/>
  <c r="E21" i="14"/>
  <c r="H21" i="14" s="1"/>
  <c r="F21" i="14"/>
  <c r="G21" i="14"/>
  <c r="J21" i="14"/>
  <c r="A22" i="14"/>
  <c r="D22" i="14"/>
  <c r="E22" i="14"/>
  <c r="F22" i="14"/>
  <c r="G22" i="14"/>
  <c r="C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J26" i="14"/>
  <c r="A27" i="14"/>
  <c r="D27" i="14"/>
  <c r="E27" i="14"/>
  <c r="F27" i="14"/>
  <c r="G27" i="14"/>
  <c r="J27" i="14"/>
  <c r="A28" i="14"/>
  <c r="D28" i="14"/>
  <c r="E28" i="14"/>
  <c r="F28" i="14"/>
  <c r="G28" i="14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I33" i="14" s="1"/>
  <c r="F33" i="14"/>
  <c r="G33" i="14"/>
  <c r="J33" i="14"/>
  <c r="A34" i="14"/>
  <c r="D34" i="14"/>
  <c r="E34" i="14"/>
  <c r="F34" i="14"/>
  <c r="G34" i="14"/>
  <c r="B34" i="14" s="1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H40" i="14" s="1"/>
  <c r="J40" i="14"/>
  <c r="A41" i="14"/>
  <c r="E41" i="14"/>
  <c r="G41" i="14"/>
  <c r="J41" i="14"/>
  <c r="A42" i="14"/>
  <c r="D42" i="14"/>
  <c r="E42" i="14"/>
  <c r="B42" i="14" s="1"/>
  <c r="F42" i="14"/>
  <c r="G42" i="14"/>
  <c r="J42" i="14"/>
  <c r="A43" i="14"/>
  <c r="D43" i="14"/>
  <c r="E43" i="14"/>
  <c r="F43" i="14"/>
  <c r="G43" i="14"/>
  <c r="B43" i="14" s="1"/>
  <c r="J43" i="14"/>
  <c r="A45" i="14"/>
  <c r="E45" i="14"/>
  <c r="G45" i="14"/>
  <c r="J45" i="14"/>
  <c r="A46" i="14"/>
  <c r="E46" i="14"/>
  <c r="G46" i="14"/>
  <c r="J46" i="14"/>
  <c r="A47" i="14"/>
  <c r="D47" i="14"/>
  <c r="E47" i="14"/>
  <c r="C47" i="14" s="1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H49" i="14" s="1"/>
  <c r="F49" i="14"/>
  <c r="G49" i="14"/>
  <c r="J49" i="14"/>
  <c r="A50" i="14"/>
  <c r="D50" i="14"/>
  <c r="E50" i="14"/>
  <c r="F50" i="14"/>
  <c r="G50" i="14"/>
  <c r="H50" i="14" s="1"/>
  <c r="J50" i="14"/>
  <c r="A52" i="14"/>
  <c r="E52" i="14"/>
  <c r="G52" i="14"/>
  <c r="J52" i="14"/>
  <c r="A53" i="14"/>
  <c r="E53" i="14"/>
  <c r="G53" i="14"/>
  <c r="I53" i="14" s="1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C19" i="11"/>
  <c r="E1" i="9"/>
  <c r="L16" i="1"/>
  <c r="N16" i="1"/>
  <c r="P16" i="1"/>
  <c r="R16" i="1"/>
  <c r="K11" i="9"/>
  <c r="L16" i="2" s="1"/>
  <c r="L11" i="9"/>
  <c r="M16" i="2" s="1"/>
  <c r="M11" i="9"/>
  <c r="N16" i="2" s="1"/>
  <c r="N11" i="9"/>
  <c r="O11" i="9"/>
  <c r="P16" i="2" s="1"/>
  <c r="P11" i="9"/>
  <c r="Q16" i="2" s="1"/>
  <c r="Q11" i="9"/>
  <c r="R16" i="2" s="1"/>
  <c r="R11" i="9"/>
  <c r="S16" i="2" s="1"/>
  <c r="K18" i="9"/>
  <c r="L16" i="3" s="1"/>
  <c r="L18" i="9"/>
  <c r="M18" i="9"/>
  <c r="N18" i="9"/>
  <c r="O16" i="3" s="1"/>
  <c r="O18" i="9"/>
  <c r="P16" i="3" s="1"/>
  <c r="P18" i="9"/>
  <c r="Q18" i="9"/>
  <c r="R18" i="9"/>
  <c r="S16" i="3" s="1"/>
  <c r="K25" i="9"/>
  <c r="L16" i="4" s="1"/>
  <c r="L25" i="9"/>
  <c r="M16" i="4" s="1"/>
  <c r="M25" i="9"/>
  <c r="N16" i="4" s="1"/>
  <c r="N25" i="9"/>
  <c r="O16" i="4" s="1"/>
  <c r="O25" i="9"/>
  <c r="P16" i="4" s="1"/>
  <c r="P25" i="9"/>
  <c r="Q16" i="4" s="1"/>
  <c r="Q25" i="9"/>
  <c r="R16" i="4" s="1"/>
  <c r="R25" i="9"/>
  <c r="S16" i="4" s="1"/>
  <c r="K32" i="9"/>
  <c r="L16" i="5" s="1"/>
  <c r="L32" i="9"/>
  <c r="M16" i="5" s="1"/>
  <c r="M32" i="9"/>
  <c r="N32" i="9"/>
  <c r="O32" i="9"/>
  <c r="P16" i="5" s="1"/>
  <c r="P32" i="9"/>
  <c r="Q16" i="5" s="1"/>
  <c r="Q32" i="9"/>
  <c r="R32" i="9"/>
  <c r="S16" i="5" s="1"/>
  <c r="K39" i="9"/>
  <c r="L16" i="6" s="1"/>
  <c r="L39" i="9"/>
  <c r="M16" i="6" s="1"/>
  <c r="M39" i="9"/>
  <c r="N16" i="6" s="1"/>
  <c r="N39" i="9"/>
  <c r="O16" i="6" s="1"/>
  <c r="O39" i="9"/>
  <c r="P16" i="6" s="1"/>
  <c r="P39" i="9"/>
  <c r="Q16" i="6" s="1"/>
  <c r="Q39" i="9"/>
  <c r="R16" i="6" s="1"/>
  <c r="R39" i="9"/>
  <c r="S16" i="6" s="1"/>
  <c r="K46" i="9"/>
  <c r="L46" i="9"/>
  <c r="M46" i="9"/>
  <c r="N16" i="7" s="1"/>
  <c r="N46" i="9"/>
  <c r="O46" i="9"/>
  <c r="P16" i="7" s="1"/>
  <c r="P46" i="9"/>
  <c r="Q46" i="9"/>
  <c r="R46" i="9"/>
  <c r="S16" i="7" s="1"/>
  <c r="K53" i="9"/>
  <c r="L53" i="9"/>
  <c r="M16" i="8"/>
  <c r="M53" i="9"/>
  <c r="N16" i="8" s="1"/>
  <c r="N53" i="9"/>
  <c r="O16" i="8" s="1"/>
  <c r="O53" i="9"/>
  <c r="P16" i="8" s="1"/>
  <c r="P53" i="9"/>
  <c r="Q16" i="8" s="1"/>
  <c r="Q53" i="9"/>
  <c r="R16" i="8" s="1"/>
  <c r="R53" i="9"/>
  <c r="S16" i="8" s="1"/>
  <c r="B6" i="8"/>
  <c r="C6" i="8"/>
  <c r="Q23" i="8" s="1"/>
  <c r="L16" i="8"/>
  <c r="T16" i="8"/>
  <c r="H21" i="8"/>
  <c r="H57" i="9" s="1"/>
  <c r="F22" i="8"/>
  <c r="F58" i="9" s="1"/>
  <c r="H22" i="8"/>
  <c r="H58" i="9" s="1"/>
  <c r="B6" i="7"/>
  <c r="C6" i="7"/>
  <c r="L16" i="7"/>
  <c r="M16" i="7"/>
  <c r="O16" i="7"/>
  <c r="Q16" i="7"/>
  <c r="R16" i="7"/>
  <c r="T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6" i="6"/>
  <c r="C6" i="6"/>
  <c r="Q23" i="6" s="1"/>
  <c r="T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6" i="5"/>
  <c r="C6" i="5"/>
  <c r="N16" i="5"/>
  <c r="O16" i="5"/>
  <c r="R16" i="5"/>
  <c r="T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6" i="4"/>
  <c r="C6" i="4"/>
  <c r="Q24" i="4" s="1"/>
  <c r="T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6" i="3"/>
  <c r="C6" i="3"/>
  <c r="M16" i="3"/>
  <c r="N16" i="3"/>
  <c r="Q16" i="3"/>
  <c r="R16" i="3"/>
  <c r="T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6" i="2"/>
  <c r="C6" i="2"/>
  <c r="Q23" i="2" s="1"/>
  <c r="O16" i="2"/>
  <c r="T16" i="2"/>
  <c r="M16" i="1"/>
  <c r="O16" i="1"/>
  <c r="Q16" i="1"/>
  <c r="S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C18" i="14"/>
  <c r="I7" i="14"/>
  <c r="C7" i="14"/>
  <c r="H7" i="14"/>
  <c r="B47" i="14" l="1"/>
  <c r="H29" i="14"/>
  <c r="H27" i="14"/>
  <c r="H18" i="14"/>
  <c r="C20" i="14"/>
  <c r="I35" i="14"/>
  <c r="I28" i="14"/>
  <c r="H55" i="14"/>
  <c r="B50" i="14"/>
  <c r="I42" i="14"/>
  <c r="I52" i="14"/>
  <c r="O53" i="14" s="1"/>
  <c r="N57" i="12" s="1"/>
  <c r="C57" i="14"/>
  <c r="I47" i="14"/>
  <c r="C50" i="14"/>
  <c r="C49" i="14"/>
  <c r="B48" i="14"/>
  <c r="H47" i="14"/>
  <c r="H41" i="14"/>
  <c r="C43" i="14"/>
  <c r="H42" i="14"/>
  <c r="H43" i="14"/>
  <c r="I40" i="14"/>
  <c r="C33" i="14"/>
  <c r="B35" i="14"/>
  <c r="H35" i="14"/>
  <c r="H34" i="14"/>
  <c r="B33" i="14"/>
  <c r="C36" i="14"/>
  <c r="C34" i="14"/>
  <c r="C29" i="14"/>
  <c r="B28" i="14"/>
  <c r="B27" i="14"/>
  <c r="B26" i="14"/>
  <c r="H28" i="14"/>
  <c r="B20" i="14"/>
  <c r="C19" i="14"/>
  <c r="H22" i="14"/>
  <c r="C21" i="14"/>
  <c r="N20" i="14" s="1"/>
  <c r="L24" i="12" s="1"/>
  <c r="I18" i="14"/>
  <c r="O20" i="14" s="1"/>
  <c r="N24" i="12" s="1"/>
  <c r="H14" i="14"/>
  <c r="H15" i="14"/>
  <c r="B36" i="14"/>
  <c r="H36" i="14"/>
  <c r="B49" i="14"/>
  <c r="H57" i="14"/>
  <c r="I43" i="14"/>
  <c r="B29" i="14"/>
  <c r="H48" i="14"/>
  <c r="I41" i="14"/>
  <c r="I36" i="14"/>
  <c r="C15" i="14"/>
  <c r="H19" i="14"/>
  <c r="I6" i="14"/>
  <c r="H33" i="14"/>
  <c r="C41" i="14"/>
  <c r="I57" i="14"/>
  <c r="C42" i="14"/>
  <c r="H52" i="14"/>
  <c r="I46" i="14"/>
  <c r="I39" i="14"/>
  <c r="I20" i="14"/>
  <c r="I13" i="14"/>
  <c r="C35" i="14"/>
  <c r="C40" i="14"/>
  <c r="B40" i="14"/>
  <c r="M55" i="14"/>
  <c r="B41" i="14"/>
  <c r="B56" i="14"/>
  <c r="M10" i="14"/>
  <c r="I5" i="14"/>
  <c r="B22" i="14"/>
  <c r="B19" i="14"/>
  <c r="C56" i="14"/>
  <c r="I32" i="14"/>
  <c r="I27" i="14"/>
  <c r="M13" i="14"/>
  <c r="B21" i="14"/>
  <c r="C54" i="14"/>
  <c r="I54" i="14"/>
  <c r="C55" i="14"/>
  <c r="I21" i="14"/>
  <c r="B54" i="14"/>
  <c r="B14" i="14"/>
  <c r="H26" i="14"/>
  <c r="B55" i="14"/>
  <c r="H56" i="14"/>
  <c r="I22" i="14"/>
  <c r="B15" i="14"/>
  <c r="I56" i="14"/>
  <c r="I19" i="14"/>
  <c r="C26" i="14"/>
  <c r="I49" i="14"/>
  <c r="H20" i="14"/>
  <c r="I15" i="14"/>
  <c r="Q5" i="14"/>
  <c r="O9" i="12" s="1"/>
  <c r="N6" i="11"/>
  <c r="N5" i="11"/>
  <c r="C20" i="4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M25" i="14"/>
  <c r="M20" i="14"/>
  <c r="M18" i="14"/>
  <c r="Q20" i="14"/>
  <c r="O24" i="12" s="1"/>
  <c r="R19" i="14"/>
  <c r="P23" i="12" s="1"/>
  <c r="Q19" i="14"/>
  <c r="O23" i="12" s="1"/>
  <c r="Q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10" i="11"/>
  <c r="N7" i="11"/>
  <c r="N9" i="11"/>
  <c r="N8" i="11"/>
  <c r="C18" i="1" s="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C52" i="14"/>
  <c r="C53" i="14"/>
  <c r="I48" i="14"/>
  <c r="B45" i="14"/>
  <c r="I50" i="14"/>
  <c r="B46" i="14"/>
  <c r="C46" i="14"/>
  <c r="C45" i="14"/>
  <c r="N45" i="14" s="1"/>
  <c r="L49" i="12" s="1"/>
  <c r="H46" i="14"/>
  <c r="H45" i="14"/>
  <c r="C39" i="14"/>
  <c r="C38" i="14"/>
  <c r="H38" i="14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C27" i="14"/>
  <c r="B25" i="14"/>
  <c r="C25" i="14"/>
  <c r="C24" i="14"/>
  <c r="H25" i="14"/>
  <c r="H24" i="14"/>
  <c r="B17" i="14"/>
  <c r="B18" i="14"/>
  <c r="C17" i="14"/>
  <c r="H17" i="14"/>
  <c r="N18" i="14" s="1"/>
  <c r="L22" i="12" s="1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Q24" i="6"/>
  <c r="Q22" i="6" s="1"/>
  <c r="Q24" i="2"/>
  <c r="Q22" i="2" s="1"/>
  <c r="Q23" i="7"/>
  <c r="Q23" i="4"/>
  <c r="Q22" i="4" s="1"/>
  <c r="Q23" i="1"/>
  <c r="Q24" i="3"/>
  <c r="Q24" i="8"/>
  <c r="Q22" i="8" s="1"/>
  <c r="Q23" i="3"/>
  <c r="Q24" i="1"/>
  <c r="Q24" i="7"/>
  <c r="Q24" i="5"/>
  <c r="Q23" i="5"/>
  <c r="O41" i="14" l="1"/>
  <c r="N45" i="12" s="1"/>
  <c r="O48" i="14"/>
  <c r="N52" i="12" s="1"/>
  <c r="N39" i="14"/>
  <c r="L43" i="12" s="1"/>
  <c r="N48" i="14"/>
  <c r="L52" i="12" s="1"/>
  <c r="Q28" i="12"/>
  <c r="N25" i="14"/>
  <c r="L29" i="12" s="1"/>
  <c r="N26" i="14"/>
  <c r="L30" i="12" s="1"/>
  <c r="O17" i="14"/>
  <c r="N21" i="12" s="1"/>
  <c r="I42" i="10"/>
  <c r="I18" i="10"/>
  <c r="F36" i="10"/>
  <c r="C27" i="10"/>
  <c r="C39" i="10"/>
  <c r="C17" i="4"/>
  <c r="C21" i="2"/>
  <c r="C22" i="7"/>
  <c r="C21" i="3"/>
  <c r="C21" i="7"/>
  <c r="C19" i="3"/>
  <c r="C22" i="2"/>
  <c r="F12" i="10"/>
  <c r="C19" i="5"/>
  <c r="C22" i="3"/>
  <c r="C19" i="2"/>
  <c r="C51" i="10"/>
  <c r="C18" i="2"/>
  <c r="C15" i="10"/>
  <c r="C17" i="6"/>
  <c r="C22" i="5"/>
  <c r="C19" i="8"/>
  <c r="C17" i="7"/>
  <c r="C21" i="5"/>
  <c r="C18" i="8"/>
  <c r="C19" i="6"/>
  <c r="E19" i="6" s="1"/>
  <c r="E41" i="9" s="1"/>
  <c r="C20" i="3"/>
  <c r="C19" i="1"/>
  <c r="E19" i="1" s="1"/>
  <c r="E6" i="9" s="1"/>
  <c r="C20" i="8"/>
  <c r="C18" i="4"/>
  <c r="E18" i="4" s="1"/>
  <c r="E26" i="9" s="1"/>
  <c r="C20" i="6"/>
  <c r="C20" i="1"/>
  <c r="C7" i="9" s="1"/>
  <c r="C17" i="8"/>
  <c r="E17" i="8" s="1"/>
  <c r="E53" i="9" s="1"/>
  <c r="C17" i="5"/>
  <c r="C17" i="1"/>
  <c r="C19" i="7"/>
  <c r="C18" i="3"/>
  <c r="C19" i="4"/>
  <c r="L30" i="10"/>
  <c r="C33" i="10"/>
  <c r="F24" i="10"/>
  <c r="C21" i="10"/>
  <c r="F48" i="10"/>
  <c r="C22" i="6"/>
  <c r="C45" i="10"/>
  <c r="C22" i="4"/>
  <c r="C21" i="1"/>
  <c r="C21" i="6"/>
  <c r="C21" i="4"/>
  <c r="C9" i="10"/>
  <c r="C20" i="5"/>
  <c r="C20" i="7"/>
  <c r="C18" i="6"/>
  <c r="C18" i="7"/>
  <c r="C20" i="2"/>
  <c r="C22" i="1"/>
  <c r="O3" i="14"/>
  <c r="N7" i="12" s="1"/>
  <c r="Q7" i="12"/>
  <c r="O45" i="14"/>
  <c r="N49" i="12" s="1"/>
  <c r="O31" i="14"/>
  <c r="N35" i="12" s="1"/>
  <c r="N55" i="14"/>
  <c r="L59" i="12" s="1"/>
  <c r="Q59" i="12"/>
  <c r="N53" i="14"/>
  <c r="L57" i="12" s="1"/>
  <c r="N52" i="14"/>
  <c r="L56" i="12" s="1"/>
  <c r="O55" i="14"/>
  <c r="N59" i="12" s="1"/>
  <c r="N47" i="14"/>
  <c r="L51" i="12" s="1"/>
  <c r="N46" i="14"/>
  <c r="L50" i="12" s="1"/>
  <c r="Q42" i="12"/>
  <c r="N32" i="14"/>
  <c r="L36" i="12" s="1"/>
  <c r="O33" i="14"/>
  <c r="N37" i="12" s="1"/>
  <c r="N34" i="14"/>
  <c r="L38" i="12" s="1"/>
  <c r="O34" i="14"/>
  <c r="N38" i="12" s="1"/>
  <c r="N54" i="14"/>
  <c r="L58" i="12" s="1"/>
  <c r="N38" i="14"/>
  <c r="L42" i="12" s="1"/>
  <c r="O39" i="14"/>
  <c r="N43" i="12" s="1"/>
  <c r="N41" i="14"/>
  <c r="L45" i="12" s="1"/>
  <c r="N40" i="14"/>
  <c r="L44" i="12" s="1"/>
  <c r="N31" i="14"/>
  <c r="L35" i="12" s="1"/>
  <c r="Q35" i="12"/>
  <c r="Q31" i="12"/>
  <c r="N24" i="14"/>
  <c r="L28" i="12" s="1"/>
  <c r="O24" i="14"/>
  <c r="N28" i="12" s="1"/>
  <c r="O27" i="14"/>
  <c r="N31" i="12" s="1"/>
  <c r="O18" i="14"/>
  <c r="N22" i="12" s="1"/>
  <c r="N17" i="14"/>
  <c r="L21" i="12" s="1"/>
  <c r="N19" i="14"/>
  <c r="L23" i="12" s="1"/>
  <c r="N10" i="14"/>
  <c r="L14" i="12" s="1"/>
  <c r="O12" i="14"/>
  <c r="N16" i="12" s="1"/>
  <c r="Q14" i="12"/>
  <c r="Q9" i="12"/>
  <c r="O4" i="14"/>
  <c r="N8" i="12" s="1"/>
  <c r="Q8" i="12"/>
  <c r="Q17" i="12"/>
  <c r="Q16" i="12"/>
  <c r="O25" i="14"/>
  <c r="N29" i="12" s="1"/>
  <c r="Q43" i="12"/>
  <c r="Q57" i="12"/>
  <c r="Q56" i="12"/>
  <c r="O11" i="14"/>
  <c r="N15" i="12" s="1"/>
  <c r="N6" i="14"/>
  <c r="L10" i="12" s="1"/>
  <c r="N11" i="14"/>
  <c r="L15" i="12" s="1"/>
  <c r="N27" i="14"/>
  <c r="L31" i="12" s="1"/>
  <c r="N33" i="14"/>
  <c r="L37" i="12" s="1"/>
  <c r="O40" i="14"/>
  <c r="N44" i="12" s="1"/>
  <c r="Q45" i="12"/>
  <c r="O54" i="14"/>
  <c r="N58" i="12" s="1"/>
  <c r="O13" i="14"/>
  <c r="N17" i="12" s="1"/>
  <c r="O52" i="14"/>
  <c r="N56" i="12" s="1"/>
  <c r="O6" i="14"/>
  <c r="N10" i="12" s="1"/>
  <c r="O19" i="14"/>
  <c r="N23" i="12" s="1"/>
  <c r="N3" i="14"/>
  <c r="P20" i="14"/>
  <c r="M24" i="12" s="1"/>
  <c r="R24" i="12" s="1"/>
  <c r="W24" i="12" s="1"/>
  <c r="O26" i="14"/>
  <c r="N30" i="12" s="1"/>
  <c r="O47" i="14"/>
  <c r="N51" i="12" s="1"/>
  <c r="Q21" i="12"/>
  <c r="Q29" i="12"/>
  <c r="Q30" i="12"/>
  <c r="Q36" i="12"/>
  <c r="Q37" i="12"/>
  <c r="Q50" i="12"/>
  <c r="Q52" i="12"/>
  <c r="O5" i="14"/>
  <c r="N9" i="12" s="1"/>
  <c r="Q10" i="12"/>
  <c r="C17" i="2"/>
  <c r="C18" i="5"/>
  <c r="Q22" i="7"/>
  <c r="C22" i="8"/>
  <c r="L56" i="10"/>
  <c r="C21" i="8"/>
  <c r="C17" i="3"/>
  <c r="Q44" i="12"/>
  <c r="Q58" i="12"/>
  <c r="O46" i="14"/>
  <c r="N50" i="12" s="1"/>
  <c r="Q49" i="12"/>
  <c r="P45" i="14"/>
  <c r="M49" i="12" s="1"/>
  <c r="R49" i="12" s="1"/>
  <c r="Q51" i="12"/>
  <c r="O38" i="14"/>
  <c r="N42" i="12" s="1"/>
  <c r="O32" i="14"/>
  <c r="N36" i="12" s="1"/>
  <c r="Q38" i="12"/>
  <c r="Q22" i="12"/>
  <c r="Q24" i="12"/>
  <c r="O10" i="14"/>
  <c r="N14" i="12" s="1"/>
  <c r="N13" i="14"/>
  <c r="L17" i="12" s="1"/>
  <c r="N12" i="14"/>
  <c r="L16" i="12" s="1"/>
  <c r="N4" i="14"/>
  <c r="N5" i="14"/>
  <c r="L9" i="12" s="1"/>
  <c r="Q15" i="12"/>
  <c r="Q22" i="5"/>
  <c r="Q22" i="3"/>
  <c r="Q22" i="1"/>
  <c r="P48" i="14" l="1"/>
  <c r="M52" i="12" s="1"/>
  <c r="R52" i="12" s="1"/>
  <c r="W52" i="12" s="1"/>
  <c r="P41" i="14"/>
  <c r="M45" i="12" s="1"/>
  <c r="P31" i="14"/>
  <c r="M35" i="12" s="1"/>
  <c r="S35" i="12" s="1"/>
  <c r="P33" i="14"/>
  <c r="M37" i="12" s="1"/>
  <c r="R37" i="12" s="1"/>
  <c r="W37" i="12" s="1"/>
  <c r="P39" i="14"/>
  <c r="M43" i="12" s="1"/>
  <c r="R43" i="12" s="1"/>
  <c r="W43" i="12" s="1"/>
  <c r="P55" i="14"/>
  <c r="M59" i="12" s="1"/>
  <c r="R59" i="12" s="1"/>
  <c r="W59" i="12" s="1"/>
  <c r="P27" i="14"/>
  <c r="M31" i="12" s="1"/>
  <c r="S31" i="12" s="1"/>
  <c r="P24" i="14"/>
  <c r="M28" i="12" s="1"/>
  <c r="R28" i="12" s="1"/>
  <c r="P17" i="14"/>
  <c r="M21" i="12" s="1"/>
  <c r="S21" i="12" s="1"/>
  <c r="P18" i="14"/>
  <c r="M22" i="12" s="1"/>
  <c r="R22" i="12" s="1"/>
  <c r="W22" i="12" s="1"/>
  <c r="P3" i="14"/>
  <c r="M7" i="12" s="1"/>
  <c r="E20" i="1"/>
  <c r="E7" i="9" s="1"/>
  <c r="C6" i="9"/>
  <c r="C26" i="9"/>
  <c r="C53" i="9"/>
  <c r="P4" i="14"/>
  <c r="M8" i="12" s="1"/>
  <c r="P53" i="14"/>
  <c r="M57" i="12" s="1"/>
  <c r="R57" i="12" s="1"/>
  <c r="W57" i="12" s="1"/>
  <c r="P34" i="14"/>
  <c r="M38" i="12" s="1"/>
  <c r="R38" i="12" s="1"/>
  <c r="W38" i="12" s="1"/>
  <c r="P52" i="14"/>
  <c r="M56" i="12" s="1"/>
  <c r="R56" i="12" s="1"/>
  <c r="P54" i="14"/>
  <c r="M58" i="12" s="1"/>
  <c r="S58" i="12" s="1"/>
  <c r="P47" i="14"/>
  <c r="M51" i="12" s="1"/>
  <c r="R51" i="12" s="1"/>
  <c r="W51" i="12" s="1"/>
  <c r="P40" i="14"/>
  <c r="M44" i="12" s="1"/>
  <c r="S44" i="12" s="1"/>
  <c r="S37" i="12"/>
  <c r="P25" i="14"/>
  <c r="M29" i="12" s="1"/>
  <c r="R29" i="12" s="1"/>
  <c r="P12" i="14"/>
  <c r="M16" i="12" s="1"/>
  <c r="P6" i="14"/>
  <c r="M10" i="12" s="1"/>
  <c r="P5" i="14"/>
  <c r="M9" i="12" s="1"/>
  <c r="R9" i="12" s="1"/>
  <c r="W9" i="12" s="1"/>
  <c r="P19" i="14"/>
  <c r="M23" i="12" s="1"/>
  <c r="C41" i="9"/>
  <c r="P11" i="14"/>
  <c r="M15" i="12" s="1"/>
  <c r="R15" i="12" s="1"/>
  <c r="W15" i="12" s="1"/>
  <c r="L7" i="12"/>
  <c r="E22" i="2"/>
  <c r="E16" i="9" s="1"/>
  <c r="C16" i="9"/>
  <c r="E21" i="1"/>
  <c r="E8" i="9" s="1"/>
  <c r="C8" i="9"/>
  <c r="E18" i="6"/>
  <c r="E40" i="9" s="1"/>
  <c r="C40" i="9"/>
  <c r="E17" i="3"/>
  <c r="E18" i="9" s="1"/>
  <c r="C18" i="9"/>
  <c r="E22" i="6"/>
  <c r="E44" i="9" s="1"/>
  <c r="C44" i="9"/>
  <c r="E21" i="4"/>
  <c r="E29" i="9" s="1"/>
  <c r="C29" i="9"/>
  <c r="E20" i="8"/>
  <c r="E56" i="9" s="1"/>
  <c r="C56" i="9"/>
  <c r="E21" i="3"/>
  <c r="E22" i="9" s="1"/>
  <c r="C22" i="9"/>
  <c r="E22" i="3"/>
  <c r="E23" i="9" s="1"/>
  <c r="C23" i="9"/>
  <c r="E17" i="1"/>
  <c r="E4" i="9" s="1"/>
  <c r="C4" i="9"/>
  <c r="E18" i="7"/>
  <c r="E47" i="9" s="1"/>
  <c r="C47" i="9"/>
  <c r="E20" i="3"/>
  <c r="E21" i="9" s="1"/>
  <c r="C21" i="9"/>
  <c r="E19" i="7"/>
  <c r="E48" i="9" s="1"/>
  <c r="C48" i="9"/>
  <c r="E20" i="7"/>
  <c r="E49" i="9" s="1"/>
  <c r="C49" i="9"/>
  <c r="E22" i="4"/>
  <c r="E30" i="9" s="1"/>
  <c r="C30" i="9"/>
  <c r="E22" i="1"/>
  <c r="E9" i="9" s="1"/>
  <c r="C9" i="9"/>
  <c r="E20" i="6"/>
  <c r="E42" i="9" s="1"/>
  <c r="C42" i="9"/>
  <c r="E18" i="3"/>
  <c r="E19" i="9" s="1"/>
  <c r="C19" i="9"/>
  <c r="E19" i="5"/>
  <c r="E34" i="9" s="1"/>
  <c r="C34" i="9"/>
  <c r="P13" i="14"/>
  <c r="M17" i="12" s="1"/>
  <c r="R17" i="12" s="1"/>
  <c r="W17" i="12" s="1"/>
  <c r="P32" i="14"/>
  <c r="M36" i="12" s="1"/>
  <c r="R36" i="12" s="1"/>
  <c r="W36" i="12" s="1"/>
  <c r="E19" i="3"/>
  <c r="E20" i="9" s="1"/>
  <c r="C20" i="9"/>
  <c r="E22" i="7"/>
  <c r="E51" i="9" s="1"/>
  <c r="C51" i="9"/>
  <c r="E21" i="6"/>
  <c r="E43" i="9" s="1"/>
  <c r="C43" i="9"/>
  <c r="E21" i="5"/>
  <c r="E36" i="9" s="1"/>
  <c r="C36" i="9"/>
  <c r="E22" i="5"/>
  <c r="E37" i="9" s="1"/>
  <c r="C37" i="9"/>
  <c r="E18" i="2"/>
  <c r="E12" i="9" s="1"/>
  <c r="C12" i="9"/>
  <c r="E19" i="8"/>
  <c r="E55" i="9" s="1"/>
  <c r="C55" i="9"/>
  <c r="E20" i="5"/>
  <c r="E35" i="9" s="1"/>
  <c r="C35" i="9"/>
  <c r="E18" i="5"/>
  <c r="E33" i="9" s="1"/>
  <c r="C33" i="9"/>
  <c r="E19" i="4"/>
  <c r="E27" i="9" s="1"/>
  <c r="C27" i="9"/>
  <c r="E20" i="2"/>
  <c r="E14" i="9" s="1"/>
  <c r="C14" i="9"/>
  <c r="E21" i="2"/>
  <c r="E15" i="9" s="1"/>
  <c r="C15" i="9"/>
  <c r="E21" i="7"/>
  <c r="E50" i="9" s="1"/>
  <c r="C50" i="9"/>
  <c r="P10" i="14"/>
  <c r="M14" i="12" s="1"/>
  <c r="R14" i="12" s="1"/>
  <c r="S14" i="12" s="1"/>
  <c r="P26" i="14"/>
  <c r="M30" i="12" s="1"/>
  <c r="E20" i="4"/>
  <c r="E28" i="9" s="1"/>
  <c r="C28" i="9"/>
  <c r="E18" i="1"/>
  <c r="E5" i="9" s="1"/>
  <c r="C5" i="9"/>
  <c r="E17" i="7"/>
  <c r="E46" i="9" s="1"/>
  <c r="C46" i="9"/>
  <c r="E21" i="8"/>
  <c r="E57" i="9" s="1"/>
  <c r="C57" i="9"/>
  <c r="E22" i="8"/>
  <c r="E58" i="9" s="1"/>
  <c r="C58" i="9"/>
  <c r="E17" i="6"/>
  <c r="E39" i="9" s="1"/>
  <c r="C39" i="9"/>
  <c r="E19" i="2"/>
  <c r="E13" i="9" s="1"/>
  <c r="C13" i="9"/>
  <c r="E18" i="8"/>
  <c r="E54" i="9" s="1"/>
  <c r="C54" i="9"/>
  <c r="E17" i="2"/>
  <c r="E11" i="9" s="1"/>
  <c r="C11" i="9"/>
  <c r="E17" i="4"/>
  <c r="E25" i="9" s="1"/>
  <c r="C25" i="9"/>
  <c r="E17" i="5"/>
  <c r="E32" i="9" s="1"/>
  <c r="C32" i="9"/>
  <c r="S24" i="12"/>
  <c r="L8" i="12"/>
  <c r="P46" i="14"/>
  <c r="M50" i="12" s="1"/>
  <c r="R50" i="12" s="1"/>
  <c r="W50" i="12" s="1"/>
  <c r="P38" i="14"/>
  <c r="M42" i="12" s="1"/>
  <c r="R42" i="12" s="1"/>
  <c r="W42" i="12" s="1"/>
  <c r="W49" i="12"/>
  <c r="R45" i="12"/>
  <c r="S45" i="12"/>
  <c r="R35" i="12"/>
  <c r="W28" i="12"/>
  <c r="S28" i="12"/>
  <c r="R21" i="12"/>
  <c r="W21" i="12" s="1"/>
  <c r="S22" i="12"/>
  <c r="R16" i="12"/>
  <c r="W16" i="12" s="1"/>
  <c r="S16" i="12"/>
  <c r="R10" i="12"/>
  <c r="W10" i="12" s="1"/>
  <c r="R31" i="12" l="1"/>
  <c r="W31" i="12" s="1"/>
  <c r="S52" i="12"/>
  <c r="S57" i="12"/>
  <c r="S59" i="12"/>
  <c r="S38" i="12"/>
  <c r="S29" i="12"/>
  <c r="R7" i="12"/>
  <c r="W7" i="12" s="1"/>
  <c r="R8" i="12"/>
  <c r="W8" i="12" s="1"/>
  <c r="R44" i="12"/>
  <c r="T44" i="12" s="1"/>
  <c r="U44" i="12" s="1"/>
  <c r="R58" i="12"/>
  <c r="T58" i="12" s="1"/>
  <c r="U58" i="12" s="1"/>
  <c r="T57" i="12"/>
  <c r="U57" i="12" s="1"/>
  <c r="W56" i="12"/>
  <c r="T56" i="12"/>
  <c r="S56" i="12"/>
  <c r="S15" i="12"/>
  <c r="S23" i="12"/>
  <c r="R23" i="12"/>
  <c r="W23" i="12" s="1"/>
  <c r="X22" i="12" s="1"/>
  <c r="R30" i="12"/>
  <c r="W30" i="12" s="1"/>
  <c r="S30" i="12"/>
  <c r="S36" i="12"/>
  <c r="S50" i="12"/>
  <c r="X52" i="12"/>
  <c r="S51" i="12"/>
  <c r="S49" i="12"/>
  <c r="S17" i="12"/>
  <c r="X51" i="12"/>
  <c r="X50" i="12"/>
  <c r="T49" i="12"/>
  <c r="T50" i="12"/>
  <c r="X49" i="12"/>
  <c r="T52" i="12"/>
  <c r="U52" i="12" s="1"/>
  <c r="T51" i="12"/>
  <c r="S43" i="12"/>
  <c r="S42" i="12"/>
  <c r="T43" i="12"/>
  <c r="W45" i="12"/>
  <c r="W35" i="12"/>
  <c r="X38" i="12" s="1"/>
  <c r="T37" i="12"/>
  <c r="U37" i="12" s="1"/>
  <c r="T38" i="12"/>
  <c r="T36" i="12"/>
  <c r="T35" i="12"/>
  <c r="U35" i="12" s="1"/>
  <c r="W29" i="12"/>
  <c r="X21" i="12"/>
  <c r="W14" i="12"/>
  <c r="X16" i="12" s="1"/>
  <c r="T15" i="12"/>
  <c r="U15" i="12" s="1"/>
  <c r="T14" i="12"/>
  <c r="U14" i="12" s="1"/>
  <c r="T17" i="12"/>
  <c r="U17" i="12" s="1"/>
  <c r="T16" i="12"/>
  <c r="U16" i="12" s="1"/>
  <c r="S7" i="12"/>
  <c r="T45" i="12" l="1"/>
  <c r="U45" i="12" s="1"/>
  <c r="W44" i="12"/>
  <c r="T42" i="12"/>
  <c r="U42" i="12" s="1"/>
  <c r="U38" i="12"/>
  <c r="T30" i="12"/>
  <c r="U30" i="12" s="1"/>
  <c r="T29" i="12"/>
  <c r="U29" i="12" s="1"/>
  <c r="X7" i="12"/>
  <c r="X8" i="12"/>
  <c r="G8" i="12" s="1"/>
  <c r="T8" i="12"/>
  <c r="T7" i="12"/>
  <c r="U7" i="12" s="1"/>
  <c r="T9" i="12"/>
  <c r="S8" i="12"/>
  <c r="X9" i="12"/>
  <c r="S9" i="12"/>
  <c r="X10" i="12"/>
  <c r="T10" i="12"/>
  <c r="S10" i="12"/>
  <c r="W58" i="12"/>
  <c r="X58" i="12" s="1"/>
  <c r="T59" i="12"/>
  <c r="U59" i="12" s="1"/>
  <c r="U51" i="12"/>
  <c r="U56" i="12"/>
  <c r="U50" i="12"/>
  <c r="U36" i="12"/>
  <c r="V36" i="12" s="1"/>
  <c r="T31" i="12"/>
  <c r="U31" i="12" s="1"/>
  <c r="T28" i="12"/>
  <c r="U28" i="12" s="1"/>
  <c r="X30" i="12"/>
  <c r="T23" i="12"/>
  <c r="U23" i="12" s="1"/>
  <c r="X24" i="12"/>
  <c r="T22" i="12"/>
  <c r="U22" i="12" s="1"/>
  <c r="X23" i="12"/>
  <c r="T21" i="12"/>
  <c r="U21" i="12" s="1"/>
  <c r="X28" i="12"/>
  <c r="I28" i="12" s="1"/>
  <c r="R26" i="9" s="1"/>
  <c r="S17" i="4" s="1"/>
  <c r="U49" i="12"/>
  <c r="T24" i="12"/>
  <c r="U24" i="12" s="1"/>
  <c r="X31" i="12"/>
  <c r="V17" i="12"/>
  <c r="G52" i="12"/>
  <c r="P50" i="9" s="1"/>
  <c r="Q20" i="7" s="1"/>
  <c r="E51" i="12"/>
  <c r="N49" i="9" s="1"/>
  <c r="O19" i="7" s="1"/>
  <c r="H50" i="12"/>
  <c r="Q48" i="9" s="1"/>
  <c r="R18" i="7" s="1"/>
  <c r="I50" i="12"/>
  <c r="R48" i="9" s="1"/>
  <c r="S18" i="7" s="1"/>
  <c r="D49" i="12"/>
  <c r="M47" i="9" s="1"/>
  <c r="N17" i="7" s="1"/>
  <c r="C49" i="12"/>
  <c r="L47" i="9" s="1"/>
  <c r="D51" i="12"/>
  <c r="M49" i="9" s="1"/>
  <c r="N19" i="7" s="1"/>
  <c r="G51" i="12"/>
  <c r="P49" i="9" s="1"/>
  <c r="Q19" i="7" s="1"/>
  <c r="E50" i="12"/>
  <c r="N48" i="9" s="1"/>
  <c r="O18" i="7" s="1"/>
  <c r="H49" i="12"/>
  <c r="Q47" i="9" s="1"/>
  <c r="R17" i="7" s="1"/>
  <c r="I49" i="12"/>
  <c r="R47" i="9" s="1"/>
  <c r="S17" i="7" s="1"/>
  <c r="I52" i="12"/>
  <c r="R50" i="9" s="1"/>
  <c r="S20" i="7" s="1"/>
  <c r="H52" i="12"/>
  <c r="Q50" i="9" s="1"/>
  <c r="R20" i="7" s="1"/>
  <c r="G50" i="12"/>
  <c r="P48" i="9" s="1"/>
  <c r="Q18" i="7" s="1"/>
  <c r="E49" i="12"/>
  <c r="N47" i="9" s="1"/>
  <c r="O17" i="7" s="1"/>
  <c r="F49" i="12"/>
  <c r="O47" i="9" s="1"/>
  <c r="P17" i="7" s="1"/>
  <c r="B49" i="12"/>
  <c r="K47" i="9" s="1"/>
  <c r="G49" i="12"/>
  <c r="P47" i="9" s="1"/>
  <c r="Q17" i="7" s="1"/>
  <c r="F51" i="12"/>
  <c r="O49" i="9" s="1"/>
  <c r="P19" i="7" s="1"/>
  <c r="H51" i="12"/>
  <c r="Q49" i="9" s="1"/>
  <c r="R19" i="7" s="1"/>
  <c r="I51" i="12"/>
  <c r="R49" i="9" s="1"/>
  <c r="S19" i="7" s="1"/>
  <c r="B51" i="12"/>
  <c r="K49" i="9" s="1"/>
  <c r="L19" i="7" s="1"/>
  <c r="D52" i="12"/>
  <c r="M50" i="9" s="1"/>
  <c r="N20" i="7" s="1"/>
  <c r="E52" i="12"/>
  <c r="N50" i="9" s="1"/>
  <c r="O20" i="7" s="1"/>
  <c r="C51" i="12"/>
  <c r="L49" i="9" s="1"/>
  <c r="F50" i="12"/>
  <c r="O48" i="9" s="1"/>
  <c r="P18" i="7" s="1"/>
  <c r="C50" i="12"/>
  <c r="L48" i="9" s="1"/>
  <c r="B52" i="12"/>
  <c r="K50" i="9" s="1"/>
  <c r="L20" i="7" s="1"/>
  <c r="C52" i="12"/>
  <c r="L50" i="9" s="1"/>
  <c r="B50" i="12"/>
  <c r="K48" i="9" s="1"/>
  <c r="F52" i="12"/>
  <c r="O50" i="9" s="1"/>
  <c r="P20" i="7" s="1"/>
  <c r="D50" i="12"/>
  <c r="M48" i="9" s="1"/>
  <c r="N18" i="7" s="1"/>
  <c r="X43" i="12"/>
  <c r="X45" i="12"/>
  <c r="U43" i="12"/>
  <c r="X44" i="12"/>
  <c r="X42" i="12"/>
  <c r="V38" i="12"/>
  <c r="V35" i="12"/>
  <c r="X35" i="12"/>
  <c r="X37" i="12"/>
  <c r="V37" i="12"/>
  <c r="X36" i="12"/>
  <c r="X29" i="12"/>
  <c r="G21" i="12"/>
  <c r="P19" i="9" s="1"/>
  <c r="Q17" i="3" s="1"/>
  <c r="G22" i="12"/>
  <c r="P20" i="9" s="1"/>
  <c r="Q18" i="3" s="1"/>
  <c r="C21" i="12"/>
  <c r="L19" i="9" s="1"/>
  <c r="B21" i="12"/>
  <c r="K19" i="9" s="1"/>
  <c r="E22" i="12"/>
  <c r="N20" i="9" s="1"/>
  <c r="O18" i="3" s="1"/>
  <c r="D22" i="12"/>
  <c r="M20" i="9" s="1"/>
  <c r="N18" i="3" s="1"/>
  <c r="E21" i="12"/>
  <c r="N19" i="9" s="1"/>
  <c r="O17" i="3" s="1"/>
  <c r="H21" i="12"/>
  <c r="Q19" i="9" s="1"/>
  <c r="R17" i="3" s="1"/>
  <c r="I21" i="12"/>
  <c r="R19" i="9" s="1"/>
  <c r="S17" i="3" s="1"/>
  <c r="F22" i="12"/>
  <c r="O20" i="9" s="1"/>
  <c r="P18" i="3" s="1"/>
  <c r="I22" i="12"/>
  <c r="R20" i="9" s="1"/>
  <c r="S18" i="3" s="1"/>
  <c r="C22" i="12"/>
  <c r="L20" i="9" s="1"/>
  <c r="F21" i="12"/>
  <c r="O19" i="9" s="1"/>
  <c r="P17" i="3" s="1"/>
  <c r="D21" i="12"/>
  <c r="M19" i="9" s="1"/>
  <c r="N17" i="3" s="1"/>
  <c r="H22" i="12"/>
  <c r="Q20" i="9" s="1"/>
  <c r="R18" i="3" s="1"/>
  <c r="B22" i="12"/>
  <c r="K20" i="9" s="1"/>
  <c r="V15" i="12"/>
  <c r="V16" i="12"/>
  <c r="V14" i="12"/>
  <c r="X14" i="12"/>
  <c r="X15" i="12"/>
  <c r="X17" i="12"/>
  <c r="D8" i="12" l="1"/>
  <c r="I8" i="12"/>
  <c r="C23" i="12"/>
  <c r="L21" i="9" s="1"/>
  <c r="M19" i="3" s="1"/>
  <c r="E28" i="12"/>
  <c r="N26" i="9" s="1"/>
  <c r="O17" i="4" s="1"/>
  <c r="X59" i="12"/>
  <c r="H59" i="12" s="1"/>
  <c r="Q57" i="9" s="1"/>
  <c r="R20" i="8" s="1"/>
  <c r="X56" i="12"/>
  <c r="B56" i="12" s="1"/>
  <c r="K54" i="9" s="1"/>
  <c r="V29" i="12"/>
  <c r="V28" i="12"/>
  <c r="V31" i="12"/>
  <c r="B28" i="12"/>
  <c r="K26" i="9" s="1"/>
  <c r="U26" i="9" s="1"/>
  <c r="G28" i="12"/>
  <c r="P26" i="9" s="1"/>
  <c r="Q17" i="4" s="1"/>
  <c r="U9" i="12"/>
  <c r="C8" i="12"/>
  <c r="L6" i="9" s="1"/>
  <c r="M18" i="1" s="1"/>
  <c r="B8" i="12"/>
  <c r="K6" i="9" s="1"/>
  <c r="L18" i="1" s="1"/>
  <c r="E8" i="12"/>
  <c r="N6" i="9" s="1"/>
  <c r="O18" i="1" s="1"/>
  <c r="F8" i="12"/>
  <c r="O6" i="9" s="1"/>
  <c r="P18" i="1" s="1"/>
  <c r="H8" i="12"/>
  <c r="Q6" i="9" s="1"/>
  <c r="R18" i="1" s="1"/>
  <c r="E9" i="12"/>
  <c r="N7" i="9" s="1"/>
  <c r="O19" i="1" s="1"/>
  <c r="I10" i="12"/>
  <c r="R8" i="9" s="1"/>
  <c r="S20" i="1" s="1"/>
  <c r="G10" i="12"/>
  <c r="P8" i="9" s="1"/>
  <c r="Q20" i="1" s="1"/>
  <c r="H10" i="12"/>
  <c r="Q8" i="9" s="1"/>
  <c r="R20" i="1" s="1"/>
  <c r="F10" i="12"/>
  <c r="O8" i="9" s="1"/>
  <c r="P20" i="1" s="1"/>
  <c r="G9" i="12"/>
  <c r="P7" i="9" s="1"/>
  <c r="Q19" i="1" s="1"/>
  <c r="E7" i="12"/>
  <c r="N5" i="9" s="1"/>
  <c r="O17" i="1" s="1"/>
  <c r="E10" i="12"/>
  <c r="N8" i="9" s="1"/>
  <c r="O20" i="1" s="1"/>
  <c r="C10" i="12"/>
  <c r="L8" i="9" s="1"/>
  <c r="M20" i="1" s="1"/>
  <c r="B10" i="12"/>
  <c r="K8" i="9" s="1"/>
  <c r="L20" i="1" s="1"/>
  <c r="B9" i="12"/>
  <c r="K7" i="9" s="1"/>
  <c r="L19" i="1" s="1"/>
  <c r="D10" i="12"/>
  <c r="M8" i="9" s="1"/>
  <c r="N20" i="1" s="1"/>
  <c r="C9" i="12"/>
  <c r="L7" i="9" s="1"/>
  <c r="M19" i="1" s="1"/>
  <c r="G7" i="12"/>
  <c r="P5" i="9" s="1"/>
  <c r="Q17" i="1" s="1"/>
  <c r="I7" i="12"/>
  <c r="R5" i="9" s="1"/>
  <c r="S17" i="1" s="1"/>
  <c r="F9" i="12"/>
  <c r="O7" i="9" s="1"/>
  <c r="P19" i="1" s="1"/>
  <c r="U8" i="12"/>
  <c r="D9" i="12"/>
  <c r="M7" i="9" s="1"/>
  <c r="N19" i="1" s="1"/>
  <c r="H9" i="12"/>
  <c r="Q7" i="9" s="1"/>
  <c r="R19" i="1" s="1"/>
  <c r="C7" i="12"/>
  <c r="L5" i="9" s="1"/>
  <c r="M17" i="1" s="1"/>
  <c r="H7" i="12"/>
  <c r="Q5" i="9" s="1"/>
  <c r="R17" i="1" s="1"/>
  <c r="F7" i="12"/>
  <c r="O5" i="9" s="1"/>
  <c r="P17" i="1" s="1"/>
  <c r="I9" i="12"/>
  <c r="R7" i="9" s="1"/>
  <c r="S19" i="1" s="1"/>
  <c r="D7" i="12"/>
  <c r="M5" i="9" s="1"/>
  <c r="N17" i="1" s="1"/>
  <c r="B7" i="12"/>
  <c r="K5" i="9" s="1"/>
  <c r="U5" i="9" s="1"/>
  <c r="U10" i="12"/>
  <c r="H28" i="12"/>
  <c r="Q26" i="9" s="1"/>
  <c r="R17" i="4" s="1"/>
  <c r="I23" i="12"/>
  <c r="R21" i="9" s="1"/>
  <c r="S19" i="3" s="1"/>
  <c r="F23" i="12"/>
  <c r="O21" i="9" s="1"/>
  <c r="P19" i="3" s="1"/>
  <c r="X57" i="12"/>
  <c r="H58" i="12" s="1"/>
  <c r="Q56" i="9" s="1"/>
  <c r="R19" i="8" s="1"/>
  <c r="F56" i="12"/>
  <c r="O54" i="9" s="1"/>
  <c r="P17" i="8" s="1"/>
  <c r="V52" i="12"/>
  <c r="I56" i="12"/>
  <c r="R54" i="9" s="1"/>
  <c r="S17" i="8" s="1"/>
  <c r="G57" i="12"/>
  <c r="P55" i="9" s="1"/>
  <c r="Q18" i="8" s="1"/>
  <c r="E56" i="12"/>
  <c r="N54" i="9" s="1"/>
  <c r="O17" i="8" s="1"/>
  <c r="G56" i="12"/>
  <c r="P54" i="9" s="1"/>
  <c r="Q17" i="8" s="1"/>
  <c r="E58" i="12"/>
  <c r="N56" i="9" s="1"/>
  <c r="O19" i="8" s="1"/>
  <c r="H56" i="12"/>
  <c r="Q54" i="9" s="1"/>
  <c r="R17" i="8" s="1"/>
  <c r="B57" i="12"/>
  <c r="K55" i="9" s="1"/>
  <c r="L18" i="8" s="1"/>
  <c r="V59" i="12"/>
  <c r="V56" i="12"/>
  <c r="V57" i="12"/>
  <c r="V58" i="12"/>
  <c r="D56" i="12"/>
  <c r="M54" i="9" s="1"/>
  <c r="N17" i="8" s="1"/>
  <c r="C56" i="12"/>
  <c r="L54" i="9" s="1"/>
  <c r="M17" i="8" s="1"/>
  <c r="I58" i="12"/>
  <c r="R56" i="9" s="1"/>
  <c r="S19" i="8" s="1"/>
  <c r="V30" i="12"/>
  <c r="F28" i="12"/>
  <c r="O26" i="9" s="1"/>
  <c r="P17" i="4" s="1"/>
  <c r="H29" i="12"/>
  <c r="Q27" i="9" s="1"/>
  <c r="R18" i="4" s="1"/>
  <c r="V21" i="12"/>
  <c r="V24" i="12"/>
  <c r="G23" i="12"/>
  <c r="P21" i="9" s="1"/>
  <c r="Q19" i="3" s="1"/>
  <c r="B23" i="12"/>
  <c r="K21" i="9" s="1"/>
  <c r="L19" i="3" s="1"/>
  <c r="D24" i="12"/>
  <c r="M22" i="9" s="1"/>
  <c r="N20" i="3" s="1"/>
  <c r="I24" i="12"/>
  <c r="R22" i="9" s="1"/>
  <c r="S20" i="3" s="1"/>
  <c r="C24" i="12"/>
  <c r="L22" i="9" s="1"/>
  <c r="M20" i="3" s="1"/>
  <c r="E23" i="12"/>
  <c r="N21" i="9" s="1"/>
  <c r="O19" i="3" s="1"/>
  <c r="E24" i="12"/>
  <c r="N22" i="9" s="1"/>
  <c r="O20" i="3" s="1"/>
  <c r="G24" i="12"/>
  <c r="P22" i="9" s="1"/>
  <c r="Q20" i="3" s="1"/>
  <c r="H23" i="12"/>
  <c r="Q21" i="9" s="1"/>
  <c r="R19" i="3" s="1"/>
  <c r="D23" i="12"/>
  <c r="M21" i="9" s="1"/>
  <c r="N19" i="3" s="1"/>
  <c r="V22" i="12"/>
  <c r="F24" i="12"/>
  <c r="O22" i="9" s="1"/>
  <c r="P20" i="3" s="1"/>
  <c r="B24" i="12"/>
  <c r="K22" i="9" s="1"/>
  <c r="L20" i="3" s="1"/>
  <c r="V23" i="12"/>
  <c r="H24" i="12"/>
  <c r="Q22" i="9" s="1"/>
  <c r="R20" i="3" s="1"/>
  <c r="I31" i="12"/>
  <c r="R29" i="9" s="1"/>
  <c r="S20" i="4" s="1"/>
  <c r="V50" i="12"/>
  <c r="V49" i="12"/>
  <c r="V51" i="12"/>
  <c r="D28" i="12"/>
  <c r="M26" i="9" s="1"/>
  <c r="N17" i="4" s="1"/>
  <c r="C28" i="12"/>
  <c r="L26" i="9" s="1"/>
  <c r="F29" i="12"/>
  <c r="O27" i="9" s="1"/>
  <c r="P18" i="4" s="1"/>
  <c r="E30" i="12"/>
  <c r="N28" i="9" s="1"/>
  <c r="O19" i="4" s="1"/>
  <c r="D30" i="12"/>
  <c r="M28" i="9" s="1"/>
  <c r="N19" i="4" s="1"/>
  <c r="H31" i="12"/>
  <c r="Q29" i="9" s="1"/>
  <c r="R20" i="4" s="1"/>
  <c r="B37" i="12"/>
  <c r="K35" i="9" s="1"/>
  <c r="L19" i="5" s="1"/>
  <c r="F31" i="12"/>
  <c r="O29" i="9" s="1"/>
  <c r="P20" i="4" s="1"/>
  <c r="C29" i="12"/>
  <c r="L27" i="9" s="1"/>
  <c r="M18" i="4" s="1"/>
  <c r="C30" i="12"/>
  <c r="L28" i="9" s="1"/>
  <c r="M19" i="4" s="1"/>
  <c r="B30" i="12"/>
  <c r="K28" i="9" s="1"/>
  <c r="L19" i="4" s="1"/>
  <c r="I30" i="12"/>
  <c r="R28" i="9" s="1"/>
  <c r="S19" i="4" s="1"/>
  <c r="B31" i="12"/>
  <c r="K29" i="9" s="1"/>
  <c r="L20" i="4" s="1"/>
  <c r="B29" i="12"/>
  <c r="K27" i="9" s="1"/>
  <c r="U27" i="9" s="1"/>
  <c r="G29" i="12"/>
  <c r="P27" i="9" s="1"/>
  <c r="Q18" i="4" s="1"/>
  <c r="C31" i="12"/>
  <c r="L29" i="9" s="1"/>
  <c r="M20" i="4" s="1"/>
  <c r="E31" i="12"/>
  <c r="N29" i="9" s="1"/>
  <c r="O20" i="4" s="1"/>
  <c r="E29" i="12"/>
  <c r="N27" i="9" s="1"/>
  <c r="O18" i="4" s="1"/>
  <c r="D31" i="12"/>
  <c r="M29" i="9" s="1"/>
  <c r="N20" i="4" s="1"/>
  <c r="D29" i="12"/>
  <c r="M27" i="9" s="1"/>
  <c r="N18" i="4" s="1"/>
  <c r="I29" i="12"/>
  <c r="R27" i="9" s="1"/>
  <c r="S18" i="4" s="1"/>
  <c r="F30" i="12"/>
  <c r="O28" i="9" s="1"/>
  <c r="P19" i="4" s="1"/>
  <c r="G31" i="12"/>
  <c r="P29" i="9" s="1"/>
  <c r="Q20" i="4" s="1"/>
  <c r="G30" i="12"/>
  <c r="P28" i="9" s="1"/>
  <c r="Q19" i="4" s="1"/>
  <c r="H30" i="12"/>
  <c r="Q28" i="9" s="1"/>
  <c r="R19" i="4" s="1"/>
  <c r="R6" i="9"/>
  <c r="S18" i="1" s="1"/>
  <c r="P6" i="9"/>
  <c r="Q18" i="1" s="1"/>
  <c r="M6" i="9"/>
  <c r="V43" i="12"/>
  <c r="B15" i="12"/>
  <c r="K13" i="9" s="1"/>
  <c r="U13" i="9" s="1"/>
  <c r="L17" i="8"/>
  <c r="U54" i="9"/>
  <c r="M20" i="7"/>
  <c r="S50" i="9"/>
  <c r="T20" i="7" s="1"/>
  <c r="M18" i="7"/>
  <c r="S48" i="9"/>
  <c r="T18" i="7" s="1"/>
  <c r="L24" i="7" s="1"/>
  <c r="C52" i="10" s="1"/>
  <c r="S49" i="9"/>
  <c r="T19" i="7" s="1"/>
  <c r="M19" i="7"/>
  <c r="L17" i="7"/>
  <c r="U47" i="9"/>
  <c r="L18" i="7"/>
  <c r="U48" i="9"/>
  <c r="M17" i="7"/>
  <c r="S47" i="9"/>
  <c r="T17" i="7" s="1"/>
  <c r="L23" i="7" s="1"/>
  <c r="V45" i="12"/>
  <c r="B44" i="12"/>
  <c r="K42" i="9" s="1"/>
  <c r="L19" i="6" s="1"/>
  <c r="I43" i="12"/>
  <c r="R41" i="9" s="1"/>
  <c r="S18" i="6" s="1"/>
  <c r="D43" i="12"/>
  <c r="M41" i="9" s="1"/>
  <c r="N18" i="6" s="1"/>
  <c r="G45" i="12"/>
  <c r="P43" i="9" s="1"/>
  <c r="Q20" i="6" s="1"/>
  <c r="I45" i="12"/>
  <c r="R43" i="9" s="1"/>
  <c r="S20" i="6" s="1"/>
  <c r="H42" i="12"/>
  <c r="Q40" i="9" s="1"/>
  <c r="R17" i="6" s="1"/>
  <c r="D44" i="12"/>
  <c r="M42" i="9" s="1"/>
  <c r="N19" i="6" s="1"/>
  <c r="D42" i="12"/>
  <c r="M40" i="9" s="1"/>
  <c r="N17" i="6" s="1"/>
  <c r="G42" i="12"/>
  <c r="P40" i="9" s="1"/>
  <c r="Q17" i="6" s="1"/>
  <c r="C45" i="12"/>
  <c r="L43" i="9" s="1"/>
  <c r="F44" i="12"/>
  <c r="O42" i="9" s="1"/>
  <c r="P19" i="6" s="1"/>
  <c r="B45" i="12"/>
  <c r="K43" i="9" s="1"/>
  <c r="L20" i="6" s="1"/>
  <c r="G44" i="12"/>
  <c r="P42" i="9" s="1"/>
  <c r="Q19" i="6" s="1"/>
  <c r="F45" i="12"/>
  <c r="O43" i="9" s="1"/>
  <c r="P20" i="6" s="1"/>
  <c r="H45" i="12"/>
  <c r="Q43" i="9" s="1"/>
  <c r="R20" i="6" s="1"/>
  <c r="F43" i="12"/>
  <c r="O41" i="9" s="1"/>
  <c r="P18" i="6" s="1"/>
  <c r="I44" i="12"/>
  <c r="R42" i="9" s="1"/>
  <c r="S19" i="6" s="1"/>
  <c r="H44" i="12"/>
  <c r="Q42" i="9" s="1"/>
  <c r="R19" i="6" s="1"/>
  <c r="F42" i="12"/>
  <c r="O40" i="9" s="1"/>
  <c r="P17" i="6" s="1"/>
  <c r="C44" i="12"/>
  <c r="L42" i="9" s="1"/>
  <c r="H43" i="12"/>
  <c r="Q41" i="9" s="1"/>
  <c r="R18" i="6" s="1"/>
  <c r="E42" i="12"/>
  <c r="N40" i="9" s="1"/>
  <c r="O17" i="6" s="1"/>
  <c r="E43" i="12"/>
  <c r="N41" i="9" s="1"/>
  <c r="O18" i="6" s="1"/>
  <c r="G43" i="12"/>
  <c r="P41" i="9" s="1"/>
  <c r="Q18" i="6" s="1"/>
  <c r="C42" i="12"/>
  <c r="L40" i="9" s="1"/>
  <c r="I42" i="12"/>
  <c r="R40" i="9" s="1"/>
  <c r="S17" i="6" s="1"/>
  <c r="E45" i="12"/>
  <c r="N43" i="9" s="1"/>
  <c r="O20" i="6" s="1"/>
  <c r="D45" i="12"/>
  <c r="M43" i="9" s="1"/>
  <c r="N20" i="6" s="1"/>
  <c r="C43" i="12"/>
  <c r="L41" i="9" s="1"/>
  <c r="B43" i="12"/>
  <c r="K41" i="9" s="1"/>
  <c r="E44" i="12"/>
  <c r="N42" i="9" s="1"/>
  <c r="O19" i="6" s="1"/>
  <c r="B42" i="12"/>
  <c r="K40" i="9" s="1"/>
  <c r="V42" i="12"/>
  <c r="V44" i="12"/>
  <c r="B38" i="12"/>
  <c r="K36" i="9" s="1"/>
  <c r="L20" i="5" s="1"/>
  <c r="C35" i="12"/>
  <c r="L33" i="9" s="1"/>
  <c r="I35" i="12"/>
  <c r="R33" i="9" s="1"/>
  <c r="S17" i="5" s="1"/>
  <c r="I37" i="12"/>
  <c r="R35" i="9" s="1"/>
  <c r="S19" i="5" s="1"/>
  <c r="H35" i="12"/>
  <c r="Q33" i="9" s="1"/>
  <c r="R17" i="5" s="1"/>
  <c r="H36" i="12"/>
  <c r="Q34" i="9" s="1"/>
  <c r="R18" i="5" s="1"/>
  <c r="H38" i="12"/>
  <c r="Q36" i="9" s="1"/>
  <c r="R20" i="5" s="1"/>
  <c r="C38" i="12"/>
  <c r="L36" i="9" s="1"/>
  <c r="F35" i="12"/>
  <c r="O33" i="9" s="1"/>
  <c r="P17" i="5" s="1"/>
  <c r="F36" i="12"/>
  <c r="O34" i="9" s="1"/>
  <c r="P18" i="5" s="1"/>
  <c r="E35" i="12"/>
  <c r="N33" i="9" s="1"/>
  <c r="O17" i="5" s="1"/>
  <c r="C37" i="12"/>
  <c r="L35" i="9" s="1"/>
  <c r="D35" i="12"/>
  <c r="M33" i="9" s="1"/>
  <c r="N17" i="5" s="1"/>
  <c r="B36" i="12"/>
  <c r="K34" i="9" s="1"/>
  <c r="H37" i="12"/>
  <c r="Q35" i="9" s="1"/>
  <c r="R19" i="5" s="1"/>
  <c r="G35" i="12"/>
  <c r="P33" i="9" s="1"/>
  <c r="Q17" i="5" s="1"/>
  <c r="E36" i="12"/>
  <c r="N34" i="9" s="1"/>
  <c r="O18" i="5" s="1"/>
  <c r="I38" i="12"/>
  <c r="R36" i="9" s="1"/>
  <c r="S20" i="5" s="1"/>
  <c r="B35" i="12"/>
  <c r="K33" i="9" s="1"/>
  <c r="G37" i="12"/>
  <c r="P35" i="9" s="1"/>
  <c r="Q19" i="5" s="1"/>
  <c r="C36" i="12"/>
  <c r="L34" i="9" s="1"/>
  <c r="D37" i="12"/>
  <c r="M35" i="9" s="1"/>
  <c r="N19" i="5" s="1"/>
  <c r="G38" i="12"/>
  <c r="P36" i="9" s="1"/>
  <c r="Q20" i="5" s="1"/>
  <c r="G36" i="12"/>
  <c r="P34" i="9" s="1"/>
  <c r="Q18" i="5" s="1"/>
  <c r="F37" i="12"/>
  <c r="O35" i="9" s="1"/>
  <c r="P19" i="5" s="1"/>
  <c r="E38" i="12"/>
  <c r="N36" i="9" s="1"/>
  <c r="O20" i="5" s="1"/>
  <c r="I36" i="12"/>
  <c r="R34" i="9" s="1"/>
  <c r="S18" i="5" s="1"/>
  <c r="D38" i="12"/>
  <c r="M36" i="9" s="1"/>
  <c r="N20" i="5" s="1"/>
  <c r="D36" i="12"/>
  <c r="M34" i="9" s="1"/>
  <c r="N18" i="5" s="1"/>
  <c r="E37" i="12"/>
  <c r="N35" i="9" s="1"/>
  <c r="O19" i="5" s="1"/>
  <c r="F38" i="12"/>
  <c r="O36" i="9" s="1"/>
  <c r="P20" i="5" s="1"/>
  <c r="M17" i="3"/>
  <c r="S19" i="9"/>
  <c r="T17" i="3" s="1"/>
  <c r="L23" i="3" s="1"/>
  <c r="C12" i="10" s="1"/>
  <c r="U20" i="9"/>
  <c r="L18" i="3"/>
  <c r="M18" i="3"/>
  <c r="S20" i="9"/>
  <c r="T18" i="3" s="1"/>
  <c r="L17" i="3"/>
  <c r="U19" i="9"/>
  <c r="B16" i="12"/>
  <c r="K14" i="9" s="1"/>
  <c r="L19" i="2" s="1"/>
  <c r="B17" i="12"/>
  <c r="K15" i="9" s="1"/>
  <c r="L20" i="2" s="1"/>
  <c r="F17" i="12"/>
  <c r="O15" i="9" s="1"/>
  <c r="P20" i="2" s="1"/>
  <c r="C14" i="12"/>
  <c r="L12" i="9" s="1"/>
  <c r="G14" i="12"/>
  <c r="P12" i="9" s="1"/>
  <c r="Q17" i="2" s="1"/>
  <c r="C15" i="12"/>
  <c r="L13" i="9" s="1"/>
  <c r="C16" i="12"/>
  <c r="L14" i="9" s="1"/>
  <c r="G16" i="12"/>
  <c r="P14" i="9" s="1"/>
  <c r="Q19" i="2" s="1"/>
  <c r="E17" i="12"/>
  <c r="N15" i="9" s="1"/>
  <c r="O20" i="2" s="1"/>
  <c r="I17" i="12"/>
  <c r="R15" i="9" s="1"/>
  <c r="S20" i="2" s="1"/>
  <c r="F14" i="12"/>
  <c r="O12" i="9" s="1"/>
  <c r="P17" i="2" s="1"/>
  <c r="B14" i="12"/>
  <c r="K12" i="9" s="1"/>
  <c r="F15" i="12"/>
  <c r="O13" i="9" s="1"/>
  <c r="P18" i="2" s="1"/>
  <c r="F16" i="12"/>
  <c r="O14" i="9" s="1"/>
  <c r="P19" i="2" s="1"/>
  <c r="D17" i="12"/>
  <c r="M15" i="9" s="1"/>
  <c r="N20" i="2" s="1"/>
  <c r="H17" i="12"/>
  <c r="Q15" i="9" s="1"/>
  <c r="R20" i="2" s="1"/>
  <c r="E14" i="12"/>
  <c r="N12" i="9" s="1"/>
  <c r="O17" i="2" s="1"/>
  <c r="I14" i="12"/>
  <c r="R12" i="9" s="1"/>
  <c r="S17" i="2" s="1"/>
  <c r="G15" i="12"/>
  <c r="P13" i="9" s="1"/>
  <c r="Q18" i="2" s="1"/>
  <c r="E16" i="12"/>
  <c r="N14" i="9" s="1"/>
  <c r="O19" i="2" s="1"/>
  <c r="C17" i="12"/>
  <c r="L15" i="9" s="1"/>
  <c r="G17" i="12"/>
  <c r="P15" i="9" s="1"/>
  <c r="Q20" i="2" s="1"/>
  <c r="D14" i="12"/>
  <c r="M12" i="9" s="1"/>
  <c r="N17" i="2" s="1"/>
  <c r="H14" i="12"/>
  <c r="Q12" i="9" s="1"/>
  <c r="R17" i="2" s="1"/>
  <c r="I15" i="12"/>
  <c r="R13" i="9" s="1"/>
  <c r="S18" i="2" s="1"/>
  <c r="H16" i="12"/>
  <c r="Q14" i="9" s="1"/>
  <c r="R19" i="2" s="1"/>
  <c r="H15" i="12"/>
  <c r="Q13" i="9" s="1"/>
  <c r="R18" i="2" s="1"/>
  <c r="I16" i="12"/>
  <c r="R14" i="9" s="1"/>
  <c r="S19" i="2" s="1"/>
  <c r="E15" i="12"/>
  <c r="N13" i="9" s="1"/>
  <c r="O18" i="2" s="1"/>
  <c r="D16" i="12"/>
  <c r="M14" i="9" s="1"/>
  <c r="N19" i="2" s="1"/>
  <c r="D15" i="12"/>
  <c r="M13" i="9" s="1"/>
  <c r="N18" i="2" s="1"/>
  <c r="S26" i="9" l="1"/>
  <c r="T17" i="4" s="1"/>
  <c r="L23" i="4" s="1"/>
  <c r="B58" i="12"/>
  <c r="K56" i="9" s="1"/>
  <c r="L19" i="8" s="1"/>
  <c r="L17" i="4"/>
  <c r="E57" i="12"/>
  <c r="N55" i="9" s="1"/>
  <c r="O18" i="8" s="1"/>
  <c r="E59" i="12"/>
  <c r="N57" i="9" s="1"/>
  <c r="O20" i="8" s="1"/>
  <c r="I59" i="12"/>
  <c r="R57" i="9" s="1"/>
  <c r="S20" i="8" s="1"/>
  <c r="D59" i="12"/>
  <c r="M57" i="9" s="1"/>
  <c r="N20" i="8" s="1"/>
  <c r="G59" i="12"/>
  <c r="P57" i="9" s="1"/>
  <c r="Q20" i="8" s="1"/>
  <c r="B59" i="12"/>
  <c r="K57" i="9" s="1"/>
  <c r="L20" i="8" s="1"/>
  <c r="F26" i="10"/>
  <c r="C24" i="10"/>
  <c r="U6" i="9"/>
  <c r="L17" i="1"/>
  <c r="V8" i="12"/>
  <c r="V7" i="12"/>
  <c r="V9" i="12"/>
  <c r="V10" i="12"/>
  <c r="C59" i="12"/>
  <c r="L57" i="9" s="1"/>
  <c r="M20" i="8" s="1"/>
  <c r="D57" i="12"/>
  <c r="M55" i="9" s="1"/>
  <c r="N18" i="8" s="1"/>
  <c r="I57" i="12"/>
  <c r="R55" i="9" s="1"/>
  <c r="S18" i="8" s="1"/>
  <c r="C58" i="12"/>
  <c r="L56" i="9" s="1"/>
  <c r="M19" i="8" s="1"/>
  <c r="H57" i="12"/>
  <c r="Q55" i="9" s="1"/>
  <c r="R18" i="8" s="1"/>
  <c r="C57" i="12"/>
  <c r="L55" i="9" s="1"/>
  <c r="M18" i="8" s="1"/>
  <c r="F57" i="12"/>
  <c r="O55" i="9" s="1"/>
  <c r="P18" i="8" s="1"/>
  <c r="D58" i="12"/>
  <c r="M56" i="9" s="1"/>
  <c r="N19" i="8" s="1"/>
  <c r="F58" i="12"/>
  <c r="O56" i="9" s="1"/>
  <c r="P19" i="8" s="1"/>
  <c r="F59" i="12"/>
  <c r="O57" i="9" s="1"/>
  <c r="P20" i="8" s="1"/>
  <c r="M17" i="4"/>
  <c r="G58" i="12"/>
  <c r="P56" i="9" s="1"/>
  <c r="Q19" i="8" s="1"/>
  <c r="S54" i="9"/>
  <c r="T17" i="8" s="1"/>
  <c r="L23" i="8" s="1"/>
  <c r="C48" i="10" s="1"/>
  <c r="F50" i="10" s="1"/>
  <c r="I47" i="10" s="1"/>
  <c r="L41" i="10" s="1"/>
  <c r="O29" i="10" s="1"/>
  <c r="U55" i="9"/>
  <c r="S29" i="9"/>
  <c r="T20" i="4" s="1"/>
  <c r="S21" i="9"/>
  <c r="T19" i="3" s="1"/>
  <c r="S22" i="9"/>
  <c r="T20" i="3" s="1"/>
  <c r="L18" i="4"/>
  <c r="S28" i="9"/>
  <c r="T19" i="4" s="1"/>
  <c r="S27" i="9"/>
  <c r="T18" i="4" s="1"/>
  <c r="L24" i="4" s="1"/>
  <c r="C16" i="10" s="1"/>
  <c r="F14" i="10" s="1"/>
  <c r="S6" i="9"/>
  <c r="T17" i="1"/>
  <c r="S5" i="9"/>
  <c r="S8" i="9"/>
  <c r="S7" i="9"/>
  <c r="T20" i="1"/>
  <c r="N18" i="1"/>
  <c r="T18" i="1" s="1"/>
  <c r="L24" i="1" s="1"/>
  <c r="C40" i="10" s="1"/>
  <c r="T19" i="1"/>
  <c r="L18" i="2"/>
  <c r="U40" i="9"/>
  <c r="L17" i="6"/>
  <c r="U41" i="9"/>
  <c r="L18" i="6"/>
  <c r="S42" i="9"/>
  <c r="T19" i="6" s="1"/>
  <c r="M19" i="6"/>
  <c r="M20" i="6"/>
  <c r="S43" i="9"/>
  <c r="T20" i="6" s="1"/>
  <c r="M18" i="6"/>
  <c r="S41" i="9"/>
  <c r="T18" i="6" s="1"/>
  <c r="L24" i="6" s="1"/>
  <c r="C22" i="10" s="1"/>
  <c r="M17" i="6"/>
  <c r="S40" i="9"/>
  <c r="T17" i="6" s="1"/>
  <c r="L23" i="6" s="1"/>
  <c r="C42" i="10" s="1"/>
  <c r="F44" i="10" s="1"/>
  <c r="L18" i="5"/>
  <c r="U34" i="9"/>
  <c r="M19" i="5"/>
  <c r="S35" i="9"/>
  <c r="T19" i="5" s="1"/>
  <c r="S36" i="9"/>
  <c r="T20" i="5" s="1"/>
  <c r="M20" i="5"/>
  <c r="M17" i="5"/>
  <c r="S33" i="9"/>
  <c r="T17" i="5" s="1"/>
  <c r="S34" i="9"/>
  <c r="T18" i="5" s="1"/>
  <c r="L24" i="5" s="1"/>
  <c r="C46" i="10" s="1"/>
  <c r="M18" i="5"/>
  <c r="U33" i="9"/>
  <c r="L17" i="5"/>
  <c r="L24" i="3"/>
  <c r="C34" i="10" s="1"/>
  <c r="L17" i="2"/>
  <c r="U12" i="9"/>
  <c r="M18" i="2"/>
  <c r="S13" i="9"/>
  <c r="T18" i="2" s="1"/>
  <c r="L24" i="2" s="1"/>
  <c r="C10" i="10" s="1"/>
  <c r="M17" i="2"/>
  <c r="S12" i="9"/>
  <c r="T17" i="2" s="1"/>
  <c r="L23" i="2" s="1"/>
  <c r="M20" i="2"/>
  <c r="S15" i="9"/>
  <c r="T20" i="2" s="1"/>
  <c r="M19" i="2"/>
  <c r="S14" i="9"/>
  <c r="T19" i="2" s="1"/>
  <c r="S57" i="9" l="1"/>
  <c r="T20" i="8" s="1"/>
  <c r="F38" i="10"/>
  <c r="I35" i="10" s="1"/>
  <c r="L58" i="10" s="1"/>
  <c r="O55" i="10" s="1"/>
  <c r="C30" i="10"/>
  <c r="F32" i="10"/>
  <c r="C36" i="10"/>
  <c r="L23" i="1"/>
  <c r="C6" i="10" s="1"/>
  <c r="I11" i="10" s="1"/>
  <c r="L52" i="10" s="1"/>
  <c r="S56" i="9"/>
  <c r="T19" i="8" s="1"/>
  <c r="S55" i="9"/>
  <c r="T18" i="8" s="1"/>
  <c r="L24" i="8" s="1"/>
  <c r="C28" i="10" s="1"/>
  <c r="L23" i="5"/>
  <c r="F20" i="10" l="1"/>
  <c r="I23" i="10" s="1"/>
  <c r="L17" i="10" s="1"/>
  <c r="C18" i="10"/>
</calcChain>
</file>

<file path=xl/sharedStrings.xml><?xml version="1.0" encoding="utf-8"?>
<sst xmlns="http://schemas.openxmlformats.org/spreadsheetml/2006/main" count="543" uniqueCount="158">
  <si>
    <t>Fecha:</t>
  </si>
  <si>
    <t>Grupo A</t>
  </si>
  <si>
    <t>Sede</t>
  </si>
  <si>
    <t>Estado</t>
  </si>
  <si>
    <t>Partidos</t>
  </si>
  <si>
    <t>PJ</t>
  </si>
  <si>
    <t>Equipos Clasificados</t>
  </si>
  <si>
    <t>Grupo B</t>
  </si>
  <si>
    <t>Argentina</t>
  </si>
  <si>
    <t>Corea del Sur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</si>
  <si>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</si>
  <si>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</si>
  <si>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</si>
  <si>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</si>
  <si>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</si>
  <si>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</si>
  <si>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</si>
  <si>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</si>
  <si>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</si>
  <si>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</si>
  <si>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Campeon</t>
  </si>
  <si>
    <t>T</t>
  </si>
  <si>
    <t>P</t>
  </si>
  <si>
    <t>Tercer Puesto</t>
  </si>
  <si>
    <t>hora local</t>
  </si>
  <si>
    <t>turno 1</t>
  </si>
  <si>
    <t>turno 2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</si>
  <si>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</si>
  <si>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</si>
  <si>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</si>
  <si>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</si>
  <si>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</si>
  <si>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</si>
  <si>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</si>
  <si>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</si>
  <si>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</si>
  <si>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</si>
  <si>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</si>
  <si>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</si>
  <si>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</si>
  <si>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</si>
  <si>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</si>
  <si>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</si>
  <si>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</si>
  <si>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</si>
  <si>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A2</t>
  </si>
  <si>
    <t>Mexico</t>
  </si>
  <si>
    <t>E2</t>
  </si>
  <si>
    <t>Paraguay</t>
  </si>
  <si>
    <t>A3</t>
  </si>
  <si>
    <t>Uruguay</t>
  </si>
  <si>
    <t>E3</t>
  </si>
  <si>
    <t>A4</t>
  </si>
  <si>
    <t>Francia</t>
  </si>
  <si>
    <t>E4</t>
  </si>
  <si>
    <t>Australia</t>
  </si>
  <si>
    <t>Brasil</t>
  </si>
  <si>
    <t>Inglaterra</t>
  </si>
  <si>
    <t>B1</t>
  </si>
  <si>
    <t>F1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</si>
  <si>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</si>
  <si>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</si>
  <si>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</si>
  <si>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</si>
  <si>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</si>
  <si>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</si>
  <si>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</si>
  <si>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</si>
  <si>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</si>
  <si>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</si>
  <si>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</si>
  <si>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</si>
  <si>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</si>
  <si>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</si>
  <si>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</si>
  <si>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</si>
  <si>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</si>
  <si>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</si>
  <si>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</si>
  <si>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</si>
  <si>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</si>
  <si>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</si>
  <si>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</si>
  <si>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</si>
  <si>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</si>
  <si>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</si>
  <si>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</si>
  <si>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</si>
  <si>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</si>
  <si>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</si>
  <si>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</si>
  <si>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</si>
  <si>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</si>
  <si>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</si>
  <si>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</si>
  <si>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</si>
  <si>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</si>
  <si>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</si>
  <si>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</si>
  <si>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</si>
  <si>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</si>
  <si>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</si>
  <si>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</si>
  <si>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</si>
  <si>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</si>
  <si>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</si>
  <si>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</si>
  <si>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</si>
  <si>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</si>
  <si>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</si>
  <si>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</si>
  <si>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</si>
  <si>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</si>
  <si>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</si>
  <si>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</si>
  <si>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</si>
  <si>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</si>
  <si>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</si>
  <si>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</si>
  <si>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</si>
  <si>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</si>
  <si>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</si>
  <si>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Costa Rica</t>
  </si>
  <si>
    <t>Croacia</t>
  </si>
  <si>
    <t>Selecciones país para cambiar horario</t>
  </si>
  <si>
    <t>Fecha</t>
  </si>
  <si>
    <t>Qatar</t>
  </si>
  <si>
    <t>Senegal</t>
  </si>
  <si>
    <t>Países Bajos</t>
  </si>
  <si>
    <t>Irán</t>
  </si>
  <si>
    <t>Estados Unidos</t>
  </si>
  <si>
    <t>Gales</t>
  </si>
  <si>
    <t>Arabia Saudí</t>
  </si>
  <si>
    <t>México</t>
  </si>
  <si>
    <t>Polonia</t>
  </si>
  <si>
    <t>Dinamarca</t>
  </si>
  <si>
    <t>Túnez</t>
  </si>
  <si>
    <t>Japón</t>
  </si>
  <si>
    <t>Bélgica</t>
  </si>
  <si>
    <t>Canadá</t>
  </si>
  <si>
    <t>Marruecos</t>
  </si>
  <si>
    <t>Serbia</t>
  </si>
  <si>
    <t>Camerún</t>
  </si>
  <si>
    <t>Al Bayt</t>
  </si>
  <si>
    <t>Al Thumama</t>
  </si>
  <si>
    <t>Khalifa International</t>
  </si>
  <si>
    <t>Ahmad Bin Ali</t>
  </si>
  <si>
    <t>Lusail Iconic</t>
  </si>
  <si>
    <t>Stadium 974</t>
  </si>
  <si>
    <t>Education City</t>
  </si>
  <si>
    <t>Al Janoub</t>
  </si>
  <si>
    <t>Ahmed bin Ali</t>
  </si>
  <si>
    <t>Lusail Iconic Iconic</t>
  </si>
  <si>
    <t>CREADO POR: DANNY RIVA</t>
  </si>
  <si>
    <t>EXPERTO EN ANÁLISIS DE DATOS Y DISEÑO DE DASHBOARDS</t>
  </si>
  <si>
    <t>CON EXCEL, MACROS, VBA, ACCESS, SQL, POWER BI Y MÁS</t>
  </si>
  <si>
    <t>MIRA TODA LA COLECCIÓN DE VIDEOS PARA LA CREACIÓN DE DASHBOARDS</t>
  </si>
  <si>
    <t>MIRA TAMBIÉN LOS MUNDIALES DE FUTBOL DESDE 1930 AL 2022: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</si>
</sst>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h:mm:ss\ AM/PM"/>
    <numFmt numFmtId="169" formatCode="[$-F400]h:mm:ss\ AM/PM"/>
    <numFmt numFmtId="170" formatCode="[$-2C0A]h:mm:ss\ AM/PM;@"/>
  </numFmts>
  <fonts count="27">
    <font>
      <sz val="10"/>
      <name val="Arial"/>
      <family val="2"/>
    </font>
    <font>
      <sz val="10"/>
      <name val="Arial"/>
      <family val="2"/>
      <charset val="177"/>
    </font>
    <font>
      <b/>
      <sz val="10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b/>
      <i/>
      <sz val="10"/>
      <color theme="0"/>
      <name val="Arial"/>
      <family val="2"/>
    </font>
    <font>
      <sz val="10"/>
      <color theme="6" tint="0.59999389629810485"/>
      <name val="Arial"/>
      <family val="2"/>
    </font>
    <font>
      <b/>
      <sz val="10"/>
      <color theme="0"/>
      <name val="Arial"/>
      <family val="2"/>
    </font>
    <font>
      <sz val="26"/>
      <color theme="0"/>
      <name val="Rockwell Extra Bold"/>
      <family val="1"/>
    </font>
    <font>
      <sz val="11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8"/>
      <color theme="0"/>
      <name val="Arial"/>
      <family val="2"/>
    </font>
    <font>
      <sz val="10"/>
      <color theme="0"/>
      <name val="Arial"/>
      <family val="2"/>
    </font>
    <font>
      <b/>
      <i/>
      <sz val="11"/>
      <color theme="0"/>
      <name val="Arial"/>
      <family val="2"/>
    </font>
    <font>
      <b/>
      <sz val="11"/>
      <color indexed="18"/>
      <name val="Arial"/>
      <family val="2"/>
    </font>
    <font>
      <sz val="12"/>
      <color theme="0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 Unicode MS"/>
      <family val="2"/>
    </font>
    <font>
      <b/>
      <sz val="10"/>
      <color rgb="FF8E1C3E"/>
      <name val="Arial"/>
      <family val="2"/>
    </font>
    <font>
      <sz val="10"/>
      <name val="Arial"/>
      <family val="2"/>
    </font>
    <font>
      <b/>
      <sz val="26"/>
      <color theme="0"/>
      <name val="Arial"/>
      <family val="2"/>
    </font>
    <font>
      <sz val="16"/>
      <name val="Arial"/>
      <family val="2"/>
    </font>
    <font>
      <b/>
      <sz val="20"/>
      <color theme="0"/>
      <name val="Arial"/>
      <family val="2"/>
    </font>
    <font>
      <b/>
      <sz val="14"/>
      <color rgb="FFFFFF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/>
        <bgColor indexed="64"/>
      </patternFill>
    </fill>
    <fill>
      <patternFill patternType="solid">
        <fgColor rgb="FF8E1C3E"/>
        <bgColor indexed="64"/>
      </patternFill>
    </fill>
    <fill>
      <patternFill patternType="solid">
        <fgColor rgb="FF8E1C3E"/>
        <bgColor indexed="22"/>
      </patternFill>
    </fill>
    <fill>
      <patternFill patternType="solid">
        <fgColor rgb="FF8E1C3E"/>
        <bgColor indexed="31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E1C3E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375623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9">
    <xf numFmtId="0" fontId="0" fillId="0" borderId="0" xfId="0"/>
    <xf numFmtId="0" fontId="0" fillId="0" borderId="0" xfId="0" applyFill="1" applyProtection="1">
      <protection hidden="1"/>
    </xf>
    <xf numFmtId="165" fontId="0" fillId="0" borderId="0" xfId="0" applyNumberFormat="1" applyFill="1" applyProtection="1">
      <protection hidden="1"/>
    </xf>
    <xf numFmtId="166" fontId="0" fillId="0" borderId="0" xfId="0" applyNumberFormat="1" applyFill="1" applyProtection="1">
      <protection hidden="1"/>
    </xf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2" fillId="0" borderId="3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3" xfId="2" applyBorder="1" applyAlignment="1">
      <alignment horizontal="center"/>
    </xf>
    <xf numFmtId="0" fontId="2" fillId="0" borderId="0" xfId="0" applyNumberFormat="1" applyFont="1"/>
    <xf numFmtId="0" fontId="1" fillId="0" borderId="0" xfId="2" applyBorder="1"/>
    <xf numFmtId="0" fontId="2" fillId="0" borderId="0" xfId="2" applyFont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3" xfId="0" applyFont="1" applyBorder="1"/>
    <xf numFmtId="169" fontId="0" fillId="0" borderId="0" xfId="0" applyNumberFormat="1"/>
    <xf numFmtId="0" fontId="1" fillId="0" borderId="10" xfId="2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0" borderId="0" xfId="0" applyFont="1" applyFill="1" applyBorder="1"/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0" fillId="3" borderId="2" xfId="0" applyFill="1" applyBorder="1" applyAlignment="1" applyProtection="1">
      <protection hidden="1"/>
    </xf>
    <xf numFmtId="0" fontId="0" fillId="3" borderId="4" xfId="0" applyFill="1" applyBorder="1" applyAlignment="1" applyProtection="1">
      <protection hidden="1"/>
    </xf>
    <xf numFmtId="0" fontId="5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4" borderId="5" xfId="0" applyFill="1" applyBorder="1" applyProtection="1">
      <protection locked="0" hidden="1"/>
    </xf>
    <xf numFmtId="0" fontId="0" fillId="6" borderId="0" xfId="0" applyFill="1"/>
    <xf numFmtId="0" fontId="8" fillId="7" borderId="27" xfId="0" applyFont="1" applyFill="1" applyBorder="1" applyProtection="1">
      <protection hidden="1"/>
    </xf>
    <xf numFmtId="0" fontId="8" fillId="7" borderId="14" xfId="0" applyFont="1" applyFill="1" applyBorder="1" applyProtection="1">
      <protection hidden="1"/>
    </xf>
    <xf numFmtId="0" fontId="8" fillId="7" borderId="28" xfId="0" applyFont="1" applyFill="1" applyBorder="1" applyProtection="1">
      <protection hidden="1"/>
    </xf>
    <xf numFmtId="0" fontId="8" fillId="7" borderId="13" xfId="0" applyFont="1" applyFill="1" applyBorder="1" applyProtection="1">
      <protection hidden="1"/>
    </xf>
    <xf numFmtId="0" fontId="8" fillId="7" borderId="0" xfId="0" applyFont="1" applyFill="1" applyBorder="1" applyProtection="1">
      <protection hidden="1"/>
    </xf>
    <xf numFmtId="0" fontId="8" fillId="7" borderId="33" xfId="0" applyFont="1" applyFill="1" applyBorder="1" applyProtection="1">
      <protection hidden="1"/>
    </xf>
    <xf numFmtId="0" fontId="8" fillId="7" borderId="29" xfId="0" applyFont="1" applyFill="1" applyBorder="1" applyProtection="1">
      <protection hidden="1"/>
    </xf>
    <xf numFmtId="0" fontId="8" fillId="7" borderId="34" xfId="0" applyFont="1" applyFill="1" applyBorder="1" applyProtection="1">
      <protection hidden="1"/>
    </xf>
    <xf numFmtId="0" fontId="8" fillId="7" borderId="30" xfId="0" applyFont="1" applyFill="1" applyBorder="1" applyProtection="1">
      <protection hidden="1"/>
    </xf>
    <xf numFmtId="0" fontId="6" fillId="8" borderId="24" xfId="0" applyFont="1" applyFill="1" applyBorder="1" applyAlignment="1" applyProtection="1">
      <alignment horizontal="center"/>
      <protection hidden="1"/>
    </xf>
    <xf numFmtId="0" fontId="6" fillId="8" borderId="25" xfId="0" applyFont="1" applyFill="1" applyBorder="1" applyAlignment="1" applyProtection="1">
      <alignment horizontal="center"/>
      <protection hidden="1"/>
    </xf>
    <xf numFmtId="16" fontId="0" fillId="9" borderId="21" xfId="0" applyNumberFormat="1" applyFill="1" applyBorder="1" applyAlignment="1" applyProtection="1">
      <alignment horizontal="center"/>
      <protection hidden="1"/>
    </xf>
    <xf numFmtId="20" fontId="0" fillId="9" borderId="22" xfId="0" applyNumberFormat="1" applyFill="1" applyBorder="1" applyAlignment="1" applyProtection="1">
      <alignment horizontal="center"/>
      <protection hidden="1"/>
    </xf>
    <xf numFmtId="0" fontId="0" fillId="9" borderId="22" xfId="0" applyFill="1" applyBorder="1" applyProtection="1">
      <protection hidden="1"/>
    </xf>
    <xf numFmtId="0" fontId="0" fillId="9" borderId="22" xfId="0" applyFill="1" applyBorder="1" applyAlignment="1" applyProtection="1">
      <alignment horizontal="right"/>
      <protection hidden="1"/>
    </xf>
    <xf numFmtId="16" fontId="0" fillId="9" borderId="15" xfId="0" applyNumberFormat="1" applyFill="1" applyBorder="1" applyAlignment="1" applyProtection="1">
      <alignment horizontal="center"/>
      <protection hidden="1"/>
    </xf>
    <xf numFmtId="20" fontId="0" fillId="9" borderId="16" xfId="0" applyNumberFormat="1" applyFill="1" applyBorder="1" applyAlignment="1" applyProtection="1">
      <alignment horizontal="center"/>
      <protection hidden="1"/>
    </xf>
    <xf numFmtId="0" fontId="0" fillId="9" borderId="16" xfId="0" applyFill="1" applyBorder="1" applyProtection="1">
      <protection hidden="1"/>
    </xf>
    <xf numFmtId="0" fontId="0" fillId="9" borderId="16" xfId="0" applyFill="1" applyBorder="1" applyAlignment="1" applyProtection="1">
      <alignment horizontal="right"/>
      <protection hidden="1"/>
    </xf>
    <xf numFmtId="16" fontId="0" fillId="9" borderId="18" xfId="0" applyNumberFormat="1" applyFill="1" applyBorder="1" applyAlignment="1" applyProtection="1">
      <alignment horizontal="center"/>
      <protection hidden="1"/>
    </xf>
    <xf numFmtId="20" fontId="0" fillId="9" borderId="19" xfId="0" applyNumberFormat="1" applyFill="1" applyBorder="1" applyAlignment="1" applyProtection="1">
      <alignment horizontal="center"/>
      <protection hidden="1"/>
    </xf>
    <xf numFmtId="0" fontId="0" fillId="9" borderId="19" xfId="0" applyFill="1" applyBorder="1" applyProtection="1">
      <protection hidden="1"/>
    </xf>
    <xf numFmtId="0" fontId="0" fillId="9" borderId="19" xfId="0" applyFill="1" applyBorder="1" applyAlignment="1" applyProtection="1">
      <alignment horizontal="right"/>
      <protection hidden="1"/>
    </xf>
    <xf numFmtId="164" fontId="2" fillId="0" borderId="0" xfId="0" applyNumberFormat="1" applyFont="1" applyFill="1" applyAlignment="1" applyProtection="1">
      <alignment horizontal="right"/>
      <protection hidden="1"/>
    </xf>
    <xf numFmtId="164" fontId="2" fillId="0" borderId="0" xfId="0" applyNumberFormat="1" applyFont="1" applyFill="1" applyProtection="1">
      <protection hidden="1"/>
    </xf>
    <xf numFmtId="20" fontId="0" fillId="0" borderId="0" xfId="0" applyNumberFormat="1" applyFill="1" applyBorder="1" applyProtection="1">
      <protection hidden="1"/>
    </xf>
    <xf numFmtId="164" fontId="0" fillId="0" borderId="0" xfId="0" applyNumberFormat="1" applyFill="1" applyBorder="1" applyProtection="1">
      <protection hidden="1"/>
    </xf>
    <xf numFmtId="18" fontId="0" fillId="0" borderId="0" xfId="0" applyNumberFormat="1" applyFill="1" applyProtection="1">
      <protection hidden="1"/>
    </xf>
    <xf numFmtId="18" fontId="7" fillId="0" borderId="0" xfId="0" applyNumberFormat="1" applyFont="1" applyFill="1" applyProtection="1">
      <protection hidden="1"/>
    </xf>
    <xf numFmtId="0" fontId="7" fillId="0" borderId="0" xfId="0" applyFont="1" applyFill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hidden="1"/>
    </xf>
    <xf numFmtId="18" fontId="15" fillId="0" borderId="0" xfId="0" applyNumberFormat="1" applyFont="1" applyFill="1" applyProtection="1">
      <protection hidden="1"/>
    </xf>
    <xf numFmtId="0" fontId="15" fillId="0" borderId="0" xfId="0" applyFont="1" applyFill="1" applyProtection="1">
      <protection hidden="1"/>
    </xf>
    <xf numFmtId="14" fontId="10" fillId="3" borderId="31" xfId="0" applyNumberFormat="1" applyFont="1" applyFill="1" applyBorder="1" applyAlignment="1" applyProtection="1">
      <alignment horizontal="center"/>
      <protection hidden="1"/>
    </xf>
    <xf numFmtId="170" fontId="10" fillId="3" borderId="32" xfId="0" applyNumberFormat="1" applyFont="1" applyFill="1" applyBorder="1" applyAlignment="1" applyProtection="1">
      <alignment horizontal="center"/>
      <protection hidden="1"/>
    </xf>
    <xf numFmtId="0" fontId="16" fillId="8" borderId="24" xfId="0" applyFont="1" applyFill="1" applyBorder="1" applyAlignment="1" applyProtection="1">
      <alignment horizontal="center"/>
      <protection hidden="1"/>
    </xf>
    <xf numFmtId="0" fontId="16" fillId="8" borderId="25" xfId="0" applyFont="1" applyFill="1" applyBorder="1" applyAlignment="1" applyProtection="1">
      <alignment horizontal="center"/>
      <protection hidden="1"/>
    </xf>
    <xf numFmtId="0" fontId="16" fillId="8" borderId="25" xfId="0" applyFont="1" applyFill="1" applyBorder="1" applyAlignment="1" applyProtection="1">
      <alignment horizontal="center"/>
      <protection hidden="1"/>
    </xf>
    <xf numFmtId="16" fontId="10" fillId="10" borderId="21" xfId="0" applyNumberFormat="1" applyFont="1" applyFill="1" applyBorder="1" applyAlignment="1" applyProtection="1">
      <alignment horizontal="center"/>
      <protection hidden="1"/>
    </xf>
    <xf numFmtId="20" fontId="10" fillId="10" borderId="22" xfId="0" applyNumberFormat="1" applyFont="1" applyFill="1" applyBorder="1" applyAlignment="1" applyProtection="1">
      <alignment horizontal="center"/>
      <protection hidden="1"/>
    </xf>
    <xf numFmtId="0" fontId="10" fillId="10" borderId="22" xfId="0" applyFont="1" applyFill="1" applyBorder="1" applyAlignment="1" applyProtection="1">
      <alignment horizontal="left"/>
      <protection hidden="1"/>
    </xf>
    <xf numFmtId="0" fontId="10" fillId="10" borderId="22" xfId="0" applyFont="1" applyFill="1" applyBorder="1" applyAlignment="1" applyProtection="1">
      <alignment horizontal="center"/>
      <protection hidden="1"/>
    </xf>
    <xf numFmtId="0" fontId="10" fillId="10" borderId="22" xfId="0" applyFont="1" applyFill="1" applyBorder="1" applyAlignment="1" applyProtection="1">
      <alignment horizontal="right"/>
      <protection hidden="1"/>
    </xf>
    <xf numFmtId="16" fontId="10" fillId="10" borderId="15" xfId="0" applyNumberFormat="1" applyFont="1" applyFill="1" applyBorder="1" applyAlignment="1" applyProtection="1">
      <alignment horizontal="center"/>
      <protection hidden="1"/>
    </xf>
    <xf numFmtId="20" fontId="10" fillId="10" borderId="16" xfId="0" applyNumberFormat="1" applyFont="1" applyFill="1" applyBorder="1" applyAlignment="1" applyProtection="1">
      <alignment horizontal="center"/>
      <protection hidden="1"/>
    </xf>
    <xf numFmtId="0" fontId="10" fillId="10" borderId="16" xfId="0" applyFont="1" applyFill="1" applyBorder="1" applyAlignment="1" applyProtection="1">
      <alignment horizontal="left"/>
      <protection hidden="1"/>
    </xf>
    <xf numFmtId="0" fontId="10" fillId="10" borderId="16" xfId="0" applyFont="1" applyFill="1" applyBorder="1" applyAlignment="1" applyProtection="1">
      <alignment horizontal="center"/>
      <protection hidden="1"/>
    </xf>
    <xf numFmtId="0" fontId="10" fillId="10" borderId="16" xfId="0" applyFont="1" applyFill="1" applyBorder="1" applyAlignment="1" applyProtection="1">
      <alignment horizontal="right"/>
      <protection hidden="1"/>
    </xf>
    <xf numFmtId="16" fontId="10" fillId="10" borderId="18" xfId="0" applyNumberFormat="1" applyFont="1" applyFill="1" applyBorder="1" applyAlignment="1" applyProtection="1">
      <alignment horizontal="center"/>
      <protection hidden="1"/>
    </xf>
    <xf numFmtId="20" fontId="10" fillId="10" borderId="19" xfId="0" applyNumberFormat="1" applyFont="1" applyFill="1" applyBorder="1" applyAlignment="1" applyProtection="1">
      <alignment horizontal="center"/>
      <protection hidden="1"/>
    </xf>
    <xf numFmtId="0" fontId="10" fillId="10" borderId="19" xfId="0" applyFont="1" applyFill="1" applyBorder="1" applyAlignment="1" applyProtection="1">
      <alignment horizontal="left"/>
      <protection hidden="1"/>
    </xf>
    <xf numFmtId="0" fontId="10" fillId="10" borderId="19" xfId="0" applyFont="1" applyFill="1" applyBorder="1" applyAlignment="1" applyProtection="1">
      <alignment horizontal="center"/>
      <protection hidden="1"/>
    </xf>
    <xf numFmtId="0" fontId="10" fillId="10" borderId="19" xfId="0" applyFont="1" applyFill="1" applyBorder="1" applyAlignment="1" applyProtection="1">
      <alignment horizontal="right"/>
      <protection hidden="1"/>
    </xf>
    <xf numFmtId="0" fontId="17" fillId="3" borderId="1" xfId="0" applyFont="1" applyFill="1" applyBorder="1" applyAlignment="1" applyProtection="1">
      <alignment horizontal="left"/>
      <protection hidden="1"/>
    </xf>
    <xf numFmtId="0" fontId="17" fillId="3" borderId="1" xfId="0" applyFont="1" applyFill="1" applyBorder="1" applyAlignment="1" applyProtection="1">
      <alignment horizontal="center"/>
      <protection hidden="1"/>
    </xf>
    <xf numFmtId="0" fontId="10" fillId="3" borderId="2" xfId="0" applyFont="1" applyFill="1" applyBorder="1" applyAlignment="1" applyProtection="1">
      <protection hidden="1"/>
    </xf>
    <xf numFmtId="0" fontId="10" fillId="3" borderId="2" xfId="0" applyFont="1" applyFill="1" applyBorder="1" applyAlignment="1" applyProtection="1">
      <alignment horizontal="center"/>
      <protection hidden="1"/>
    </xf>
    <xf numFmtId="0" fontId="10" fillId="3" borderId="4" xfId="0" applyFont="1" applyFill="1" applyBorder="1" applyAlignment="1" applyProtection="1">
      <protection hidden="1"/>
    </xf>
    <xf numFmtId="0" fontId="10" fillId="3" borderId="4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Fill="1"/>
    <xf numFmtId="16" fontId="10" fillId="9" borderId="21" xfId="0" applyNumberFormat="1" applyFont="1" applyFill="1" applyBorder="1" applyAlignment="1" applyProtection="1">
      <alignment horizontal="center"/>
      <protection hidden="1"/>
    </xf>
    <xf numFmtId="20" fontId="10" fillId="9" borderId="22" xfId="0" applyNumberFormat="1" applyFont="1" applyFill="1" applyBorder="1" applyAlignment="1" applyProtection="1">
      <alignment horizontal="center"/>
      <protection hidden="1"/>
    </xf>
    <xf numFmtId="0" fontId="10" fillId="9" borderId="22" xfId="0" applyFont="1" applyFill="1" applyBorder="1" applyAlignment="1" applyProtection="1">
      <protection hidden="1"/>
    </xf>
    <xf numFmtId="0" fontId="10" fillId="9" borderId="22" xfId="0" applyFont="1" applyFill="1" applyBorder="1" applyProtection="1">
      <protection hidden="1"/>
    </xf>
    <xf numFmtId="0" fontId="10" fillId="9" borderId="22" xfId="0" applyFont="1" applyFill="1" applyBorder="1" applyAlignment="1" applyProtection="1">
      <alignment horizontal="right"/>
      <protection hidden="1"/>
    </xf>
    <xf numFmtId="0" fontId="10" fillId="2" borderId="22" xfId="0" applyFont="1" applyFill="1" applyBorder="1" applyAlignment="1" applyProtection="1">
      <alignment horizontal="center"/>
      <protection locked="0" hidden="1"/>
    </xf>
    <xf numFmtId="0" fontId="10" fillId="2" borderId="23" xfId="0" applyFont="1" applyFill="1" applyBorder="1" applyAlignment="1" applyProtection="1">
      <alignment horizontal="center"/>
      <protection locked="0" hidden="1"/>
    </xf>
    <xf numFmtId="16" fontId="10" fillId="9" borderId="15" xfId="0" applyNumberFormat="1" applyFont="1" applyFill="1" applyBorder="1" applyAlignment="1" applyProtection="1">
      <alignment horizontal="center"/>
      <protection hidden="1"/>
    </xf>
    <xf numFmtId="20" fontId="10" fillId="9" borderId="16" xfId="0" applyNumberFormat="1" applyFont="1" applyFill="1" applyBorder="1" applyAlignment="1" applyProtection="1">
      <alignment horizontal="center"/>
      <protection hidden="1"/>
    </xf>
    <xf numFmtId="0" fontId="10" fillId="9" borderId="16" xfId="0" applyFont="1" applyFill="1" applyBorder="1" applyAlignment="1" applyProtection="1">
      <protection hidden="1"/>
    </xf>
    <xf numFmtId="0" fontId="10" fillId="9" borderId="16" xfId="0" applyFont="1" applyFill="1" applyBorder="1" applyProtection="1">
      <protection hidden="1"/>
    </xf>
    <xf numFmtId="0" fontId="10" fillId="9" borderId="16" xfId="0" applyFont="1" applyFill="1" applyBorder="1" applyAlignment="1" applyProtection="1">
      <alignment horizontal="right"/>
      <protection hidden="1"/>
    </xf>
    <xf numFmtId="0" fontId="10" fillId="2" borderId="16" xfId="0" applyFont="1" applyFill="1" applyBorder="1" applyAlignment="1" applyProtection="1">
      <alignment horizontal="center"/>
      <protection locked="0" hidden="1"/>
    </xf>
    <xf numFmtId="0" fontId="10" fillId="2" borderId="17" xfId="0" applyFont="1" applyFill="1" applyBorder="1" applyAlignment="1" applyProtection="1">
      <alignment horizontal="center"/>
      <protection locked="0" hidden="1"/>
    </xf>
    <xf numFmtId="16" fontId="10" fillId="9" borderId="18" xfId="0" applyNumberFormat="1" applyFont="1" applyFill="1" applyBorder="1" applyAlignment="1" applyProtection="1">
      <alignment horizontal="center"/>
      <protection hidden="1"/>
    </xf>
    <xf numFmtId="20" fontId="10" fillId="9" borderId="19" xfId="0" applyNumberFormat="1" applyFont="1" applyFill="1" applyBorder="1" applyAlignment="1" applyProtection="1">
      <alignment horizontal="center"/>
      <protection hidden="1"/>
    </xf>
    <xf numFmtId="0" fontId="10" fillId="9" borderId="19" xfId="0" applyFont="1" applyFill="1" applyBorder="1" applyAlignment="1" applyProtection="1">
      <protection hidden="1"/>
    </xf>
    <xf numFmtId="0" fontId="10" fillId="9" borderId="19" xfId="0" applyFont="1" applyFill="1" applyBorder="1" applyProtection="1">
      <protection hidden="1"/>
    </xf>
    <xf numFmtId="0" fontId="10" fillId="9" borderId="19" xfId="0" applyFont="1" applyFill="1" applyBorder="1" applyAlignment="1" applyProtection="1">
      <alignment horizontal="right"/>
      <protection hidden="1"/>
    </xf>
    <xf numFmtId="0" fontId="10" fillId="2" borderId="19" xfId="0" applyFont="1" applyFill="1" applyBorder="1" applyAlignment="1" applyProtection="1">
      <alignment horizontal="center"/>
      <protection locked="0" hidden="1"/>
    </xf>
    <xf numFmtId="0" fontId="10" fillId="2" borderId="20" xfId="0" applyFont="1" applyFill="1" applyBorder="1" applyAlignment="1" applyProtection="1">
      <alignment horizontal="center"/>
      <protection locked="0" hidden="1"/>
    </xf>
    <xf numFmtId="0" fontId="19" fillId="7" borderId="24" xfId="0" applyFont="1" applyFill="1" applyBorder="1" applyAlignment="1" applyProtection="1">
      <alignment horizontal="center"/>
      <protection hidden="1"/>
    </xf>
    <xf numFmtId="164" fontId="19" fillId="7" borderId="26" xfId="0" applyNumberFormat="1" applyFont="1" applyFill="1" applyBorder="1" applyAlignment="1" applyProtection="1">
      <alignment horizontal="center"/>
      <protection hidden="1"/>
    </xf>
    <xf numFmtId="0" fontId="18" fillId="6" borderId="0" xfId="0" applyFont="1" applyFill="1" applyAlignment="1" applyProtection="1">
      <alignment horizontal="center"/>
      <protection hidden="1"/>
    </xf>
    <xf numFmtId="164" fontId="18" fillId="6" borderId="0" xfId="0" applyNumberFormat="1" applyFont="1" applyFill="1" applyProtection="1">
      <protection hidden="1"/>
    </xf>
    <xf numFmtId="0" fontId="0" fillId="9" borderId="22" xfId="0" applyFont="1" applyFill="1" applyBorder="1" applyAlignment="1" applyProtection="1">
      <alignment horizontal="right"/>
      <protection hidden="1"/>
    </xf>
    <xf numFmtId="0" fontId="0" fillId="9" borderId="16" xfId="0" applyFont="1" applyFill="1" applyBorder="1" applyAlignment="1" applyProtection="1">
      <alignment horizontal="right"/>
      <protection hidden="1"/>
    </xf>
    <xf numFmtId="0" fontId="0" fillId="9" borderId="19" xfId="0" applyFont="1" applyFill="1" applyBorder="1" applyAlignment="1" applyProtection="1">
      <alignment horizontal="right"/>
      <protection hidden="1"/>
    </xf>
    <xf numFmtId="0" fontId="0" fillId="1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3" xfId="0" applyFill="1" applyBorder="1" applyAlignment="1" applyProtection="1">
      <alignment horizontal="center"/>
      <protection hidden="1"/>
    </xf>
    <xf numFmtId="0" fontId="0" fillId="2" borderId="17" xfId="0" applyFill="1" applyBorder="1" applyAlignment="1" applyProtection="1">
      <alignment horizontal="center"/>
      <protection hidden="1"/>
    </xf>
    <xf numFmtId="0" fontId="0" fillId="2" borderId="20" xfId="0" applyFill="1" applyBorder="1" applyAlignment="1" applyProtection="1">
      <alignment horizontal="center"/>
      <protection hidden="1"/>
    </xf>
    <xf numFmtId="0" fontId="13" fillId="11" borderId="41" xfId="0" applyFont="1" applyFill="1" applyBorder="1" applyAlignment="1" applyProtection="1">
      <alignment horizontal="center"/>
      <protection hidden="1"/>
    </xf>
    <xf numFmtId="0" fontId="8" fillId="7" borderId="5" xfId="0" applyFont="1" applyFill="1" applyBorder="1" applyAlignment="1" applyProtection="1">
      <alignment horizontal="center" vertical="center"/>
      <protection hidden="1"/>
    </xf>
    <xf numFmtId="0" fontId="12" fillId="7" borderId="5" xfId="0" applyFont="1" applyFill="1" applyBorder="1" applyAlignment="1" applyProtection="1">
      <alignment horizontal="center" vertical="center"/>
      <protection hidden="1"/>
    </xf>
    <xf numFmtId="0" fontId="0" fillId="0" borderId="6" xfId="0" applyFill="1" applyBorder="1" applyProtection="1">
      <protection locked="0"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locked="0" hidden="1"/>
    </xf>
    <xf numFmtId="0" fontId="0" fillId="0" borderId="5" xfId="0" applyFill="1" applyBorder="1" applyProtection="1">
      <protection locked="0" hidden="1"/>
    </xf>
    <xf numFmtId="0" fontId="0" fillId="3" borderId="0" xfId="0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0" fontId="0" fillId="10" borderId="6" xfId="0" applyFill="1" applyBorder="1" applyProtection="1">
      <protection locked="0" hidden="1"/>
    </xf>
    <xf numFmtId="0" fontId="0" fillId="10" borderId="0" xfId="0" applyFill="1" applyBorder="1" applyProtection="1">
      <protection hidden="1"/>
    </xf>
    <xf numFmtId="0" fontId="0" fillId="10" borderId="8" xfId="0" applyFill="1" applyBorder="1" applyProtection="1">
      <protection hidden="1"/>
    </xf>
    <xf numFmtId="0" fontId="0" fillId="10" borderId="9" xfId="0" applyFill="1" applyBorder="1" applyProtection="1">
      <protection locked="0" hidden="1"/>
    </xf>
    <xf numFmtId="0" fontId="4" fillId="10" borderId="0" xfId="1" applyNumberFormat="1" applyFont="1" applyFill="1" applyBorder="1" applyAlignment="1" applyProtection="1">
      <protection hidden="1"/>
    </xf>
    <xf numFmtId="167" fontId="0" fillId="10" borderId="0" xfId="0" applyNumberFormat="1" applyFill="1" applyProtection="1">
      <protection hidden="1"/>
    </xf>
    <xf numFmtId="20" fontId="0" fillId="10" borderId="0" xfId="0" applyNumberFormat="1" applyFill="1" applyProtection="1">
      <protection hidden="1"/>
    </xf>
    <xf numFmtId="0" fontId="0" fillId="10" borderId="7" xfId="0" applyFill="1" applyBorder="1" applyProtection="1">
      <protection hidden="1"/>
    </xf>
    <xf numFmtId="14" fontId="0" fillId="10" borderId="0" xfId="0" applyNumberFormat="1" applyFill="1" applyProtection="1">
      <protection hidden="1"/>
    </xf>
    <xf numFmtId="0" fontId="0" fillId="3" borderId="5" xfId="0" applyFill="1" applyBorder="1" applyProtection="1">
      <protection locked="0" hidden="1"/>
    </xf>
    <xf numFmtId="0" fontId="2" fillId="10" borderId="0" xfId="0" applyFont="1" applyFill="1" applyAlignment="1" applyProtection="1">
      <alignment horizontal="center"/>
      <protection hidden="1"/>
    </xf>
    <xf numFmtId="0" fontId="21" fillId="10" borderId="0" xfId="1" applyNumberFormat="1" applyFont="1" applyFill="1" applyBorder="1" applyAlignment="1" applyProtection="1">
      <protection hidden="1"/>
    </xf>
    <xf numFmtId="0" fontId="22" fillId="13" borderId="0" xfId="0" applyFont="1" applyFill="1"/>
    <xf numFmtId="0" fontId="24" fillId="13" borderId="0" xfId="0" applyFont="1" applyFill="1"/>
    <xf numFmtId="0" fontId="14" fillId="5" borderId="11" xfId="0" applyFont="1" applyFill="1" applyBorder="1" applyAlignment="1" applyProtection="1">
      <alignment horizontal="center"/>
      <protection locked="0"/>
    </xf>
    <xf numFmtId="0" fontId="14" fillId="5" borderId="12" xfId="0" applyFont="1" applyFill="1" applyBorder="1" applyAlignment="1" applyProtection="1">
      <alignment horizontal="center"/>
      <protection locked="0"/>
    </xf>
    <xf numFmtId="0" fontId="16" fillId="8" borderId="25" xfId="0" applyFont="1" applyFill="1" applyBorder="1" applyAlignment="1" applyProtection="1">
      <alignment horizontal="center"/>
      <protection hidden="1"/>
    </xf>
    <xf numFmtId="0" fontId="16" fillId="8" borderId="26" xfId="0" applyFont="1" applyFill="1" applyBorder="1" applyAlignment="1" applyProtection="1">
      <alignment horizontal="center"/>
      <protection hidden="1"/>
    </xf>
    <xf numFmtId="0" fontId="11" fillId="3" borderId="36" xfId="0" applyFont="1" applyFill="1" applyBorder="1" applyAlignment="1" applyProtection="1">
      <alignment horizontal="center"/>
      <protection hidden="1"/>
    </xf>
    <xf numFmtId="0" fontId="10" fillId="3" borderId="37" xfId="0" applyFont="1" applyFill="1" applyBorder="1" applyAlignment="1" applyProtection="1">
      <alignment horizontal="center"/>
      <protection hidden="1"/>
    </xf>
    <xf numFmtId="0" fontId="10" fillId="3" borderId="38" xfId="0" applyFont="1" applyFill="1" applyBorder="1" applyAlignment="1" applyProtection="1">
      <alignment horizontal="center"/>
      <protection hidden="1"/>
    </xf>
    <xf numFmtId="0" fontId="9" fillId="7" borderId="14" xfId="0" applyFont="1" applyFill="1" applyBorder="1" applyAlignment="1" applyProtection="1">
      <alignment horizontal="left" vertical="center"/>
      <protection hidden="1"/>
    </xf>
    <xf numFmtId="0" fontId="9" fillId="7" borderId="0" xfId="0" applyFont="1" applyFill="1" applyBorder="1" applyAlignment="1" applyProtection="1">
      <alignment horizontal="left" vertical="center"/>
      <protection hidden="1"/>
    </xf>
    <xf numFmtId="0" fontId="9" fillId="7" borderId="34" xfId="0" applyFont="1" applyFill="1" applyBorder="1" applyAlignment="1" applyProtection="1">
      <alignment horizontal="left" vertical="center"/>
      <protection hidden="1"/>
    </xf>
    <xf numFmtId="0" fontId="2" fillId="3" borderId="36" xfId="0" applyFont="1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8" xfId="0" applyFill="1" applyBorder="1" applyAlignment="1" applyProtection="1">
      <alignment horizontal="center"/>
      <protection hidden="1"/>
    </xf>
    <xf numFmtId="0" fontId="6" fillId="8" borderId="25" xfId="0" applyFont="1" applyFill="1" applyBorder="1" applyAlignment="1" applyProtection="1">
      <alignment horizontal="center"/>
      <protection hidden="1"/>
    </xf>
    <xf numFmtId="0" fontId="6" fillId="8" borderId="26" xfId="0" applyFont="1" applyFill="1" applyBorder="1" applyAlignment="1" applyProtection="1">
      <alignment horizontal="center"/>
      <protection hidden="1"/>
    </xf>
    <xf numFmtId="0" fontId="12" fillId="12" borderId="0" xfId="0" applyFont="1" applyFill="1" applyBorder="1" applyAlignment="1" applyProtection="1">
      <alignment horizontal="center"/>
      <protection hidden="1"/>
    </xf>
    <xf numFmtId="0" fontId="13" fillId="7" borderId="35" xfId="0" applyFont="1" applyFill="1" applyBorder="1" applyAlignment="1" applyProtection="1">
      <alignment horizontal="center" vertical="center"/>
      <protection hidden="1"/>
    </xf>
    <xf numFmtId="0" fontId="13" fillId="7" borderId="0" xfId="0" applyFont="1" applyFill="1" applyBorder="1" applyAlignment="1" applyProtection="1">
      <alignment horizontal="center" vertical="center"/>
      <protection hidden="1"/>
    </xf>
    <xf numFmtId="0" fontId="20" fillId="11" borderId="0" xfId="0" applyFont="1" applyFill="1" applyBorder="1" applyAlignment="1" applyProtection="1">
      <alignment horizontal="center"/>
      <protection hidden="1"/>
    </xf>
    <xf numFmtId="0" fontId="20" fillId="11" borderId="39" xfId="0" applyFont="1" applyFill="1" applyBorder="1" applyAlignment="1" applyProtection="1">
      <alignment horizontal="center"/>
      <protection hidden="1"/>
    </xf>
    <xf numFmtId="0" fontId="13" fillId="11" borderId="40" xfId="0" applyFont="1" applyFill="1" applyBorder="1" applyAlignment="1" applyProtection="1">
      <alignment horizontal="center"/>
      <protection hidden="1"/>
    </xf>
    <xf numFmtId="0" fontId="23" fillId="13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5" fillId="13" borderId="0" xfId="0" applyFont="1" applyFill="1" applyAlignment="1">
      <alignment horizontal="center" vertical="center"/>
    </xf>
    <xf numFmtId="0" fontId="2" fillId="0" borderId="3" xfId="2" applyFont="1" applyBorder="1" applyAlignment="1">
      <alignment horizontal="center"/>
    </xf>
    <xf numFmtId="168" fontId="1" fillId="0" borderId="3" xfId="2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_tabla_de_posiciones_sencilla_fin" xfId="2" xr:uid="{00000000-0005-0000-0000-000002000000}"/>
  </cellStyles>
  <dxfs count="24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AB5653"/>
      <color rgb="FF8E1C3E"/>
      <color rgb="FF375623"/>
      <color rgb="FFFFCCFF"/>
      <color rgb="FFFF99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RUPO H'!A1"/><Relationship Id="rId13" Type="http://schemas.openxmlformats.org/officeDocument/2006/relationships/hyperlink" Target="https://youtu.be/NiwoKmlrBR0" TargetMode="External"/><Relationship Id="rId3" Type="http://schemas.openxmlformats.org/officeDocument/2006/relationships/hyperlink" Target="#'GRUPO C'!A1"/><Relationship Id="rId7" Type="http://schemas.openxmlformats.org/officeDocument/2006/relationships/hyperlink" Target="#'GRUPO G'!A1"/><Relationship Id="rId12" Type="http://schemas.openxmlformats.org/officeDocument/2006/relationships/image" Target="../media/image2.jpeg"/><Relationship Id="rId17" Type="http://schemas.openxmlformats.org/officeDocument/2006/relationships/hyperlink" Target="#CONTACTO!A1"/><Relationship Id="rId2" Type="http://schemas.openxmlformats.org/officeDocument/2006/relationships/hyperlink" Target="#'GRUPO B'!A1"/><Relationship Id="rId16" Type="http://schemas.openxmlformats.org/officeDocument/2006/relationships/hyperlink" Target="https://www.dtl.coventry.domains/youtube/" TargetMode="External"/><Relationship Id="rId1" Type="http://schemas.openxmlformats.org/officeDocument/2006/relationships/hyperlink" Target="#'GRUPO A'!A1"/><Relationship Id="rId6" Type="http://schemas.openxmlformats.org/officeDocument/2006/relationships/hyperlink" Target="#'GRUPO F'!A1"/><Relationship Id="rId11" Type="http://schemas.openxmlformats.org/officeDocument/2006/relationships/image" Target="../media/image1.jpg"/><Relationship Id="rId5" Type="http://schemas.openxmlformats.org/officeDocument/2006/relationships/hyperlink" Target="#'GRUPO E'!A1"/><Relationship Id="rId15" Type="http://schemas.microsoft.com/office/2007/relationships/hdphoto" Target="../media/hdphoto1.wdp"/><Relationship Id="rId10" Type="http://schemas.openxmlformats.org/officeDocument/2006/relationships/hyperlink" Target="#'Cuadro Final'!A1"/><Relationship Id="rId4" Type="http://schemas.openxmlformats.org/officeDocument/2006/relationships/hyperlink" Target="#'GRUPO D'!A1"/><Relationship Id="rId9" Type="http://schemas.openxmlformats.org/officeDocument/2006/relationships/hyperlink" Target="#'Primera Ronda'!A1"/><Relationship Id="rId1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36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hyperlink" Target="https://pt.wikipedia.org/wiki/Ficheiro:Twitter_logo_2012.svg" TargetMode="External"/><Relationship Id="rId18" Type="http://schemas.openxmlformats.org/officeDocument/2006/relationships/hyperlink" Target="#Inicio!A1"/><Relationship Id="rId3" Type="http://schemas.openxmlformats.org/officeDocument/2006/relationships/image" Target="../media/image38.png"/><Relationship Id="rId7" Type="http://schemas.openxmlformats.org/officeDocument/2006/relationships/hyperlink" Target="https://www.linkedin.com/in/dannyriva/" TargetMode="External"/><Relationship Id="rId12" Type="http://schemas.openxmlformats.org/officeDocument/2006/relationships/image" Target="../media/image42.png"/><Relationship Id="rId17" Type="http://schemas.openxmlformats.org/officeDocument/2006/relationships/image" Target="../media/image44.png"/><Relationship Id="rId2" Type="http://schemas.openxmlformats.org/officeDocument/2006/relationships/hyperlink" Target="https://www.youtube.com/channel/UCyPjhFCOXXEpZFM3meJwB4A?sub_confirmation=1" TargetMode="External"/><Relationship Id="rId16" Type="http://schemas.openxmlformats.org/officeDocument/2006/relationships/hyperlink" Target="https://www.youtube.com/watch?v=UtzkpR0FREw&amp;list=PL8BoCZba-xlrKi6srPaf7JIOQoEurLr82" TargetMode="External"/><Relationship Id="rId20" Type="http://schemas.openxmlformats.org/officeDocument/2006/relationships/image" Target="../media/image45.png"/><Relationship Id="rId1" Type="http://schemas.openxmlformats.org/officeDocument/2006/relationships/image" Target="../media/image37.png"/><Relationship Id="rId6" Type="http://schemas.openxmlformats.org/officeDocument/2006/relationships/image" Target="../media/image39.png"/><Relationship Id="rId11" Type="http://schemas.openxmlformats.org/officeDocument/2006/relationships/hyperlink" Target="https://twitter.com/catedraexcel" TargetMode="External"/><Relationship Id="rId5" Type="http://schemas.openxmlformats.org/officeDocument/2006/relationships/hyperlink" Target="https://www.facebook.com/dannyriva" TargetMode="External"/><Relationship Id="rId15" Type="http://schemas.openxmlformats.org/officeDocument/2006/relationships/image" Target="../media/image43.png"/><Relationship Id="rId10" Type="http://schemas.openxmlformats.org/officeDocument/2006/relationships/image" Target="../media/image41.png"/><Relationship Id="rId19" Type="http://schemas.openxmlformats.org/officeDocument/2006/relationships/hyperlink" Target="https://youtu.be/NiwoKmlrBR0" TargetMode="External"/><Relationship Id="rId4" Type="http://schemas.openxmlformats.org/officeDocument/2006/relationships/hyperlink" Target="https://www.dtl.coventry.domains/youtube/" TargetMode="External"/><Relationship Id="rId9" Type="http://schemas.openxmlformats.org/officeDocument/2006/relationships/hyperlink" Target="https://expertoexcel.wordpress.com/" TargetMode="External"/><Relationship Id="rId14" Type="http://schemas.openxmlformats.org/officeDocument/2006/relationships/hyperlink" Target="https://ludusconsult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pixabay.com/en/ball-soccer-football-blue-sport-306073/" TargetMode="External"/><Relationship Id="rId13" Type="http://schemas.openxmlformats.org/officeDocument/2006/relationships/image" Target="../media/image3.png"/><Relationship Id="rId3" Type="http://schemas.openxmlformats.org/officeDocument/2006/relationships/image" Target="../media/image7.jpg"/><Relationship Id="rId7" Type="http://schemas.openxmlformats.org/officeDocument/2006/relationships/image" Target="../media/image10.png"/><Relationship Id="rId12" Type="http://schemas.openxmlformats.org/officeDocument/2006/relationships/hyperlink" Target="https://youtu.be/NiwoKmlrBR0" TargetMode="External"/><Relationship Id="rId2" Type="http://schemas.openxmlformats.org/officeDocument/2006/relationships/image" Target="../media/image6.jpg"/><Relationship Id="rId1" Type="http://schemas.openxmlformats.org/officeDocument/2006/relationships/image" Target="../media/image5.jpg"/><Relationship Id="rId6" Type="http://schemas.openxmlformats.org/officeDocument/2006/relationships/hyperlink" Target="#Inicio!A1"/><Relationship Id="rId11" Type="http://schemas.microsoft.com/office/2007/relationships/hdphoto" Target="../media/hdphoto2.wdp"/><Relationship Id="rId5" Type="http://schemas.openxmlformats.org/officeDocument/2006/relationships/image" Target="../media/image9.jpg"/><Relationship Id="rId15" Type="http://schemas.openxmlformats.org/officeDocument/2006/relationships/hyperlink" Target="https://www.dtl.coventry.domains/youtube/" TargetMode="External"/><Relationship Id="rId10" Type="http://schemas.openxmlformats.org/officeDocument/2006/relationships/image" Target="../media/image12.png"/><Relationship Id="rId4" Type="http://schemas.openxmlformats.org/officeDocument/2006/relationships/image" Target="../media/image8.jpg"/><Relationship Id="rId9" Type="http://schemas.openxmlformats.org/officeDocument/2006/relationships/image" Target="../media/image11.jfif"/><Relationship Id="rId1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pixabay.com/en/ball-soccer-football-blue-sport-306073/" TargetMode="External"/><Relationship Id="rId13" Type="http://schemas.openxmlformats.org/officeDocument/2006/relationships/image" Target="../media/image3.png"/><Relationship Id="rId3" Type="http://schemas.openxmlformats.org/officeDocument/2006/relationships/image" Target="../media/image13.jpeg"/><Relationship Id="rId7" Type="http://schemas.openxmlformats.org/officeDocument/2006/relationships/image" Target="../media/image10.png"/><Relationship Id="rId12" Type="http://schemas.openxmlformats.org/officeDocument/2006/relationships/hyperlink" Target="https://youtu.be/syir9N3Gto8" TargetMode="External"/><Relationship Id="rId2" Type="http://schemas.openxmlformats.org/officeDocument/2006/relationships/image" Target="../media/image7.jpg"/><Relationship Id="rId1" Type="http://schemas.openxmlformats.org/officeDocument/2006/relationships/image" Target="../media/image9.jpg"/><Relationship Id="rId6" Type="http://schemas.openxmlformats.org/officeDocument/2006/relationships/hyperlink" Target="#Inicio!A1"/><Relationship Id="rId11" Type="http://schemas.microsoft.com/office/2007/relationships/hdphoto" Target="../media/hdphoto3.wdp"/><Relationship Id="rId5" Type="http://schemas.openxmlformats.org/officeDocument/2006/relationships/image" Target="../media/image14.jpg"/><Relationship Id="rId15" Type="http://schemas.openxmlformats.org/officeDocument/2006/relationships/hyperlink" Target="https://www.dtl.coventry.domains/youtube/" TargetMode="External"/><Relationship Id="rId10" Type="http://schemas.openxmlformats.org/officeDocument/2006/relationships/image" Target="../media/image15.png"/><Relationship Id="rId4" Type="http://schemas.openxmlformats.org/officeDocument/2006/relationships/image" Target="../media/image6.jpg"/><Relationship Id="rId9" Type="http://schemas.openxmlformats.org/officeDocument/2006/relationships/image" Target="../media/image11.jfif"/><Relationship Id="rId1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hyperlink" Target="https://youtu.be/syir9N3Gto8" TargetMode="External"/><Relationship Id="rId3" Type="http://schemas.openxmlformats.org/officeDocument/2006/relationships/image" Target="../media/image18.jpeg"/><Relationship Id="rId7" Type="http://schemas.openxmlformats.org/officeDocument/2006/relationships/image" Target="../media/image21.png"/><Relationship Id="rId12" Type="http://schemas.microsoft.com/office/2007/relationships/hdphoto" Target="../media/hdphoto5.wdp"/><Relationship Id="rId2" Type="http://schemas.openxmlformats.org/officeDocument/2006/relationships/image" Target="../media/image17.jpeg"/><Relationship Id="rId16" Type="http://schemas.openxmlformats.org/officeDocument/2006/relationships/hyperlink" Target="https://www.dtl.coventry.domains/youtube/" TargetMode="External"/><Relationship Id="rId1" Type="http://schemas.openxmlformats.org/officeDocument/2006/relationships/image" Target="../media/image16.jpeg"/><Relationship Id="rId6" Type="http://schemas.openxmlformats.org/officeDocument/2006/relationships/hyperlink" Target="#Inicio!A1"/><Relationship Id="rId11" Type="http://schemas.openxmlformats.org/officeDocument/2006/relationships/image" Target="../media/image22.png"/><Relationship Id="rId5" Type="http://schemas.openxmlformats.org/officeDocument/2006/relationships/image" Target="../media/image20.jpg"/><Relationship Id="rId15" Type="http://schemas.microsoft.com/office/2007/relationships/hdphoto" Target="../media/hdphoto1.wdp"/><Relationship Id="rId10" Type="http://schemas.openxmlformats.org/officeDocument/2006/relationships/image" Target="../media/image11.jfif"/><Relationship Id="rId4" Type="http://schemas.openxmlformats.org/officeDocument/2006/relationships/image" Target="../media/image19.jpg"/><Relationship Id="rId9" Type="http://schemas.openxmlformats.org/officeDocument/2006/relationships/hyperlink" Target="https://pixabay.com/en/ball-soccer-football-blue-sport-306073/" TargetMode="External"/><Relationship Id="rId1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hyperlink" Target="https://youtu.be/syir9N3Gto8" TargetMode="External"/><Relationship Id="rId3" Type="http://schemas.openxmlformats.org/officeDocument/2006/relationships/image" Target="../media/image24.jpeg"/><Relationship Id="rId7" Type="http://schemas.openxmlformats.org/officeDocument/2006/relationships/image" Target="../media/image21.png"/><Relationship Id="rId12" Type="http://schemas.microsoft.com/office/2007/relationships/hdphoto" Target="../media/hdphoto6.wdp"/><Relationship Id="rId2" Type="http://schemas.openxmlformats.org/officeDocument/2006/relationships/image" Target="../media/image23.jpg"/><Relationship Id="rId16" Type="http://schemas.openxmlformats.org/officeDocument/2006/relationships/hyperlink" Target="https://www.dtl.coventry.domains/youtube/" TargetMode="External"/><Relationship Id="rId1" Type="http://schemas.openxmlformats.org/officeDocument/2006/relationships/image" Target="../media/image20.jpg"/><Relationship Id="rId6" Type="http://schemas.openxmlformats.org/officeDocument/2006/relationships/hyperlink" Target="#Inicio!A1"/><Relationship Id="rId11" Type="http://schemas.openxmlformats.org/officeDocument/2006/relationships/image" Target="../media/image27.png"/><Relationship Id="rId5" Type="http://schemas.openxmlformats.org/officeDocument/2006/relationships/image" Target="../media/image26.jpeg"/><Relationship Id="rId15" Type="http://schemas.microsoft.com/office/2007/relationships/hdphoto" Target="../media/hdphoto1.wdp"/><Relationship Id="rId10" Type="http://schemas.openxmlformats.org/officeDocument/2006/relationships/image" Target="../media/image11.jfif"/><Relationship Id="rId4" Type="http://schemas.openxmlformats.org/officeDocument/2006/relationships/image" Target="../media/image25.jpg"/><Relationship Id="rId9" Type="http://schemas.openxmlformats.org/officeDocument/2006/relationships/hyperlink" Target="https://pixabay.com/en/ball-soccer-football-blue-sport-306073/" TargetMode="External"/><Relationship Id="rId1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hyperlink" Target="https://youtu.be/syir9N3Gto8" TargetMode="External"/><Relationship Id="rId3" Type="http://schemas.openxmlformats.org/officeDocument/2006/relationships/image" Target="../media/image13.jpeg"/><Relationship Id="rId7" Type="http://schemas.openxmlformats.org/officeDocument/2006/relationships/image" Target="../media/image21.png"/><Relationship Id="rId12" Type="http://schemas.microsoft.com/office/2007/relationships/hdphoto" Target="../media/hdphoto7.wdp"/><Relationship Id="rId2" Type="http://schemas.openxmlformats.org/officeDocument/2006/relationships/image" Target="../media/image7.jpg"/><Relationship Id="rId16" Type="http://schemas.openxmlformats.org/officeDocument/2006/relationships/hyperlink" Target="https://www.dtl.coventry.domains/youtube/" TargetMode="External"/><Relationship Id="rId1" Type="http://schemas.openxmlformats.org/officeDocument/2006/relationships/image" Target="../media/image6.jpg"/><Relationship Id="rId6" Type="http://schemas.openxmlformats.org/officeDocument/2006/relationships/hyperlink" Target="#Inicio!A1"/><Relationship Id="rId11" Type="http://schemas.openxmlformats.org/officeDocument/2006/relationships/image" Target="../media/image28.png"/><Relationship Id="rId5" Type="http://schemas.openxmlformats.org/officeDocument/2006/relationships/image" Target="../media/image5.jpg"/><Relationship Id="rId15" Type="http://schemas.microsoft.com/office/2007/relationships/hdphoto" Target="../media/hdphoto1.wdp"/><Relationship Id="rId10" Type="http://schemas.openxmlformats.org/officeDocument/2006/relationships/image" Target="../media/image11.jfif"/><Relationship Id="rId4" Type="http://schemas.openxmlformats.org/officeDocument/2006/relationships/image" Target="../media/image9.jpg"/><Relationship Id="rId9" Type="http://schemas.openxmlformats.org/officeDocument/2006/relationships/hyperlink" Target="https://pixabay.com/en/ball-soccer-football-blue-sport-306073/" TargetMode="External"/><Relationship Id="rId1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hyperlink" Target="https://youtu.be/syir9N3Gto8" TargetMode="External"/><Relationship Id="rId3" Type="http://schemas.openxmlformats.org/officeDocument/2006/relationships/image" Target="../media/image5.jpg"/><Relationship Id="rId7" Type="http://schemas.openxmlformats.org/officeDocument/2006/relationships/image" Target="../media/image21.png"/><Relationship Id="rId12" Type="http://schemas.microsoft.com/office/2007/relationships/hdphoto" Target="../media/hdphoto8.wdp"/><Relationship Id="rId2" Type="http://schemas.openxmlformats.org/officeDocument/2006/relationships/image" Target="../media/image9.jpg"/><Relationship Id="rId16" Type="http://schemas.openxmlformats.org/officeDocument/2006/relationships/hyperlink" Target="https://www.dtl.coventry.domains/youtube/" TargetMode="External"/><Relationship Id="rId1" Type="http://schemas.openxmlformats.org/officeDocument/2006/relationships/image" Target="../media/image8.jpg"/><Relationship Id="rId6" Type="http://schemas.openxmlformats.org/officeDocument/2006/relationships/hyperlink" Target="#Inicio!A1"/><Relationship Id="rId11" Type="http://schemas.openxmlformats.org/officeDocument/2006/relationships/image" Target="../media/image29.png"/><Relationship Id="rId5" Type="http://schemas.openxmlformats.org/officeDocument/2006/relationships/image" Target="../media/image7.jpg"/><Relationship Id="rId15" Type="http://schemas.microsoft.com/office/2007/relationships/hdphoto" Target="../media/hdphoto1.wdp"/><Relationship Id="rId10" Type="http://schemas.openxmlformats.org/officeDocument/2006/relationships/image" Target="../media/image11.jfif"/><Relationship Id="rId4" Type="http://schemas.openxmlformats.org/officeDocument/2006/relationships/image" Target="../media/image14.jpg"/><Relationship Id="rId9" Type="http://schemas.openxmlformats.org/officeDocument/2006/relationships/hyperlink" Target="https://pixabay.com/en/ball-soccer-football-blue-sport-306073/" TargetMode="External"/><Relationship Id="rId1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hyperlink" Target="https://youtu.be/syir9N3Gto8" TargetMode="External"/><Relationship Id="rId3" Type="http://schemas.openxmlformats.org/officeDocument/2006/relationships/image" Target="../media/image23.jpg"/><Relationship Id="rId7" Type="http://schemas.openxmlformats.org/officeDocument/2006/relationships/image" Target="../media/image21.png"/><Relationship Id="rId12" Type="http://schemas.microsoft.com/office/2007/relationships/hdphoto" Target="../media/hdphoto9.wdp"/><Relationship Id="rId2" Type="http://schemas.openxmlformats.org/officeDocument/2006/relationships/image" Target="../media/image30.jpeg"/><Relationship Id="rId16" Type="http://schemas.openxmlformats.org/officeDocument/2006/relationships/hyperlink" Target="https://www.dtl.coventry.domains/youtube/" TargetMode="External"/><Relationship Id="rId1" Type="http://schemas.openxmlformats.org/officeDocument/2006/relationships/image" Target="../media/image20.jpg"/><Relationship Id="rId6" Type="http://schemas.openxmlformats.org/officeDocument/2006/relationships/hyperlink" Target="#Inicio!A1"/><Relationship Id="rId11" Type="http://schemas.openxmlformats.org/officeDocument/2006/relationships/image" Target="../media/image32.png"/><Relationship Id="rId5" Type="http://schemas.openxmlformats.org/officeDocument/2006/relationships/image" Target="../media/image25.jpg"/><Relationship Id="rId15" Type="http://schemas.microsoft.com/office/2007/relationships/hdphoto" Target="../media/hdphoto1.wdp"/><Relationship Id="rId10" Type="http://schemas.openxmlformats.org/officeDocument/2006/relationships/image" Target="../media/image11.jfif"/><Relationship Id="rId4" Type="http://schemas.openxmlformats.org/officeDocument/2006/relationships/image" Target="../media/image31.jpg"/><Relationship Id="rId9" Type="http://schemas.openxmlformats.org/officeDocument/2006/relationships/hyperlink" Target="https://pixabay.com/en/ball-soccer-football-blue-sport-306073/" TargetMode="External"/><Relationship Id="rId1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hyperlink" Target="https://youtu.be/syir9N3Gto8" TargetMode="External"/><Relationship Id="rId3" Type="http://schemas.openxmlformats.org/officeDocument/2006/relationships/image" Target="../media/image33.jpeg"/><Relationship Id="rId7" Type="http://schemas.openxmlformats.org/officeDocument/2006/relationships/image" Target="../media/image21.png"/><Relationship Id="rId12" Type="http://schemas.microsoft.com/office/2007/relationships/hdphoto" Target="../media/hdphoto10.wdp"/><Relationship Id="rId2" Type="http://schemas.openxmlformats.org/officeDocument/2006/relationships/image" Target="../media/image25.jpg"/><Relationship Id="rId16" Type="http://schemas.openxmlformats.org/officeDocument/2006/relationships/hyperlink" Target="https://www.dtl.coventry.domains/youtube/" TargetMode="External"/><Relationship Id="rId1" Type="http://schemas.openxmlformats.org/officeDocument/2006/relationships/image" Target="../media/image16.jpeg"/><Relationship Id="rId6" Type="http://schemas.openxmlformats.org/officeDocument/2006/relationships/hyperlink" Target="#Inicio!A1"/><Relationship Id="rId11" Type="http://schemas.openxmlformats.org/officeDocument/2006/relationships/image" Target="../media/image35.png"/><Relationship Id="rId5" Type="http://schemas.openxmlformats.org/officeDocument/2006/relationships/image" Target="../media/image23.jpg"/><Relationship Id="rId15" Type="http://schemas.microsoft.com/office/2007/relationships/hdphoto" Target="../media/hdphoto1.wdp"/><Relationship Id="rId10" Type="http://schemas.openxmlformats.org/officeDocument/2006/relationships/image" Target="../media/image11.jfif"/><Relationship Id="rId4" Type="http://schemas.openxmlformats.org/officeDocument/2006/relationships/image" Target="../media/image34.jpeg"/><Relationship Id="rId9" Type="http://schemas.openxmlformats.org/officeDocument/2006/relationships/hyperlink" Target="https://pixabay.com/en/ball-soccer-football-blue-sport-306073/" TargetMode="Externa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676274</xdr:colOff>
      <xdr:row>0</xdr:row>
      <xdr:rowOff>60960</xdr:rowOff>
    </xdr:from>
    <xdr:to>
      <xdr:col>11</xdr:col>
      <xdr:colOff>285750</xdr:colOff>
      <xdr:row>2</xdr:row>
      <xdr:rowOff>99060</xdr:rowOff>
    </xdr:to>
    <xdr:sp macro="" textlink="">
      <xdr:nvSpPr>
        <xdr:cNvPr id="2" name="Pentágono 1">
          <a:hlinkClick xmlns:r="http://schemas.openxmlformats.org/officeDocument/2006/relationships" r:id="rId1" tooltip="GRUPO A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7740014" y="60960"/>
          <a:ext cx="1179196" cy="373380"/>
        </a:xfrm>
        <a:prstGeom prst="homePlate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74000">
              <a:schemeClr val="accent2">
                <a:lumMod val="75000"/>
              </a:schemeClr>
            </a:gs>
            <a:gs pos="83000">
              <a:schemeClr val="accent2">
                <a:lumMod val="75000"/>
              </a:schemeClr>
            </a:gs>
            <a:gs pos="100000">
              <a:schemeClr val="accent2">
                <a:lumMod val="50000"/>
              </a:schemeClr>
            </a:gs>
          </a:gsLst>
          <a:lin ang="5400000" scaled="1"/>
        </a:gra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600" b="1">
              <a:solidFill>
                <a:schemeClr val="bg1"/>
              </a:solidFill>
            </a:rPr>
            <a:t>GRUPO</a:t>
          </a:r>
          <a:r>
            <a:rPr lang="es-PE" sz="1600" b="1" baseline="0">
              <a:solidFill>
                <a:schemeClr val="bg1"/>
              </a:solidFill>
            </a:rPr>
            <a:t> A</a:t>
          </a:r>
          <a:endParaRPr lang="es-PE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676275</xdr:colOff>
      <xdr:row>3</xdr:row>
      <xdr:rowOff>22860</xdr:rowOff>
    </xdr:from>
    <xdr:to>
      <xdr:col>11</xdr:col>
      <xdr:colOff>285751</xdr:colOff>
      <xdr:row>5</xdr:row>
      <xdr:rowOff>60960</xdr:rowOff>
    </xdr:to>
    <xdr:sp macro="" textlink="">
      <xdr:nvSpPr>
        <xdr:cNvPr id="10" name="Pentágono 9">
          <a:hlinkClick xmlns:r="http://schemas.openxmlformats.org/officeDocument/2006/relationships" r:id="rId2" tooltip="GRUPO B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7740015" y="525780"/>
          <a:ext cx="1179196" cy="373380"/>
        </a:xfrm>
        <a:prstGeom prst="homePlate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74000">
              <a:schemeClr val="accent2">
                <a:lumMod val="75000"/>
              </a:schemeClr>
            </a:gs>
            <a:gs pos="83000">
              <a:schemeClr val="accent2">
                <a:lumMod val="75000"/>
              </a:schemeClr>
            </a:gs>
            <a:gs pos="100000">
              <a:schemeClr val="accent2">
                <a:lumMod val="50000"/>
              </a:schemeClr>
            </a:gs>
          </a:gsLst>
          <a:lin ang="5400000" scaled="1"/>
        </a:gra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lang="es-PE" sz="1600" b="1">
              <a:solidFill>
                <a:schemeClr val="bg1"/>
              </a:solidFill>
              <a:latin typeface="+mn-lt"/>
              <a:ea typeface="+mn-ea"/>
              <a:cs typeface="+mn-cs"/>
            </a:rPr>
            <a:t>GRUPO B</a:t>
          </a:r>
        </a:p>
      </xdr:txBody>
    </xdr:sp>
    <xdr:clientData/>
  </xdr:twoCellAnchor>
  <xdr:twoCellAnchor>
    <xdr:from>
      <xdr:col>9</xdr:col>
      <xdr:colOff>676275</xdr:colOff>
      <xdr:row>5</xdr:row>
      <xdr:rowOff>152400</xdr:rowOff>
    </xdr:from>
    <xdr:to>
      <xdr:col>11</xdr:col>
      <xdr:colOff>285751</xdr:colOff>
      <xdr:row>8</xdr:row>
      <xdr:rowOff>22860</xdr:rowOff>
    </xdr:to>
    <xdr:sp macro="" textlink="">
      <xdr:nvSpPr>
        <xdr:cNvPr id="11" name="Pentágono 10">
          <a:hlinkClick xmlns:r="http://schemas.openxmlformats.org/officeDocument/2006/relationships" r:id="rId3" tooltip="GRUPO C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7740015" y="990600"/>
          <a:ext cx="1179196" cy="373380"/>
        </a:xfrm>
        <a:prstGeom prst="homePlate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74000">
              <a:schemeClr val="accent2">
                <a:lumMod val="75000"/>
              </a:schemeClr>
            </a:gs>
            <a:gs pos="83000">
              <a:schemeClr val="accent2">
                <a:lumMod val="75000"/>
              </a:schemeClr>
            </a:gs>
            <a:gs pos="100000">
              <a:schemeClr val="accent2">
                <a:lumMod val="50000"/>
              </a:schemeClr>
            </a:gs>
          </a:gsLst>
          <a:lin ang="5400000" scaled="1"/>
        </a:gra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lang="es-PE" sz="1600" b="1">
              <a:solidFill>
                <a:schemeClr val="bg1"/>
              </a:solidFill>
              <a:latin typeface="+mn-lt"/>
              <a:ea typeface="+mn-ea"/>
              <a:cs typeface="+mn-cs"/>
            </a:rPr>
            <a:t>GRUPO C</a:t>
          </a:r>
        </a:p>
      </xdr:txBody>
    </xdr:sp>
    <xdr:clientData/>
  </xdr:twoCellAnchor>
  <xdr:twoCellAnchor>
    <xdr:from>
      <xdr:col>9</xdr:col>
      <xdr:colOff>685800</xdr:colOff>
      <xdr:row>8</xdr:row>
      <xdr:rowOff>123825</xdr:rowOff>
    </xdr:from>
    <xdr:to>
      <xdr:col>11</xdr:col>
      <xdr:colOff>295276</xdr:colOff>
      <xdr:row>10</xdr:row>
      <xdr:rowOff>161925</xdr:rowOff>
    </xdr:to>
    <xdr:sp macro="" textlink="">
      <xdr:nvSpPr>
        <xdr:cNvPr id="12" name="Pentágono 11">
          <a:hlinkClick xmlns:r="http://schemas.openxmlformats.org/officeDocument/2006/relationships" r:id="rId4" tooltip="GRUPO D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7749540" y="1464945"/>
          <a:ext cx="1179196" cy="373380"/>
        </a:xfrm>
        <a:prstGeom prst="homePlate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74000">
              <a:schemeClr val="accent2">
                <a:lumMod val="75000"/>
              </a:schemeClr>
            </a:gs>
            <a:gs pos="83000">
              <a:schemeClr val="accent2">
                <a:lumMod val="75000"/>
              </a:schemeClr>
            </a:gs>
            <a:gs pos="100000">
              <a:schemeClr val="accent2">
                <a:lumMod val="50000"/>
              </a:schemeClr>
            </a:gs>
          </a:gsLst>
          <a:lin ang="5400000" scaled="1"/>
        </a:gra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lang="es-PE" sz="1600" b="1">
              <a:solidFill>
                <a:schemeClr val="bg1"/>
              </a:solidFill>
              <a:latin typeface="+mn-lt"/>
              <a:ea typeface="+mn-ea"/>
              <a:cs typeface="+mn-cs"/>
            </a:rPr>
            <a:t>GRUPO D</a:t>
          </a:r>
        </a:p>
      </xdr:txBody>
    </xdr:sp>
    <xdr:clientData/>
  </xdr:twoCellAnchor>
  <xdr:twoCellAnchor>
    <xdr:from>
      <xdr:col>9</xdr:col>
      <xdr:colOff>685800</xdr:colOff>
      <xdr:row>11</xdr:row>
      <xdr:rowOff>80010</xdr:rowOff>
    </xdr:from>
    <xdr:to>
      <xdr:col>11</xdr:col>
      <xdr:colOff>295276</xdr:colOff>
      <xdr:row>13</xdr:row>
      <xdr:rowOff>123825</xdr:rowOff>
    </xdr:to>
    <xdr:sp macro="" textlink="">
      <xdr:nvSpPr>
        <xdr:cNvPr id="13" name="Pentágono 12">
          <a:hlinkClick xmlns:r="http://schemas.openxmlformats.org/officeDocument/2006/relationships" r:id="rId5" tooltip="GRUPO E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7749540" y="1924050"/>
          <a:ext cx="1179196" cy="379095"/>
        </a:xfrm>
        <a:prstGeom prst="homePlate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74000">
              <a:schemeClr val="accent2">
                <a:lumMod val="75000"/>
              </a:schemeClr>
            </a:gs>
            <a:gs pos="83000">
              <a:schemeClr val="accent2">
                <a:lumMod val="75000"/>
              </a:schemeClr>
            </a:gs>
            <a:gs pos="100000">
              <a:schemeClr val="accent2">
                <a:lumMod val="50000"/>
              </a:schemeClr>
            </a:gs>
          </a:gsLst>
          <a:lin ang="5400000" scaled="1"/>
        </a:gra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lang="es-PE" sz="1600" b="1">
              <a:solidFill>
                <a:schemeClr val="bg1"/>
              </a:solidFill>
              <a:latin typeface="+mn-lt"/>
              <a:ea typeface="+mn-ea"/>
              <a:cs typeface="+mn-cs"/>
            </a:rPr>
            <a:t>GRUPO E</a:t>
          </a:r>
        </a:p>
      </xdr:txBody>
    </xdr:sp>
    <xdr:clientData/>
  </xdr:twoCellAnchor>
  <xdr:twoCellAnchor>
    <xdr:from>
      <xdr:col>9</xdr:col>
      <xdr:colOff>685800</xdr:colOff>
      <xdr:row>14</xdr:row>
      <xdr:rowOff>41910</xdr:rowOff>
    </xdr:from>
    <xdr:to>
      <xdr:col>11</xdr:col>
      <xdr:colOff>295276</xdr:colOff>
      <xdr:row>16</xdr:row>
      <xdr:rowOff>80010</xdr:rowOff>
    </xdr:to>
    <xdr:sp macro="" textlink="">
      <xdr:nvSpPr>
        <xdr:cNvPr id="14" name="Pentágono 13">
          <a:hlinkClick xmlns:r="http://schemas.openxmlformats.org/officeDocument/2006/relationships" r:id="rId6" tooltip="GRUPO F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7749540" y="2388870"/>
          <a:ext cx="1179196" cy="373380"/>
        </a:xfrm>
        <a:prstGeom prst="homePlate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74000">
              <a:schemeClr val="accent2">
                <a:lumMod val="75000"/>
              </a:schemeClr>
            </a:gs>
            <a:gs pos="83000">
              <a:schemeClr val="accent2">
                <a:lumMod val="75000"/>
              </a:schemeClr>
            </a:gs>
            <a:gs pos="100000">
              <a:schemeClr val="accent2">
                <a:lumMod val="50000"/>
              </a:schemeClr>
            </a:gs>
          </a:gsLst>
          <a:lin ang="5400000" scaled="1"/>
        </a:gra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lang="es-PE" sz="1600" b="1">
              <a:solidFill>
                <a:schemeClr val="bg1"/>
              </a:solidFill>
              <a:latin typeface="+mn-lt"/>
              <a:ea typeface="+mn-ea"/>
              <a:cs typeface="+mn-cs"/>
            </a:rPr>
            <a:t>GRUPO F</a:t>
          </a:r>
        </a:p>
      </xdr:txBody>
    </xdr:sp>
    <xdr:clientData/>
  </xdr:twoCellAnchor>
  <xdr:twoCellAnchor>
    <xdr:from>
      <xdr:col>9</xdr:col>
      <xdr:colOff>695325</xdr:colOff>
      <xdr:row>17</xdr:row>
      <xdr:rowOff>3810</xdr:rowOff>
    </xdr:from>
    <xdr:to>
      <xdr:col>11</xdr:col>
      <xdr:colOff>304801</xdr:colOff>
      <xdr:row>19</xdr:row>
      <xdr:rowOff>41910</xdr:rowOff>
    </xdr:to>
    <xdr:sp macro="" textlink="">
      <xdr:nvSpPr>
        <xdr:cNvPr id="15" name="Pentágono 14">
          <a:hlinkClick xmlns:r="http://schemas.openxmlformats.org/officeDocument/2006/relationships" r:id="rId7" tooltip="GRUPO G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7759065" y="2853690"/>
          <a:ext cx="1179196" cy="373380"/>
        </a:xfrm>
        <a:prstGeom prst="homePlate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74000">
              <a:schemeClr val="accent2">
                <a:lumMod val="75000"/>
              </a:schemeClr>
            </a:gs>
            <a:gs pos="83000">
              <a:schemeClr val="accent2">
                <a:lumMod val="75000"/>
              </a:schemeClr>
            </a:gs>
            <a:gs pos="100000">
              <a:schemeClr val="accent2">
                <a:lumMod val="50000"/>
              </a:schemeClr>
            </a:gs>
          </a:gsLst>
          <a:lin ang="5400000" scaled="1"/>
        </a:gra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lang="es-PE" sz="1600" b="1">
              <a:solidFill>
                <a:schemeClr val="bg1"/>
              </a:solidFill>
              <a:latin typeface="+mn-lt"/>
              <a:ea typeface="+mn-ea"/>
              <a:cs typeface="+mn-cs"/>
            </a:rPr>
            <a:t>GRUPO G</a:t>
          </a:r>
        </a:p>
      </xdr:txBody>
    </xdr:sp>
    <xdr:clientData/>
  </xdr:twoCellAnchor>
  <xdr:twoCellAnchor>
    <xdr:from>
      <xdr:col>9</xdr:col>
      <xdr:colOff>695325</xdr:colOff>
      <xdr:row>19</xdr:row>
      <xdr:rowOff>133350</xdr:rowOff>
    </xdr:from>
    <xdr:to>
      <xdr:col>11</xdr:col>
      <xdr:colOff>304801</xdr:colOff>
      <xdr:row>22</xdr:row>
      <xdr:rowOff>3810</xdr:rowOff>
    </xdr:to>
    <xdr:sp macro="" textlink="">
      <xdr:nvSpPr>
        <xdr:cNvPr id="16" name="Pentágono 15">
          <a:hlinkClick xmlns:r="http://schemas.openxmlformats.org/officeDocument/2006/relationships" r:id="rId8" tooltip="GRUPO H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7759065" y="3318510"/>
          <a:ext cx="1179196" cy="373380"/>
        </a:xfrm>
        <a:prstGeom prst="homePlate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74000">
              <a:schemeClr val="accent2">
                <a:lumMod val="75000"/>
              </a:schemeClr>
            </a:gs>
            <a:gs pos="83000">
              <a:schemeClr val="accent2">
                <a:lumMod val="75000"/>
              </a:schemeClr>
            </a:gs>
            <a:gs pos="100000">
              <a:schemeClr val="accent2">
                <a:lumMod val="50000"/>
              </a:schemeClr>
            </a:gs>
          </a:gsLst>
          <a:lin ang="5400000" scaled="1"/>
        </a:gradFill>
        <a:ln w="9525" cap="flat" cmpd="sng" algn="ctr">
          <a:solidFill>
            <a:schemeClr val="bg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lang="es-PE" sz="1600" b="1">
              <a:solidFill>
                <a:schemeClr val="bg1"/>
              </a:solidFill>
              <a:latin typeface="+mn-lt"/>
              <a:ea typeface="+mn-ea"/>
              <a:cs typeface="+mn-cs"/>
            </a:rPr>
            <a:t>GRUPO H</a:t>
          </a:r>
        </a:p>
      </xdr:txBody>
    </xdr:sp>
    <xdr:clientData/>
  </xdr:twoCellAnchor>
  <xdr:twoCellAnchor>
    <xdr:from>
      <xdr:col>9</xdr:col>
      <xdr:colOff>354330</xdr:colOff>
      <xdr:row>23</xdr:row>
      <xdr:rowOff>5714</xdr:rowOff>
    </xdr:from>
    <xdr:to>
      <xdr:col>10</xdr:col>
      <xdr:colOff>397470</xdr:colOff>
      <xdr:row>27</xdr:row>
      <xdr:rowOff>33614</xdr:rowOff>
    </xdr:to>
    <xdr:sp macro="" textlink="">
      <xdr:nvSpPr>
        <xdr:cNvPr id="18" name="Elipse 17">
          <a:hlinkClick xmlns:r="http://schemas.openxmlformats.org/officeDocument/2006/relationships" r:id="rId9" tooltip="PRIMERA RONDA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7418070" y="3869054"/>
          <a:ext cx="828000" cy="828000"/>
        </a:xfrm>
        <a:prstGeom prst="ellipse">
          <a:avLst/>
        </a:prstGeom>
        <a:ln>
          <a:solidFill>
            <a:srgbClr val="8E1C3E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200" b="1">
              <a:solidFill>
                <a:schemeClr val="accent2">
                  <a:lumMod val="50000"/>
                </a:schemeClr>
              </a:solidFill>
            </a:rPr>
            <a:t>1RA RONDA</a:t>
          </a:r>
        </a:p>
      </xdr:txBody>
    </xdr:sp>
    <xdr:clientData/>
  </xdr:twoCellAnchor>
  <xdr:twoCellAnchor>
    <xdr:from>
      <xdr:col>10</xdr:col>
      <xdr:colOff>535305</xdr:colOff>
      <xdr:row>23</xdr:row>
      <xdr:rowOff>24764</xdr:rowOff>
    </xdr:from>
    <xdr:to>
      <xdr:col>11</xdr:col>
      <xdr:colOff>578445</xdr:colOff>
      <xdr:row>27</xdr:row>
      <xdr:rowOff>52664</xdr:rowOff>
    </xdr:to>
    <xdr:sp macro="" textlink="">
      <xdr:nvSpPr>
        <xdr:cNvPr id="20" name="Elipse 19">
          <a:hlinkClick xmlns:r="http://schemas.openxmlformats.org/officeDocument/2006/relationships" r:id="rId10" tooltip="CUADRO FINAL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 bwMode="auto">
        <a:xfrm>
          <a:off x="8383905" y="3888104"/>
          <a:ext cx="828000" cy="828000"/>
        </a:xfrm>
        <a:prstGeom prst="ellipse">
          <a:avLst/>
        </a:prstGeom>
        <a:ln>
          <a:solidFill>
            <a:srgbClr val="8E1C3E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lang="es-PE" sz="12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CUADRO FINAL</a:t>
          </a:r>
        </a:p>
      </xdr:txBody>
    </xdr:sp>
    <xdr:clientData/>
  </xdr:twoCellAnchor>
  <xdr:twoCellAnchor editAs="oneCell">
    <xdr:from>
      <xdr:col>4</xdr:col>
      <xdr:colOff>678180</xdr:colOff>
      <xdr:row>0</xdr:row>
      <xdr:rowOff>45720</xdr:rowOff>
    </xdr:from>
    <xdr:to>
      <xdr:col>8</xdr:col>
      <xdr:colOff>769620</xdr:colOff>
      <xdr:row>21</xdr:row>
      <xdr:rowOff>22860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DF6CBC1-D30E-303E-AE74-32469626DE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56" r="4593"/>
        <a:stretch/>
      </xdr:blipFill>
      <xdr:spPr>
        <a:xfrm>
          <a:off x="3817620" y="45720"/>
          <a:ext cx="3230880" cy="3497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</xdr:rowOff>
    </xdr:from>
    <xdr:to>
      <xdr:col>4</xdr:col>
      <xdr:colOff>647700</xdr:colOff>
      <xdr:row>28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A98C579B-44C7-D420-7472-2D28CD5CD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3787140" cy="482346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</xdr:colOff>
      <xdr:row>0</xdr:row>
      <xdr:rowOff>23100</xdr:rowOff>
    </xdr:from>
    <xdr:to>
      <xdr:col>6</xdr:col>
      <xdr:colOff>566643</xdr:colOff>
      <xdr:row>2</xdr:row>
      <xdr:rowOff>47820</xdr:rowOff>
    </xdr:to>
    <xdr:pic>
      <xdr:nvPicPr>
        <xdr:cNvPr id="22" name="Imagen 21">
          <a:hlinkClick xmlns:r="http://schemas.openxmlformats.org/officeDocument/2006/relationships" r:id="rId13" tooltip="EXCEL POWER"/>
          <a:extLst>
            <a:ext uri="{FF2B5EF4-FFF2-40B4-BE49-F238E27FC236}">
              <a16:creationId xmlns:a16="http://schemas.microsoft.com/office/drawing/2014/main" id="{57C1421E-1618-4F32-ADE8-12D6D7538D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rcRect t="18650" b="15433"/>
        <a:stretch/>
      </xdr:blipFill>
      <xdr:spPr>
        <a:xfrm>
          <a:off x="4724400" y="23100"/>
          <a:ext cx="551403" cy="360000"/>
        </a:xfrm>
        <a:prstGeom prst="rect">
          <a:avLst/>
        </a:prstGeom>
        <a:effectLst/>
      </xdr:spPr>
    </xdr:pic>
    <xdr:clientData/>
  </xdr:twoCellAnchor>
  <xdr:twoCellAnchor>
    <xdr:from>
      <xdr:col>6</xdr:col>
      <xdr:colOff>548640</xdr:colOff>
      <xdr:row>0</xdr:row>
      <xdr:rowOff>50699</xdr:rowOff>
    </xdr:from>
    <xdr:to>
      <xdr:col>7</xdr:col>
      <xdr:colOff>652694</xdr:colOff>
      <xdr:row>1</xdr:row>
      <xdr:rowOff>160021</xdr:rowOff>
    </xdr:to>
    <xdr:sp macro="" textlink="">
      <xdr:nvSpPr>
        <xdr:cNvPr id="23" name="Flecha: pentágono 22">
          <a:hlinkClick xmlns:r="http://schemas.openxmlformats.org/officeDocument/2006/relationships" r:id="rId17" tooltip="CONTACTO"/>
          <a:extLst>
            <a:ext uri="{FF2B5EF4-FFF2-40B4-BE49-F238E27FC236}">
              <a16:creationId xmlns:a16="http://schemas.microsoft.com/office/drawing/2014/main" id="{D59E8B78-CAD3-4422-83A1-A9255AB96EA2}"/>
            </a:ext>
          </a:extLst>
        </xdr:cNvPr>
        <xdr:cNvSpPr/>
      </xdr:nvSpPr>
      <xdr:spPr>
        <a:xfrm>
          <a:off x="5257800" y="50699"/>
          <a:ext cx="888914" cy="276962"/>
        </a:xfrm>
        <a:prstGeom prst="homePlate">
          <a:avLst/>
        </a:prstGeom>
        <a:solidFill>
          <a:srgbClr val="AB5653"/>
        </a:solidFill>
        <a:ln>
          <a:solidFill>
            <a:srgbClr val="AB5653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/>
            <a:t>VER</a:t>
          </a:r>
          <a:r>
            <a:rPr lang="es-PE" sz="1200" b="1" baseline="0"/>
            <a:t> MÁS</a:t>
          </a:r>
          <a:endParaRPr lang="es-PE" sz="12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297180</xdr:colOff>
      <xdr:row>1</xdr:row>
      <xdr:rowOff>22860</xdr:rowOff>
    </xdr:to>
    <xdr:sp macro="" textlink="">
      <xdr:nvSpPr>
        <xdr:cNvPr id="3" name="Pentágono 27">
          <a:hlinkClick xmlns:r="http://schemas.openxmlformats.org/officeDocument/2006/relationships" r:id="rId1" tooltip="INICIO"/>
          <a:extLst>
            <a:ext uri="{FF2B5EF4-FFF2-40B4-BE49-F238E27FC236}">
              <a16:creationId xmlns:a16="http://schemas.microsoft.com/office/drawing/2014/main" id="{93744AF0-B201-47F9-8FE9-92BFF97D95E0}"/>
            </a:ext>
          </a:extLst>
        </xdr:cNvPr>
        <xdr:cNvSpPr/>
      </xdr:nvSpPr>
      <xdr:spPr bwMode="auto">
        <a:xfrm>
          <a:off x="655320" y="0"/>
          <a:ext cx="1021080" cy="213360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200" b="1">
              <a:solidFill>
                <a:schemeClr val="bg1"/>
              </a:solidFill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711200</xdr:colOff>
      <xdr:row>15</xdr:row>
      <xdr:rowOff>112741</xdr:rowOff>
    </xdr:from>
    <xdr:to>
      <xdr:col>15</xdr:col>
      <xdr:colOff>170746</xdr:colOff>
      <xdr:row>26</xdr:row>
      <xdr:rowOff>169333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117477-90E6-1977-71AD-1D2AF90C5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1267" y="2720474"/>
          <a:ext cx="1813279" cy="195312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42333</xdr:rowOff>
    </xdr:from>
    <xdr:to>
      <xdr:col>2</xdr:col>
      <xdr:colOff>897467</xdr:colOff>
      <xdr:row>1</xdr:row>
      <xdr:rowOff>118533</xdr:rowOff>
    </xdr:to>
    <xdr:sp macro="" textlink="">
      <xdr:nvSpPr>
        <xdr:cNvPr id="8" name="Pentágono 27">
          <a:hlinkClick xmlns:r="http://schemas.openxmlformats.org/officeDocument/2006/relationships" r:id="rId2" tooltip="INICIO"/>
          <a:extLst>
            <a:ext uri="{FF2B5EF4-FFF2-40B4-BE49-F238E27FC236}">
              <a16:creationId xmlns:a16="http://schemas.microsoft.com/office/drawing/2014/main" id="{523BCBBA-3869-4BBF-9E76-F46CF439E88C}"/>
            </a:ext>
          </a:extLst>
        </xdr:cNvPr>
        <xdr:cNvSpPr/>
      </xdr:nvSpPr>
      <xdr:spPr bwMode="auto">
        <a:xfrm>
          <a:off x="304800" y="42333"/>
          <a:ext cx="1202267" cy="245533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400" b="1">
              <a:solidFill>
                <a:schemeClr val="bg1"/>
              </a:solidFill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187960</xdr:colOff>
      <xdr:row>1</xdr:row>
      <xdr:rowOff>7619</xdr:rowOff>
    </xdr:from>
    <xdr:to>
      <xdr:col>6</xdr:col>
      <xdr:colOff>163253</xdr:colOff>
      <xdr:row>6</xdr:row>
      <xdr:rowOff>25399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1D3C63-2F03-4A8F-91DA-2A0D03C09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" y="175259"/>
          <a:ext cx="4326313" cy="1214120"/>
        </a:xfrm>
        <a:prstGeom prst="rect">
          <a:avLst/>
        </a:prstGeom>
        <a:effectLst>
          <a:glow rad="228600">
            <a:schemeClr val="accent3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0</xdr:col>
      <xdr:colOff>161715</xdr:colOff>
      <xdr:row>6</xdr:row>
      <xdr:rowOff>46564</xdr:rowOff>
    </xdr:from>
    <xdr:to>
      <xdr:col>3</xdr:col>
      <xdr:colOff>192195</xdr:colOff>
      <xdr:row>13</xdr:row>
      <xdr:rowOff>104341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38400E-9287-4667-AC14-79B44159A1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rcRect t="18650" b="15433"/>
        <a:stretch/>
      </xdr:blipFill>
      <xdr:spPr>
        <a:xfrm>
          <a:off x="161715" y="1410544"/>
          <a:ext cx="2004060" cy="1322697"/>
        </a:xfrm>
        <a:prstGeom prst="rect">
          <a:avLst/>
        </a:prstGeom>
        <a:effectLst/>
      </xdr:spPr>
    </xdr:pic>
    <xdr:clientData/>
  </xdr:twoCellAnchor>
  <xdr:twoCellAnchor>
    <xdr:from>
      <xdr:col>3</xdr:col>
      <xdr:colOff>146475</xdr:colOff>
      <xdr:row>8</xdr:row>
      <xdr:rowOff>107524</xdr:rowOff>
    </xdr:from>
    <xdr:to>
      <xdr:col>6</xdr:col>
      <xdr:colOff>146475</xdr:colOff>
      <xdr:row>11</xdr:row>
      <xdr:rowOff>8464</xdr:rowOff>
    </xdr:to>
    <xdr:sp macro="" textlink="">
      <xdr:nvSpPr>
        <xdr:cNvPr id="4" name="Rectá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30CA0F-916F-4885-AA83-F30AB11B56DA}"/>
            </a:ext>
          </a:extLst>
        </xdr:cNvPr>
        <xdr:cNvSpPr/>
      </xdr:nvSpPr>
      <xdr:spPr>
        <a:xfrm>
          <a:off x="2120055" y="1806784"/>
          <a:ext cx="2377440" cy="495300"/>
        </a:xfrm>
        <a:prstGeom prst="rect">
          <a:avLst/>
        </a:prstGeom>
        <a:solidFill>
          <a:srgbClr val="FF0000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/>
            <a:t>SUSCRIBIRSE</a:t>
          </a:r>
        </a:p>
      </xdr:txBody>
    </xdr:sp>
    <xdr:clientData/>
  </xdr:twoCellAnchor>
  <xdr:twoCellAnchor editAs="oneCell">
    <xdr:from>
      <xdr:col>7</xdr:col>
      <xdr:colOff>411481</xdr:colOff>
      <xdr:row>8</xdr:row>
      <xdr:rowOff>38101</xdr:rowOff>
    </xdr:from>
    <xdr:to>
      <xdr:col>8</xdr:col>
      <xdr:colOff>358141</xdr:colOff>
      <xdr:row>12</xdr:row>
      <xdr:rowOff>15242</xdr:rowOff>
    </xdr:to>
    <xdr:pic>
      <xdr:nvPicPr>
        <xdr:cNvPr id="5" name="Imagen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9855E82-C67B-42A5-9420-67EFA15F3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4981" y="1737361"/>
          <a:ext cx="739140" cy="739141"/>
        </a:xfrm>
        <a:prstGeom prst="rect">
          <a:avLst/>
        </a:prstGeom>
      </xdr:spPr>
    </xdr:pic>
    <xdr:clientData/>
  </xdr:twoCellAnchor>
  <xdr:twoCellAnchor editAs="oneCell">
    <xdr:from>
      <xdr:col>8</xdr:col>
      <xdr:colOff>655936</xdr:colOff>
      <xdr:row>8</xdr:row>
      <xdr:rowOff>50800</xdr:rowOff>
    </xdr:from>
    <xdr:to>
      <xdr:col>9</xdr:col>
      <xdr:colOff>597748</xdr:colOff>
      <xdr:row>12</xdr:row>
      <xdr:rowOff>22861</xdr:rowOff>
    </xdr:to>
    <xdr:pic>
      <xdr:nvPicPr>
        <xdr:cNvPr id="6" name="Imagen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DA057F-4F74-4808-A15A-C04C3A3F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916" y="1750060"/>
          <a:ext cx="734292" cy="734061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7</xdr:row>
      <xdr:rowOff>160020</xdr:rowOff>
    </xdr:from>
    <xdr:to>
      <xdr:col>11</xdr:col>
      <xdr:colOff>60685</xdr:colOff>
      <xdr:row>12</xdr:row>
      <xdr:rowOff>75925</xdr:rowOff>
    </xdr:to>
    <xdr:pic>
      <xdr:nvPicPr>
        <xdr:cNvPr id="7" name="Imagen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69774EF-6CF0-422E-8353-9E98761B9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8560" y="1691640"/>
          <a:ext cx="845545" cy="845545"/>
        </a:xfrm>
        <a:prstGeom prst="rect">
          <a:avLst/>
        </a:prstGeom>
      </xdr:spPr>
    </xdr:pic>
    <xdr:clientData/>
  </xdr:twoCellAnchor>
  <xdr:twoCellAnchor editAs="oneCell">
    <xdr:from>
      <xdr:col>11</xdr:col>
      <xdr:colOff>242329</xdr:colOff>
      <xdr:row>8</xdr:row>
      <xdr:rowOff>101600</xdr:rowOff>
    </xdr:from>
    <xdr:to>
      <xdr:col>12</xdr:col>
      <xdr:colOff>304800</xdr:colOff>
      <xdr:row>12</xdr:row>
      <xdr:rowOff>24850</xdr:rowOff>
    </xdr:to>
    <xdr:pic>
      <xdr:nvPicPr>
        <xdr:cNvPr id="8" name="Imagen 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8DC475A-2919-477F-BE40-CDB77E19E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8555749" y="1800860"/>
          <a:ext cx="854951" cy="685250"/>
        </a:xfrm>
        <a:prstGeom prst="rect">
          <a:avLst/>
        </a:prstGeom>
      </xdr:spPr>
    </xdr:pic>
    <xdr:clientData/>
  </xdr:twoCellAnchor>
  <xdr:twoCellAnchor editAs="oneCell">
    <xdr:from>
      <xdr:col>12</xdr:col>
      <xdr:colOff>516465</xdr:colOff>
      <xdr:row>8</xdr:row>
      <xdr:rowOff>118532</xdr:rowOff>
    </xdr:from>
    <xdr:to>
      <xdr:col>13</xdr:col>
      <xdr:colOff>414863</xdr:colOff>
      <xdr:row>12</xdr:row>
      <xdr:rowOff>42331</xdr:rowOff>
    </xdr:to>
    <xdr:pic>
      <xdr:nvPicPr>
        <xdr:cNvPr id="9" name="Imagen 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1445441-7B5A-4A9F-B6C5-9B5B21BB8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2365" y="1817792"/>
          <a:ext cx="690878" cy="685799"/>
        </a:xfrm>
        <a:prstGeom prst="rect">
          <a:avLst/>
        </a:prstGeom>
      </xdr:spPr>
    </xdr:pic>
    <xdr:clientData/>
  </xdr:twoCellAnchor>
  <xdr:twoCellAnchor editAs="oneCell">
    <xdr:from>
      <xdr:col>0</xdr:col>
      <xdr:colOff>262467</xdr:colOff>
      <xdr:row>39</xdr:row>
      <xdr:rowOff>16933</xdr:rowOff>
    </xdr:from>
    <xdr:to>
      <xdr:col>14</xdr:col>
      <xdr:colOff>181187</xdr:colOff>
      <xdr:row>98</xdr:row>
      <xdr:rowOff>74702</xdr:rowOff>
    </xdr:to>
    <xdr:pic>
      <xdr:nvPicPr>
        <xdr:cNvPr id="10" name="Imagen 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FF56CE6-2B6F-4CF2-AE2C-D66E1E577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2467" y="7213600"/>
          <a:ext cx="10654453" cy="10048435"/>
        </a:xfrm>
        <a:prstGeom prst="rect">
          <a:avLst/>
        </a:prstGeom>
      </xdr:spPr>
    </xdr:pic>
    <xdr:clientData/>
  </xdr:twoCellAnchor>
  <xdr:twoCellAnchor>
    <xdr:from>
      <xdr:col>12</xdr:col>
      <xdr:colOff>406400</xdr:colOff>
      <xdr:row>98</xdr:row>
      <xdr:rowOff>59266</xdr:rowOff>
    </xdr:from>
    <xdr:to>
      <xdr:col>14</xdr:col>
      <xdr:colOff>16934</xdr:colOff>
      <xdr:row>99</xdr:row>
      <xdr:rowOff>135466</xdr:rowOff>
    </xdr:to>
    <xdr:sp macro="" textlink="">
      <xdr:nvSpPr>
        <xdr:cNvPr id="11" name="Pentágono 27">
          <a:hlinkClick xmlns:r="http://schemas.openxmlformats.org/officeDocument/2006/relationships" r:id="rId18" tooltip="INICIO"/>
          <a:extLst>
            <a:ext uri="{FF2B5EF4-FFF2-40B4-BE49-F238E27FC236}">
              <a16:creationId xmlns:a16="http://schemas.microsoft.com/office/drawing/2014/main" id="{44EBE74A-D949-4372-AA67-137677B4E24F}"/>
            </a:ext>
          </a:extLst>
        </xdr:cNvPr>
        <xdr:cNvSpPr/>
      </xdr:nvSpPr>
      <xdr:spPr bwMode="auto">
        <a:xfrm flipH="1">
          <a:off x="9550400" y="17246599"/>
          <a:ext cx="1202267" cy="245534"/>
        </a:xfrm>
        <a:prstGeom prst="homePlate">
          <a:avLst/>
        </a:prstGeom>
        <a:solidFill>
          <a:srgbClr val="00B050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400" b="1">
              <a:solidFill>
                <a:schemeClr val="bg1"/>
              </a:solidFill>
            </a:rPr>
            <a:t>REGRESAR</a:t>
          </a:r>
        </a:p>
      </xdr:txBody>
    </xdr:sp>
    <xdr:clientData/>
  </xdr:twoCellAnchor>
  <xdr:twoCellAnchor editAs="oneCell">
    <xdr:from>
      <xdr:col>4</xdr:col>
      <xdr:colOff>187324</xdr:colOff>
      <xdr:row>16</xdr:row>
      <xdr:rowOff>155575</xdr:rowOff>
    </xdr:from>
    <xdr:to>
      <xdr:col>11</xdr:col>
      <xdr:colOff>407458</xdr:colOff>
      <xdr:row>36</xdr:row>
      <xdr:rowOff>24343</xdr:rowOff>
    </xdr:to>
    <xdr:pic>
      <xdr:nvPicPr>
        <xdr:cNvPr id="13" name="Imagen 12">
          <a:hlinkClick xmlns:r="http://schemas.openxmlformats.org/officeDocument/2006/relationships" r:id="rId19" tooltip="MUNDIALES DE FUTBOL"/>
          <a:extLst>
            <a:ext uri="{FF2B5EF4-FFF2-40B4-BE49-F238E27FC236}">
              <a16:creationId xmlns:a16="http://schemas.microsoft.com/office/drawing/2014/main" id="{466895BF-98ED-81C5-5B75-B646F1802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9574" y="3327400"/>
          <a:ext cx="5754159" cy="3297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228599</xdr:colOff>
      <xdr:row>27</xdr:row>
      <xdr:rowOff>141696</xdr:rowOff>
    </xdr:from>
    <xdr:to>
      <xdr:col>8</xdr:col>
      <xdr:colOff>189823</xdr:colOff>
      <xdr:row>35</xdr:row>
      <xdr:rowOff>106297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551" b="14551"/>
        <a:stretch/>
      </xdr:blipFill>
      <xdr:spPr bwMode="auto">
        <a:xfrm>
          <a:off x="5731932" y="4766613"/>
          <a:ext cx="2484291" cy="1319267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3</xdr:col>
      <xdr:colOff>923926</xdr:colOff>
      <xdr:row>26</xdr:row>
      <xdr:rowOff>16127</xdr:rowOff>
    </xdr:from>
    <xdr:to>
      <xdr:col>5</xdr:col>
      <xdr:colOff>94576</xdr:colOff>
      <xdr:row>33</xdr:row>
      <xdr:rowOff>144556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85" b="2785"/>
        <a:stretch/>
      </xdr:blipFill>
      <xdr:spPr bwMode="auto">
        <a:xfrm>
          <a:off x="3091393" y="4473827"/>
          <a:ext cx="2506516" cy="1311646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</xdr:col>
      <xdr:colOff>57149</xdr:colOff>
      <xdr:row>24</xdr:row>
      <xdr:rowOff>8357</xdr:rowOff>
    </xdr:from>
    <xdr:to>
      <xdr:col>3</xdr:col>
      <xdr:colOff>732748</xdr:colOff>
      <xdr:row>31</xdr:row>
      <xdr:rowOff>127262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02" b="10302"/>
        <a:stretch/>
      </xdr:blipFill>
      <xdr:spPr bwMode="auto">
        <a:xfrm>
          <a:off x="438149" y="4126332"/>
          <a:ext cx="2462066" cy="130318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11</xdr:col>
      <xdr:colOff>16933</xdr:colOff>
      <xdr:row>3</xdr:row>
      <xdr:rowOff>127004</xdr:rowOff>
    </xdr:from>
    <xdr:to>
      <xdr:col>19</xdr:col>
      <xdr:colOff>165286</xdr:colOff>
      <xdr:row>13</xdr:row>
      <xdr:rowOff>143053</xdr:rowOff>
    </xdr:to>
    <xdr:pic>
      <xdr:nvPicPr>
        <xdr:cNvPr id="13" name="21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97" b="10797"/>
        <a:stretch/>
      </xdr:blipFill>
      <xdr:spPr bwMode="auto">
        <a:xfrm>
          <a:off x="8686800" y="635004"/>
          <a:ext cx="3230219" cy="1708324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4</xdr:col>
      <xdr:colOff>670686</xdr:colOff>
      <xdr:row>0</xdr:row>
      <xdr:rowOff>152399</xdr:rowOff>
    </xdr:from>
    <xdr:to>
      <xdr:col>8</xdr:col>
      <xdr:colOff>237301</xdr:colOff>
      <xdr:row>10</xdr:row>
      <xdr:rowOff>7409</xdr:rowOff>
    </xdr:to>
    <xdr:pic>
      <xdr:nvPicPr>
        <xdr:cNvPr id="14" name="23 Image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92" b="10792"/>
        <a:stretch/>
      </xdr:blipFill>
      <xdr:spPr bwMode="auto">
        <a:xfrm>
          <a:off x="5124153" y="152399"/>
          <a:ext cx="3139548" cy="1557868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0</xdr:colOff>
      <xdr:row>0</xdr:row>
      <xdr:rowOff>106680</xdr:rowOff>
    </xdr:from>
    <xdr:to>
      <xdr:col>3</xdr:col>
      <xdr:colOff>16933</xdr:colOff>
      <xdr:row>2</xdr:row>
      <xdr:rowOff>144780</xdr:rowOff>
    </xdr:to>
    <xdr:sp macro="" textlink="">
      <xdr:nvSpPr>
        <xdr:cNvPr id="28" name="Pentágono 27">
          <a:hlinkClick xmlns:r="http://schemas.openxmlformats.org/officeDocument/2006/relationships" r:id="rId6" tooltip="INICIO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 bwMode="auto">
        <a:xfrm>
          <a:off x="381000" y="106680"/>
          <a:ext cx="1798108" cy="381000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600" b="1">
              <a:solidFill>
                <a:schemeClr val="bg1"/>
              </a:solidFill>
            </a:rPr>
            <a:t>INICIO</a:t>
          </a:r>
        </a:p>
      </xdr:txBody>
    </xdr:sp>
    <xdr:clientData/>
  </xdr:twoCellAnchor>
  <xdr:twoCellAnchor editAs="oneCell">
    <xdr:from>
      <xdr:col>0</xdr:col>
      <xdr:colOff>281940</xdr:colOff>
      <xdr:row>7</xdr:row>
      <xdr:rowOff>160020</xdr:rowOff>
    </xdr:from>
    <xdr:to>
      <xdr:col>1</xdr:col>
      <xdr:colOff>838200</xdr:colOff>
      <xdr:row>13</xdr:row>
      <xdr:rowOff>99061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0EF969E-22B7-83E3-B80D-4405DAFC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281940" y="1432560"/>
          <a:ext cx="937260" cy="93726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160868</xdr:colOff>
      <xdr:row>25</xdr:row>
      <xdr:rowOff>29635</xdr:rowOff>
    </xdr:from>
    <xdr:to>
      <xdr:col>20</xdr:col>
      <xdr:colOff>25400</xdr:colOff>
      <xdr:row>35</xdr:row>
      <xdr:rowOff>152400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F42EEDC-89CC-FFDF-F4D0-9CDB3890F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9543" y="4325410"/>
          <a:ext cx="3360207" cy="18372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372536</xdr:colOff>
      <xdr:row>0</xdr:row>
      <xdr:rowOff>118534</xdr:rowOff>
    </xdr:from>
    <xdr:to>
      <xdr:col>4</xdr:col>
      <xdr:colOff>254003</xdr:colOff>
      <xdr:row>10</xdr:row>
      <xdr:rowOff>31278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6C6AD43-084D-EAC2-E3C4-79253AF9F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40003" y="118534"/>
          <a:ext cx="2167467" cy="16156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17993</xdr:colOff>
      <xdr:row>25</xdr:row>
      <xdr:rowOff>48685</xdr:rowOff>
    </xdr:from>
    <xdr:to>
      <xdr:col>20</xdr:col>
      <xdr:colOff>45521</xdr:colOff>
      <xdr:row>27</xdr:row>
      <xdr:rowOff>65785</xdr:rowOff>
    </xdr:to>
    <xdr:pic>
      <xdr:nvPicPr>
        <xdr:cNvPr id="17" name="Imagen 1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3131F0C-D1AD-4E78-BF27-06ECAA3144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5"/>
            </a:ext>
          </a:extLst>
        </a:blip>
        <a:srcRect t="18650" b="15433"/>
        <a:stretch/>
      </xdr:blipFill>
      <xdr:spPr>
        <a:xfrm>
          <a:off x="11438468" y="4344460"/>
          <a:ext cx="551403" cy="360000"/>
        </a:xfrm>
        <a:prstGeom prst="rect">
          <a:avLst/>
        </a:prstGeom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857250</xdr:colOff>
      <xdr:row>25</xdr:row>
      <xdr:rowOff>142027</xdr:rowOff>
    </xdr:from>
    <xdr:to>
      <xdr:col>5</xdr:col>
      <xdr:colOff>27899</xdr:colOff>
      <xdr:row>33</xdr:row>
      <xdr:rowOff>106627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70" b="10270"/>
        <a:stretch/>
      </xdr:blipFill>
      <xdr:spPr bwMode="auto">
        <a:xfrm>
          <a:off x="3019425" y="4437802"/>
          <a:ext cx="2504399" cy="1326675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</xdr:col>
      <xdr:colOff>47623</xdr:colOff>
      <xdr:row>23</xdr:row>
      <xdr:rowOff>140450</xdr:rowOff>
    </xdr:from>
    <xdr:to>
      <xdr:col>3</xdr:col>
      <xdr:colOff>723223</xdr:colOff>
      <xdr:row>31</xdr:row>
      <xdr:rowOff>105051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790" b="9790"/>
        <a:stretch/>
      </xdr:blipFill>
      <xdr:spPr bwMode="auto">
        <a:xfrm>
          <a:off x="428623" y="4102850"/>
          <a:ext cx="2456775" cy="1317151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5</xdr:col>
      <xdr:colOff>228600</xdr:colOff>
      <xdr:row>27</xdr:row>
      <xdr:rowOff>132503</xdr:rowOff>
    </xdr:from>
    <xdr:to>
      <xdr:col>8</xdr:col>
      <xdr:colOff>189824</xdr:colOff>
      <xdr:row>35</xdr:row>
      <xdr:rowOff>97103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2" b="182"/>
        <a:stretch/>
      </xdr:blipFill>
      <xdr:spPr bwMode="auto">
        <a:xfrm>
          <a:off x="5724525" y="4761653"/>
          <a:ext cx="2475824" cy="13362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4</xdr:col>
      <xdr:colOff>590549</xdr:colOff>
      <xdr:row>0</xdr:row>
      <xdr:rowOff>139090</xdr:rowOff>
    </xdr:from>
    <xdr:to>
      <xdr:col>8</xdr:col>
      <xdr:colOff>204580</xdr:colOff>
      <xdr:row>10</xdr:row>
      <xdr:rowOff>32809</xdr:rowOff>
    </xdr:to>
    <xdr:pic>
      <xdr:nvPicPr>
        <xdr:cNvPr id="12" name="18 Imagen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18" b="4318"/>
        <a:stretch/>
      </xdr:blipFill>
      <xdr:spPr bwMode="auto">
        <a:xfrm>
          <a:off x="5038724" y="139090"/>
          <a:ext cx="3176381" cy="1608219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11</xdr:col>
      <xdr:colOff>42334</xdr:colOff>
      <xdr:row>3</xdr:row>
      <xdr:rowOff>108709</xdr:rowOff>
    </xdr:from>
    <xdr:to>
      <xdr:col>19</xdr:col>
      <xdr:colOff>203200</xdr:colOff>
      <xdr:row>13</xdr:row>
      <xdr:rowOff>132113</xdr:rowOff>
    </xdr:to>
    <xdr:pic>
      <xdr:nvPicPr>
        <xdr:cNvPr id="13" name="21 Imagen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60" b="9960"/>
        <a:stretch/>
      </xdr:blipFill>
      <xdr:spPr bwMode="auto">
        <a:xfrm>
          <a:off x="8681509" y="623059"/>
          <a:ext cx="3237441" cy="1728379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0</xdr:colOff>
      <xdr:row>0</xdr:row>
      <xdr:rowOff>101597</xdr:rowOff>
    </xdr:from>
    <xdr:to>
      <xdr:col>3</xdr:col>
      <xdr:colOff>16933</xdr:colOff>
      <xdr:row>2</xdr:row>
      <xdr:rowOff>139697</xdr:rowOff>
    </xdr:to>
    <xdr:sp macro="" textlink="">
      <xdr:nvSpPr>
        <xdr:cNvPr id="11" name="Pentágono 27">
          <a:hlinkClick xmlns:r="http://schemas.openxmlformats.org/officeDocument/2006/relationships" r:id="rId6" tooltip="INICIO"/>
          <a:extLst>
            <a:ext uri="{FF2B5EF4-FFF2-40B4-BE49-F238E27FC236}">
              <a16:creationId xmlns:a16="http://schemas.microsoft.com/office/drawing/2014/main" id="{A8704DC2-B48D-4286-A3A1-7201DA64BBD9}"/>
            </a:ext>
          </a:extLst>
        </xdr:cNvPr>
        <xdr:cNvSpPr/>
      </xdr:nvSpPr>
      <xdr:spPr bwMode="auto">
        <a:xfrm>
          <a:off x="381000" y="101597"/>
          <a:ext cx="1803400" cy="376767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600" b="1">
              <a:solidFill>
                <a:schemeClr val="bg1"/>
              </a:solidFill>
            </a:rPr>
            <a:t>INICIO</a:t>
          </a:r>
        </a:p>
      </xdr:txBody>
    </xdr:sp>
    <xdr:clientData/>
  </xdr:twoCellAnchor>
  <xdr:twoCellAnchor editAs="oneCell">
    <xdr:from>
      <xdr:col>0</xdr:col>
      <xdr:colOff>279398</xdr:colOff>
      <xdr:row>7</xdr:row>
      <xdr:rowOff>160865</xdr:rowOff>
    </xdr:from>
    <xdr:to>
      <xdr:col>1</xdr:col>
      <xdr:colOff>835658</xdr:colOff>
      <xdr:row>13</xdr:row>
      <xdr:rowOff>99906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D451799-31EC-45B1-9BAF-66E021DD6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279398" y="1439332"/>
          <a:ext cx="937260" cy="946574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186267</xdr:colOff>
      <xdr:row>25</xdr:row>
      <xdr:rowOff>17988</xdr:rowOff>
    </xdr:from>
    <xdr:to>
      <xdr:col>20</xdr:col>
      <xdr:colOff>50799</xdr:colOff>
      <xdr:row>35</xdr:row>
      <xdr:rowOff>142874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8E1701A-5669-4A73-9B53-04E64434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4942" y="4313763"/>
          <a:ext cx="3360207" cy="18298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330201</xdr:colOff>
      <xdr:row>0</xdr:row>
      <xdr:rowOff>110066</xdr:rowOff>
    </xdr:from>
    <xdr:to>
      <xdr:col>4</xdr:col>
      <xdr:colOff>211667</xdr:colOff>
      <xdr:row>10</xdr:row>
      <xdr:rowOff>66063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F02C8F-C3E4-D0E0-157E-4E54B36B2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97668" y="110066"/>
          <a:ext cx="2167466" cy="16588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43392</xdr:colOff>
      <xdr:row>25</xdr:row>
      <xdr:rowOff>46563</xdr:rowOff>
    </xdr:from>
    <xdr:to>
      <xdr:col>20</xdr:col>
      <xdr:colOff>70920</xdr:colOff>
      <xdr:row>27</xdr:row>
      <xdr:rowOff>73188</xdr:rowOff>
    </xdr:to>
    <xdr:pic>
      <xdr:nvPicPr>
        <xdr:cNvPr id="15" name="Imagen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78F4E24-B0C0-47D4-A4D1-2D80B881E1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5"/>
            </a:ext>
          </a:extLst>
        </a:blip>
        <a:srcRect t="18650" b="15433"/>
        <a:stretch/>
      </xdr:blipFill>
      <xdr:spPr>
        <a:xfrm>
          <a:off x="11463867" y="4342338"/>
          <a:ext cx="551403" cy="360000"/>
        </a:xfrm>
        <a:prstGeom prst="rect">
          <a:avLst/>
        </a:prstGeom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866775</xdr:colOff>
      <xdr:row>25</xdr:row>
      <xdr:rowOff>124883</xdr:rowOff>
    </xdr:from>
    <xdr:to>
      <xdr:col>5</xdr:col>
      <xdr:colOff>37424</xdr:colOff>
      <xdr:row>33</xdr:row>
      <xdr:rowOff>79958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555" b="10555"/>
        <a:stretch/>
      </xdr:blipFill>
      <xdr:spPr bwMode="auto">
        <a:xfrm>
          <a:off x="3028950" y="4420658"/>
          <a:ext cx="2504399" cy="131715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5</xdr:col>
      <xdr:colOff>209550</xdr:colOff>
      <xdr:row>27</xdr:row>
      <xdr:rowOff>86782</xdr:rowOff>
    </xdr:from>
    <xdr:to>
      <xdr:col>8</xdr:col>
      <xdr:colOff>170775</xdr:colOff>
      <xdr:row>35</xdr:row>
      <xdr:rowOff>49266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57" r="7857"/>
        <a:stretch/>
      </xdr:blipFill>
      <xdr:spPr bwMode="auto">
        <a:xfrm>
          <a:off x="5705475" y="4715932"/>
          <a:ext cx="2475825" cy="1334084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</xdr:col>
      <xdr:colOff>38100</xdr:colOff>
      <xdr:row>23</xdr:row>
      <xdr:rowOff>143933</xdr:rowOff>
    </xdr:from>
    <xdr:to>
      <xdr:col>3</xdr:col>
      <xdr:colOff>713699</xdr:colOff>
      <xdr:row>31</xdr:row>
      <xdr:rowOff>99008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89" b="2689"/>
        <a:stretch/>
      </xdr:blipFill>
      <xdr:spPr bwMode="auto">
        <a:xfrm>
          <a:off x="419100" y="4106333"/>
          <a:ext cx="2456774" cy="1307625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4</xdr:col>
      <xdr:colOff>714375</xdr:colOff>
      <xdr:row>0</xdr:row>
      <xdr:rowOff>152401</xdr:rowOff>
    </xdr:from>
    <xdr:to>
      <xdr:col>8</xdr:col>
      <xdr:colOff>176812</xdr:colOff>
      <xdr:row>10</xdr:row>
      <xdr:rowOff>47101</xdr:rowOff>
    </xdr:to>
    <xdr:pic>
      <xdr:nvPicPr>
        <xdr:cNvPr id="12" name="20 Imagen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00" b="10100"/>
        <a:stretch/>
      </xdr:blipFill>
      <xdr:spPr bwMode="auto">
        <a:xfrm>
          <a:off x="5162550" y="152401"/>
          <a:ext cx="3024787" cy="16092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10</xdr:col>
      <xdr:colOff>180975</xdr:colOff>
      <xdr:row>3</xdr:row>
      <xdr:rowOff>114301</xdr:rowOff>
    </xdr:from>
    <xdr:to>
      <xdr:col>19</xdr:col>
      <xdr:colOff>217753</xdr:colOff>
      <xdr:row>13</xdr:row>
      <xdr:rowOff>137326</xdr:rowOff>
    </xdr:to>
    <xdr:pic>
      <xdr:nvPicPr>
        <xdr:cNvPr id="14" name="23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73" b="10773"/>
        <a:stretch/>
      </xdr:blipFill>
      <xdr:spPr bwMode="auto">
        <a:xfrm>
          <a:off x="8629650" y="628651"/>
          <a:ext cx="3303853" cy="17280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0</xdr:colOff>
      <xdr:row>0</xdr:row>
      <xdr:rowOff>95250</xdr:rowOff>
    </xdr:from>
    <xdr:to>
      <xdr:col>3</xdr:col>
      <xdr:colOff>16933</xdr:colOff>
      <xdr:row>2</xdr:row>
      <xdr:rowOff>133350</xdr:rowOff>
    </xdr:to>
    <xdr:sp macro="" textlink="">
      <xdr:nvSpPr>
        <xdr:cNvPr id="11" name="Pentágono 27">
          <a:hlinkClick xmlns:r="http://schemas.openxmlformats.org/officeDocument/2006/relationships" r:id="rId6" tooltip="INICIO"/>
          <a:extLst>
            <a:ext uri="{FF2B5EF4-FFF2-40B4-BE49-F238E27FC236}">
              <a16:creationId xmlns:a16="http://schemas.microsoft.com/office/drawing/2014/main" id="{6ECF25F7-3859-4B4F-88AC-85F5179E25E8}"/>
            </a:ext>
          </a:extLst>
        </xdr:cNvPr>
        <xdr:cNvSpPr/>
      </xdr:nvSpPr>
      <xdr:spPr bwMode="auto">
        <a:xfrm>
          <a:off x="381000" y="95250"/>
          <a:ext cx="1798108" cy="381000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600" b="1">
              <a:solidFill>
                <a:schemeClr val="bg1"/>
              </a:solidFill>
            </a:rPr>
            <a:t>INICIO</a:t>
          </a:r>
        </a:p>
      </xdr:txBody>
    </xdr:sp>
    <xdr:clientData/>
  </xdr:twoCellAnchor>
  <xdr:twoCellAnchor editAs="oneCell">
    <xdr:from>
      <xdr:col>0</xdr:col>
      <xdr:colOff>295275</xdr:colOff>
      <xdr:row>7</xdr:row>
      <xdr:rowOff>161925</xdr:rowOff>
    </xdr:from>
    <xdr:to>
      <xdr:col>2</xdr:col>
      <xdr:colOff>3810</xdr:colOff>
      <xdr:row>13</xdr:row>
      <xdr:rowOff>100966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11C0AE1-8FEF-4827-96DD-A11D5E2FE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95275" y="1362075"/>
          <a:ext cx="937260" cy="958216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20</xdr:col>
      <xdr:colOff>55032</xdr:colOff>
      <xdr:row>35</xdr:row>
      <xdr:rowOff>124886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ED202BD-8C73-4193-B877-967442B08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6825" y="4295775"/>
          <a:ext cx="3360207" cy="18298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381000</xdr:colOff>
      <xdr:row>0</xdr:row>
      <xdr:rowOff>104775</xdr:rowOff>
    </xdr:from>
    <xdr:to>
      <xdr:col>4</xdr:col>
      <xdr:colOff>342900</xdr:colOff>
      <xdr:row>10</xdr:row>
      <xdr:rowOff>44979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C02386-A4BC-15D3-9E37-92830A0D0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43175" y="104775"/>
          <a:ext cx="2247900" cy="1654704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18</xdr:col>
      <xdr:colOff>47625</xdr:colOff>
      <xdr:row>25</xdr:row>
      <xdr:rowOff>19050</xdr:rowOff>
    </xdr:from>
    <xdr:to>
      <xdr:col>20</xdr:col>
      <xdr:colOff>75153</xdr:colOff>
      <xdr:row>27</xdr:row>
      <xdr:rowOff>45675</xdr:rowOff>
    </xdr:to>
    <xdr:pic>
      <xdr:nvPicPr>
        <xdr:cNvPr id="13" name="Imagen 1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6E319D-9A4B-48D0-BFCB-E14E55CC8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rcRect t="18650" b="15433"/>
        <a:stretch/>
      </xdr:blipFill>
      <xdr:spPr>
        <a:xfrm>
          <a:off x="11468100" y="4314825"/>
          <a:ext cx="551403" cy="360000"/>
        </a:xfrm>
        <a:prstGeom prst="rect">
          <a:avLst/>
        </a:prstGeom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38083</xdr:colOff>
      <xdr:row>23</xdr:row>
      <xdr:rowOff>133350</xdr:rowOff>
    </xdr:from>
    <xdr:to>
      <xdr:col>3</xdr:col>
      <xdr:colOff>713688</xdr:colOff>
      <xdr:row>31</xdr:row>
      <xdr:rowOff>88425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81" b="10081"/>
        <a:stretch/>
      </xdr:blipFill>
      <xdr:spPr bwMode="auto">
        <a:xfrm>
          <a:off x="419083" y="4095750"/>
          <a:ext cx="2456780" cy="1307625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3</xdr:col>
      <xdr:colOff>866758</xdr:colOff>
      <xdr:row>25</xdr:row>
      <xdr:rowOff>104775</xdr:rowOff>
    </xdr:from>
    <xdr:to>
      <xdr:col>5</xdr:col>
      <xdr:colOff>37413</xdr:colOff>
      <xdr:row>33</xdr:row>
      <xdr:rowOff>59850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30" b="4230"/>
        <a:stretch/>
      </xdr:blipFill>
      <xdr:spPr bwMode="auto">
        <a:xfrm>
          <a:off x="3028933" y="4400550"/>
          <a:ext cx="2504405" cy="131715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5</xdr:col>
      <xdr:colOff>190483</xdr:colOff>
      <xdr:row>27</xdr:row>
      <xdr:rowOff>66675</xdr:rowOff>
    </xdr:from>
    <xdr:to>
      <xdr:col>8</xdr:col>
      <xdr:colOff>151713</xdr:colOff>
      <xdr:row>35</xdr:row>
      <xdr:rowOff>21750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56" b="4456"/>
        <a:stretch/>
      </xdr:blipFill>
      <xdr:spPr bwMode="auto">
        <a:xfrm>
          <a:off x="5686408" y="4695825"/>
          <a:ext cx="2475830" cy="1326675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4</xdr:col>
      <xdr:colOff>714374</xdr:colOff>
      <xdr:row>0</xdr:row>
      <xdr:rowOff>142875</xdr:rowOff>
    </xdr:from>
    <xdr:to>
      <xdr:col>8</xdr:col>
      <xdr:colOff>189457</xdr:colOff>
      <xdr:row>10</xdr:row>
      <xdr:rowOff>37575</xdr:rowOff>
    </xdr:to>
    <xdr:pic>
      <xdr:nvPicPr>
        <xdr:cNvPr id="13" name="21 Imagen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266" b="10266"/>
        <a:stretch/>
      </xdr:blipFill>
      <xdr:spPr bwMode="auto">
        <a:xfrm>
          <a:off x="5162549" y="142875"/>
          <a:ext cx="3037433" cy="16092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11</xdr:col>
      <xdr:colOff>1</xdr:colOff>
      <xdr:row>3</xdr:row>
      <xdr:rowOff>123825</xdr:rowOff>
    </xdr:from>
    <xdr:to>
      <xdr:col>19</xdr:col>
      <xdr:colOff>209550</xdr:colOff>
      <xdr:row>14</xdr:row>
      <xdr:rowOff>1523</xdr:rowOff>
    </xdr:to>
    <xdr:pic>
      <xdr:nvPicPr>
        <xdr:cNvPr id="14" name="23 Imagen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51" b="2551"/>
        <a:stretch/>
      </xdr:blipFill>
      <xdr:spPr bwMode="auto">
        <a:xfrm>
          <a:off x="8639176" y="638175"/>
          <a:ext cx="3286124" cy="1754123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0</xdr:colOff>
      <xdr:row>0</xdr:row>
      <xdr:rowOff>95250</xdr:rowOff>
    </xdr:from>
    <xdr:to>
      <xdr:col>3</xdr:col>
      <xdr:colOff>16933</xdr:colOff>
      <xdr:row>2</xdr:row>
      <xdr:rowOff>133350</xdr:rowOff>
    </xdr:to>
    <xdr:sp macro="" textlink="">
      <xdr:nvSpPr>
        <xdr:cNvPr id="11" name="Pentágono 27">
          <a:hlinkClick xmlns:r="http://schemas.openxmlformats.org/officeDocument/2006/relationships" r:id="rId6" tooltip="INICIO"/>
          <a:extLst>
            <a:ext uri="{FF2B5EF4-FFF2-40B4-BE49-F238E27FC236}">
              <a16:creationId xmlns:a16="http://schemas.microsoft.com/office/drawing/2014/main" id="{9CD78393-8903-4512-8186-35B979A0CE1E}"/>
            </a:ext>
          </a:extLst>
        </xdr:cNvPr>
        <xdr:cNvSpPr/>
      </xdr:nvSpPr>
      <xdr:spPr bwMode="auto">
        <a:xfrm>
          <a:off x="381000" y="95250"/>
          <a:ext cx="1798108" cy="381000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600" b="1">
              <a:solidFill>
                <a:schemeClr val="bg1"/>
              </a:solidFill>
            </a:rPr>
            <a:t>INICIO</a:t>
          </a:r>
        </a:p>
      </xdr:txBody>
    </xdr:sp>
    <xdr:clientData/>
  </xdr:twoCellAnchor>
  <xdr:twoCellAnchor editAs="oneCell">
    <xdr:from>
      <xdr:col>0</xdr:col>
      <xdr:colOff>295275</xdr:colOff>
      <xdr:row>7</xdr:row>
      <xdr:rowOff>161925</xdr:rowOff>
    </xdr:from>
    <xdr:to>
      <xdr:col>2</xdr:col>
      <xdr:colOff>3810</xdr:colOff>
      <xdr:row>13</xdr:row>
      <xdr:rowOff>100966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68423F1-DB34-4F8B-9218-E848EBF57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95275" y="1362075"/>
          <a:ext cx="937260" cy="958216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24</xdr:row>
      <xdr:rowOff>152400</xdr:rowOff>
    </xdr:from>
    <xdr:to>
      <xdr:col>20</xdr:col>
      <xdr:colOff>55032</xdr:colOff>
      <xdr:row>35</xdr:row>
      <xdr:rowOff>105836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2D95CF6-1BBA-41DA-883E-0EE04F2E1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4276725"/>
          <a:ext cx="3360207" cy="18298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400050</xdr:colOff>
      <xdr:row>0</xdr:row>
      <xdr:rowOff>104775</xdr:rowOff>
    </xdr:from>
    <xdr:to>
      <xdr:col>4</xdr:col>
      <xdr:colOff>366365</xdr:colOff>
      <xdr:row>10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634CD2-17AD-3C6B-7EE8-39090D481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62225" y="104775"/>
          <a:ext cx="2252315" cy="16668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47625</xdr:colOff>
      <xdr:row>25</xdr:row>
      <xdr:rowOff>0</xdr:rowOff>
    </xdr:from>
    <xdr:to>
      <xdr:col>20</xdr:col>
      <xdr:colOff>75153</xdr:colOff>
      <xdr:row>27</xdr:row>
      <xdr:rowOff>26625</xdr:rowOff>
    </xdr:to>
    <xdr:pic>
      <xdr:nvPicPr>
        <xdr:cNvPr id="12" name="Imagen 1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70FD71D-B8F2-4DC6-828C-3F2848D3EB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rcRect t="18650" b="15433"/>
        <a:stretch/>
      </xdr:blipFill>
      <xdr:spPr>
        <a:xfrm>
          <a:off x="11468100" y="4295775"/>
          <a:ext cx="551403" cy="360000"/>
        </a:xfrm>
        <a:prstGeom prst="rect">
          <a:avLst/>
        </a:prstGeom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23</xdr:row>
      <xdr:rowOff>152399</xdr:rowOff>
    </xdr:from>
    <xdr:to>
      <xdr:col>3</xdr:col>
      <xdr:colOff>713700</xdr:colOff>
      <xdr:row>31</xdr:row>
      <xdr:rowOff>78899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27" b="3027"/>
        <a:stretch/>
      </xdr:blipFill>
      <xdr:spPr bwMode="auto">
        <a:xfrm>
          <a:off x="419100" y="4114799"/>
          <a:ext cx="2456775" cy="127905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3</xdr:col>
      <xdr:colOff>847724</xdr:colOff>
      <xdr:row>25</xdr:row>
      <xdr:rowOff>114300</xdr:rowOff>
    </xdr:from>
    <xdr:to>
      <xdr:col>5</xdr:col>
      <xdr:colOff>18374</xdr:colOff>
      <xdr:row>33</xdr:row>
      <xdr:rowOff>59850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40" b="10840"/>
        <a:stretch/>
      </xdr:blipFill>
      <xdr:spPr bwMode="auto">
        <a:xfrm>
          <a:off x="3009899" y="4410075"/>
          <a:ext cx="2504400" cy="1307625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5</xdr:col>
      <xdr:colOff>171450</xdr:colOff>
      <xdr:row>27</xdr:row>
      <xdr:rowOff>66674</xdr:rowOff>
    </xdr:from>
    <xdr:to>
      <xdr:col>8</xdr:col>
      <xdr:colOff>132675</xdr:colOff>
      <xdr:row>35</xdr:row>
      <xdr:rowOff>12224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2" b="892"/>
        <a:stretch/>
      </xdr:blipFill>
      <xdr:spPr bwMode="auto">
        <a:xfrm>
          <a:off x="5667375" y="4695824"/>
          <a:ext cx="2475825" cy="131715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4</xdr:col>
      <xdr:colOff>714375</xdr:colOff>
      <xdr:row>0</xdr:row>
      <xdr:rowOff>152401</xdr:rowOff>
    </xdr:from>
    <xdr:to>
      <xdr:col>8</xdr:col>
      <xdr:colOff>176810</xdr:colOff>
      <xdr:row>10</xdr:row>
      <xdr:rowOff>47101</xdr:rowOff>
    </xdr:to>
    <xdr:pic>
      <xdr:nvPicPr>
        <xdr:cNvPr id="13" name="20 Imagen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00" b="10100"/>
        <a:stretch/>
      </xdr:blipFill>
      <xdr:spPr bwMode="auto">
        <a:xfrm>
          <a:off x="5162550" y="152401"/>
          <a:ext cx="3024785" cy="16092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11</xdr:col>
      <xdr:colOff>19050</xdr:colOff>
      <xdr:row>3</xdr:row>
      <xdr:rowOff>104776</xdr:rowOff>
    </xdr:from>
    <xdr:to>
      <xdr:col>19</xdr:col>
      <xdr:colOff>225736</xdr:colOff>
      <xdr:row>13</xdr:row>
      <xdr:rowOff>152400</xdr:rowOff>
    </xdr:to>
    <xdr:pic>
      <xdr:nvPicPr>
        <xdr:cNvPr id="14" name="22 Imagen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368" b="14368"/>
        <a:stretch/>
      </xdr:blipFill>
      <xdr:spPr bwMode="auto">
        <a:xfrm>
          <a:off x="8658225" y="619126"/>
          <a:ext cx="3283261" cy="1752599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0</xdr:colOff>
      <xdr:row>0</xdr:row>
      <xdr:rowOff>95250</xdr:rowOff>
    </xdr:from>
    <xdr:to>
      <xdr:col>3</xdr:col>
      <xdr:colOff>16933</xdr:colOff>
      <xdr:row>2</xdr:row>
      <xdr:rowOff>133350</xdr:rowOff>
    </xdr:to>
    <xdr:sp macro="" textlink="">
      <xdr:nvSpPr>
        <xdr:cNvPr id="11" name="Pentágono 27">
          <a:hlinkClick xmlns:r="http://schemas.openxmlformats.org/officeDocument/2006/relationships" r:id="rId6" tooltip="INICIO"/>
          <a:extLst>
            <a:ext uri="{FF2B5EF4-FFF2-40B4-BE49-F238E27FC236}">
              <a16:creationId xmlns:a16="http://schemas.microsoft.com/office/drawing/2014/main" id="{58589934-B8E8-4480-9992-55D93462CB51}"/>
            </a:ext>
          </a:extLst>
        </xdr:cNvPr>
        <xdr:cNvSpPr/>
      </xdr:nvSpPr>
      <xdr:spPr bwMode="auto">
        <a:xfrm>
          <a:off x="381000" y="95250"/>
          <a:ext cx="1798108" cy="381000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600" b="1">
              <a:solidFill>
                <a:schemeClr val="bg1"/>
              </a:solidFill>
            </a:rPr>
            <a:t>INICIO</a:t>
          </a:r>
        </a:p>
      </xdr:txBody>
    </xdr:sp>
    <xdr:clientData/>
  </xdr:twoCellAnchor>
  <xdr:twoCellAnchor editAs="oneCell">
    <xdr:from>
      <xdr:col>0</xdr:col>
      <xdr:colOff>295275</xdr:colOff>
      <xdr:row>7</xdr:row>
      <xdr:rowOff>161925</xdr:rowOff>
    </xdr:from>
    <xdr:to>
      <xdr:col>2</xdr:col>
      <xdr:colOff>3810</xdr:colOff>
      <xdr:row>13</xdr:row>
      <xdr:rowOff>100966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964EE6F-D950-4DB7-AB17-3E41FC078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95275" y="1362075"/>
          <a:ext cx="937260" cy="958216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20</xdr:col>
      <xdr:colOff>55032</xdr:colOff>
      <xdr:row>35</xdr:row>
      <xdr:rowOff>124886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BFC0A5C-2811-401C-960F-37B799062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4295775"/>
          <a:ext cx="3360207" cy="18298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400049</xdr:colOff>
      <xdr:row>0</xdr:row>
      <xdr:rowOff>114300</xdr:rowOff>
    </xdr:from>
    <xdr:to>
      <xdr:col>4</xdr:col>
      <xdr:colOff>323850</xdr:colOff>
      <xdr:row>10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EFF888-808A-0331-B01C-67272496BC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50000"/>
                  </a14:imgEffect>
                </a14:imgLayer>
              </a14:imgProps>
            </a:ext>
          </a:extLst>
        </a:blip>
        <a:srcRect r="4152"/>
        <a:stretch/>
      </xdr:blipFill>
      <xdr:spPr>
        <a:xfrm>
          <a:off x="2562224" y="114300"/>
          <a:ext cx="2209801" cy="16573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47625</xdr:colOff>
      <xdr:row>25</xdr:row>
      <xdr:rowOff>19050</xdr:rowOff>
    </xdr:from>
    <xdr:to>
      <xdr:col>20</xdr:col>
      <xdr:colOff>75153</xdr:colOff>
      <xdr:row>27</xdr:row>
      <xdr:rowOff>45675</xdr:rowOff>
    </xdr:to>
    <xdr:pic>
      <xdr:nvPicPr>
        <xdr:cNvPr id="12" name="Imagen 1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9B2EC7C-D9B0-4B80-9600-0380B080F9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rcRect t="18650" b="15433"/>
        <a:stretch/>
      </xdr:blipFill>
      <xdr:spPr>
        <a:xfrm>
          <a:off x="11468100" y="4314825"/>
          <a:ext cx="551403" cy="360000"/>
        </a:xfrm>
        <a:prstGeom prst="rect">
          <a:avLst/>
        </a:prstGeom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847725</xdr:colOff>
      <xdr:row>25</xdr:row>
      <xdr:rowOff>104774</xdr:rowOff>
    </xdr:from>
    <xdr:to>
      <xdr:col>5</xdr:col>
      <xdr:colOff>18374</xdr:colOff>
      <xdr:row>33</xdr:row>
      <xdr:rowOff>59849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555" b="10555"/>
        <a:stretch/>
      </xdr:blipFill>
      <xdr:spPr bwMode="auto">
        <a:xfrm>
          <a:off x="3009900" y="4400549"/>
          <a:ext cx="2504399" cy="131715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</xdr:col>
      <xdr:colOff>38100</xdr:colOff>
      <xdr:row>23</xdr:row>
      <xdr:rowOff>152400</xdr:rowOff>
    </xdr:from>
    <xdr:to>
      <xdr:col>3</xdr:col>
      <xdr:colOff>713699</xdr:colOff>
      <xdr:row>31</xdr:row>
      <xdr:rowOff>97950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372" b="10372"/>
        <a:stretch/>
      </xdr:blipFill>
      <xdr:spPr bwMode="auto">
        <a:xfrm>
          <a:off x="419100" y="4114800"/>
          <a:ext cx="2456774" cy="12981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5</xdr:col>
      <xdr:colOff>190500</xdr:colOff>
      <xdr:row>27</xdr:row>
      <xdr:rowOff>85725</xdr:rowOff>
    </xdr:from>
    <xdr:to>
      <xdr:col>8</xdr:col>
      <xdr:colOff>151724</xdr:colOff>
      <xdr:row>35</xdr:row>
      <xdr:rowOff>40800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231" b="14231"/>
        <a:stretch/>
      </xdr:blipFill>
      <xdr:spPr bwMode="auto">
        <a:xfrm>
          <a:off x="5686425" y="4714875"/>
          <a:ext cx="2475824" cy="1326675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4</xdr:col>
      <xdr:colOff>733423</xdr:colOff>
      <xdr:row>0</xdr:row>
      <xdr:rowOff>142875</xdr:rowOff>
    </xdr:from>
    <xdr:to>
      <xdr:col>8</xdr:col>
      <xdr:colOff>195860</xdr:colOff>
      <xdr:row>10</xdr:row>
      <xdr:rowOff>37575</xdr:rowOff>
    </xdr:to>
    <xdr:pic>
      <xdr:nvPicPr>
        <xdr:cNvPr id="13" name="20 Imagen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00" b="10100"/>
        <a:stretch/>
      </xdr:blipFill>
      <xdr:spPr bwMode="auto">
        <a:xfrm>
          <a:off x="5181598" y="142875"/>
          <a:ext cx="3024787" cy="16092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11</xdr:col>
      <xdr:colOff>76198</xdr:colOff>
      <xdr:row>3</xdr:row>
      <xdr:rowOff>47624</xdr:rowOff>
    </xdr:from>
    <xdr:to>
      <xdr:col>19</xdr:col>
      <xdr:colOff>211514</xdr:colOff>
      <xdr:row>13</xdr:row>
      <xdr:rowOff>57150</xdr:rowOff>
    </xdr:to>
    <xdr:pic>
      <xdr:nvPicPr>
        <xdr:cNvPr id="14" name="22 Imagen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65" b="9965"/>
        <a:stretch/>
      </xdr:blipFill>
      <xdr:spPr bwMode="auto">
        <a:xfrm>
          <a:off x="8715373" y="561974"/>
          <a:ext cx="3211891" cy="1714501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0</xdr:colOff>
      <xdr:row>0</xdr:row>
      <xdr:rowOff>95250</xdr:rowOff>
    </xdr:from>
    <xdr:to>
      <xdr:col>3</xdr:col>
      <xdr:colOff>16933</xdr:colOff>
      <xdr:row>2</xdr:row>
      <xdr:rowOff>133350</xdr:rowOff>
    </xdr:to>
    <xdr:sp macro="" textlink="">
      <xdr:nvSpPr>
        <xdr:cNvPr id="11" name="Pentágono 27">
          <a:hlinkClick xmlns:r="http://schemas.openxmlformats.org/officeDocument/2006/relationships" r:id="rId6" tooltip="INICIO"/>
          <a:extLst>
            <a:ext uri="{FF2B5EF4-FFF2-40B4-BE49-F238E27FC236}">
              <a16:creationId xmlns:a16="http://schemas.microsoft.com/office/drawing/2014/main" id="{2C09F75C-586D-4371-B696-D29A42CFD783}"/>
            </a:ext>
          </a:extLst>
        </xdr:cNvPr>
        <xdr:cNvSpPr/>
      </xdr:nvSpPr>
      <xdr:spPr bwMode="auto">
        <a:xfrm>
          <a:off x="381000" y="95250"/>
          <a:ext cx="1798108" cy="381000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600" b="1">
              <a:solidFill>
                <a:schemeClr val="bg1"/>
              </a:solidFill>
            </a:rPr>
            <a:t>INICIO</a:t>
          </a:r>
        </a:p>
      </xdr:txBody>
    </xdr:sp>
    <xdr:clientData/>
  </xdr:twoCellAnchor>
  <xdr:twoCellAnchor editAs="oneCell">
    <xdr:from>
      <xdr:col>0</xdr:col>
      <xdr:colOff>295275</xdr:colOff>
      <xdr:row>7</xdr:row>
      <xdr:rowOff>161925</xdr:rowOff>
    </xdr:from>
    <xdr:to>
      <xdr:col>2</xdr:col>
      <xdr:colOff>3810</xdr:colOff>
      <xdr:row>13</xdr:row>
      <xdr:rowOff>100966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0184D43-1949-47BA-A0D4-52EC5D757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95275" y="1362075"/>
          <a:ext cx="937260" cy="958216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20</xdr:col>
      <xdr:colOff>55032</xdr:colOff>
      <xdr:row>35</xdr:row>
      <xdr:rowOff>124886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9F0932E-7AC5-4C98-8401-43DE8F6CA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4295775"/>
          <a:ext cx="3360207" cy="18298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428625</xdr:colOff>
      <xdr:row>0</xdr:row>
      <xdr:rowOff>95250</xdr:rowOff>
    </xdr:from>
    <xdr:to>
      <xdr:col>4</xdr:col>
      <xdr:colOff>350728</xdr:colOff>
      <xdr:row>10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8F2C03-5D09-20CD-FD2E-D6B3413B5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90800" y="95250"/>
          <a:ext cx="2208103" cy="16859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38100</xdr:colOff>
      <xdr:row>25</xdr:row>
      <xdr:rowOff>19050</xdr:rowOff>
    </xdr:from>
    <xdr:to>
      <xdr:col>20</xdr:col>
      <xdr:colOff>65628</xdr:colOff>
      <xdr:row>27</xdr:row>
      <xdr:rowOff>45675</xdr:rowOff>
    </xdr:to>
    <xdr:pic>
      <xdr:nvPicPr>
        <xdr:cNvPr id="12" name="Imagen 1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CE4ABDE-B4C9-4311-8625-65838B1BB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rcRect t="18650" b="15433"/>
        <a:stretch/>
      </xdr:blipFill>
      <xdr:spPr>
        <a:xfrm>
          <a:off x="11458575" y="4314825"/>
          <a:ext cx="551403" cy="360000"/>
        </a:xfrm>
        <a:prstGeom prst="rect">
          <a:avLst/>
        </a:prstGeom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171449</xdr:colOff>
      <xdr:row>27</xdr:row>
      <xdr:rowOff>123825</xdr:rowOff>
    </xdr:from>
    <xdr:to>
      <xdr:col>8</xdr:col>
      <xdr:colOff>132674</xdr:colOff>
      <xdr:row>35</xdr:row>
      <xdr:rowOff>88425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23" b="9523"/>
        <a:stretch/>
      </xdr:blipFill>
      <xdr:spPr bwMode="auto">
        <a:xfrm>
          <a:off x="5667374" y="4752975"/>
          <a:ext cx="2475825" cy="13362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3</xdr:col>
      <xdr:colOff>866775</xdr:colOff>
      <xdr:row>25</xdr:row>
      <xdr:rowOff>142874</xdr:rowOff>
    </xdr:from>
    <xdr:to>
      <xdr:col>5</xdr:col>
      <xdr:colOff>37424</xdr:colOff>
      <xdr:row>33</xdr:row>
      <xdr:rowOff>97949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99" b="5299"/>
        <a:stretch/>
      </xdr:blipFill>
      <xdr:spPr bwMode="auto">
        <a:xfrm>
          <a:off x="3028950" y="4438649"/>
          <a:ext cx="2504399" cy="131715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</xdr:col>
      <xdr:colOff>47625</xdr:colOff>
      <xdr:row>23</xdr:row>
      <xdr:rowOff>152399</xdr:rowOff>
    </xdr:from>
    <xdr:to>
      <xdr:col>3</xdr:col>
      <xdr:colOff>723225</xdr:colOff>
      <xdr:row>31</xdr:row>
      <xdr:rowOff>107474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81" b="3681"/>
        <a:stretch/>
      </xdr:blipFill>
      <xdr:spPr bwMode="auto">
        <a:xfrm>
          <a:off x="428625" y="4114799"/>
          <a:ext cx="2456775" cy="1307625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4</xdr:col>
      <xdr:colOff>723900</xdr:colOff>
      <xdr:row>0</xdr:row>
      <xdr:rowOff>142875</xdr:rowOff>
    </xdr:from>
    <xdr:to>
      <xdr:col>8</xdr:col>
      <xdr:colOff>186335</xdr:colOff>
      <xdr:row>10</xdr:row>
      <xdr:rowOff>37575</xdr:rowOff>
    </xdr:to>
    <xdr:pic>
      <xdr:nvPicPr>
        <xdr:cNvPr id="12" name="18 Imagen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16" r="7316"/>
        <a:stretch/>
      </xdr:blipFill>
      <xdr:spPr bwMode="auto">
        <a:xfrm>
          <a:off x="5172075" y="142875"/>
          <a:ext cx="3024785" cy="16092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11</xdr:col>
      <xdr:colOff>38100</xdr:colOff>
      <xdr:row>3</xdr:row>
      <xdr:rowOff>95250</xdr:rowOff>
    </xdr:from>
    <xdr:to>
      <xdr:col>19</xdr:col>
      <xdr:colOff>209551</xdr:colOff>
      <xdr:row>13</xdr:row>
      <xdr:rowOff>136513</xdr:rowOff>
    </xdr:to>
    <xdr:pic>
      <xdr:nvPicPr>
        <xdr:cNvPr id="13" name="19 Imagen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78" b="9678"/>
        <a:stretch/>
      </xdr:blipFill>
      <xdr:spPr bwMode="auto">
        <a:xfrm>
          <a:off x="8677275" y="609600"/>
          <a:ext cx="3248026" cy="1746238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0</xdr:colOff>
      <xdr:row>0</xdr:row>
      <xdr:rowOff>95250</xdr:rowOff>
    </xdr:from>
    <xdr:to>
      <xdr:col>3</xdr:col>
      <xdr:colOff>16933</xdr:colOff>
      <xdr:row>2</xdr:row>
      <xdr:rowOff>133350</xdr:rowOff>
    </xdr:to>
    <xdr:sp macro="" textlink="">
      <xdr:nvSpPr>
        <xdr:cNvPr id="11" name="Pentágono 27">
          <a:hlinkClick xmlns:r="http://schemas.openxmlformats.org/officeDocument/2006/relationships" r:id="rId6" tooltip="INICIO"/>
          <a:extLst>
            <a:ext uri="{FF2B5EF4-FFF2-40B4-BE49-F238E27FC236}">
              <a16:creationId xmlns:a16="http://schemas.microsoft.com/office/drawing/2014/main" id="{CB74A4D6-7225-4796-921D-AA6735E57F48}"/>
            </a:ext>
          </a:extLst>
        </xdr:cNvPr>
        <xdr:cNvSpPr/>
      </xdr:nvSpPr>
      <xdr:spPr bwMode="auto">
        <a:xfrm>
          <a:off x="381000" y="95250"/>
          <a:ext cx="1798108" cy="381000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600" b="1">
              <a:solidFill>
                <a:schemeClr val="bg1"/>
              </a:solidFill>
            </a:rPr>
            <a:t>INICIO</a:t>
          </a:r>
        </a:p>
      </xdr:txBody>
    </xdr:sp>
    <xdr:clientData/>
  </xdr:twoCellAnchor>
  <xdr:twoCellAnchor editAs="oneCell">
    <xdr:from>
      <xdr:col>0</xdr:col>
      <xdr:colOff>295275</xdr:colOff>
      <xdr:row>7</xdr:row>
      <xdr:rowOff>161925</xdr:rowOff>
    </xdr:from>
    <xdr:to>
      <xdr:col>2</xdr:col>
      <xdr:colOff>3810</xdr:colOff>
      <xdr:row>13</xdr:row>
      <xdr:rowOff>100966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5D7DA97-3D44-432D-82A2-D49A2016A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95275" y="1362075"/>
          <a:ext cx="937260" cy="958216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20</xdr:col>
      <xdr:colOff>55032</xdr:colOff>
      <xdr:row>35</xdr:row>
      <xdr:rowOff>124886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22A7BE6-E432-4A52-9563-95ADC7A93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4295775"/>
          <a:ext cx="3360207" cy="18298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428625</xdr:colOff>
      <xdr:row>0</xdr:row>
      <xdr:rowOff>104775</xdr:rowOff>
    </xdr:from>
    <xdr:to>
      <xdr:col>4</xdr:col>
      <xdr:colOff>304800</xdr:colOff>
      <xdr:row>10</xdr:row>
      <xdr:rowOff>79298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1AB01A-BD41-C080-84C1-41ABA9D56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50000"/>
                  </a14:imgEffect>
                </a14:imgLayer>
              </a14:imgProps>
            </a:ext>
          </a:extLst>
        </a:blip>
        <a:srcRect r="7347"/>
        <a:stretch/>
      </xdr:blipFill>
      <xdr:spPr>
        <a:xfrm>
          <a:off x="2590800" y="104775"/>
          <a:ext cx="2162175" cy="16890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38100</xdr:colOff>
      <xdr:row>25</xdr:row>
      <xdr:rowOff>19050</xdr:rowOff>
    </xdr:from>
    <xdr:to>
      <xdr:col>20</xdr:col>
      <xdr:colOff>65628</xdr:colOff>
      <xdr:row>27</xdr:row>
      <xdr:rowOff>45675</xdr:rowOff>
    </xdr:to>
    <xdr:pic>
      <xdr:nvPicPr>
        <xdr:cNvPr id="14" name="Imagen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F1E6F98-FA22-477B-B09A-25DB787DF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rcRect t="18650" b="15433"/>
        <a:stretch/>
      </xdr:blipFill>
      <xdr:spPr>
        <a:xfrm>
          <a:off x="11458575" y="4314825"/>
          <a:ext cx="551403" cy="360000"/>
        </a:xfrm>
        <a:prstGeom prst="rect">
          <a:avLst/>
        </a:prstGeom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868425</xdr:colOff>
      <xdr:row>25</xdr:row>
      <xdr:rowOff>142876</xdr:rowOff>
    </xdr:from>
    <xdr:to>
      <xdr:col>5</xdr:col>
      <xdr:colOff>39074</xdr:colOff>
      <xdr:row>33</xdr:row>
      <xdr:rowOff>97951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555" b="10555"/>
        <a:stretch/>
      </xdr:blipFill>
      <xdr:spPr bwMode="auto">
        <a:xfrm>
          <a:off x="3030600" y="4429126"/>
          <a:ext cx="2504399" cy="131715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5</xdr:col>
      <xdr:colOff>180975</xdr:colOff>
      <xdr:row>27</xdr:row>
      <xdr:rowOff>95250</xdr:rowOff>
    </xdr:from>
    <xdr:to>
      <xdr:col>8</xdr:col>
      <xdr:colOff>142199</xdr:colOff>
      <xdr:row>35</xdr:row>
      <xdr:rowOff>59850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23" b="9523"/>
        <a:stretch/>
      </xdr:blipFill>
      <xdr:spPr bwMode="auto">
        <a:xfrm>
          <a:off x="5676900" y="4714875"/>
          <a:ext cx="2475824" cy="13362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</xdr:col>
      <xdr:colOff>47625</xdr:colOff>
      <xdr:row>24</xdr:row>
      <xdr:rowOff>19109</xdr:rowOff>
    </xdr:from>
    <xdr:to>
      <xdr:col>3</xdr:col>
      <xdr:colOff>723224</xdr:colOff>
      <xdr:row>31</xdr:row>
      <xdr:rowOff>136109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35" r="7335"/>
        <a:stretch/>
      </xdr:blipFill>
      <xdr:spPr bwMode="auto">
        <a:xfrm>
          <a:off x="428625" y="4133909"/>
          <a:ext cx="2456774" cy="1307625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11</xdr:col>
      <xdr:colOff>47625</xdr:colOff>
      <xdr:row>3</xdr:row>
      <xdr:rowOff>76199</xdr:rowOff>
    </xdr:from>
    <xdr:to>
      <xdr:col>19</xdr:col>
      <xdr:colOff>195958</xdr:colOff>
      <xdr:row>13</xdr:row>
      <xdr:rowOff>113013</xdr:rowOff>
    </xdr:to>
    <xdr:pic>
      <xdr:nvPicPr>
        <xdr:cNvPr id="12" name="19 Imagen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91" b="1991"/>
        <a:stretch/>
      </xdr:blipFill>
      <xdr:spPr bwMode="auto">
        <a:xfrm>
          <a:off x="8686800" y="590549"/>
          <a:ext cx="3224908" cy="1741789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absolute">
    <xdr:from>
      <xdr:col>4</xdr:col>
      <xdr:colOff>733425</xdr:colOff>
      <xdr:row>0</xdr:row>
      <xdr:rowOff>133350</xdr:rowOff>
    </xdr:from>
    <xdr:to>
      <xdr:col>8</xdr:col>
      <xdr:colOff>195862</xdr:colOff>
      <xdr:row>10</xdr:row>
      <xdr:rowOff>28050</xdr:rowOff>
    </xdr:to>
    <xdr:pic>
      <xdr:nvPicPr>
        <xdr:cNvPr id="14" name="22 Imagen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02" b="3702"/>
        <a:stretch/>
      </xdr:blipFill>
      <xdr:spPr bwMode="auto">
        <a:xfrm>
          <a:off x="5181600" y="133350"/>
          <a:ext cx="3024787" cy="1609200"/>
        </a:xfrm>
        <a:prstGeom prst="snip2DiagRect">
          <a:avLst>
            <a:gd name="adj1" fmla="val 0"/>
            <a:gd name="adj2" fmla="val 23470"/>
          </a:avLst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0</xdr:colOff>
      <xdr:row>0</xdr:row>
      <xdr:rowOff>95250</xdr:rowOff>
    </xdr:from>
    <xdr:to>
      <xdr:col>3</xdr:col>
      <xdr:colOff>16933</xdr:colOff>
      <xdr:row>2</xdr:row>
      <xdr:rowOff>133350</xdr:rowOff>
    </xdr:to>
    <xdr:sp macro="" textlink="">
      <xdr:nvSpPr>
        <xdr:cNvPr id="11" name="Pentágono 27">
          <a:hlinkClick xmlns:r="http://schemas.openxmlformats.org/officeDocument/2006/relationships" r:id="rId6" tooltip="INICIO"/>
          <a:extLst>
            <a:ext uri="{FF2B5EF4-FFF2-40B4-BE49-F238E27FC236}">
              <a16:creationId xmlns:a16="http://schemas.microsoft.com/office/drawing/2014/main" id="{97382FA9-3AA6-4B6F-A5C2-A5FD6126B0DE}"/>
            </a:ext>
          </a:extLst>
        </xdr:cNvPr>
        <xdr:cNvSpPr/>
      </xdr:nvSpPr>
      <xdr:spPr bwMode="auto">
        <a:xfrm>
          <a:off x="381000" y="95250"/>
          <a:ext cx="1798108" cy="381000"/>
        </a:xfrm>
        <a:prstGeom prst="flowChartOnlineStorage">
          <a:avLst/>
        </a:prstGeom>
        <a:solidFill>
          <a:srgbClr val="8E1C3E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s-PE" sz="1600" b="1">
              <a:solidFill>
                <a:schemeClr val="bg1"/>
              </a:solidFill>
            </a:rPr>
            <a:t>INICIO</a:t>
          </a:r>
        </a:p>
      </xdr:txBody>
    </xdr:sp>
    <xdr:clientData/>
  </xdr:twoCellAnchor>
  <xdr:twoCellAnchor editAs="oneCell">
    <xdr:from>
      <xdr:col>0</xdr:col>
      <xdr:colOff>295275</xdr:colOff>
      <xdr:row>7</xdr:row>
      <xdr:rowOff>152400</xdr:rowOff>
    </xdr:from>
    <xdr:to>
      <xdr:col>2</xdr:col>
      <xdr:colOff>3810</xdr:colOff>
      <xdr:row>13</xdr:row>
      <xdr:rowOff>91441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00D72AD-8350-4D10-8972-7D0C92DFA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95275" y="1352550"/>
          <a:ext cx="937260" cy="958216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20</xdr:col>
      <xdr:colOff>55032</xdr:colOff>
      <xdr:row>35</xdr:row>
      <xdr:rowOff>124886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543B413-9997-4592-932D-5C4B4C9A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4286250"/>
          <a:ext cx="3360207" cy="18298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419100</xdr:colOff>
      <xdr:row>0</xdr:row>
      <xdr:rowOff>95250</xdr:rowOff>
    </xdr:from>
    <xdr:to>
      <xdr:col>4</xdr:col>
      <xdr:colOff>304229</xdr:colOff>
      <xdr:row>10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9BD4F4-D93A-CBB4-B430-8DE17E3DD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581275" y="95250"/>
          <a:ext cx="2171129" cy="16573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38100</xdr:colOff>
      <xdr:row>25</xdr:row>
      <xdr:rowOff>19050</xdr:rowOff>
    </xdr:from>
    <xdr:to>
      <xdr:col>20</xdr:col>
      <xdr:colOff>65628</xdr:colOff>
      <xdr:row>27</xdr:row>
      <xdr:rowOff>45675</xdr:rowOff>
    </xdr:to>
    <xdr:pic>
      <xdr:nvPicPr>
        <xdr:cNvPr id="13" name="Imagen 12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177F86F-89DF-46E0-8E2F-6F5E3BC579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colorTemperature colorTemp="7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rcRect t="18650" b="15433"/>
        <a:stretch/>
      </xdr:blipFill>
      <xdr:spPr>
        <a:xfrm>
          <a:off x="11458575" y="4305300"/>
          <a:ext cx="551403" cy="360000"/>
        </a:xfrm>
        <a:prstGeom prst="rect">
          <a:avLst/>
        </a:prstGeom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5"/>
  <dimension ref="F1:AA28"/>
  <sheetViews>
    <sheetView showGridLines="0" showRowColHeaders="0" tabSelected="1" workbookViewId="0">
      <selection activeCell="G24" sqref="G24:H24"/>
    </sheetView>
  </sheetViews>
  <sheetFormatPr baseColWidth="10" defaultColWidth="11.44140625" defaultRowHeight="13.2" zeroHeight="1"/>
  <cols>
    <col min="1" max="9" width="11.44140625" style="34"/>
    <col min="10" max="11" width="11.44140625" style="39"/>
    <col min="12" max="12" width="12.44140625" style="39" customWidth="1"/>
    <col min="13" max="27" width="0" style="34" hidden="1" customWidth="1"/>
    <col min="28" max="16384" width="11.44140625" style="34"/>
  </cols>
  <sheetData>
    <row r="1" spans="27:27"/>
    <row r="2" spans="27:27"/>
    <row r="3" spans="27:27"/>
    <row r="4" spans="27:27"/>
    <row r="5" spans="27:27">
      <c r="AA5" s="33" t="s">
        <v>8</v>
      </c>
    </row>
    <row r="6" spans="27:27">
      <c r="AA6" s="33" t="s">
        <v>99</v>
      </c>
    </row>
    <row r="7" spans="27:27">
      <c r="AA7" s="33" t="s">
        <v>56</v>
      </c>
    </row>
    <row r="8" spans="27:27">
      <c r="AA8" s="33" t="s">
        <v>69</v>
      </c>
    </row>
    <row r="9" spans="27:27">
      <c r="AA9" s="33" t="s">
        <v>97</v>
      </c>
    </row>
    <row r="10" spans="27:27">
      <c r="AA10" s="33" t="s">
        <v>98</v>
      </c>
    </row>
    <row r="11" spans="27:27">
      <c r="AA11" s="33" t="s">
        <v>60</v>
      </c>
    </row>
    <row r="12" spans="27:27">
      <c r="AA12" s="33" t="s">
        <v>46</v>
      </c>
    </row>
    <row r="13" spans="27:27">
      <c r="AA13" s="33" t="s">
        <v>48</v>
      </c>
    </row>
    <row r="14" spans="27:27">
      <c r="AA14" s="33" t="s">
        <v>96</v>
      </c>
    </row>
    <row r="15" spans="27:27">
      <c r="AA15" s="33" t="s">
        <v>126</v>
      </c>
    </row>
    <row r="16" spans="27:27">
      <c r="AA16" s="33" t="s">
        <v>50</v>
      </c>
    </row>
    <row r="17" spans="6:27">
      <c r="AA17" s="33" t="s">
        <v>101</v>
      </c>
    </row>
    <row r="18" spans="6:27"/>
    <row r="19" spans="6:27"/>
    <row r="20" spans="6:27"/>
    <row r="21" spans="6:27"/>
    <row r="22" spans="6:27">
      <c r="F22" s="35" t="s">
        <v>124</v>
      </c>
    </row>
    <row r="23" spans="6:27" ht="13.8" thickBot="1"/>
    <row r="24" spans="6:27" ht="23.4" thickBot="1">
      <c r="G24" s="161" t="s">
        <v>126</v>
      </c>
      <c r="H24" s="162"/>
    </row>
    <row r="25" spans="6:27"/>
    <row r="26" spans="6:27"/>
    <row r="27" spans="6:27"/>
    <row r="28" spans="6:27"/>
  </sheetData>
  <sheetProtection algorithmName="SHA-512" hashValue="5uQxatK74V21OXQ2Egc4zYBZmXpM3+XZFRZSJDVUc8BnOEcGbsrPH+JC1C45eLj5gNreagL5TXfTK5mUv14esg==" saltValue="hK0NifiKK+ewl/YAvV8KCQ==" spinCount="100000" sheet="1" objects="1" scenarios="1" selectLockedCells="1"/>
  <mergeCells count="1">
    <mergeCell ref="G24:H24"/>
  </mergeCells>
  <dataValidations count="1">
    <dataValidation type="list" allowBlank="1" showInputMessage="1" showErrorMessage="1" sqref="G24:H24" xr:uid="{00000000-0002-0000-0000-000000000000}">
      <formula1>paises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U62"/>
  <sheetViews>
    <sheetView showGridLines="0" showRowColHeaders="0" workbookViewId="0">
      <selection activeCell="B1" sqref="B1"/>
    </sheetView>
  </sheetViews>
  <sheetFormatPr baseColWidth="10" defaultColWidth="0" defaultRowHeight="13.2" zeroHeight="1"/>
  <cols>
    <col min="1" max="1" width="5" style="1" customWidth="1"/>
    <col min="2" max="2" width="10.5546875" style="1" customWidth="1"/>
    <col min="3" max="3" width="10" style="1" customWidth="1"/>
    <col min="4" max="4" width="21.33203125" style="1" customWidth="1"/>
    <col min="5" max="5" width="18.44140625" style="1" bestFit="1" customWidth="1"/>
    <col min="6" max="6" width="18" style="1" customWidth="1"/>
    <col min="7" max="7" width="4.88671875" style="1" customWidth="1"/>
    <col min="8" max="8" width="18.109375" style="1" customWidth="1"/>
    <col min="9" max="9" width="5" style="1" customWidth="1"/>
    <col min="10" max="10" width="4" style="1" customWidth="1"/>
    <col min="11" max="11" width="13" style="1" customWidth="1"/>
    <col min="12" max="12" width="3.109375" style="1" customWidth="1"/>
    <col min="13" max="13" width="3.6640625" style="1" customWidth="1"/>
    <col min="14" max="16" width="3.5546875" style="1" customWidth="1"/>
    <col min="17" max="17" width="3.6640625" style="1" customWidth="1"/>
    <col min="18" max="18" width="3.109375" style="1" customWidth="1"/>
    <col min="19" max="19" width="3.88671875" style="1" customWidth="1"/>
    <col min="20" max="20" width="5.88671875" style="1" customWidth="1"/>
    <col min="21" max="21" width="18.44140625" style="1" hidden="1" customWidth="1"/>
    <col min="22" max="16384" width="11.44140625" style="1" hidden="1"/>
  </cols>
  <sheetData>
    <row r="1" spans="2:21" ht="15">
      <c r="D1" s="125" t="s">
        <v>125</v>
      </c>
      <c r="E1" s="126">
        <f ca="1">NOW()</f>
        <v>44792.484030092593</v>
      </c>
    </row>
    <row r="2" spans="2:21"/>
    <row r="3" spans="2:21" ht="13.8" thickBot="1">
      <c r="B3" s="49" t="str">
        <f>'GRUPO A'!B16</f>
        <v>Dia</v>
      </c>
      <c r="C3" s="50" t="str">
        <f>'GRUPO A'!C16</f>
        <v>Hora</v>
      </c>
      <c r="D3" s="50" t="str">
        <f>'GRUPO A'!D16</f>
        <v>Sede</v>
      </c>
      <c r="E3" s="50" t="str">
        <f>'GRUPO A'!E16</f>
        <v>Estado</v>
      </c>
      <c r="F3" s="174" t="str">
        <f>'GRUPO A'!F16</f>
        <v>Partidos</v>
      </c>
      <c r="G3" s="174">
        <f>'GRUPO A'!G16</f>
        <v>0</v>
      </c>
      <c r="H3" s="174">
        <f>'GRUPO A'!H16</f>
        <v>0</v>
      </c>
      <c r="I3" s="175">
        <f>'GRUPO A'!I16</f>
        <v>0</v>
      </c>
    </row>
    <row r="4" spans="2:21" ht="13.8" thickBot="1">
      <c r="B4" s="51">
        <f>'GRUPO A'!B17</f>
        <v>44885</v>
      </c>
      <c r="C4" s="52">
        <f>'GRUPO A'!C17</f>
        <v>0.79166666666666674</v>
      </c>
      <c r="D4" s="127" t="str">
        <f>'GRUPO A'!D17</f>
        <v>Al Bayt</v>
      </c>
      <c r="E4" s="53" t="str">
        <f ca="1">'GRUPO A'!E17</f>
        <v>Proximamente..</v>
      </c>
      <c r="F4" s="54" t="str">
        <f>'GRUPO A'!F17</f>
        <v>Qatar</v>
      </c>
      <c r="G4" s="132" t="str">
        <f>IF('GRUPO A'!G17="","",'GRUPO A'!G17)</f>
        <v/>
      </c>
      <c r="H4" s="54" t="str">
        <f>'GRUPO A'!H17</f>
        <v>Ecuador</v>
      </c>
      <c r="I4" s="135" t="str">
        <f>IF('GRUPO A'!I17="","",'GRUPO A'!I17)</f>
        <v/>
      </c>
      <c r="J4" s="2"/>
      <c r="K4" s="29" t="str">
        <f>Hoja1!B6</f>
        <v>Equipo</v>
      </c>
      <c r="L4" s="30" t="str">
        <f>Hoja1!C6</f>
        <v>G</v>
      </c>
      <c r="M4" s="30" t="str">
        <f>Hoja1!D6</f>
        <v>E</v>
      </c>
      <c r="N4" s="30" t="str">
        <f>Hoja1!E6</f>
        <v>P</v>
      </c>
      <c r="O4" s="30" t="str">
        <f>Hoja1!F6</f>
        <v>GF</v>
      </c>
      <c r="P4" s="30" t="str">
        <f>Hoja1!G6</f>
        <v>GC</v>
      </c>
      <c r="Q4" s="30" t="str">
        <f>Hoja1!H6</f>
        <v>DG</v>
      </c>
      <c r="R4" s="30" t="str">
        <f>Hoja1!I6</f>
        <v>Pts.</v>
      </c>
      <c r="S4" s="30" t="s">
        <v>5</v>
      </c>
      <c r="U4" s="1" t="s">
        <v>6</v>
      </c>
    </row>
    <row r="5" spans="2:21">
      <c r="B5" s="55">
        <f>'GRUPO A'!B18</f>
        <v>44886</v>
      </c>
      <c r="C5" s="56">
        <f>'GRUPO A'!C18</f>
        <v>0.79166666666666674</v>
      </c>
      <c r="D5" s="128" t="str">
        <f>'GRUPO A'!D18</f>
        <v>Al Thumama</v>
      </c>
      <c r="E5" s="57" t="str">
        <f ca="1">'GRUPO A'!E18</f>
        <v>Proximamente..</v>
      </c>
      <c r="F5" s="58" t="str">
        <f>'GRUPO A'!F18</f>
        <v>Senegal</v>
      </c>
      <c r="G5" s="133" t="str">
        <f>IF('GRUPO A'!G18="","",'GRUPO A'!G18)</f>
        <v/>
      </c>
      <c r="H5" s="58" t="str">
        <f>'GRUPO A'!H18</f>
        <v>Países Bajos</v>
      </c>
      <c r="I5" s="136" t="str">
        <f>IF('GRUPO A'!I18="","",'GRUPO A'!I18)</f>
        <v/>
      </c>
      <c r="J5" s="2"/>
      <c r="K5" s="31" t="str">
        <f>Hoja1!B7</f>
        <v>Qatar</v>
      </c>
      <c r="L5" s="70">
        <f>Hoja1!C7</f>
        <v>0</v>
      </c>
      <c r="M5" s="70">
        <f>Hoja1!D7</f>
        <v>0</v>
      </c>
      <c r="N5" s="70">
        <f>Hoja1!E7</f>
        <v>0</v>
      </c>
      <c r="O5" s="70">
        <f>Hoja1!F7</f>
        <v>0</v>
      </c>
      <c r="P5" s="70">
        <f>Hoja1!G7</f>
        <v>0</v>
      </c>
      <c r="Q5" s="70">
        <f>Hoja1!H7</f>
        <v>0</v>
      </c>
      <c r="R5" s="70">
        <f>Hoja1!I7</f>
        <v>0</v>
      </c>
      <c r="S5" s="70">
        <f>SUM(L5:N5)</f>
        <v>0</v>
      </c>
      <c r="U5" s="1" t="str">
        <f>K5</f>
        <v>Qatar</v>
      </c>
    </row>
    <row r="6" spans="2:21">
      <c r="B6" s="55">
        <f>'GRUPO A'!B19</f>
        <v>44890</v>
      </c>
      <c r="C6" s="56">
        <f>'GRUPO A'!C19</f>
        <v>0.66666666666666674</v>
      </c>
      <c r="D6" s="128" t="str">
        <f>'GRUPO A'!D19</f>
        <v>Al Thumama</v>
      </c>
      <c r="E6" s="57" t="str">
        <f ca="1">'GRUPO A'!E19</f>
        <v>Proximamente..</v>
      </c>
      <c r="F6" s="58" t="str">
        <f>'GRUPO A'!F19</f>
        <v>Qatar</v>
      </c>
      <c r="G6" s="133" t="str">
        <f>IF('GRUPO A'!G19="","",'GRUPO A'!G19)</f>
        <v/>
      </c>
      <c r="H6" s="58" t="str">
        <f>'GRUPO A'!H19</f>
        <v>Senegal</v>
      </c>
      <c r="I6" s="136" t="str">
        <f>IF('GRUPO A'!I19="","",'GRUPO A'!I19)</f>
        <v/>
      </c>
      <c r="J6" s="2"/>
      <c r="K6" s="31" t="str">
        <f>Hoja1!B8</f>
        <v>Ecuador</v>
      </c>
      <c r="L6" s="70">
        <f>Hoja1!C8</f>
        <v>0</v>
      </c>
      <c r="M6" s="70">
        <f>Hoja1!D8</f>
        <v>0</v>
      </c>
      <c r="N6" s="70">
        <f>Hoja1!E8</f>
        <v>0</v>
      </c>
      <c r="O6" s="70">
        <f>Hoja1!F8</f>
        <v>0</v>
      </c>
      <c r="P6" s="70">
        <f>Hoja1!G8</f>
        <v>0</v>
      </c>
      <c r="Q6" s="70">
        <f>Hoja1!H8</f>
        <v>0</v>
      </c>
      <c r="R6" s="70">
        <f>Hoja1!I8</f>
        <v>0</v>
      </c>
      <c r="S6" s="70">
        <f>SUM(L6:N6)</f>
        <v>0</v>
      </c>
      <c r="U6" s="1" t="str">
        <f>K6</f>
        <v>Ecuador</v>
      </c>
    </row>
    <row r="7" spans="2:21">
      <c r="B7" s="55">
        <f>'GRUPO A'!B20</f>
        <v>44890</v>
      </c>
      <c r="C7" s="56">
        <f>'GRUPO A'!C20</f>
        <v>0.79166666666666674</v>
      </c>
      <c r="D7" s="128" t="str">
        <f>'GRUPO A'!D20</f>
        <v>Khalifa International</v>
      </c>
      <c r="E7" s="57" t="str">
        <f ca="1">'GRUPO A'!E20</f>
        <v>Proximamente..</v>
      </c>
      <c r="F7" s="58" t="str">
        <f>'GRUPO A'!F20</f>
        <v>Países Bajos</v>
      </c>
      <c r="G7" s="133" t="str">
        <f>IF('GRUPO A'!G20="","",'GRUPO A'!G20)</f>
        <v/>
      </c>
      <c r="H7" s="58" t="str">
        <f>'GRUPO A'!H20</f>
        <v>Ecuador</v>
      </c>
      <c r="I7" s="136" t="str">
        <f>IF('GRUPO A'!I20="","",'GRUPO A'!I20)</f>
        <v/>
      </c>
      <c r="J7" s="2"/>
      <c r="K7" s="31" t="str">
        <f>Hoja1!B9</f>
        <v>Senegal</v>
      </c>
      <c r="L7" s="70">
        <f>Hoja1!C9</f>
        <v>0</v>
      </c>
      <c r="M7" s="70">
        <f>Hoja1!D9</f>
        <v>0</v>
      </c>
      <c r="N7" s="70">
        <f>Hoja1!E9</f>
        <v>0</v>
      </c>
      <c r="O7" s="70">
        <f>Hoja1!F9</f>
        <v>0</v>
      </c>
      <c r="P7" s="70">
        <f>Hoja1!G9</f>
        <v>0</v>
      </c>
      <c r="Q7" s="70">
        <f>Hoja1!H9</f>
        <v>0</v>
      </c>
      <c r="R7" s="70">
        <f>Hoja1!I9</f>
        <v>0</v>
      </c>
      <c r="S7" s="70">
        <f>SUM(L7:N7)</f>
        <v>0</v>
      </c>
    </row>
    <row r="8" spans="2:21" ht="13.8" thickBot="1">
      <c r="B8" s="55">
        <f>'GRUPO A'!B21</f>
        <v>44894</v>
      </c>
      <c r="C8" s="56">
        <f>'GRUPO A'!C21</f>
        <v>0.75</v>
      </c>
      <c r="D8" s="128" t="str">
        <f>'GRUPO A'!D21</f>
        <v>Al Bayt</v>
      </c>
      <c r="E8" s="57" t="str">
        <f ca="1">'GRUPO A'!E21</f>
        <v>Proximamente..</v>
      </c>
      <c r="F8" s="58" t="str">
        <f>'GRUPO A'!F21</f>
        <v>Países Bajos</v>
      </c>
      <c r="G8" s="133" t="str">
        <f>IF('GRUPO A'!G21="","",'GRUPO A'!G21)</f>
        <v/>
      </c>
      <c r="H8" s="58" t="str">
        <f>'GRUPO A'!H21</f>
        <v>Qatar</v>
      </c>
      <c r="I8" s="136" t="str">
        <f>IF('GRUPO A'!I21="","",'GRUPO A'!I21)</f>
        <v/>
      </c>
      <c r="J8" s="2"/>
      <c r="K8" s="32" t="str">
        <f>Hoja1!B10</f>
        <v>Países Bajos</v>
      </c>
      <c r="L8" s="71">
        <f>Hoja1!C10</f>
        <v>0</v>
      </c>
      <c r="M8" s="71">
        <f>Hoja1!D10</f>
        <v>0</v>
      </c>
      <c r="N8" s="71">
        <f>Hoja1!E10</f>
        <v>0</v>
      </c>
      <c r="O8" s="71">
        <f>Hoja1!F10</f>
        <v>0</v>
      </c>
      <c r="P8" s="71">
        <f>Hoja1!G10</f>
        <v>0</v>
      </c>
      <c r="Q8" s="71">
        <f>Hoja1!H10</f>
        <v>0</v>
      </c>
      <c r="R8" s="71">
        <f>Hoja1!I10</f>
        <v>0</v>
      </c>
      <c r="S8" s="71">
        <f>SUM(L8:N8)</f>
        <v>0</v>
      </c>
    </row>
    <row r="9" spans="2:21">
      <c r="B9" s="59">
        <f>'GRUPO A'!B22</f>
        <v>44894</v>
      </c>
      <c r="C9" s="60">
        <f>'GRUPO A'!C22</f>
        <v>0.75</v>
      </c>
      <c r="D9" s="129" t="str">
        <f>'GRUPO A'!D22</f>
        <v>Khalifa International</v>
      </c>
      <c r="E9" s="61" t="str">
        <f ca="1">'GRUPO A'!E22</f>
        <v>Proximamente..</v>
      </c>
      <c r="F9" s="62" t="str">
        <f>'GRUPO A'!F22</f>
        <v>Ecuador</v>
      </c>
      <c r="G9" s="134" t="str">
        <f>IF('GRUPO A'!G22="","",'GRUPO A'!G22)</f>
        <v/>
      </c>
      <c r="H9" s="62" t="str">
        <f>'GRUPO A'!H22</f>
        <v>Senegal</v>
      </c>
      <c r="I9" s="137" t="str">
        <f>IF('GRUPO A'!I22="","",'GRUPO A'!I22)</f>
        <v/>
      </c>
      <c r="J9" s="2"/>
      <c r="L9" s="131"/>
      <c r="M9" s="131"/>
      <c r="N9" s="131"/>
      <c r="O9" s="131"/>
      <c r="P9" s="131"/>
      <c r="Q9" s="131"/>
      <c r="R9" s="131"/>
      <c r="S9" s="131"/>
    </row>
    <row r="10" spans="2:21" ht="13.8" thickBot="1">
      <c r="B10" s="49" t="str">
        <f>'GRUPO B'!B16</f>
        <v>Dia</v>
      </c>
      <c r="C10" s="50" t="str">
        <f>'GRUPO B'!C16</f>
        <v>Hora</v>
      </c>
      <c r="D10" s="50" t="str">
        <f>'GRUPO B'!D16</f>
        <v>Sede</v>
      </c>
      <c r="E10" s="50" t="str">
        <f>'GRUPO B'!E16</f>
        <v>Estado</v>
      </c>
      <c r="F10" s="174" t="str">
        <f>'GRUPO B'!F16</f>
        <v>Partidos</v>
      </c>
      <c r="G10" s="174">
        <f>'GRUPO B'!G16</f>
        <v>0</v>
      </c>
      <c r="H10" s="174">
        <f>'GRUPO B'!H16</f>
        <v>0</v>
      </c>
      <c r="I10" s="175">
        <f>'GRUPO B'!I16</f>
        <v>0</v>
      </c>
      <c r="J10" s="3"/>
      <c r="L10" s="131"/>
      <c r="M10" s="131"/>
      <c r="N10" s="131"/>
      <c r="O10" s="131"/>
      <c r="P10" s="131"/>
      <c r="Q10" s="131"/>
      <c r="R10" s="131"/>
      <c r="S10" s="131"/>
    </row>
    <row r="11" spans="2:21" ht="13.8" thickBot="1">
      <c r="B11" s="51">
        <f>'GRUPO B'!B17</f>
        <v>44886</v>
      </c>
      <c r="C11" s="52">
        <f>'GRUPO B'!C17</f>
        <v>0.66666666666666674</v>
      </c>
      <c r="D11" s="127" t="str">
        <f>'GRUPO B'!D17</f>
        <v>Khalifa International</v>
      </c>
      <c r="E11" s="53" t="str">
        <f ca="1">'GRUPO B'!E17</f>
        <v>Proximamente...</v>
      </c>
      <c r="F11" s="54" t="str">
        <f>'GRUPO B'!F17</f>
        <v>Inglaterra</v>
      </c>
      <c r="G11" s="132" t="str">
        <f>IF('GRUPO B'!G17="","",'GRUPO B'!G17)</f>
        <v/>
      </c>
      <c r="H11" s="54" t="str">
        <f>'GRUPO B'!H17</f>
        <v>Irán</v>
      </c>
      <c r="I11" s="135" t="str">
        <f>IF('GRUPO B'!I17="","",'GRUPO B'!I17)</f>
        <v/>
      </c>
      <c r="J11" s="2"/>
      <c r="K11" s="29" t="str">
        <f>Hoja1!B13</f>
        <v>Equipo</v>
      </c>
      <c r="L11" s="30" t="str">
        <f>Hoja1!C13</f>
        <v>G</v>
      </c>
      <c r="M11" s="30" t="str">
        <f>Hoja1!D13</f>
        <v>E</v>
      </c>
      <c r="N11" s="30" t="str">
        <f>Hoja1!E13</f>
        <v>P</v>
      </c>
      <c r="O11" s="30" t="str">
        <f>Hoja1!F13</f>
        <v>GF</v>
      </c>
      <c r="P11" s="30" t="str">
        <f>Hoja1!G13</f>
        <v>GC</v>
      </c>
      <c r="Q11" s="30" t="str">
        <f>Hoja1!H13</f>
        <v>DG</v>
      </c>
      <c r="R11" s="30" t="str">
        <f>Hoja1!I13</f>
        <v>Pts.</v>
      </c>
      <c r="S11" s="30" t="s">
        <v>5</v>
      </c>
      <c r="U11" s="1" t="s">
        <v>6</v>
      </c>
    </row>
    <row r="12" spans="2:21">
      <c r="B12" s="55">
        <f>'GRUPO B'!B18</f>
        <v>44886</v>
      </c>
      <c r="C12" s="56">
        <f>'GRUPO B'!C18</f>
        <v>0.91666666666666663</v>
      </c>
      <c r="D12" s="128" t="str">
        <f>'GRUPO B'!D18</f>
        <v>Ahmad Bin Ali</v>
      </c>
      <c r="E12" s="57" t="str">
        <f ca="1">'GRUPO B'!E18</f>
        <v>Proximamente...</v>
      </c>
      <c r="F12" s="58" t="str">
        <f>'GRUPO B'!F18</f>
        <v>Estados Unidos</v>
      </c>
      <c r="G12" s="133" t="str">
        <f>IF('GRUPO B'!G18="","",'GRUPO B'!G18)</f>
        <v/>
      </c>
      <c r="H12" s="58" t="str">
        <f>'GRUPO B'!H18</f>
        <v>Gales</v>
      </c>
      <c r="I12" s="136" t="str">
        <f>IF('GRUPO B'!I18="","",'GRUPO B'!I18)</f>
        <v/>
      </c>
      <c r="J12" s="2"/>
      <c r="K12" s="31" t="str">
        <f>Hoja1!B14</f>
        <v>Inglaterra</v>
      </c>
      <c r="L12" s="70">
        <f>Hoja1!C14</f>
        <v>0</v>
      </c>
      <c r="M12" s="70">
        <f>Hoja1!D14</f>
        <v>0</v>
      </c>
      <c r="N12" s="70">
        <f>Hoja1!E14</f>
        <v>0</v>
      </c>
      <c r="O12" s="70">
        <f>Hoja1!F14</f>
        <v>0</v>
      </c>
      <c r="P12" s="70">
        <f>Hoja1!G14</f>
        <v>0</v>
      </c>
      <c r="Q12" s="70">
        <f>Hoja1!H14</f>
        <v>0</v>
      </c>
      <c r="R12" s="70">
        <f>Hoja1!I14</f>
        <v>0</v>
      </c>
      <c r="S12" s="70">
        <f>SUM(L12:N12)</f>
        <v>0</v>
      </c>
      <c r="U12" s="1" t="str">
        <f>K12</f>
        <v>Inglaterra</v>
      </c>
    </row>
    <row r="13" spans="2:21">
      <c r="B13" s="55">
        <f>'GRUPO B'!B19</f>
        <v>44890</v>
      </c>
      <c r="C13" s="56">
        <f>'GRUPO B'!C19</f>
        <v>0.91666666666666663</v>
      </c>
      <c r="D13" s="128" t="str">
        <f>'GRUPO B'!D19</f>
        <v>Al Bayt</v>
      </c>
      <c r="E13" s="57" t="str">
        <f ca="1">'GRUPO B'!E19</f>
        <v>Proximamente...</v>
      </c>
      <c r="F13" s="58" t="str">
        <f>'GRUPO B'!F19</f>
        <v>Inglaterra</v>
      </c>
      <c r="G13" s="133" t="str">
        <f>IF('GRUPO B'!G19="","",'GRUPO B'!G19)</f>
        <v/>
      </c>
      <c r="H13" s="58" t="str">
        <f>'GRUPO B'!H19</f>
        <v>Estados Unidos</v>
      </c>
      <c r="I13" s="136" t="str">
        <f>IF('GRUPO B'!I19="","",'GRUPO B'!I19)</f>
        <v/>
      </c>
      <c r="J13" s="2"/>
      <c r="K13" s="31" t="str">
        <f>Hoja1!B15</f>
        <v>Irán</v>
      </c>
      <c r="L13" s="70">
        <f>Hoja1!C15</f>
        <v>0</v>
      </c>
      <c r="M13" s="70">
        <f>Hoja1!D15</f>
        <v>0</v>
      </c>
      <c r="N13" s="70">
        <f>Hoja1!E15</f>
        <v>0</v>
      </c>
      <c r="O13" s="70">
        <f>Hoja1!F15</f>
        <v>0</v>
      </c>
      <c r="P13" s="70">
        <f>Hoja1!G15</f>
        <v>0</v>
      </c>
      <c r="Q13" s="70">
        <f>Hoja1!H15</f>
        <v>0</v>
      </c>
      <c r="R13" s="70">
        <f>Hoja1!I15</f>
        <v>0</v>
      </c>
      <c r="S13" s="70">
        <f>SUM(L13:N13)</f>
        <v>0</v>
      </c>
      <c r="U13" s="1" t="str">
        <f>K13</f>
        <v>Irán</v>
      </c>
    </row>
    <row r="14" spans="2:21">
      <c r="B14" s="55">
        <f>'GRUPO B'!B20</f>
        <v>44890</v>
      </c>
      <c r="C14" s="56">
        <f>'GRUPO B'!C20</f>
        <v>0.54166666666666663</v>
      </c>
      <c r="D14" s="128" t="str">
        <f>'GRUPO B'!D20</f>
        <v>Ahmad Bin Ali</v>
      </c>
      <c r="E14" s="57" t="str">
        <f ca="1">'GRUPO B'!E20</f>
        <v>Proximamente...</v>
      </c>
      <c r="F14" s="58" t="str">
        <f>'GRUPO B'!F20</f>
        <v>Gales</v>
      </c>
      <c r="G14" s="133" t="str">
        <f>IF('GRUPO B'!G20="","",'GRUPO B'!G20)</f>
        <v/>
      </c>
      <c r="H14" s="58" t="str">
        <f>'GRUPO B'!H20</f>
        <v>Irán</v>
      </c>
      <c r="I14" s="136" t="str">
        <f>IF('GRUPO B'!I20="","",'GRUPO B'!I20)</f>
        <v/>
      </c>
      <c r="J14" s="2"/>
      <c r="K14" s="31" t="str">
        <f>Hoja1!B16</f>
        <v>Estados Unidos</v>
      </c>
      <c r="L14" s="70">
        <f>Hoja1!C16</f>
        <v>0</v>
      </c>
      <c r="M14" s="70">
        <f>Hoja1!D16</f>
        <v>0</v>
      </c>
      <c r="N14" s="70">
        <f>Hoja1!E16</f>
        <v>0</v>
      </c>
      <c r="O14" s="70">
        <f>Hoja1!F16</f>
        <v>0</v>
      </c>
      <c r="P14" s="70">
        <f>Hoja1!G16</f>
        <v>0</v>
      </c>
      <c r="Q14" s="70">
        <f>Hoja1!H16</f>
        <v>0</v>
      </c>
      <c r="R14" s="70">
        <f>Hoja1!I16</f>
        <v>0</v>
      </c>
      <c r="S14" s="70">
        <f>SUM(L14:N14)</f>
        <v>0</v>
      </c>
    </row>
    <row r="15" spans="2:21" ht="13.8" thickBot="1">
      <c r="B15" s="55">
        <f>'GRUPO B'!B21</f>
        <v>44894</v>
      </c>
      <c r="C15" s="56">
        <f>'GRUPO B'!C21</f>
        <v>0.91666666666666663</v>
      </c>
      <c r="D15" s="128" t="str">
        <f>'GRUPO B'!D21</f>
        <v>Ahmad Bin Ali</v>
      </c>
      <c r="E15" s="57" t="str">
        <f ca="1">'GRUPO B'!E21</f>
        <v>Proximamente...</v>
      </c>
      <c r="F15" s="58" t="str">
        <f>'GRUPO B'!F21</f>
        <v>Gales</v>
      </c>
      <c r="G15" s="133" t="str">
        <f>IF('GRUPO B'!G21="","",'GRUPO B'!G21)</f>
        <v/>
      </c>
      <c r="H15" s="58" t="str">
        <f>'GRUPO B'!H21</f>
        <v>Inglaterra</v>
      </c>
      <c r="I15" s="136" t="str">
        <f>IF('GRUPO B'!I21="","",'GRUPO B'!I21)</f>
        <v/>
      </c>
      <c r="J15" s="2"/>
      <c r="K15" s="32" t="str">
        <f>Hoja1!B17</f>
        <v>Gales</v>
      </c>
      <c r="L15" s="71">
        <f>Hoja1!C17</f>
        <v>0</v>
      </c>
      <c r="M15" s="71">
        <f>Hoja1!D17</f>
        <v>0</v>
      </c>
      <c r="N15" s="71">
        <f>Hoja1!E17</f>
        <v>0</v>
      </c>
      <c r="O15" s="71">
        <f>Hoja1!F17</f>
        <v>0</v>
      </c>
      <c r="P15" s="71">
        <f>Hoja1!G17</f>
        <v>0</v>
      </c>
      <c r="Q15" s="71">
        <f>Hoja1!H17</f>
        <v>0</v>
      </c>
      <c r="R15" s="71">
        <f>Hoja1!I17</f>
        <v>0</v>
      </c>
      <c r="S15" s="71">
        <f>SUM(L15:N15)</f>
        <v>0</v>
      </c>
    </row>
    <row r="16" spans="2:21">
      <c r="B16" s="59">
        <f>'GRUPO B'!B22</f>
        <v>44894</v>
      </c>
      <c r="C16" s="60">
        <f>'GRUPO B'!C22</f>
        <v>0.91666666666666663</v>
      </c>
      <c r="D16" s="129" t="str">
        <f>'GRUPO B'!D22</f>
        <v>Al Thumama</v>
      </c>
      <c r="E16" s="61" t="str">
        <f ca="1">'GRUPO B'!E22</f>
        <v>Proximamente...</v>
      </c>
      <c r="F16" s="62" t="str">
        <f>'GRUPO B'!F22</f>
        <v>Irán</v>
      </c>
      <c r="G16" s="134" t="str">
        <f>IF('GRUPO B'!G22="","",'GRUPO B'!G22)</f>
        <v/>
      </c>
      <c r="H16" s="62" t="str">
        <f>'GRUPO B'!H22</f>
        <v>Estados Unidos</v>
      </c>
      <c r="I16" s="137" t="str">
        <f>IF('GRUPO B'!I22="","",'GRUPO B'!I22)</f>
        <v/>
      </c>
      <c r="J16" s="2"/>
      <c r="L16" s="131"/>
      <c r="M16" s="131"/>
      <c r="N16" s="131"/>
      <c r="O16" s="131"/>
      <c r="P16" s="131"/>
      <c r="Q16" s="131"/>
      <c r="R16" s="131"/>
      <c r="S16" s="131"/>
    </row>
    <row r="17" spans="2:21" ht="13.8" thickBot="1">
      <c r="B17" s="49" t="str">
        <f>'GRUPO C'!B16</f>
        <v>Dia</v>
      </c>
      <c r="C17" s="50" t="str">
        <f>'GRUPO C'!C16</f>
        <v>Hora</v>
      </c>
      <c r="D17" s="50" t="str">
        <f>'GRUPO C'!D16</f>
        <v>Sede</v>
      </c>
      <c r="E17" s="50" t="str">
        <f>'GRUPO C'!E16</f>
        <v>Estado</v>
      </c>
      <c r="F17" s="174" t="str">
        <f>'GRUPO C'!F16</f>
        <v>Partidos</v>
      </c>
      <c r="G17" s="174">
        <f>'GRUPO C'!G16</f>
        <v>0</v>
      </c>
      <c r="H17" s="174">
        <f>'GRUPO C'!H16</f>
        <v>0</v>
      </c>
      <c r="I17" s="175">
        <f>'GRUPO C'!I16</f>
        <v>0</v>
      </c>
      <c r="J17" s="3"/>
      <c r="L17" s="131"/>
      <c r="M17" s="131"/>
      <c r="N17" s="131"/>
      <c r="O17" s="131"/>
      <c r="P17" s="131"/>
      <c r="Q17" s="131"/>
      <c r="R17" s="131"/>
      <c r="S17" s="131"/>
    </row>
    <row r="18" spans="2:21" ht="13.8" thickBot="1">
      <c r="B18" s="51">
        <f>'GRUPO C'!B17</f>
        <v>44887</v>
      </c>
      <c r="C18" s="52">
        <f>'GRUPO C'!C17</f>
        <v>0.54166666666666663</v>
      </c>
      <c r="D18" s="127" t="str">
        <f>'GRUPO C'!D17</f>
        <v>Lusail Iconic</v>
      </c>
      <c r="E18" s="53" t="str">
        <f ca="1">'GRUPO C'!E17</f>
        <v>Proximamente..</v>
      </c>
      <c r="F18" s="54" t="str">
        <f>'GRUPO C'!F17</f>
        <v>Argentina</v>
      </c>
      <c r="G18" s="132" t="str">
        <f>IF('GRUPO C'!G17="","",'GRUPO C'!G17)</f>
        <v/>
      </c>
      <c r="H18" s="54" t="str">
        <f>'GRUPO C'!H17</f>
        <v>Arabia Saudí</v>
      </c>
      <c r="I18" s="135" t="str">
        <f>IF('GRUPO C'!I17="","",'GRUPO C'!I17)</f>
        <v/>
      </c>
      <c r="J18" s="2"/>
      <c r="K18" s="29" t="str">
        <f>Hoja1!B20</f>
        <v>Equipo</v>
      </c>
      <c r="L18" s="30" t="str">
        <f>Hoja1!C20</f>
        <v>G</v>
      </c>
      <c r="M18" s="30" t="str">
        <f>Hoja1!D20</f>
        <v>E</v>
      </c>
      <c r="N18" s="30" t="str">
        <f>Hoja1!E20</f>
        <v>P</v>
      </c>
      <c r="O18" s="30" t="str">
        <f>Hoja1!F20</f>
        <v>GF</v>
      </c>
      <c r="P18" s="30" t="str">
        <f>Hoja1!G20</f>
        <v>GC</v>
      </c>
      <c r="Q18" s="30" t="str">
        <f>Hoja1!H20</f>
        <v>DG</v>
      </c>
      <c r="R18" s="30" t="str">
        <f>Hoja1!I20</f>
        <v>Pts.</v>
      </c>
      <c r="S18" s="30" t="s">
        <v>5</v>
      </c>
      <c r="U18" s="1" t="s">
        <v>6</v>
      </c>
    </row>
    <row r="19" spans="2:21">
      <c r="B19" s="55">
        <f>'GRUPO C'!B18</f>
        <v>44887</v>
      </c>
      <c r="C19" s="56">
        <f>'GRUPO C'!C18</f>
        <v>0.79166666666666674</v>
      </c>
      <c r="D19" s="128" t="str">
        <f>'GRUPO C'!D18</f>
        <v>Stadium 974</v>
      </c>
      <c r="E19" s="57" t="str">
        <f ca="1">'GRUPO C'!E18</f>
        <v>Proximamente..</v>
      </c>
      <c r="F19" s="58" t="str">
        <f>'GRUPO C'!F18</f>
        <v>México</v>
      </c>
      <c r="G19" s="133" t="str">
        <f>IF('GRUPO C'!G18="","",'GRUPO C'!G18)</f>
        <v/>
      </c>
      <c r="H19" s="58" t="str">
        <f>'GRUPO C'!H18</f>
        <v>Polonia</v>
      </c>
      <c r="I19" s="136" t="str">
        <f>IF('GRUPO C'!I18="","",'GRUPO C'!I18)</f>
        <v/>
      </c>
      <c r="J19" s="2"/>
      <c r="K19" s="31" t="str">
        <f>Hoja1!B21</f>
        <v>Argentina</v>
      </c>
      <c r="L19" s="70">
        <f>Hoja1!C21</f>
        <v>0</v>
      </c>
      <c r="M19" s="70">
        <f>Hoja1!D21</f>
        <v>0</v>
      </c>
      <c r="N19" s="70">
        <f>Hoja1!E21</f>
        <v>0</v>
      </c>
      <c r="O19" s="70">
        <f>Hoja1!F21</f>
        <v>0</v>
      </c>
      <c r="P19" s="70">
        <f>Hoja1!G21</f>
        <v>0</v>
      </c>
      <c r="Q19" s="70">
        <f>Hoja1!H21</f>
        <v>0</v>
      </c>
      <c r="R19" s="70">
        <f>Hoja1!I21</f>
        <v>0</v>
      </c>
      <c r="S19" s="70">
        <f>SUM(L19:N19)</f>
        <v>0</v>
      </c>
      <c r="U19" s="1" t="str">
        <f>K19</f>
        <v>Argentina</v>
      </c>
    </row>
    <row r="20" spans="2:21">
      <c r="B20" s="55">
        <f>'GRUPO C'!B19</f>
        <v>44891</v>
      </c>
      <c r="C20" s="56">
        <f>'GRUPO C'!C19</f>
        <v>0.91666666666666663</v>
      </c>
      <c r="D20" s="128" t="str">
        <f>'GRUPO C'!D19</f>
        <v>Lusail Iconic</v>
      </c>
      <c r="E20" s="57" t="str">
        <f ca="1">'GRUPO C'!E19</f>
        <v>Proximamente..</v>
      </c>
      <c r="F20" s="58" t="str">
        <f>'GRUPO C'!F19</f>
        <v>Argentina</v>
      </c>
      <c r="G20" s="133" t="str">
        <f>IF('GRUPO C'!G19="","",'GRUPO C'!G19)</f>
        <v/>
      </c>
      <c r="H20" s="58" t="str">
        <f>'GRUPO C'!H19</f>
        <v>México</v>
      </c>
      <c r="I20" s="136" t="str">
        <f>IF('GRUPO C'!I19="","",'GRUPO C'!I19)</f>
        <v/>
      </c>
      <c r="J20" s="2"/>
      <c r="K20" s="31" t="str">
        <f>Hoja1!B22</f>
        <v>Arabia Saudí</v>
      </c>
      <c r="L20" s="70">
        <f>Hoja1!C22</f>
        <v>0</v>
      </c>
      <c r="M20" s="70">
        <f>Hoja1!D22</f>
        <v>0</v>
      </c>
      <c r="N20" s="70">
        <f>Hoja1!E22</f>
        <v>0</v>
      </c>
      <c r="O20" s="70">
        <f>Hoja1!F22</f>
        <v>0</v>
      </c>
      <c r="P20" s="70">
        <f>Hoja1!G22</f>
        <v>0</v>
      </c>
      <c r="Q20" s="70">
        <f>Hoja1!H22</f>
        <v>0</v>
      </c>
      <c r="R20" s="70">
        <f>Hoja1!I22</f>
        <v>0</v>
      </c>
      <c r="S20" s="70">
        <f>SUM(L20:N20)</f>
        <v>0</v>
      </c>
      <c r="U20" s="1" t="str">
        <f>K20</f>
        <v>Arabia Saudí</v>
      </c>
    </row>
    <row r="21" spans="2:21">
      <c r="B21" s="55">
        <f>'GRUPO C'!B20</f>
        <v>44891</v>
      </c>
      <c r="C21" s="56">
        <f>'GRUPO C'!C20</f>
        <v>0.66666666666666674</v>
      </c>
      <c r="D21" s="128" t="str">
        <f>'GRUPO C'!D20</f>
        <v>Education City</v>
      </c>
      <c r="E21" s="57" t="str">
        <f ca="1">'GRUPO C'!E20</f>
        <v>Proximamente..</v>
      </c>
      <c r="F21" s="58" t="str">
        <f>'GRUPO C'!F20</f>
        <v>Polonia</v>
      </c>
      <c r="G21" s="133" t="str">
        <f>IF('GRUPO C'!G20="","",'GRUPO C'!G20)</f>
        <v/>
      </c>
      <c r="H21" s="58" t="str">
        <f>'GRUPO C'!H20</f>
        <v>Arabia Saudí</v>
      </c>
      <c r="I21" s="136" t="str">
        <f>IF('GRUPO C'!I20="","",'GRUPO C'!I20)</f>
        <v/>
      </c>
      <c r="J21" s="2"/>
      <c r="K21" s="31" t="str">
        <f>Hoja1!B23</f>
        <v>México</v>
      </c>
      <c r="L21" s="70">
        <f>Hoja1!C23</f>
        <v>0</v>
      </c>
      <c r="M21" s="70">
        <f>Hoja1!D23</f>
        <v>0</v>
      </c>
      <c r="N21" s="70">
        <f>Hoja1!E23</f>
        <v>0</v>
      </c>
      <c r="O21" s="70">
        <f>Hoja1!F23</f>
        <v>0</v>
      </c>
      <c r="P21" s="70">
        <f>Hoja1!G23</f>
        <v>0</v>
      </c>
      <c r="Q21" s="70">
        <f>Hoja1!H23</f>
        <v>0</v>
      </c>
      <c r="R21" s="70">
        <f>Hoja1!I23</f>
        <v>0</v>
      </c>
      <c r="S21" s="70">
        <f>SUM(L21:N21)</f>
        <v>0</v>
      </c>
    </row>
    <row r="22" spans="2:21" ht="13.8" thickBot="1">
      <c r="B22" s="55">
        <f>'GRUPO C'!B21</f>
        <v>44895</v>
      </c>
      <c r="C22" s="56">
        <f>'GRUPO C'!C21</f>
        <v>0.91666666666666663</v>
      </c>
      <c r="D22" s="128" t="str">
        <f>'GRUPO C'!D21</f>
        <v>Stadium 974</v>
      </c>
      <c r="E22" s="57" t="str">
        <f ca="1">'GRUPO C'!E21</f>
        <v>Proximamente..</v>
      </c>
      <c r="F22" s="58" t="str">
        <f>'GRUPO C'!F21</f>
        <v>Polonia</v>
      </c>
      <c r="G22" s="133" t="str">
        <f>IF('GRUPO C'!G21="","",'GRUPO C'!G21)</f>
        <v/>
      </c>
      <c r="H22" s="58" t="str">
        <f>'GRUPO C'!H21</f>
        <v>Argentina</v>
      </c>
      <c r="I22" s="136" t="str">
        <f>IF('GRUPO C'!I21="","",'GRUPO C'!I21)</f>
        <v/>
      </c>
      <c r="J22" s="2"/>
      <c r="K22" s="32" t="str">
        <f>Hoja1!B24</f>
        <v>Polonia</v>
      </c>
      <c r="L22" s="71">
        <f>Hoja1!C24</f>
        <v>0</v>
      </c>
      <c r="M22" s="71">
        <f>Hoja1!D24</f>
        <v>0</v>
      </c>
      <c r="N22" s="71">
        <f>Hoja1!E24</f>
        <v>0</v>
      </c>
      <c r="O22" s="71">
        <f>Hoja1!F24</f>
        <v>0</v>
      </c>
      <c r="P22" s="71">
        <f>Hoja1!G24</f>
        <v>0</v>
      </c>
      <c r="Q22" s="71">
        <f>Hoja1!H24</f>
        <v>0</v>
      </c>
      <c r="R22" s="71">
        <f>Hoja1!I24</f>
        <v>0</v>
      </c>
      <c r="S22" s="71">
        <f>SUM(L22:N22)</f>
        <v>0</v>
      </c>
    </row>
    <row r="23" spans="2:21">
      <c r="B23" s="59">
        <f>'GRUPO C'!B22</f>
        <v>44895</v>
      </c>
      <c r="C23" s="60">
        <f>'GRUPO C'!C22</f>
        <v>0.91666666666666663</v>
      </c>
      <c r="D23" s="129" t="str">
        <f>'GRUPO C'!D22</f>
        <v>Lusail Iconic</v>
      </c>
      <c r="E23" s="61" t="str">
        <f ca="1">'GRUPO C'!E22</f>
        <v>Proximamente..</v>
      </c>
      <c r="F23" s="62" t="str">
        <f>'GRUPO C'!F22</f>
        <v>Arabia Saudí</v>
      </c>
      <c r="G23" s="134" t="str">
        <f>IF('GRUPO C'!G22="","",'GRUPO C'!G22)</f>
        <v/>
      </c>
      <c r="H23" s="62" t="str">
        <f>'GRUPO C'!H22</f>
        <v>México</v>
      </c>
      <c r="I23" s="137" t="str">
        <f>IF('GRUPO C'!I22="","",'GRUPO C'!I22)</f>
        <v/>
      </c>
      <c r="J23" s="2"/>
      <c r="L23" s="131"/>
      <c r="M23" s="131"/>
      <c r="N23" s="131"/>
      <c r="O23" s="131"/>
      <c r="P23" s="131"/>
      <c r="Q23" s="131"/>
      <c r="R23" s="131"/>
      <c r="S23" s="131"/>
    </row>
    <row r="24" spans="2:21" ht="13.8" thickBot="1">
      <c r="B24" s="49" t="str">
        <f>'GRUPO D'!B16</f>
        <v>Dia</v>
      </c>
      <c r="C24" s="50" t="str">
        <f>'GRUPO D'!C16</f>
        <v>Hora</v>
      </c>
      <c r="D24" s="50" t="str">
        <f>'GRUPO D'!D16</f>
        <v>Sede</v>
      </c>
      <c r="E24" s="50" t="str">
        <f>'GRUPO D'!E16</f>
        <v>Estado</v>
      </c>
      <c r="F24" s="174" t="str">
        <f>'GRUPO D'!F16</f>
        <v>Partidos</v>
      </c>
      <c r="G24" s="174">
        <f>'GRUPO D'!G16</f>
        <v>0</v>
      </c>
      <c r="H24" s="174">
        <f>'GRUPO D'!H16</f>
        <v>0</v>
      </c>
      <c r="I24" s="175">
        <f>'GRUPO D'!I16</f>
        <v>0</v>
      </c>
      <c r="J24" s="3"/>
      <c r="L24" s="131"/>
      <c r="M24" s="131"/>
      <c r="N24" s="131"/>
      <c r="O24" s="131"/>
      <c r="P24" s="131"/>
      <c r="Q24" s="131"/>
      <c r="R24" s="131"/>
      <c r="S24" s="131"/>
    </row>
    <row r="25" spans="2:21" ht="13.8" thickBot="1">
      <c r="B25" s="51">
        <f>'GRUPO D'!B17</f>
        <v>44887</v>
      </c>
      <c r="C25" s="52">
        <f>'GRUPO D'!C17</f>
        <v>0.91666666666666663</v>
      </c>
      <c r="D25" s="127" t="str">
        <f>'GRUPO D'!D17</f>
        <v>Al Janoub</v>
      </c>
      <c r="E25" s="53" t="str">
        <f ca="1">'GRUPO D'!E17</f>
        <v>Proximamente..</v>
      </c>
      <c r="F25" s="54" t="str">
        <f>'GRUPO D'!F17</f>
        <v>Francia</v>
      </c>
      <c r="G25" s="132" t="str">
        <f>IF('GRUPO D'!G17="","",'GRUPO D'!G17)</f>
        <v/>
      </c>
      <c r="H25" s="54" t="str">
        <f>'GRUPO D'!H17</f>
        <v>Australia</v>
      </c>
      <c r="I25" s="135" t="str">
        <f>IF('GRUPO D'!I17="","",'GRUPO D'!I17)</f>
        <v/>
      </c>
      <c r="J25" s="2"/>
      <c r="K25" s="29" t="str">
        <f>Hoja1!B27</f>
        <v>Equipo</v>
      </c>
      <c r="L25" s="30" t="str">
        <f>Hoja1!C27</f>
        <v>G</v>
      </c>
      <c r="M25" s="30" t="str">
        <f>Hoja1!D27</f>
        <v>E</v>
      </c>
      <c r="N25" s="30" t="str">
        <f>Hoja1!E27</f>
        <v>P</v>
      </c>
      <c r="O25" s="30" t="str">
        <f>Hoja1!F27</f>
        <v>GF</v>
      </c>
      <c r="P25" s="30" t="str">
        <f>Hoja1!G27</f>
        <v>GC</v>
      </c>
      <c r="Q25" s="30" t="str">
        <f>Hoja1!H27</f>
        <v>DG</v>
      </c>
      <c r="R25" s="30" t="str">
        <f>Hoja1!I27</f>
        <v>Pts.</v>
      </c>
      <c r="S25" s="30" t="s">
        <v>5</v>
      </c>
      <c r="U25" s="1" t="s">
        <v>6</v>
      </c>
    </row>
    <row r="26" spans="2:21">
      <c r="B26" s="55">
        <f>'GRUPO D'!B18</f>
        <v>44887</v>
      </c>
      <c r="C26" s="56">
        <f>'GRUPO D'!C18</f>
        <v>0.66666666666666674</v>
      </c>
      <c r="D26" s="128" t="str">
        <f>'GRUPO D'!D18</f>
        <v>Education City</v>
      </c>
      <c r="E26" s="57" t="str">
        <f ca="1">'GRUPO D'!E18</f>
        <v>Proximamente..</v>
      </c>
      <c r="F26" s="58" t="str">
        <f>'GRUPO D'!F18</f>
        <v>Dinamarca</v>
      </c>
      <c r="G26" s="133" t="str">
        <f>IF('GRUPO D'!G18="","",'GRUPO D'!G18)</f>
        <v/>
      </c>
      <c r="H26" s="58" t="str">
        <f>'GRUPO D'!H18</f>
        <v>Túnez</v>
      </c>
      <c r="I26" s="136" t="str">
        <f>IF('GRUPO D'!I18="","",'GRUPO D'!I18)</f>
        <v/>
      </c>
      <c r="J26" s="2"/>
      <c r="K26" s="31" t="str">
        <f>Hoja1!B28</f>
        <v>Francia</v>
      </c>
      <c r="L26" s="70">
        <f>Hoja1!C28</f>
        <v>0</v>
      </c>
      <c r="M26" s="70">
        <f>Hoja1!D28</f>
        <v>0</v>
      </c>
      <c r="N26" s="70">
        <f>Hoja1!E28</f>
        <v>0</v>
      </c>
      <c r="O26" s="70">
        <f>Hoja1!F28</f>
        <v>0</v>
      </c>
      <c r="P26" s="70">
        <f>Hoja1!G28</f>
        <v>0</v>
      </c>
      <c r="Q26" s="70">
        <f>Hoja1!H28</f>
        <v>0</v>
      </c>
      <c r="R26" s="70">
        <f>Hoja1!I28</f>
        <v>0</v>
      </c>
      <c r="S26" s="70">
        <f>SUM(L26:N26)</f>
        <v>0</v>
      </c>
      <c r="U26" s="1" t="str">
        <f>K26</f>
        <v>Francia</v>
      </c>
    </row>
    <row r="27" spans="2:21">
      <c r="B27" s="55">
        <f>'GRUPO D'!B19</f>
        <v>44891</v>
      </c>
      <c r="C27" s="56">
        <f>'GRUPO D'!C19</f>
        <v>0.79166666666666674</v>
      </c>
      <c r="D27" s="128" t="str">
        <f>'GRUPO D'!D19</f>
        <v>Stadium 974</v>
      </c>
      <c r="E27" s="57" t="str">
        <f ca="1">'GRUPO D'!E19</f>
        <v>Proximamente..</v>
      </c>
      <c r="F27" s="58" t="str">
        <f>'GRUPO D'!F19</f>
        <v>Francia</v>
      </c>
      <c r="G27" s="133" t="str">
        <f>IF('GRUPO D'!G19="","",'GRUPO D'!G19)</f>
        <v/>
      </c>
      <c r="H27" s="58" t="str">
        <f>'GRUPO D'!H19</f>
        <v>Dinamarca</v>
      </c>
      <c r="I27" s="136" t="str">
        <f>IF('GRUPO D'!I19="","",'GRUPO D'!I19)</f>
        <v/>
      </c>
      <c r="J27" s="2"/>
      <c r="K27" s="31" t="str">
        <f>Hoja1!B29</f>
        <v>Australia</v>
      </c>
      <c r="L27" s="70">
        <f>Hoja1!C29</f>
        <v>0</v>
      </c>
      <c r="M27" s="70">
        <f>Hoja1!D29</f>
        <v>0</v>
      </c>
      <c r="N27" s="70">
        <f>Hoja1!E29</f>
        <v>0</v>
      </c>
      <c r="O27" s="70">
        <f>Hoja1!F29</f>
        <v>0</v>
      </c>
      <c r="P27" s="70">
        <f>Hoja1!G29</f>
        <v>0</v>
      </c>
      <c r="Q27" s="70">
        <f>Hoja1!H29</f>
        <v>0</v>
      </c>
      <c r="R27" s="70">
        <f>Hoja1!I29</f>
        <v>0</v>
      </c>
      <c r="S27" s="70">
        <f>SUM(L27:N27)</f>
        <v>0</v>
      </c>
      <c r="U27" s="1" t="str">
        <f>K27</f>
        <v>Australia</v>
      </c>
    </row>
    <row r="28" spans="2:21">
      <c r="B28" s="55">
        <f>'GRUPO D'!B20</f>
        <v>44891</v>
      </c>
      <c r="C28" s="56">
        <f>'GRUPO D'!C20</f>
        <v>0.625</v>
      </c>
      <c r="D28" s="128" t="str">
        <f>'GRUPO D'!D20</f>
        <v>Al Janoub</v>
      </c>
      <c r="E28" s="57" t="str">
        <f ca="1">'GRUPO D'!E20</f>
        <v>Proximamente..</v>
      </c>
      <c r="F28" s="58" t="str">
        <f>'GRUPO D'!F20</f>
        <v>Túnez</v>
      </c>
      <c r="G28" s="133" t="str">
        <f>IF('GRUPO D'!G20="","",'GRUPO D'!G20)</f>
        <v/>
      </c>
      <c r="H28" s="58" t="str">
        <f>'GRUPO D'!H20</f>
        <v>Australia</v>
      </c>
      <c r="I28" s="136" t="str">
        <f>IF('GRUPO D'!I20="","",'GRUPO D'!I20)</f>
        <v/>
      </c>
      <c r="J28" s="2"/>
      <c r="K28" s="31" t="str">
        <f>Hoja1!B30</f>
        <v>Dinamarca</v>
      </c>
      <c r="L28" s="70">
        <f>Hoja1!C30</f>
        <v>0</v>
      </c>
      <c r="M28" s="70">
        <f>Hoja1!D30</f>
        <v>0</v>
      </c>
      <c r="N28" s="70">
        <f>Hoja1!E30</f>
        <v>0</v>
      </c>
      <c r="O28" s="70">
        <f>Hoja1!F30</f>
        <v>0</v>
      </c>
      <c r="P28" s="70">
        <f>Hoja1!G30</f>
        <v>0</v>
      </c>
      <c r="Q28" s="70">
        <f>Hoja1!H30</f>
        <v>0</v>
      </c>
      <c r="R28" s="70">
        <f>Hoja1!I30</f>
        <v>0</v>
      </c>
      <c r="S28" s="70">
        <f>SUM(L28:N28)</f>
        <v>0</v>
      </c>
    </row>
    <row r="29" spans="2:21" ht="13.8" thickBot="1">
      <c r="B29" s="55">
        <f>'GRUPO D'!B21</f>
        <v>44895</v>
      </c>
      <c r="C29" s="56">
        <f>'GRUPO D'!C21</f>
        <v>0.75</v>
      </c>
      <c r="D29" s="128" t="str">
        <f>'GRUPO D'!D21</f>
        <v>Education City</v>
      </c>
      <c r="E29" s="57" t="str">
        <f ca="1">'GRUPO D'!E21</f>
        <v>Proximamente..</v>
      </c>
      <c r="F29" s="58" t="str">
        <f>'GRUPO D'!F21</f>
        <v>Túnez</v>
      </c>
      <c r="G29" s="133" t="str">
        <f>IF('GRUPO D'!G21="","",'GRUPO D'!G21)</f>
        <v/>
      </c>
      <c r="H29" s="58" t="str">
        <f>'GRUPO D'!H21</f>
        <v>Francia</v>
      </c>
      <c r="I29" s="136" t="str">
        <f>IF('GRUPO D'!I21="","",'GRUPO D'!I21)</f>
        <v/>
      </c>
      <c r="J29" s="2"/>
      <c r="K29" s="32" t="str">
        <f>Hoja1!B31</f>
        <v>Túnez</v>
      </c>
      <c r="L29" s="71">
        <f>Hoja1!C31</f>
        <v>0</v>
      </c>
      <c r="M29" s="71">
        <f>Hoja1!D31</f>
        <v>0</v>
      </c>
      <c r="N29" s="71">
        <f>Hoja1!E31</f>
        <v>0</v>
      </c>
      <c r="O29" s="71">
        <f>Hoja1!F31</f>
        <v>0</v>
      </c>
      <c r="P29" s="71">
        <f>Hoja1!G31</f>
        <v>0</v>
      </c>
      <c r="Q29" s="71">
        <f>Hoja1!H31</f>
        <v>0</v>
      </c>
      <c r="R29" s="71">
        <f>Hoja1!I31</f>
        <v>0</v>
      </c>
      <c r="S29" s="71">
        <f>SUM(L29:N29)</f>
        <v>0</v>
      </c>
    </row>
    <row r="30" spans="2:21">
      <c r="B30" s="59">
        <f>'GRUPO D'!B22</f>
        <v>44895</v>
      </c>
      <c r="C30" s="60">
        <f>'GRUPO D'!C22</f>
        <v>0.75</v>
      </c>
      <c r="D30" s="129" t="str">
        <f>'GRUPO D'!D22</f>
        <v>Al Janoub</v>
      </c>
      <c r="E30" s="61" t="str">
        <f ca="1">'GRUPO D'!E22</f>
        <v>Proximamente..</v>
      </c>
      <c r="F30" s="62" t="str">
        <f>'GRUPO D'!F22</f>
        <v>Australia</v>
      </c>
      <c r="G30" s="134" t="str">
        <f>IF('GRUPO D'!G22="","",'GRUPO D'!G22)</f>
        <v/>
      </c>
      <c r="H30" s="62" t="str">
        <f>'GRUPO D'!H22</f>
        <v>Dinamarca</v>
      </c>
      <c r="I30" s="137" t="str">
        <f>IF('GRUPO D'!I22="","",'GRUPO D'!I22)</f>
        <v/>
      </c>
      <c r="J30" s="2"/>
      <c r="L30" s="131"/>
      <c r="M30" s="131"/>
      <c r="N30" s="131"/>
      <c r="O30" s="131"/>
      <c r="P30" s="131"/>
      <c r="Q30" s="131"/>
      <c r="R30" s="131"/>
      <c r="S30" s="131"/>
    </row>
    <row r="31" spans="2:21" ht="13.8" thickBot="1">
      <c r="B31" s="49" t="str">
        <f>'GRUPO E'!B16</f>
        <v>Dia</v>
      </c>
      <c r="C31" s="50" t="str">
        <f>'GRUPO E'!C16</f>
        <v>Hora</v>
      </c>
      <c r="D31" s="50" t="str">
        <f>'GRUPO E'!D16</f>
        <v>Sede</v>
      </c>
      <c r="E31" s="50" t="str">
        <f>'GRUPO E'!E16</f>
        <v>Estado</v>
      </c>
      <c r="F31" s="174" t="str">
        <f>'GRUPO E'!F16</f>
        <v>Partidos</v>
      </c>
      <c r="G31" s="174">
        <f>'GRUPO E'!G16</f>
        <v>0</v>
      </c>
      <c r="H31" s="174">
        <f>'GRUPO E'!H16</f>
        <v>0</v>
      </c>
      <c r="I31" s="175">
        <f>'GRUPO E'!I16</f>
        <v>0</v>
      </c>
      <c r="J31" s="3"/>
      <c r="L31" s="131"/>
      <c r="M31" s="131"/>
      <c r="N31" s="131"/>
      <c r="O31" s="131"/>
      <c r="P31" s="131"/>
      <c r="Q31" s="131"/>
      <c r="R31" s="131"/>
      <c r="S31" s="131"/>
    </row>
    <row r="32" spans="2:21" ht="13.8" thickBot="1">
      <c r="B32" s="51">
        <f>'GRUPO E'!B17</f>
        <v>44888</v>
      </c>
      <c r="C32" s="52">
        <f>'GRUPO E'!C17</f>
        <v>0.79166666666666674</v>
      </c>
      <c r="D32" s="127" t="str">
        <f>'GRUPO E'!D17</f>
        <v>Al Thumama</v>
      </c>
      <c r="E32" s="53" t="str">
        <f ca="1">'GRUPO E'!E17</f>
        <v>Proximamente..</v>
      </c>
      <c r="F32" s="54" t="str">
        <f>'GRUPO E'!F17</f>
        <v>España</v>
      </c>
      <c r="G32" s="132" t="str">
        <f>IF('GRUPO E'!G17="","",'GRUPO E'!G17)</f>
        <v/>
      </c>
      <c r="H32" s="54" t="str">
        <f>'GRUPO E'!H17</f>
        <v>Costa Rica</v>
      </c>
      <c r="I32" s="135" t="str">
        <f>IF('GRUPO E'!I17="","",'GRUPO E'!I17)</f>
        <v/>
      </c>
      <c r="J32" s="2"/>
      <c r="K32" s="29" t="str">
        <f>Hoja1!B34</f>
        <v>Equipo</v>
      </c>
      <c r="L32" s="30" t="str">
        <f>Hoja1!C34</f>
        <v>G</v>
      </c>
      <c r="M32" s="30" t="str">
        <f>Hoja1!D34</f>
        <v>E</v>
      </c>
      <c r="N32" s="30" t="str">
        <f>Hoja1!E34</f>
        <v>P</v>
      </c>
      <c r="O32" s="30" t="str">
        <f>Hoja1!F34</f>
        <v>GF</v>
      </c>
      <c r="P32" s="30" t="str">
        <f>Hoja1!G34</f>
        <v>GC</v>
      </c>
      <c r="Q32" s="30" t="str">
        <f>Hoja1!H34</f>
        <v>DG</v>
      </c>
      <c r="R32" s="30" t="str">
        <f>Hoja1!I34</f>
        <v>Pts.</v>
      </c>
      <c r="S32" s="30" t="s">
        <v>5</v>
      </c>
      <c r="U32" s="1" t="s">
        <v>6</v>
      </c>
    </row>
    <row r="33" spans="2:21">
      <c r="B33" s="55">
        <f>'GRUPO E'!B18</f>
        <v>44888</v>
      </c>
      <c r="C33" s="56">
        <f>'GRUPO E'!C18</f>
        <v>0.66666666666666674</v>
      </c>
      <c r="D33" s="128" t="str">
        <f>'GRUPO E'!D18</f>
        <v>Khalifa International</v>
      </c>
      <c r="E33" s="57" t="str">
        <f ca="1">'GRUPO E'!E18</f>
        <v>Proximamente..</v>
      </c>
      <c r="F33" s="58" t="str">
        <f>'GRUPO E'!F18</f>
        <v>Alemania</v>
      </c>
      <c r="G33" s="133" t="str">
        <f>IF('GRUPO E'!G18="","",'GRUPO E'!G18)</f>
        <v/>
      </c>
      <c r="H33" s="58" t="str">
        <f>'GRUPO E'!H18</f>
        <v>Japón</v>
      </c>
      <c r="I33" s="136" t="str">
        <f>IF('GRUPO E'!I18="","",'GRUPO E'!I18)</f>
        <v/>
      </c>
      <c r="J33" s="2"/>
      <c r="K33" s="31" t="str">
        <f>Hoja1!B35</f>
        <v>España</v>
      </c>
      <c r="L33" s="70">
        <f>Hoja1!C35</f>
        <v>0</v>
      </c>
      <c r="M33" s="70">
        <f>Hoja1!D35</f>
        <v>0</v>
      </c>
      <c r="N33" s="70">
        <f>Hoja1!E35</f>
        <v>0</v>
      </c>
      <c r="O33" s="70">
        <f>Hoja1!F35</f>
        <v>0</v>
      </c>
      <c r="P33" s="70">
        <f>Hoja1!G35</f>
        <v>0</v>
      </c>
      <c r="Q33" s="70">
        <f>Hoja1!H35</f>
        <v>0</v>
      </c>
      <c r="R33" s="70">
        <f>Hoja1!I35</f>
        <v>0</v>
      </c>
      <c r="S33" s="70">
        <f>SUM(L33:N33)</f>
        <v>0</v>
      </c>
      <c r="U33" s="1" t="str">
        <f>K33</f>
        <v>España</v>
      </c>
    </row>
    <row r="34" spans="2:21">
      <c r="B34" s="55">
        <f>'GRUPO E'!B19</f>
        <v>44892</v>
      </c>
      <c r="C34" s="56">
        <f>'GRUPO E'!C19</f>
        <v>0.91666666666666663</v>
      </c>
      <c r="D34" s="128" t="str">
        <f>'GRUPO E'!D19</f>
        <v>Al Bayt</v>
      </c>
      <c r="E34" s="57" t="str">
        <f ca="1">'GRUPO E'!E19</f>
        <v>Proximamente..</v>
      </c>
      <c r="F34" s="58" t="str">
        <f>'GRUPO E'!F19</f>
        <v>España</v>
      </c>
      <c r="G34" s="133" t="str">
        <f>IF('GRUPO E'!G19="","",'GRUPO E'!G19)</f>
        <v/>
      </c>
      <c r="H34" s="58" t="str">
        <f>'GRUPO E'!H19</f>
        <v>Alemania</v>
      </c>
      <c r="I34" s="136" t="str">
        <f>IF('GRUPO E'!I19="","",'GRUPO E'!I19)</f>
        <v/>
      </c>
      <c r="J34" s="2"/>
      <c r="K34" s="31" t="str">
        <f>Hoja1!B36</f>
        <v>Costa Rica</v>
      </c>
      <c r="L34" s="70">
        <f>Hoja1!C36</f>
        <v>0</v>
      </c>
      <c r="M34" s="70">
        <f>Hoja1!D36</f>
        <v>0</v>
      </c>
      <c r="N34" s="70">
        <f>Hoja1!E36</f>
        <v>0</v>
      </c>
      <c r="O34" s="70">
        <f>Hoja1!F36</f>
        <v>0</v>
      </c>
      <c r="P34" s="70">
        <f>Hoja1!G36</f>
        <v>0</v>
      </c>
      <c r="Q34" s="70">
        <f>Hoja1!H36</f>
        <v>0</v>
      </c>
      <c r="R34" s="70">
        <f>Hoja1!I36</f>
        <v>0</v>
      </c>
      <c r="S34" s="70">
        <f>SUM(L34:N34)</f>
        <v>0</v>
      </c>
      <c r="U34" s="1" t="str">
        <f>K34</f>
        <v>Costa Rica</v>
      </c>
    </row>
    <row r="35" spans="2:21">
      <c r="B35" s="55">
        <f>'GRUPO E'!B20</f>
        <v>44892</v>
      </c>
      <c r="C35" s="56">
        <f>'GRUPO E'!C20</f>
        <v>0.54166666666666663</v>
      </c>
      <c r="D35" s="128" t="str">
        <f>'GRUPO E'!D20</f>
        <v>Ahmad Bin Ali</v>
      </c>
      <c r="E35" s="57" t="str">
        <f ca="1">'GRUPO E'!E20</f>
        <v>Proximamente..</v>
      </c>
      <c r="F35" s="58" t="str">
        <f>'GRUPO E'!F20</f>
        <v>Japón</v>
      </c>
      <c r="G35" s="133" t="str">
        <f>IF('GRUPO E'!G20="","",'GRUPO E'!G20)</f>
        <v/>
      </c>
      <c r="H35" s="58" t="str">
        <f>'GRUPO E'!H20</f>
        <v>Costa Rica</v>
      </c>
      <c r="I35" s="136" t="str">
        <f>IF('GRUPO E'!I20="","",'GRUPO E'!I20)</f>
        <v/>
      </c>
      <c r="J35" s="2"/>
      <c r="K35" s="31" t="str">
        <f>Hoja1!B37</f>
        <v>Alemania</v>
      </c>
      <c r="L35" s="70">
        <f>Hoja1!C37</f>
        <v>0</v>
      </c>
      <c r="M35" s="70">
        <f>Hoja1!D37</f>
        <v>0</v>
      </c>
      <c r="N35" s="70">
        <f>Hoja1!E37</f>
        <v>0</v>
      </c>
      <c r="O35" s="70">
        <f>Hoja1!F37</f>
        <v>0</v>
      </c>
      <c r="P35" s="70">
        <f>Hoja1!G37</f>
        <v>0</v>
      </c>
      <c r="Q35" s="70">
        <f>Hoja1!H37</f>
        <v>0</v>
      </c>
      <c r="R35" s="70">
        <f>Hoja1!I37</f>
        <v>0</v>
      </c>
      <c r="S35" s="70">
        <f>SUM(L35:N35)</f>
        <v>0</v>
      </c>
    </row>
    <row r="36" spans="2:21" ht="13.8" thickBot="1">
      <c r="B36" s="55">
        <f>'GRUPO E'!B21</f>
        <v>44896</v>
      </c>
      <c r="C36" s="56">
        <f>'GRUPO E'!C21</f>
        <v>0.91666666666666663</v>
      </c>
      <c r="D36" s="128" t="str">
        <f>'GRUPO E'!D21</f>
        <v>Khalifa International</v>
      </c>
      <c r="E36" s="57" t="str">
        <f ca="1">'GRUPO E'!E21</f>
        <v>Proximamente..</v>
      </c>
      <c r="F36" s="58" t="str">
        <f>'GRUPO E'!F21</f>
        <v>Japón</v>
      </c>
      <c r="G36" s="133" t="str">
        <f>IF('GRUPO E'!G21="","",'GRUPO E'!G21)</f>
        <v/>
      </c>
      <c r="H36" s="58" t="str">
        <f>'GRUPO E'!H21</f>
        <v>España</v>
      </c>
      <c r="I36" s="136" t="str">
        <f>IF('GRUPO E'!I21="","",'GRUPO E'!I21)</f>
        <v/>
      </c>
      <c r="J36" s="2"/>
      <c r="K36" s="32" t="str">
        <f>Hoja1!B38</f>
        <v>Japón</v>
      </c>
      <c r="L36" s="71">
        <f>Hoja1!C38</f>
        <v>0</v>
      </c>
      <c r="M36" s="71">
        <f>Hoja1!D38</f>
        <v>0</v>
      </c>
      <c r="N36" s="71">
        <f>Hoja1!E38</f>
        <v>0</v>
      </c>
      <c r="O36" s="71">
        <f>Hoja1!F38</f>
        <v>0</v>
      </c>
      <c r="P36" s="71">
        <f>Hoja1!G38</f>
        <v>0</v>
      </c>
      <c r="Q36" s="71">
        <f>Hoja1!H38</f>
        <v>0</v>
      </c>
      <c r="R36" s="71">
        <f>Hoja1!I38</f>
        <v>0</v>
      </c>
      <c r="S36" s="71">
        <f>SUM(L36:N36)</f>
        <v>0</v>
      </c>
    </row>
    <row r="37" spans="2:21">
      <c r="B37" s="59">
        <f>'GRUPO E'!B22</f>
        <v>44896</v>
      </c>
      <c r="C37" s="60">
        <f>'GRUPO E'!C22</f>
        <v>0.91666666666666663</v>
      </c>
      <c r="D37" s="129" t="str">
        <f>'GRUPO E'!D22</f>
        <v>Al Bayt</v>
      </c>
      <c r="E37" s="61" t="str">
        <f ca="1">'GRUPO E'!E22</f>
        <v>Proximamente..</v>
      </c>
      <c r="F37" s="62" t="str">
        <f>'GRUPO E'!F22</f>
        <v>Costa Rica</v>
      </c>
      <c r="G37" s="134" t="str">
        <f>IF('GRUPO E'!G22="","",'GRUPO E'!G22)</f>
        <v/>
      </c>
      <c r="H37" s="62" t="str">
        <f>'GRUPO E'!H22</f>
        <v>Alemania</v>
      </c>
      <c r="I37" s="137" t="str">
        <f>IF('GRUPO E'!I22="","",'GRUPO E'!I22)</f>
        <v/>
      </c>
      <c r="J37" s="2"/>
      <c r="L37" s="131"/>
      <c r="M37" s="131"/>
      <c r="N37" s="131"/>
      <c r="O37" s="131"/>
      <c r="P37" s="131"/>
      <c r="Q37" s="131"/>
      <c r="R37" s="131"/>
      <c r="S37" s="131"/>
    </row>
    <row r="38" spans="2:21" ht="13.8" thickBot="1">
      <c r="B38" s="49" t="str">
        <f>'GRUPO F'!B16</f>
        <v>Dia</v>
      </c>
      <c r="C38" s="50" t="str">
        <f>'GRUPO F'!C16</f>
        <v>Hora</v>
      </c>
      <c r="D38" s="50" t="str">
        <f>'GRUPO F'!D16</f>
        <v>Sede</v>
      </c>
      <c r="E38" s="50" t="str">
        <f>'GRUPO F'!E16</f>
        <v>Estado</v>
      </c>
      <c r="F38" s="174" t="str">
        <f>'GRUPO F'!F16</f>
        <v>Partidos</v>
      </c>
      <c r="G38" s="174">
        <f>'GRUPO F'!G16</f>
        <v>0</v>
      </c>
      <c r="H38" s="174">
        <f>'GRUPO F'!H16</f>
        <v>0</v>
      </c>
      <c r="I38" s="175">
        <f>'GRUPO F'!I16</f>
        <v>0</v>
      </c>
      <c r="J38" s="3"/>
      <c r="L38" s="131"/>
      <c r="M38" s="131"/>
      <c r="N38" s="131"/>
      <c r="O38" s="131"/>
      <c r="P38" s="131"/>
      <c r="Q38" s="131"/>
      <c r="R38" s="131"/>
      <c r="S38" s="131"/>
    </row>
    <row r="39" spans="2:21" ht="13.8" thickBot="1">
      <c r="B39" s="51">
        <f>'GRUPO F'!B17</f>
        <v>44888</v>
      </c>
      <c r="C39" s="52">
        <f>'GRUPO F'!C17</f>
        <v>0.91666666666666663</v>
      </c>
      <c r="D39" s="127" t="str">
        <f>'GRUPO F'!D17</f>
        <v>Ahmad Bin Ali</v>
      </c>
      <c r="E39" s="53" t="str">
        <f ca="1">'GRUPO F'!E17</f>
        <v>Proximamente..</v>
      </c>
      <c r="F39" s="54" t="str">
        <f>'GRUPO F'!F17</f>
        <v>Bélgica</v>
      </c>
      <c r="G39" s="36" t="str">
        <f>IF('GRUPO F'!G17="","",'GRUPO F'!G17)</f>
        <v/>
      </c>
      <c r="H39" s="54" t="str">
        <f>'GRUPO F'!H17</f>
        <v>Canadá</v>
      </c>
      <c r="I39" s="37" t="str">
        <f>IF('GRUPO F'!I17="","",'GRUPO F'!I17)</f>
        <v/>
      </c>
      <c r="J39" s="2"/>
      <c r="K39" s="29" t="str">
        <f>Hoja1!B41</f>
        <v>Equipo</v>
      </c>
      <c r="L39" s="30" t="str">
        <f>Hoja1!C41</f>
        <v>G</v>
      </c>
      <c r="M39" s="30" t="str">
        <f>Hoja1!D41</f>
        <v>E</v>
      </c>
      <c r="N39" s="30" t="str">
        <f>Hoja1!E41</f>
        <v>P</v>
      </c>
      <c r="O39" s="30" t="str">
        <f>Hoja1!F41</f>
        <v>GF</v>
      </c>
      <c r="P39" s="30" t="str">
        <f>Hoja1!G41</f>
        <v>GC</v>
      </c>
      <c r="Q39" s="30" t="str">
        <f>Hoja1!H41</f>
        <v>DG</v>
      </c>
      <c r="R39" s="30" t="str">
        <f>Hoja1!I41</f>
        <v>Pts.</v>
      </c>
      <c r="S39" s="30" t="s">
        <v>5</v>
      </c>
      <c r="U39" s="1" t="s">
        <v>6</v>
      </c>
    </row>
    <row r="40" spans="2:21">
      <c r="B40" s="55">
        <f>'GRUPO F'!B18</f>
        <v>44888</v>
      </c>
      <c r="C40" s="56">
        <f>'GRUPO F'!C18</f>
        <v>0.54166666666666663</v>
      </c>
      <c r="D40" s="128" t="str">
        <f>'GRUPO F'!D18</f>
        <v>Al Bayt</v>
      </c>
      <c r="E40" s="57" t="str">
        <f ca="1">'GRUPO F'!E18</f>
        <v>Proximamente..</v>
      </c>
      <c r="F40" s="58" t="str">
        <f>'GRUPO F'!F18</f>
        <v>Marruecos</v>
      </c>
      <c r="G40" s="133" t="str">
        <f>IF('GRUPO F'!G18="","",'GRUPO F'!G18)</f>
        <v/>
      </c>
      <c r="H40" s="58" t="str">
        <f>'GRUPO F'!H18</f>
        <v>Croacia</v>
      </c>
      <c r="I40" s="136" t="str">
        <f>IF('GRUPO F'!I18="","",'GRUPO F'!I18)</f>
        <v/>
      </c>
      <c r="J40" s="2"/>
      <c r="K40" s="31" t="str">
        <f>Hoja1!B42</f>
        <v>Bélgica</v>
      </c>
      <c r="L40" s="70">
        <f>Hoja1!C42</f>
        <v>0</v>
      </c>
      <c r="M40" s="70">
        <f>Hoja1!D42</f>
        <v>0</v>
      </c>
      <c r="N40" s="70">
        <f>Hoja1!E42</f>
        <v>0</v>
      </c>
      <c r="O40" s="70">
        <f>Hoja1!F42</f>
        <v>0</v>
      </c>
      <c r="P40" s="70">
        <f>Hoja1!G42</f>
        <v>0</v>
      </c>
      <c r="Q40" s="70">
        <f>Hoja1!H42</f>
        <v>0</v>
      </c>
      <c r="R40" s="70">
        <f>Hoja1!I42</f>
        <v>0</v>
      </c>
      <c r="S40" s="70">
        <f>SUM(L40:N40)</f>
        <v>0</v>
      </c>
      <c r="U40" s="1" t="str">
        <f>K40</f>
        <v>Bélgica</v>
      </c>
    </row>
    <row r="41" spans="2:21">
      <c r="B41" s="55">
        <f>'GRUPO F'!B19</f>
        <v>44892</v>
      </c>
      <c r="C41" s="56">
        <f>'GRUPO F'!C19</f>
        <v>0.66666666666666674</v>
      </c>
      <c r="D41" s="128" t="str">
        <f>'GRUPO F'!D19</f>
        <v>Al Thumama</v>
      </c>
      <c r="E41" s="57" t="str">
        <f ca="1">'GRUPO F'!E19</f>
        <v>Proximamente..</v>
      </c>
      <c r="F41" s="58" t="str">
        <f>'GRUPO F'!F19</f>
        <v>Bélgica</v>
      </c>
      <c r="G41" s="133" t="str">
        <f>IF('GRUPO F'!G19="","",'GRUPO F'!G19)</f>
        <v/>
      </c>
      <c r="H41" s="58" t="str">
        <f>'GRUPO F'!H19</f>
        <v>Marruecos</v>
      </c>
      <c r="I41" s="136" t="str">
        <f>IF('GRUPO F'!I19="","",'GRUPO F'!I19)</f>
        <v/>
      </c>
      <c r="J41" s="2"/>
      <c r="K41" s="31" t="str">
        <f>Hoja1!B43</f>
        <v>Canadá</v>
      </c>
      <c r="L41" s="70">
        <f>Hoja1!C43</f>
        <v>0</v>
      </c>
      <c r="M41" s="70">
        <f>Hoja1!D43</f>
        <v>0</v>
      </c>
      <c r="N41" s="70">
        <f>Hoja1!E43</f>
        <v>0</v>
      </c>
      <c r="O41" s="70">
        <f>Hoja1!F43</f>
        <v>0</v>
      </c>
      <c r="P41" s="70">
        <f>Hoja1!G43</f>
        <v>0</v>
      </c>
      <c r="Q41" s="70">
        <f>Hoja1!H43</f>
        <v>0</v>
      </c>
      <c r="R41" s="70">
        <f>Hoja1!I43</f>
        <v>0</v>
      </c>
      <c r="S41" s="70">
        <f>SUM(L41:N41)</f>
        <v>0</v>
      </c>
      <c r="U41" s="1" t="str">
        <f>K41</f>
        <v>Canadá</v>
      </c>
    </row>
    <row r="42" spans="2:21">
      <c r="B42" s="55">
        <f>'GRUPO F'!B20</f>
        <v>44892</v>
      </c>
      <c r="C42" s="56">
        <f>'GRUPO F'!C20</f>
        <v>0.79166666666666674</v>
      </c>
      <c r="D42" s="128" t="str">
        <f>'GRUPO F'!D20</f>
        <v>Khalifa International</v>
      </c>
      <c r="E42" s="57" t="str">
        <f ca="1">'GRUPO F'!E20</f>
        <v>Proximamente..</v>
      </c>
      <c r="F42" s="58" t="str">
        <f>'GRUPO F'!F20</f>
        <v>Croacia</v>
      </c>
      <c r="G42" s="133" t="str">
        <f>IF('GRUPO F'!G20="","",'GRUPO F'!G20)</f>
        <v/>
      </c>
      <c r="H42" s="58" t="str">
        <f>'GRUPO F'!H20</f>
        <v>Canadá</v>
      </c>
      <c r="I42" s="136" t="str">
        <f>IF('GRUPO F'!I20="","",'GRUPO F'!I20)</f>
        <v/>
      </c>
      <c r="J42" s="2"/>
      <c r="K42" s="31" t="str">
        <f>Hoja1!B44</f>
        <v>Marruecos</v>
      </c>
      <c r="L42" s="70">
        <f>Hoja1!C44</f>
        <v>0</v>
      </c>
      <c r="M42" s="70">
        <f>Hoja1!D44</f>
        <v>0</v>
      </c>
      <c r="N42" s="70">
        <f>Hoja1!E44</f>
        <v>0</v>
      </c>
      <c r="O42" s="70">
        <f>Hoja1!F44</f>
        <v>0</v>
      </c>
      <c r="P42" s="70">
        <f>Hoja1!G44</f>
        <v>0</v>
      </c>
      <c r="Q42" s="70">
        <f>Hoja1!H44</f>
        <v>0</v>
      </c>
      <c r="R42" s="70">
        <f>Hoja1!I44</f>
        <v>0</v>
      </c>
      <c r="S42" s="70">
        <f>SUM(L42:N42)</f>
        <v>0</v>
      </c>
    </row>
    <row r="43" spans="2:21" ht="13.8" thickBot="1">
      <c r="B43" s="55">
        <f>'GRUPO F'!B21</f>
        <v>44896</v>
      </c>
      <c r="C43" s="56">
        <f>'GRUPO F'!C21</f>
        <v>0.75</v>
      </c>
      <c r="D43" s="128" t="str">
        <f>'GRUPO F'!D21</f>
        <v>Ahmad Bin Ali</v>
      </c>
      <c r="E43" s="57" t="str">
        <f ca="1">'GRUPO F'!E21</f>
        <v>Proximamente..</v>
      </c>
      <c r="F43" s="58" t="str">
        <f>'GRUPO F'!F21</f>
        <v>Croacia</v>
      </c>
      <c r="G43" s="133" t="str">
        <f>IF('GRUPO F'!G21="","",'GRUPO F'!G21)</f>
        <v/>
      </c>
      <c r="H43" s="58" t="str">
        <f>'GRUPO F'!H21</f>
        <v>Bélgica</v>
      </c>
      <c r="I43" s="136" t="str">
        <f>IF('GRUPO F'!I21="","",'GRUPO F'!I21)</f>
        <v/>
      </c>
      <c r="J43" s="2"/>
      <c r="K43" s="32" t="str">
        <f>Hoja1!B45</f>
        <v>Croacia</v>
      </c>
      <c r="L43" s="71">
        <f>Hoja1!C45</f>
        <v>0</v>
      </c>
      <c r="M43" s="71">
        <f>Hoja1!D45</f>
        <v>0</v>
      </c>
      <c r="N43" s="71">
        <f>Hoja1!E45</f>
        <v>0</v>
      </c>
      <c r="O43" s="71">
        <f>Hoja1!F45</f>
        <v>0</v>
      </c>
      <c r="P43" s="71">
        <f>Hoja1!G45</f>
        <v>0</v>
      </c>
      <c r="Q43" s="71">
        <f>Hoja1!H45</f>
        <v>0</v>
      </c>
      <c r="R43" s="71">
        <f>Hoja1!I45</f>
        <v>0</v>
      </c>
      <c r="S43" s="71">
        <f>SUM(L43:N43)</f>
        <v>0</v>
      </c>
    </row>
    <row r="44" spans="2:21">
      <c r="B44" s="59">
        <f>'GRUPO F'!B22</f>
        <v>44896</v>
      </c>
      <c r="C44" s="60">
        <f>'GRUPO F'!C22</f>
        <v>0.75</v>
      </c>
      <c r="D44" s="129" t="str">
        <f>'GRUPO F'!D22</f>
        <v>Al Thumama</v>
      </c>
      <c r="E44" s="61" t="str">
        <f ca="1">'GRUPO F'!E22</f>
        <v>Proximamente..</v>
      </c>
      <c r="F44" s="62" t="str">
        <f>'GRUPO F'!F22</f>
        <v>Canadá</v>
      </c>
      <c r="G44" s="134" t="str">
        <f>IF('GRUPO F'!G22="","",'GRUPO F'!G22)</f>
        <v/>
      </c>
      <c r="H44" s="62" t="str">
        <f>'GRUPO F'!H22</f>
        <v>Marruecos</v>
      </c>
      <c r="I44" s="137" t="str">
        <f>IF('GRUPO F'!I22="","",'GRUPO F'!I22)</f>
        <v/>
      </c>
      <c r="J44" s="2"/>
      <c r="L44" s="131"/>
      <c r="M44" s="131"/>
      <c r="N44" s="131"/>
      <c r="O44" s="131"/>
      <c r="P44" s="131"/>
      <c r="Q44" s="131"/>
      <c r="R44" s="131"/>
      <c r="S44" s="131"/>
    </row>
    <row r="45" spans="2:21" ht="13.8" thickBot="1">
      <c r="B45" s="49" t="str">
        <f>'GRUPO G'!B16</f>
        <v>Dia</v>
      </c>
      <c r="C45" s="50" t="str">
        <f>'GRUPO G'!C16</f>
        <v>Hora</v>
      </c>
      <c r="D45" s="50" t="str">
        <f>'GRUPO G'!D16</f>
        <v>Sede</v>
      </c>
      <c r="E45" s="50" t="str">
        <f>'GRUPO G'!E16</f>
        <v>Estado</v>
      </c>
      <c r="F45" s="174" t="str">
        <f>'GRUPO G'!F16</f>
        <v>Partidos</v>
      </c>
      <c r="G45" s="174">
        <f>'GRUPO G'!G16</f>
        <v>0</v>
      </c>
      <c r="H45" s="174">
        <f>'GRUPO G'!H16</f>
        <v>0</v>
      </c>
      <c r="I45" s="175">
        <f>'GRUPO G'!I16</f>
        <v>0</v>
      </c>
      <c r="J45" s="3"/>
      <c r="L45" s="131"/>
      <c r="M45" s="131"/>
      <c r="N45" s="131"/>
      <c r="O45" s="131"/>
      <c r="P45" s="131"/>
      <c r="Q45" s="131"/>
      <c r="R45" s="131"/>
      <c r="S45" s="131"/>
    </row>
    <row r="46" spans="2:21" ht="13.8" thickBot="1">
      <c r="B46" s="51">
        <f>'GRUPO G'!B17</f>
        <v>44889</v>
      </c>
      <c r="C46" s="52">
        <f>'GRUPO G'!C17</f>
        <v>0.91666666666666663</v>
      </c>
      <c r="D46" s="127" t="str">
        <f>'GRUPO G'!D17</f>
        <v>Lusail Iconic</v>
      </c>
      <c r="E46" s="53" t="str">
        <f ca="1">'GRUPO G'!E17</f>
        <v>Proximamente..</v>
      </c>
      <c r="F46" s="54" t="str">
        <f>'GRUPO G'!F17</f>
        <v>Brasil</v>
      </c>
      <c r="G46" s="132" t="str">
        <f>IF('GRUPO G'!G17="","",'GRUPO G'!G17)</f>
        <v/>
      </c>
      <c r="H46" s="54" t="str">
        <f>'GRUPO G'!H17</f>
        <v>Serbia</v>
      </c>
      <c r="I46" s="135" t="str">
        <f>IF('GRUPO G'!I17="","",'GRUPO G'!I17)</f>
        <v/>
      </c>
      <c r="J46" s="2"/>
      <c r="K46" s="29" t="str">
        <f>Hoja1!B48</f>
        <v>Equipo</v>
      </c>
      <c r="L46" s="30" t="str">
        <f>Hoja1!C48</f>
        <v>G</v>
      </c>
      <c r="M46" s="30" t="str">
        <f>Hoja1!D48</f>
        <v>E</v>
      </c>
      <c r="N46" s="30" t="str">
        <f>Hoja1!E48</f>
        <v>P</v>
      </c>
      <c r="O46" s="30" t="str">
        <f>Hoja1!F48</f>
        <v>GF</v>
      </c>
      <c r="P46" s="30" t="str">
        <f>Hoja1!G48</f>
        <v>GC</v>
      </c>
      <c r="Q46" s="30" t="str">
        <f>Hoja1!H48</f>
        <v>DG</v>
      </c>
      <c r="R46" s="30" t="str">
        <f>Hoja1!I48</f>
        <v>Pts.</v>
      </c>
      <c r="S46" s="30" t="s">
        <v>5</v>
      </c>
      <c r="U46" s="1" t="s">
        <v>6</v>
      </c>
    </row>
    <row r="47" spans="2:21">
      <c r="B47" s="55">
        <f>'GRUPO G'!B18</f>
        <v>44889</v>
      </c>
      <c r="C47" s="56">
        <f>'GRUPO G'!C18</f>
        <v>0.54166666666666663</v>
      </c>
      <c r="D47" s="128" t="str">
        <f>'GRUPO G'!D18</f>
        <v>Al Janoub</v>
      </c>
      <c r="E47" s="57" t="str">
        <f ca="1">'GRUPO G'!E18</f>
        <v>Proximamente..</v>
      </c>
      <c r="F47" s="58" t="str">
        <f>'GRUPO G'!F18</f>
        <v>Suiza</v>
      </c>
      <c r="G47" s="133" t="str">
        <f>IF('GRUPO G'!G18="","",'GRUPO G'!G18)</f>
        <v/>
      </c>
      <c r="H47" s="58" t="str">
        <f>'GRUPO G'!H18</f>
        <v>Camerún</v>
      </c>
      <c r="I47" s="136" t="str">
        <f>IF('GRUPO G'!I18="","",'GRUPO G'!I18)</f>
        <v/>
      </c>
      <c r="J47" s="2"/>
      <c r="K47" s="31" t="str">
        <f>Hoja1!B49</f>
        <v>Brasil</v>
      </c>
      <c r="L47" s="70">
        <f>Hoja1!C49</f>
        <v>0</v>
      </c>
      <c r="M47" s="70">
        <f>Hoja1!D49</f>
        <v>0</v>
      </c>
      <c r="N47" s="70">
        <f>Hoja1!E49</f>
        <v>0</v>
      </c>
      <c r="O47" s="70">
        <f>Hoja1!F49</f>
        <v>0</v>
      </c>
      <c r="P47" s="70">
        <f>Hoja1!G49</f>
        <v>0</v>
      </c>
      <c r="Q47" s="70">
        <f>Hoja1!H49</f>
        <v>0</v>
      </c>
      <c r="R47" s="70">
        <f>Hoja1!I49</f>
        <v>0</v>
      </c>
      <c r="S47" s="70">
        <f>SUM(L47:N47)</f>
        <v>0</v>
      </c>
      <c r="U47" s="1" t="str">
        <f>K47</f>
        <v>Brasil</v>
      </c>
    </row>
    <row r="48" spans="2:21">
      <c r="B48" s="55">
        <f>'GRUPO G'!B19</f>
        <v>44893</v>
      </c>
      <c r="C48" s="56">
        <f>'GRUPO G'!C19</f>
        <v>0.79166666666666674</v>
      </c>
      <c r="D48" s="128" t="str">
        <f>'GRUPO G'!D19</f>
        <v>Stadium 974</v>
      </c>
      <c r="E48" s="57" t="str">
        <f ca="1">'GRUPO G'!E19</f>
        <v>Proximamente..</v>
      </c>
      <c r="F48" s="58" t="str">
        <f>'GRUPO G'!F19</f>
        <v>Brasil</v>
      </c>
      <c r="G48" s="133" t="str">
        <f>IF('GRUPO G'!G19="","",'GRUPO G'!G19)</f>
        <v/>
      </c>
      <c r="H48" s="58" t="str">
        <f>'GRUPO G'!H19</f>
        <v>Suiza</v>
      </c>
      <c r="I48" s="136" t="str">
        <f>IF('GRUPO G'!I19="","",'GRUPO G'!I19)</f>
        <v/>
      </c>
      <c r="J48" s="2"/>
      <c r="K48" s="31" t="str">
        <f>Hoja1!B50</f>
        <v>Serbia</v>
      </c>
      <c r="L48" s="70">
        <f>Hoja1!C50</f>
        <v>0</v>
      </c>
      <c r="M48" s="70">
        <f>Hoja1!D50</f>
        <v>0</v>
      </c>
      <c r="N48" s="70">
        <f>Hoja1!E50</f>
        <v>0</v>
      </c>
      <c r="O48" s="70">
        <f>Hoja1!F50</f>
        <v>0</v>
      </c>
      <c r="P48" s="70">
        <f>Hoja1!G50</f>
        <v>0</v>
      </c>
      <c r="Q48" s="70">
        <f>Hoja1!H50</f>
        <v>0</v>
      </c>
      <c r="R48" s="70">
        <f>Hoja1!I50</f>
        <v>0</v>
      </c>
      <c r="S48" s="70">
        <f>SUM(L48:N48)</f>
        <v>0</v>
      </c>
      <c r="U48" s="1" t="str">
        <f>K48</f>
        <v>Serbia</v>
      </c>
    </row>
    <row r="49" spans="2:21">
      <c r="B49" s="55">
        <f>'GRUPO G'!B20</f>
        <v>44893</v>
      </c>
      <c r="C49" s="56">
        <f>'GRUPO G'!C20</f>
        <v>0.54166666666666663</v>
      </c>
      <c r="D49" s="128" t="str">
        <f>'GRUPO G'!D20</f>
        <v>Al Janoub</v>
      </c>
      <c r="E49" s="57" t="str">
        <f ca="1">'GRUPO G'!E20</f>
        <v>Proximamente..</v>
      </c>
      <c r="F49" s="58" t="str">
        <f>'GRUPO G'!F20</f>
        <v>Camerún</v>
      </c>
      <c r="G49" s="133" t="str">
        <f>IF('GRUPO G'!G20="","",'GRUPO G'!G20)</f>
        <v/>
      </c>
      <c r="H49" s="58" t="str">
        <f>'GRUPO G'!H20</f>
        <v>Serbia</v>
      </c>
      <c r="I49" s="136" t="str">
        <f>IF('GRUPO G'!I20="","",'GRUPO G'!I20)</f>
        <v/>
      </c>
      <c r="J49" s="2"/>
      <c r="K49" s="31" t="str">
        <f>Hoja1!B51</f>
        <v>Suiza</v>
      </c>
      <c r="L49" s="70">
        <f>Hoja1!C51</f>
        <v>0</v>
      </c>
      <c r="M49" s="70">
        <f>Hoja1!D51</f>
        <v>0</v>
      </c>
      <c r="N49" s="70">
        <f>Hoja1!E51</f>
        <v>0</v>
      </c>
      <c r="O49" s="70">
        <f>Hoja1!F51</f>
        <v>0</v>
      </c>
      <c r="P49" s="70">
        <f>Hoja1!G51</f>
        <v>0</v>
      </c>
      <c r="Q49" s="70">
        <f>Hoja1!H51</f>
        <v>0</v>
      </c>
      <c r="R49" s="70">
        <f>Hoja1!I51</f>
        <v>0</v>
      </c>
      <c r="S49" s="70">
        <f>SUM(L49:N49)</f>
        <v>0</v>
      </c>
    </row>
    <row r="50" spans="2:21" ht="13.8" thickBot="1">
      <c r="B50" s="55">
        <f>'GRUPO G'!B21</f>
        <v>44897</v>
      </c>
      <c r="C50" s="56">
        <f>'GRUPO G'!C21</f>
        <v>0.91666666666666663</v>
      </c>
      <c r="D50" s="128" t="str">
        <f>'GRUPO G'!D21</f>
        <v>Lusail Iconic</v>
      </c>
      <c r="E50" s="57" t="str">
        <f ca="1">'GRUPO G'!E21</f>
        <v>Proximamente..</v>
      </c>
      <c r="F50" s="58" t="str">
        <f>'GRUPO G'!F21</f>
        <v>Camerún</v>
      </c>
      <c r="G50" s="133" t="str">
        <f>IF('GRUPO G'!G21="","",'GRUPO G'!G21)</f>
        <v/>
      </c>
      <c r="H50" s="58" t="str">
        <f>'GRUPO G'!H21</f>
        <v>Brasil</v>
      </c>
      <c r="I50" s="136" t="str">
        <f>IF('GRUPO G'!I21="","",'GRUPO G'!I21)</f>
        <v/>
      </c>
      <c r="J50" s="2"/>
      <c r="K50" s="32" t="str">
        <f>Hoja1!B52</f>
        <v>Camerún</v>
      </c>
      <c r="L50" s="71">
        <f>Hoja1!C52</f>
        <v>0</v>
      </c>
      <c r="M50" s="71">
        <f>Hoja1!D52</f>
        <v>0</v>
      </c>
      <c r="N50" s="71">
        <f>Hoja1!E52</f>
        <v>0</v>
      </c>
      <c r="O50" s="71">
        <f>Hoja1!F52</f>
        <v>0</v>
      </c>
      <c r="P50" s="71">
        <f>Hoja1!G52</f>
        <v>0</v>
      </c>
      <c r="Q50" s="71">
        <f>Hoja1!H52</f>
        <v>0</v>
      </c>
      <c r="R50" s="71">
        <f>Hoja1!I52</f>
        <v>0</v>
      </c>
      <c r="S50" s="71">
        <f>SUM(L50:N50)</f>
        <v>0</v>
      </c>
    </row>
    <row r="51" spans="2:21">
      <c r="B51" s="59">
        <f>'GRUPO G'!B22</f>
        <v>44897</v>
      </c>
      <c r="C51" s="60">
        <f>'GRUPO G'!C22</f>
        <v>0.91666666666666663</v>
      </c>
      <c r="D51" s="129" t="str">
        <f>'GRUPO G'!D22</f>
        <v>Stadium 974</v>
      </c>
      <c r="E51" s="61" t="str">
        <f ca="1">'GRUPO G'!E22</f>
        <v>Proximamente..</v>
      </c>
      <c r="F51" s="62" t="str">
        <f>'GRUPO G'!F22</f>
        <v>Serbia</v>
      </c>
      <c r="G51" s="134" t="str">
        <f>IF('GRUPO G'!G22="","",'GRUPO G'!G22)</f>
        <v/>
      </c>
      <c r="H51" s="62" t="str">
        <f>'GRUPO G'!H22</f>
        <v>Suiza</v>
      </c>
      <c r="I51" s="137" t="str">
        <f>IF('GRUPO G'!I22="","",'GRUPO G'!I22)</f>
        <v/>
      </c>
      <c r="J51" s="2"/>
      <c r="L51" s="131"/>
      <c r="M51" s="131"/>
      <c r="N51" s="131"/>
      <c r="O51" s="131"/>
      <c r="P51" s="131"/>
      <c r="Q51" s="131"/>
      <c r="R51" s="131"/>
      <c r="S51" s="131"/>
    </row>
    <row r="52" spans="2:21" ht="13.8" thickBot="1">
      <c r="B52" s="49" t="str">
        <f>'GRUPO H'!B16</f>
        <v>Dia</v>
      </c>
      <c r="C52" s="50" t="str">
        <f>'GRUPO H'!C16</f>
        <v>Hora</v>
      </c>
      <c r="D52" s="50" t="str">
        <f>'GRUPO H'!D16</f>
        <v>Sede</v>
      </c>
      <c r="E52" s="50" t="str">
        <f>'GRUPO H'!E16</f>
        <v>Estado</v>
      </c>
      <c r="F52" s="174" t="str">
        <f>'GRUPO H'!F16</f>
        <v>Partidos</v>
      </c>
      <c r="G52" s="174">
        <f>'GRUPO H'!G16</f>
        <v>0</v>
      </c>
      <c r="H52" s="174">
        <f>'GRUPO H'!H16</f>
        <v>0</v>
      </c>
      <c r="I52" s="175">
        <f>'GRUPO H'!I16</f>
        <v>0</v>
      </c>
      <c r="J52" s="3"/>
      <c r="L52" s="131"/>
      <c r="M52" s="131"/>
      <c r="N52" s="131"/>
      <c r="O52" s="131"/>
      <c r="P52" s="131"/>
      <c r="Q52" s="131"/>
      <c r="R52" s="131"/>
      <c r="S52" s="131"/>
    </row>
    <row r="53" spans="2:21" ht="13.8" thickBot="1">
      <c r="B53" s="51">
        <f>'GRUPO H'!B17</f>
        <v>44889</v>
      </c>
      <c r="C53" s="52">
        <f>'GRUPO H'!C17</f>
        <v>0.79166666666666674</v>
      </c>
      <c r="D53" s="127" t="str">
        <f>'GRUPO H'!D17</f>
        <v>Stadium 974</v>
      </c>
      <c r="E53" s="53" t="str">
        <f ca="1">'GRUPO H'!E17</f>
        <v>Proximamente..</v>
      </c>
      <c r="F53" s="54" t="str">
        <f>'GRUPO H'!F17</f>
        <v>Portugal</v>
      </c>
      <c r="G53" s="132" t="str">
        <f>IF('GRUPO H'!G17="","",'GRUPO H'!G17)</f>
        <v/>
      </c>
      <c r="H53" s="54" t="str">
        <f>'GRUPO H'!H17</f>
        <v>Ghana</v>
      </c>
      <c r="I53" s="135" t="str">
        <f>IF('GRUPO H'!I17="","",'GRUPO H'!I17)</f>
        <v/>
      </c>
      <c r="J53" s="2"/>
      <c r="K53" s="29" t="str">
        <f>Hoja1!B55</f>
        <v>Equipo</v>
      </c>
      <c r="L53" s="30" t="str">
        <f>Hoja1!C55</f>
        <v>G</v>
      </c>
      <c r="M53" s="30" t="str">
        <f>Hoja1!D55</f>
        <v>E</v>
      </c>
      <c r="N53" s="30" t="str">
        <f>Hoja1!E55</f>
        <v>P</v>
      </c>
      <c r="O53" s="30" t="str">
        <f>Hoja1!F55</f>
        <v>GF</v>
      </c>
      <c r="P53" s="30" t="str">
        <f>Hoja1!G55</f>
        <v>GC</v>
      </c>
      <c r="Q53" s="30" t="str">
        <f>Hoja1!H55</f>
        <v>DG</v>
      </c>
      <c r="R53" s="30" t="str">
        <f>Hoja1!I55</f>
        <v>Pts.</v>
      </c>
      <c r="S53" s="30" t="s">
        <v>5</v>
      </c>
      <c r="U53" s="1" t="s">
        <v>6</v>
      </c>
    </row>
    <row r="54" spans="2:21">
      <c r="B54" s="55">
        <f>'GRUPO H'!B18</f>
        <v>44889</v>
      </c>
      <c r="C54" s="56">
        <f>'GRUPO H'!C18</f>
        <v>0.66666666666666674</v>
      </c>
      <c r="D54" s="128" t="str">
        <f>'GRUPO H'!D18</f>
        <v>Education City</v>
      </c>
      <c r="E54" s="57" t="str">
        <f ca="1">'GRUPO H'!E18</f>
        <v>Proximamente..</v>
      </c>
      <c r="F54" s="58" t="str">
        <f>'GRUPO H'!F18</f>
        <v>Uruguay</v>
      </c>
      <c r="G54" s="133" t="str">
        <f>IF('GRUPO H'!G18="","",'GRUPO H'!G18)</f>
        <v/>
      </c>
      <c r="H54" s="58" t="str">
        <f>'GRUPO H'!H18</f>
        <v>Corea del Sur</v>
      </c>
      <c r="I54" s="136" t="str">
        <f>IF('GRUPO H'!I18="","",'GRUPO H'!I18)</f>
        <v/>
      </c>
      <c r="J54" s="2"/>
      <c r="K54" s="31" t="str">
        <f>Hoja1!B56</f>
        <v>Portugal</v>
      </c>
      <c r="L54" s="70">
        <f>Hoja1!C56</f>
        <v>0</v>
      </c>
      <c r="M54" s="70">
        <f>Hoja1!D56</f>
        <v>0</v>
      </c>
      <c r="N54" s="70">
        <f>Hoja1!E56</f>
        <v>0</v>
      </c>
      <c r="O54" s="70">
        <f>Hoja1!F56</f>
        <v>0</v>
      </c>
      <c r="P54" s="70">
        <f>Hoja1!G56</f>
        <v>0</v>
      </c>
      <c r="Q54" s="70">
        <f>Hoja1!H56</f>
        <v>0</v>
      </c>
      <c r="R54" s="70">
        <f>Hoja1!I56</f>
        <v>0</v>
      </c>
      <c r="S54" s="70">
        <f>SUM(L54:N54)</f>
        <v>0</v>
      </c>
      <c r="U54" s="1" t="str">
        <f>K54</f>
        <v>Portugal</v>
      </c>
    </row>
    <row r="55" spans="2:21">
      <c r="B55" s="55">
        <f>'GRUPO H'!B19</f>
        <v>44893</v>
      </c>
      <c r="C55" s="56">
        <f>'GRUPO H'!C19</f>
        <v>0.91666666666666663</v>
      </c>
      <c r="D55" s="128" t="str">
        <f>'GRUPO H'!D19</f>
        <v>Lusail Iconic</v>
      </c>
      <c r="E55" s="57" t="str">
        <f ca="1">'GRUPO H'!E19</f>
        <v>Proximamente..</v>
      </c>
      <c r="F55" s="58" t="str">
        <f>'GRUPO H'!F19</f>
        <v>Portugal</v>
      </c>
      <c r="G55" s="133" t="str">
        <f>IF('GRUPO H'!G19="","",'GRUPO H'!G19)</f>
        <v/>
      </c>
      <c r="H55" s="58" t="str">
        <f>'GRUPO H'!H19</f>
        <v>Uruguay</v>
      </c>
      <c r="I55" s="136" t="str">
        <f>IF('GRUPO H'!I19="","",'GRUPO H'!I19)</f>
        <v/>
      </c>
      <c r="J55" s="2"/>
      <c r="K55" s="31" t="str">
        <f>Hoja1!B57</f>
        <v>Ghana</v>
      </c>
      <c r="L55" s="70">
        <f>Hoja1!C57</f>
        <v>0</v>
      </c>
      <c r="M55" s="70">
        <f>Hoja1!D57</f>
        <v>0</v>
      </c>
      <c r="N55" s="70">
        <f>Hoja1!E57</f>
        <v>0</v>
      </c>
      <c r="O55" s="70">
        <f>Hoja1!F57</f>
        <v>0</v>
      </c>
      <c r="P55" s="70">
        <f>Hoja1!G57</f>
        <v>0</v>
      </c>
      <c r="Q55" s="70">
        <f>Hoja1!H57</f>
        <v>0</v>
      </c>
      <c r="R55" s="70">
        <f>Hoja1!I57</f>
        <v>0</v>
      </c>
      <c r="S55" s="70">
        <f>SUM(L55:N55)</f>
        <v>0</v>
      </c>
      <c r="U55" s="1" t="str">
        <f>K55</f>
        <v>Ghana</v>
      </c>
    </row>
    <row r="56" spans="2:21">
      <c r="B56" s="55">
        <f>'GRUPO H'!B20</f>
        <v>44893</v>
      </c>
      <c r="C56" s="56">
        <f>'GRUPO H'!C20</f>
        <v>0.66666666666666674</v>
      </c>
      <c r="D56" s="128" t="str">
        <f>'GRUPO H'!D20</f>
        <v>Education City</v>
      </c>
      <c r="E56" s="57" t="str">
        <f ca="1">'GRUPO H'!E20</f>
        <v>Proximamente..</v>
      </c>
      <c r="F56" s="58" t="str">
        <f>'GRUPO H'!F20</f>
        <v>Corea del Sur</v>
      </c>
      <c r="G56" s="133" t="str">
        <f>IF('GRUPO H'!G20="","",'GRUPO H'!G20)</f>
        <v/>
      </c>
      <c r="H56" s="58" t="str">
        <f>'GRUPO H'!H20</f>
        <v>Ghana</v>
      </c>
      <c r="I56" s="136" t="str">
        <f>IF('GRUPO H'!I20="","",'GRUPO H'!I20)</f>
        <v/>
      </c>
      <c r="J56" s="2"/>
      <c r="K56" s="31" t="str">
        <f>Hoja1!B58</f>
        <v>Uruguay</v>
      </c>
      <c r="L56" s="70">
        <f>Hoja1!C58</f>
        <v>0</v>
      </c>
      <c r="M56" s="70">
        <f>Hoja1!D58</f>
        <v>0</v>
      </c>
      <c r="N56" s="70">
        <f>Hoja1!E58</f>
        <v>0</v>
      </c>
      <c r="O56" s="70">
        <f>Hoja1!F58</f>
        <v>0</v>
      </c>
      <c r="P56" s="70">
        <f>Hoja1!G58</f>
        <v>0</v>
      </c>
      <c r="Q56" s="70">
        <f>Hoja1!H58</f>
        <v>0</v>
      </c>
      <c r="R56" s="70">
        <f>Hoja1!I58</f>
        <v>0</v>
      </c>
      <c r="S56" s="70">
        <f>SUM(L56:N56)</f>
        <v>0</v>
      </c>
    </row>
    <row r="57" spans="2:21" ht="13.8" thickBot="1">
      <c r="B57" s="55">
        <f>'GRUPO H'!B21</f>
        <v>44897</v>
      </c>
      <c r="C57" s="56">
        <f>'GRUPO H'!C21</f>
        <v>0.75</v>
      </c>
      <c r="D57" s="128" t="str">
        <f>'GRUPO H'!D21</f>
        <v>Education City</v>
      </c>
      <c r="E57" s="57" t="str">
        <f ca="1">'GRUPO H'!E21</f>
        <v>Proximamente..</v>
      </c>
      <c r="F57" s="58" t="str">
        <f>'GRUPO H'!F21</f>
        <v>Corea del Sur</v>
      </c>
      <c r="G57" s="133" t="str">
        <f>IF('GRUPO H'!G21="","",'GRUPO H'!G21)</f>
        <v/>
      </c>
      <c r="H57" s="58" t="str">
        <f>'GRUPO H'!H21</f>
        <v>Portugal</v>
      </c>
      <c r="I57" s="136" t="str">
        <f>IF('GRUPO H'!I21="","",'GRUPO H'!I21)</f>
        <v/>
      </c>
      <c r="J57" s="2"/>
      <c r="K57" s="32" t="str">
        <f>Hoja1!B59</f>
        <v>Corea del Sur</v>
      </c>
      <c r="L57" s="71">
        <f>Hoja1!C59</f>
        <v>0</v>
      </c>
      <c r="M57" s="71">
        <f>Hoja1!D59</f>
        <v>0</v>
      </c>
      <c r="N57" s="71">
        <f>Hoja1!E59</f>
        <v>0</v>
      </c>
      <c r="O57" s="71">
        <f>Hoja1!F59</f>
        <v>0</v>
      </c>
      <c r="P57" s="71">
        <f>Hoja1!G59</f>
        <v>0</v>
      </c>
      <c r="Q57" s="71">
        <f>Hoja1!H59</f>
        <v>0</v>
      </c>
      <c r="R57" s="71">
        <f>Hoja1!I59</f>
        <v>0</v>
      </c>
      <c r="S57" s="71">
        <f>SUM(L57:N57)</f>
        <v>0</v>
      </c>
    </row>
    <row r="58" spans="2:21">
      <c r="B58" s="59">
        <f>'GRUPO H'!B22</f>
        <v>44897</v>
      </c>
      <c r="C58" s="60">
        <f>'GRUPO H'!C22</f>
        <v>0.75</v>
      </c>
      <c r="D58" s="129" t="str">
        <f>'GRUPO H'!D22</f>
        <v>Al Janoub</v>
      </c>
      <c r="E58" s="61" t="str">
        <f ca="1">'GRUPO H'!E22</f>
        <v>Proximamente..</v>
      </c>
      <c r="F58" s="62" t="str">
        <f>'GRUPO H'!F22</f>
        <v>Ghana</v>
      </c>
      <c r="G58" s="134" t="str">
        <f>IF('GRUPO H'!G22="","",'GRUPO H'!G22)</f>
        <v/>
      </c>
      <c r="H58" s="62" t="str">
        <f>'GRUPO H'!H22</f>
        <v>Uruguay</v>
      </c>
      <c r="I58" s="137" t="str">
        <f>IF('GRUPO H'!I22="","",'GRUPO H'!I22)</f>
        <v/>
      </c>
      <c r="J58" s="2"/>
    </row>
    <row r="59" spans="2:21"/>
    <row r="62" spans="2:21" hidden="1">
      <c r="C62" s="1" t="str">
        <f>IF('GRUPO A'!G17="","",'GRUPO A'!G17)</f>
        <v/>
      </c>
    </row>
  </sheetData>
  <sheetProtection algorithmName="SHA-512" hashValue="4Rs5asI7XZzCqaY5RMRTkqqQxrTMfP9wkKaw+b3UCS7o4jjuBxxThpmcUuaTq4r6MVhTLxQ83MkL2sLV3lyAYQ==" saltValue="uknuHdxbPOR7jw995/Nuxg==" spinCount="100000" sheet="1" objects="1" scenarios="1" selectLockedCells="1"/>
  <mergeCells count="8"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">
    <cfRule type="cellIs" dxfId="15" priority="15" stopIfTrue="1" operator="equal">
      <formula>"HOY!"</formula>
    </cfRule>
  </conditionalFormatting>
  <conditionalFormatting sqref="E11:E16">
    <cfRule type="cellIs" dxfId="14" priority="7" stopIfTrue="1" operator="equal">
      <formula>"HOY!"</formula>
    </cfRule>
  </conditionalFormatting>
  <conditionalFormatting sqref="E18:E23">
    <cfRule type="cellIs" dxfId="13" priority="6" stopIfTrue="1" operator="equal">
      <formula>"HOY!"</formula>
    </cfRule>
  </conditionalFormatting>
  <conditionalFormatting sqref="E25:E30">
    <cfRule type="cellIs" dxfId="12" priority="5" stopIfTrue="1" operator="equal">
      <formula>"HOY!"</formula>
    </cfRule>
  </conditionalFormatting>
  <conditionalFormatting sqref="E32:E37">
    <cfRule type="cellIs" dxfId="11" priority="4" stopIfTrue="1" operator="equal">
      <formula>"HOY!"</formula>
    </cfRule>
  </conditionalFormatting>
  <conditionalFormatting sqref="E39:E44">
    <cfRule type="cellIs" dxfId="10" priority="3" stopIfTrue="1" operator="equal">
      <formula>"HOY!"</formula>
    </cfRule>
  </conditionalFormatting>
  <conditionalFormatting sqref="E46:E51">
    <cfRule type="cellIs" dxfId="9" priority="2" stopIfTrue="1" operator="equal">
      <formula>"HOY!"</formula>
    </cfRule>
  </conditionalFormatting>
  <conditionalFormatting sqref="E53:E58">
    <cfRule type="cellIs" dxfId="8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Q60"/>
  <sheetViews>
    <sheetView showGridLines="0" showRowColHeaders="0" zoomScale="90" zoomScaleNormal="90" workbookViewId="0">
      <selection activeCell="J35" sqref="J35"/>
    </sheetView>
  </sheetViews>
  <sheetFormatPr baseColWidth="10" defaultColWidth="0" defaultRowHeight="13.2" zeroHeight="1"/>
  <cols>
    <col min="1" max="2" width="4.44140625" style="1" customWidth="1"/>
    <col min="3" max="3" width="34.44140625" style="1" customWidth="1"/>
    <col min="4" max="4" width="3.33203125" style="1" customWidth="1"/>
    <col min="5" max="5" width="3.44140625" style="1" customWidth="1"/>
    <col min="6" max="6" width="32.6640625" style="1" customWidth="1"/>
    <col min="7" max="7" width="3.6640625" style="1" customWidth="1"/>
    <col min="8" max="8" width="3.44140625" style="1" customWidth="1"/>
    <col min="9" max="9" width="29.44140625" style="1" customWidth="1"/>
    <col min="10" max="10" width="3.44140625" style="1" customWidth="1"/>
    <col min="11" max="11" width="3.5546875" style="1" customWidth="1"/>
    <col min="12" max="12" width="34.44140625" style="1" customWidth="1"/>
    <col min="13" max="13" width="3.6640625" style="1" customWidth="1"/>
    <col min="14" max="14" width="3.5546875" style="1" customWidth="1"/>
    <col min="15" max="15" width="34.33203125" style="1" customWidth="1"/>
    <col min="16" max="16" width="2.77734375" style="1" customWidth="1"/>
    <col min="17" max="17" width="5.109375" style="1" customWidth="1"/>
    <col min="18" max="16384" width="11.44140625" style="1" hidden="1"/>
  </cols>
  <sheetData>
    <row r="1" spans="2:15"/>
    <row r="2" spans="2:15">
      <c r="C2" s="145"/>
    </row>
    <row r="3" spans="2:15" ht="17.399999999999999">
      <c r="B3" s="179" t="s">
        <v>16</v>
      </c>
      <c r="C3" s="179"/>
      <c r="D3" s="179"/>
      <c r="E3" s="180"/>
      <c r="F3" s="181" t="s">
        <v>17</v>
      </c>
      <c r="G3" s="181"/>
      <c r="H3" s="181"/>
      <c r="I3" s="181" t="s">
        <v>18</v>
      </c>
      <c r="J3" s="181"/>
      <c r="K3" s="181"/>
      <c r="L3" s="181" t="s">
        <v>19</v>
      </c>
      <c r="M3" s="181"/>
      <c r="N3" s="181"/>
      <c r="O3" s="138" t="s">
        <v>20</v>
      </c>
    </row>
    <row r="4" spans="2:15">
      <c r="C4" s="145"/>
      <c r="D4" s="146" t="s">
        <v>21</v>
      </c>
      <c r="E4" s="146" t="s">
        <v>22</v>
      </c>
    </row>
    <row r="5" spans="2:15" ht="13.8" thickBot="1">
      <c r="B5" s="130"/>
      <c r="C5" s="130"/>
      <c r="D5" s="157"/>
      <c r="E5" s="157"/>
    </row>
    <row r="6" spans="2:15" ht="13.8" thickBot="1">
      <c r="B6" s="130"/>
      <c r="C6" s="139" t="str">
        <f>'GRUPO A'!L23</f>
        <v>1A</v>
      </c>
      <c r="D6" s="38"/>
      <c r="E6" s="147"/>
    </row>
    <row r="7" spans="2:15">
      <c r="B7" s="130"/>
      <c r="C7" s="158" t="s">
        <v>145</v>
      </c>
      <c r="D7" s="148"/>
      <c r="E7" s="148"/>
      <c r="F7" s="154"/>
      <c r="G7" s="148"/>
      <c r="H7" s="130"/>
    </row>
    <row r="8" spans="2:15">
      <c r="B8" s="130"/>
      <c r="C8" s="152">
        <v>44898</v>
      </c>
      <c r="D8" s="148"/>
      <c r="E8" s="148"/>
      <c r="F8" s="139" t="str">
        <f>IF(D6="","",IF(D6&gt;D10,C6,IF(D6&lt;D10,C10,IF(E6&gt;E10,C6,IF(E6&lt;E10,C10,"")))))</f>
        <v/>
      </c>
      <c r="G8" s="38"/>
      <c r="H8" s="147"/>
    </row>
    <row r="9" spans="2:15">
      <c r="B9" s="130"/>
      <c r="C9" s="153">
        <f>Turno4</f>
        <v>0.75</v>
      </c>
      <c r="D9" s="152"/>
      <c r="E9" s="149"/>
      <c r="F9" s="154"/>
      <c r="G9" s="148"/>
      <c r="H9" s="130"/>
      <c r="I9" s="142"/>
    </row>
    <row r="10" spans="2:15">
      <c r="B10" s="130"/>
      <c r="C10" s="139" t="str">
        <f>'GRUPO B'!L24</f>
        <v>2B</v>
      </c>
      <c r="D10" s="38"/>
      <c r="E10" s="150"/>
      <c r="F10" s="158" t="s">
        <v>147</v>
      </c>
      <c r="G10" s="151"/>
      <c r="H10" s="130"/>
      <c r="I10" s="154"/>
      <c r="J10" s="130"/>
      <c r="K10" s="130"/>
    </row>
    <row r="11" spans="2:15">
      <c r="B11" s="130"/>
      <c r="C11" s="130"/>
      <c r="D11" s="130"/>
      <c r="E11" s="130"/>
      <c r="F11" s="152">
        <v>44904</v>
      </c>
      <c r="G11" s="155"/>
      <c r="H11" s="130"/>
      <c r="I11" s="139" t="str">
        <f>IF(G8="","",IF(G8&gt;G14,F8,IF(G8&lt;G14,F14,IF(H8&gt;H14,F8,IF(H8&lt;H14,F14,"")))))</f>
        <v/>
      </c>
      <c r="J11" s="38"/>
      <c r="K11" s="147"/>
    </row>
    <row r="12" spans="2:15">
      <c r="B12" s="130"/>
      <c r="C12" s="139" t="str">
        <f>'GRUPO C'!L23</f>
        <v>1C</v>
      </c>
      <c r="D12" s="38"/>
      <c r="E12" s="147"/>
      <c r="F12" s="153">
        <f>Turno7</f>
        <v>0.91666666666666663</v>
      </c>
      <c r="G12" s="153"/>
      <c r="H12" s="130"/>
      <c r="I12" s="154"/>
      <c r="J12" s="130"/>
      <c r="K12" s="130"/>
      <c r="L12" s="142"/>
    </row>
    <row r="13" spans="2:15">
      <c r="B13" s="130"/>
      <c r="C13" s="158" t="s">
        <v>151</v>
      </c>
      <c r="D13" s="148"/>
      <c r="E13" s="148"/>
      <c r="F13" s="154"/>
      <c r="G13" s="148"/>
      <c r="H13" s="130"/>
      <c r="I13" s="154"/>
      <c r="J13" s="130"/>
      <c r="K13" s="130"/>
      <c r="L13" s="142"/>
    </row>
    <row r="14" spans="2:15">
      <c r="B14" s="130"/>
      <c r="C14" s="152">
        <v>44898</v>
      </c>
      <c r="D14" s="148"/>
      <c r="E14" s="148"/>
      <c r="F14" s="139" t="str">
        <f>IF(D12="","",IF(D12&gt;D16,C12,IF(D12&lt;D16,C16,IF(E12&gt;E16,C12,IF(E12&lt;E16,C16,"")))))</f>
        <v/>
      </c>
      <c r="G14" s="38"/>
      <c r="H14" s="150"/>
      <c r="I14" s="130"/>
      <c r="J14" s="130"/>
      <c r="K14" s="130"/>
      <c r="L14" s="142"/>
    </row>
    <row r="15" spans="2:15">
      <c r="B15" s="130"/>
      <c r="C15" s="153">
        <f>Turno7</f>
        <v>0.91666666666666663</v>
      </c>
      <c r="D15" s="130"/>
      <c r="E15" s="149"/>
      <c r="F15" s="154"/>
      <c r="G15" s="148"/>
      <c r="H15" s="130"/>
      <c r="I15" s="130"/>
      <c r="J15" s="130"/>
      <c r="K15" s="130"/>
      <c r="L15" s="142"/>
    </row>
    <row r="16" spans="2:15">
      <c r="B16" s="130"/>
      <c r="C16" s="139" t="str">
        <f>'GRUPO D'!L24</f>
        <v>2D</v>
      </c>
      <c r="D16" s="38"/>
      <c r="E16" s="150"/>
      <c r="F16" s="130"/>
      <c r="G16" s="130"/>
      <c r="H16" s="130"/>
      <c r="I16" s="158" t="s">
        <v>149</v>
      </c>
      <c r="J16" s="130"/>
      <c r="K16" s="130"/>
      <c r="L16" s="142"/>
    </row>
    <row r="17" spans="2:16">
      <c r="B17" s="130"/>
      <c r="C17" s="130"/>
      <c r="D17" s="130"/>
      <c r="E17" s="130"/>
      <c r="F17" s="130"/>
      <c r="G17" s="130"/>
      <c r="H17" s="130"/>
      <c r="I17" s="152">
        <v>44908</v>
      </c>
      <c r="J17" s="130"/>
      <c r="K17" s="130"/>
      <c r="L17" s="139" t="str">
        <f>IF(J11="","",IF(J11&gt;J23,I11,IF(J11&lt;J23,I23,IF(K11&gt;K23,I11,IF(K11&lt;K23,I23,"")))))</f>
        <v/>
      </c>
      <c r="M17" s="38"/>
      <c r="N17" s="141"/>
    </row>
    <row r="18" spans="2:16">
      <c r="B18" s="130"/>
      <c r="C18" s="139" t="str">
        <f>'GRUPO E'!L23</f>
        <v>1E</v>
      </c>
      <c r="D18" s="38"/>
      <c r="E18" s="147"/>
      <c r="F18" s="130"/>
      <c r="G18" s="130"/>
      <c r="H18" s="130"/>
      <c r="I18" s="153">
        <f>Turno7</f>
        <v>0.91666666666666663</v>
      </c>
      <c r="J18" s="130"/>
      <c r="K18" s="130"/>
      <c r="L18" s="154"/>
      <c r="M18" s="130"/>
      <c r="N18" s="130"/>
      <c r="O18" s="142"/>
    </row>
    <row r="19" spans="2:16">
      <c r="B19" s="130"/>
      <c r="C19" s="158" t="s">
        <v>150</v>
      </c>
      <c r="D19" s="148"/>
      <c r="E19" s="148"/>
      <c r="F19" s="154"/>
      <c r="G19" s="148"/>
      <c r="H19" s="130"/>
      <c r="I19" s="130"/>
      <c r="J19" s="130"/>
      <c r="K19" s="130"/>
      <c r="L19" s="154"/>
      <c r="M19" s="130"/>
      <c r="N19" s="130"/>
      <c r="O19" s="142"/>
    </row>
    <row r="20" spans="2:16">
      <c r="B20" s="130"/>
      <c r="C20" s="152">
        <v>44900</v>
      </c>
      <c r="D20" s="148"/>
      <c r="E20" s="148"/>
      <c r="F20" s="139" t="str">
        <f>IF(D18="","",IF(D18&gt;D22,C18,IF(D18&lt;D22,C22,IF(E18&gt;E22,C18,IF(E18&lt;E22,C22,"")))))</f>
        <v/>
      </c>
      <c r="G20" s="38"/>
      <c r="H20" s="147"/>
      <c r="I20" s="130"/>
      <c r="J20" s="130"/>
      <c r="K20" s="130"/>
      <c r="L20" s="154"/>
      <c r="M20" s="130"/>
      <c r="N20" s="130"/>
      <c r="O20" s="142"/>
    </row>
    <row r="21" spans="2:16" ht="13.8" thickBot="1">
      <c r="B21" s="130"/>
      <c r="C21" s="153">
        <f>Turno4</f>
        <v>0.75</v>
      </c>
      <c r="D21" s="152"/>
      <c r="E21" s="149"/>
      <c r="F21" s="154"/>
      <c r="G21" s="148"/>
      <c r="H21" s="130"/>
      <c r="I21" s="154"/>
      <c r="J21" s="130"/>
      <c r="K21" s="130"/>
      <c r="L21" s="154"/>
      <c r="M21" s="130"/>
      <c r="N21" s="130"/>
      <c r="O21" s="142"/>
    </row>
    <row r="22" spans="2:16" ht="13.8" thickBot="1">
      <c r="B22" s="130"/>
      <c r="C22" s="139" t="str">
        <f>'GRUPO F'!L24</f>
        <v>2F</v>
      </c>
      <c r="D22" s="38"/>
      <c r="E22" s="150"/>
      <c r="F22" s="158" t="s">
        <v>149</v>
      </c>
      <c r="G22" s="151"/>
      <c r="H22" s="130"/>
      <c r="I22" s="154"/>
      <c r="J22" s="130"/>
      <c r="K22" s="130"/>
      <c r="L22" s="154"/>
      <c r="M22" s="130"/>
      <c r="N22" s="130"/>
      <c r="O22" s="142"/>
    </row>
    <row r="23" spans="2:16" ht="13.8" thickBot="1">
      <c r="B23" s="130"/>
      <c r="C23" s="130"/>
      <c r="D23" s="130"/>
      <c r="E23" s="130"/>
      <c r="F23" s="152">
        <v>44904</v>
      </c>
      <c r="G23" s="155"/>
      <c r="H23" s="130"/>
      <c r="I23" s="139" t="str">
        <f>IF(G20="","",IF(G20&gt;G26,F20,IF(G20&lt;G26,F26,IF(H20&gt;H26,F20,IF(H20&lt;H26,F26,"")))))</f>
        <v/>
      </c>
      <c r="J23" s="38"/>
      <c r="K23" s="150"/>
      <c r="L23" s="130"/>
      <c r="M23" s="130"/>
      <c r="N23" s="130"/>
      <c r="O23" s="142"/>
    </row>
    <row r="24" spans="2:16" ht="13.8" thickBot="1">
      <c r="B24" s="130"/>
      <c r="C24" s="139" t="str">
        <f>'GRUPO G'!L23</f>
        <v>1G</v>
      </c>
      <c r="D24" s="38"/>
      <c r="E24" s="147"/>
      <c r="F24" s="153">
        <f>Turno4</f>
        <v>0.75</v>
      </c>
      <c r="G24" s="153"/>
      <c r="H24" s="130"/>
      <c r="I24" s="154"/>
      <c r="J24" s="130"/>
      <c r="K24" s="130"/>
      <c r="L24" s="130"/>
      <c r="M24" s="130"/>
      <c r="N24" s="130"/>
      <c r="O24" s="142"/>
    </row>
    <row r="25" spans="2:16">
      <c r="B25" s="130"/>
      <c r="C25" s="158" t="s">
        <v>148</v>
      </c>
      <c r="D25" s="148"/>
      <c r="E25" s="148"/>
      <c r="F25" s="154"/>
      <c r="G25" s="148"/>
      <c r="H25" s="130"/>
      <c r="I25" s="154"/>
      <c r="J25" s="130"/>
      <c r="K25" s="130"/>
      <c r="L25" s="130"/>
      <c r="M25" s="130"/>
      <c r="N25" s="130"/>
      <c r="O25" s="142"/>
    </row>
    <row r="26" spans="2:16">
      <c r="B26" s="130"/>
      <c r="C26" s="152">
        <v>44900</v>
      </c>
      <c r="D26" s="148"/>
      <c r="E26" s="148"/>
      <c r="F26" s="139" t="str">
        <f>IF(D24="","",IF(D24&gt;D28,C24,IF(D24&lt;D28,C28,IF(E24&gt;E28,C24,IF(E24&lt;E28,C28,"")))))</f>
        <v/>
      </c>
      <c r="G26" s="38"/>
      <c r="H26" s="150"/>
      <c r="I26" s="130"/>
      <c r="J26" s="130"/>
      <c r="K26" s="130"/>
      <c r="L26" s="130"/>
      <c r="M26" s="130"/>
      <c r="N26" s="130"/>
      <c r="O26" s="142"/>
    </row>
    <row r="27" spans="2:16" ht="13.8" thickBot="1">
      <c r="B27" s="130"/>
      <c r="C27" s="153">
        <f>Turno7</f>
        <v>0.91666666666666663</v>
      </c>
      <c r="D27" s="130"/>
      <c r="E27" s="149"/>
      <c r="F27" s="154"/>
      <c r="G27" s="148"/>
      <c r="H27" s="130"/>
      <c r="I27" s="130"/>
      <c r="J27" s="130"/>
      <c r="K27" s="130"/>
      <c r="L27" s="130"/>
      <c r="M27" s="130"/>
      <c r="N27" s="130"/>
      <c r="O27" s="142"/>
    </row>
    <row r="28" spans="2:16" ht="13.8" thickBot="1">
      <c r="B28" s="130"/>
      <c r="C28" s="139" t="str">
        <f>'GRUPO H'!$L$24</f>
        <v>2H</v>
      </c>
      <c r="D28" s="38"/>
      <c r="E28" s="150"/>
      <c r="F28" s="130"/>
      <c r="G28" s="130"/>
      <c r="H28" s="130"/>
      <c r="I28" s="130"/>
      <c r="J28" s="130"/>
      <c r="K28" s="130"/>
      <c r="L28" s="158" t="s">
        <v>147</v>
      </c>
      <c r="M28" s="130"/>
      <c r="N28" s="130"/>
      <c r="O28" s="142"/>
    </row>
    <row r="29" spans="2:16" ht="29.25" customHeight="1" thickBot="1"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52">
        <v>44913</v>
      </c>
      <c r="M29" s="130"/>
      <c r="N29" s="130"/>
      <c r="O29" s="177" t="str">
        <f>IF(M17="","Campeón del Mundo",IF(M17&gt;M41,L17,IF(M17&lt;M41,L41,IF(N17&gt;N41,L17,IF(N17&lt;N41,L41,"Campeón del Mundo")))))</f>
        <v>Campeón del Mundo</v>
      </c>
      <c r="P29" s="178"/>
    </row>
    <row r="30" spans="2:16" ht="13.8" thickBot="1">
      <c r="B30" s="130"/>
      <c r="C30" s="139" t="str">
        <f>'GRUPO D'!L23</f>
        <v>1D</v>
      </c>
      <c r="D30" s="38"/>
      <c r="E30" s="147"/>
      <c r="F30" s="130"/>
      <c r="G30" s="130"/>
      <c r="H30" s="130"/>
      <c r="I30" s="130"/>
      <c r="J30" s="130"/>
      <c r="K30" s="130"/>
      <c r="L30" s="153">
        <f>Turno4</f>
        <v>0.75</v>
      </c>
      <c r="M30" s="130"/>
      <c r="N30" s="130"/>
      <c r="O30" s="142"/>
    </row>
    <row r="31" spans="2:16">
      <c r="B31" s="130"/>
      <c r="C31" s="158" t="s">
        <v>144</v>
      </c>
      <c r="D31" s="148"/>
      <c r="E31" s="148"/>
      <c r="F31" s="154"/>
      <c r="G31" s="148"/>
      <c r="H31" s="130"/>
      <c r="I31" s="130"/>
      <c r="J31" s="130"/>
      <c r="K31" s="130"/>
      <c r="L31" s="130"/>
      <c r="M31" s="130"/>
      <c r="N31" s="130"/>
      <c r="O31" s="142"/>
    </row>
    <row r="32" spans="2:16">
      <c r="B32" s="130"/>
      <c r="C32" s="152">
        <v>44899</v>
      </c>
      <c r="D32" s="148"/>
      <c r="E32" s="148"/>
      <c r="F32" s="139" t="str">
        <f>IF(D30="","",IF(D30&gt;D34,C30,IF(D30&lt;D34,C34,IF(E30&gt;E34,C30,IF(E30&lt;E34,C34,"")))))</f>
        <v/>
      </c>
      <c r="G32" s="144"/>
      <c r="H32" s="147"/>
      <c r="I32" s="130"/>
      <c r="J32" s="130"/>
      <c r="K32" s="130"/>
      <c r="L32" s="130"/>
      <c r="M32" s="130"/>
      <c r="N32" s="130"/>
      <c r="O32" s="142"/>
    </row>
    <row r="33" spans="2:15">
      <c r="B33" s="130"/>
      <c r="C33" s="153">
        <f>Turno4</f>
        <v>0.75</v>
      </c>
      <c r="D33" s="152"/>
      <c r="E33" s="149"/>
      <c r="F33" s="154"/>
      <c r="G33" s="148"/>
      <c r="H33" s="130"/>
      <c r="I33" s="154"/>
      <c r="J33" s="130"/>
      <c r="K33" s="130"/>
      <c r="L33" s="130"/>
      <c r="M33" s="130"/>
      <c r="N33" s="130"/>
      <c r="O33" s="142"/>
    </row>
    <row r="34" spans="2:15">
      <c r="B34" s="130"/>
      <c r="C34" s="139" t="str">
        <f>'GRUPO C'!L24</f>
        <v>2C</v>
      </c>
      <c r="D34" s="38"/>
      <c r="E34" s="150"/>
      <c r="F34" s="158" t="s">
        <v>143</v>
      </c>
      <c r="G34" s="151"/>
      <c r="H34" s="130"/>
      <c r="I34" s="154"/>
      <c r="J34" s="130"/>
      <c r="K34" s="130"/>
      <c r="L34" s="130"/>
      <c r="M34" s="130"/>
      <c r="N34" s="130"/>
      <c r="O34" s="142"/>
    </row>
    <row r="35" spans="2:15">
      <c r="B35" s="130"/>
      <c r="C35" s="130"/>
      <c r="D35" s="130"/>
      <c r="E35" s="130"/>
      <c r="F35" s="152">
        <v>44905</v>
      </c>
      <c r="G35" s="155"/>
      <c r="H35" s="130"/>
      <c r="I35" s="139" t="str">
        <f>IF(G32="","",IF(G32&gt;G38,F32,IF(G32&lt;G38,F38,IF(H32&gt;H38,F32,IF(H32&lt;H38,F38,"")))))</f>
        <v/>
      </c>
      <c r="J35" s="38"/>
      <c r="K35" s="147"/>
      <c r="L35" s="130"/>
      <c r="M35" s="130"/>
      <c r="N35" s="130"/>
      <c r="O35" s="142"/>
    </row>
    <row r="36" spans="2:15">
      <c r="B36" s="130"/>
      <c r="C36" s="139" t="str">
        <f>'GRUPO B'!L23</f>
        <v>1B</v>
      </c>
      <c r="D36" s="38"/>
      <c r="E36" s="147"/>
      <c r="F36" s="153">
        <f>Turno7</f>
        <v>0.91666666666666663</v>
      </c>
      <c r="G36" s="153"/>
      <c r="H36" s="130"/>
      <c r="I36" s="154"/>
      <c r="J36" s="130"/>
      <c r="K36" s="130"/>
      <c r="L36" s="154"/>
      <c r="M36" s="130"/>
      <c r="N36" s="130"/>
      <c r="O36" s="142"/>
    </row>
    <row r="37" spans="2:15">
      <c r="B37" s="130"/>
      <c r="C37" s="158" t="s">
        <v>143</v>
      </c>
      <c r="D37" s="148"/>
      <c r="E37" s="148"/>
      <c r="F37" s="154"/>
      <c r="G37" s="148"/>
      <c r="H37" s="130"/>
      <c r="I37" s="154"/>
      <c r="J37" s="130"/>
      <c r="K37" s="130"/>
      <c r="L37" s="154"/>
      <c r="M37" s="130"/>
      <c r="N37" s="130"/>
      <c r="O37" s="142"/>
    </row>
    <row r="38" spans="2:15">
      <c r="B38" s="130"/>
      <c r="C38" s="152">
        <v>44899</v>
      </c>
      <c r="D38" s="148"/>
      <c r="E38" s="148"/>
      <c r="F38" s="139" t="str">
        <f>IF(D36="","",IF(D36&gt;D40,C36,IF(D36&lt;D40,C40,IF(E36&gt;E40,C36,IF(E36&lt;E40,C40,"")))))</f>
        <v/>
      </c>
      <c r="G38" s="156"/>
      <c r="H38" s="150"/>
      <c r="I38" s="130"/>
      <c r="J38" s="130"/>
      <c r="K38" s="130"/>
      <c r="L38" s="154"/>
      <c r="M38" s="130"/>
      <c r="N38" s="130"/>
      <c r="O38" s="142"/>
    </row>
    <row r="39" spans="2:15" ht="13.8" thickBot="1">
      <c r="B39" s="130"/>
      <c r="C39" s="153">
        <f>Turno7</f>
        <v>0.91666666666666663</v>
      </c>
      <c r="D39" s="130"/>
      <c r="E39" s="149"/>
      <c r="F39" s="154"/>
      <c r="G39" s="148"/>
      <c r="H39" s="130"/>
      <c r="I39" s="130"/>
      <c r="J39" s="130"/>
      <c r="K39" s="130"/>
      <c r="L39" s="154"/>
      <c r="M39" s="130"/>
      <c r="N39" s="130"/>
      <c r="O39" s="142"/>
    </row>
    <row r="40" spans="2:15" ht="13.8" thickBot="1">
      <c r="B40" s="130"/>
      <c r="C40" s="139" t="str">
        <f>'GRUPO A'!L24</f>
        <v>2A</v>
      </c>
      <c r="D40" s="38"/>
      <c r="E40" s="150"/>
      <c r="F40" s="130"/>
      <c r="G40" s="130"/>
      <c r="H40" s="130"/>
      <c r="I40" s="158" t="s">
        <v>143</v>
      </c>
      <c r="J40" s="130"/>
      <c r="K40" s="130"/>
      <c r="L40" s="154"/>
      <c r="M40" s="130"/>
      <c r="N40" s="130"/>
      <c r="O40" s="142"/>
    </row>
    <row r="41" spans="2:15" ht="13.8" thickBot="1">
      <c r="B41" s="130"/>
      <c r="C41" s="130"/>
      <c r="D41" s="130"/>
      <c r="E41" s="130"/>
      <c r="F41" s="130"/>
      <c r="G41" s="130"/>
      <c r="H41" s="130"/>
      <c r="I41" s="152">
        <v>44909</v>
      </c>
      <c r="J41" s="130"/>
      <c r="K41" s="130"/>
      <c r="L41" s="139" t="str">
        <f>IF(J35="","",IF(J35&gt;J47,I35,IF(J35&lt;J47,I47,IF(K35&gt;K47,I35,IF(K35&lt;K47,I47,"")))))</f>
        <v/>
      </c>
      <c r="M41" s="38"/>
      <c r="N41" s="143"/>
    </row>
    <row r="42" spans="2:15" ht="13.8" thickBot="1">
      <c r="B42" s="130"/>
      <c r="C42" s="139" t="str">
        <f>'GRUPO F'!L23</f>
        <v>1F</v>
      </c>
      <c r="D42" s="38"/>
      <c r="E42" s="147"/>
      <c r="F42" s="130"/>
      <c r="G42" s="130"/>
      <c r="H42" s="130"/>
      <c r="I42" s="153">
        <f>Turno7</f>
        <v>0.91666666666666663</v>
      </c>
      <c r="J42" s="130"/>
      <c r="K42" s="130"/>
      <c r="L42" s="142"/>
    </row>
    <row r="43" spans="2:15">
      <c r="B43" s="130"/>
      <c r="C43" s="158" t="s">
        <v>149</v>
      </c>
      <c r="D43" s="148"/>
      <c r="E43" s="148"/>
      <c r="F43" s="154"/>
      <c r="G43" s="148"/>
      <c r="H43" s="130"/>
      <c r="I43" s="130"/>
      <c r="J43" s="130"/>
      <c r="K43" s="130"/>
      <c r="L43" s="142"/>
    </row>
    <row r="44" spans="2:15">
      <c r="B44" s="130"/>
      <c r="C44" s="152">
        <v>44901</v>
      </c>
      <c r="D44" s="148"/>
      <c r="E44" s="148"/>
      <c r="F44" s="139" t="str">
        <f>IF(D42="","",IF(D42&gt;D46,C42,IF(D42&lt;D46,C46,IF(E42&gt;E46,C42,C46))))</f>
        <v/>
      </c>
      <c r="G44" s="156"/>
      <c r="H44" s="147"/>
      <c r="I44" s="130"/>
      <c r="J44" s="130"/>
      <c r="K44" s="130"/>
      <c r="L44" s="142"/>
    </row>
    <row r="45" spans="2:15">
      <c r="B45" s="130"/>
      <c r="C45" s="153">
        <f>Turno4</f>
        <v>0.75</v>
      </c>
      <c r="D45" s="152"/>
      <c r="E45" s="149"/>
      <c r="F45" s="154"/>
      <c r="G45" s="148"/>
      <c r="H45" s="130"/>
      <c r="I45" s="154"/>
      <c r="J45" s="130"/>
      <c r="K45" s="130"/>
      <c r="L45" s="142"/>
    </row>
    <row r="46" spans="2:15">
      <c r="B46" s="130"/>
      <c r="C46" s="139" t="str">
        <f>'GRUPO E'!L24</f>
        <v>2E</v>
      </c>
      <c r="D46" s="38"/>
      <c r="E46" s="150"/>
      <c r="F46" s="158" t="s">
        <v>144</v>
      </c>
      <c r="G46" s="151"/>
      <c r="H46" s="130"/>
      <c r="I46" s="154"/>
      <c r="J46" s="130"/>
      <c r="K46" s="130"/>
      <c r="L46" s="142"/>
    </row>
    <row r="47" spans="2:15">
      <c r="B47" s="130"/>
      <c r="C47" s="130"/>
      <c r="D47" s="130"/>
      <c r="E47" s="130"/>
      <c r="F47" s="152">
        <v>44905</v>
      </c>
      <c r="G47" s="155"/>
      <c r="H47" s="130"/>
      <c r="I47" s="139" t="str">
        <f>IF(G44="","",IF(G44&gt;G50,F44,IF(G44&lt;G50,F50,IF(H44&gt;H50,F44,IF(H44&lt;H50,F50,"")))))</f>
        <v/>
      </c>
      <c r="J47" s="38"/>
      <c r="K47" s="150"/>
    </row>
    <row r="48" spans="2:15">
      <c r="B48" s="130"/>
      <c r="C48" s="139" t="str">
        <f>'GRUPO H'!L23</f>
        <v>1H</v>
      </c>
      <c r="D48" s="38"/>
      <c r="E48" s="147"/>
      <c r="F48" s="153">
        <f>Turno4</f>
        <v>0.75</v>
      </c>
      <c r="G48" s="153"/>
      <c r="H48" s="130"/>
      <c r="I48" s="154"/>
      <c r="J48" s="130"/>
      <c r="K48" s="130"/>
    </row>
    <row r="49" spans="2:16" ht="13.8" thickBot="1">
      <c r="B49" s="130"/>
      <c r="C49" s="158" t="s">
        <v>152</v>
      </c>
      <c r="D49" s="148"/>
      <c r="E49" s="148"/>
      <c r="F49" s="154"/>
      <c r="G49" s="148"/>
      <c r="H49" s="130"/>
      <c r="I49" s="142"/>
    </row>
    <row r="50" spans="2:16" ht="12" customHeight="1" thickBot="1">
      <c r="B50" s="130"/>
      <c r="C50" s="152">
        <v>44901</v>
      </c>
      <c r="D50" s="148"/>
      <c r="E50" s="148"/>
      <c r="F50" s="139" t="str">
        <f>IF(D48="","",IF(D48&gt;D52,C48,IF(D48&lt;D52,C52,IF(E48&gt;E52,C48,C52))))</f>
        <v/>
      </c>
      <c r="G50" s="156"/>
      <c r="H50" s="150"/>
      <c r="K50" s="176" t="s">
        <v>23</v>
      </c>
      <c r="L50" s="176"/>
      <c r="M50" s="176"/>
      <c r="N50" s="176"/>
      <c r="O50" s="176"/>
      <c r="P50" s="176"/>
    </row>
    <row r="51" spans="2:16" ht="13.8" thickBot="1">
      <c r="B51" s="130"/>
      <c r="C51" s="153">
        <f>Turno7</f>
        <v>0.91666666666666663</v>
      </c>
      <c r="D51" s="130"/>
      <c r="E51" s="149"/>
      <c r="F51" s="154"/>
      <c r="G51" s="148"/>
      <c r="H51" s="130"/>
      <c r="K51" s="130"/>
      <c r="L51" s="130"/>
      <c r="M51" s="130"/>
      <c r="N51" s="130"/>
      <c r="O51" s="130"/>
      <c r="P51" s="130"/>
    </row>
    <row r="52" spans="2:16">
      <c r="B52" s="130"/>
      <c r="C52" s="139" t="str">
        <f>'GRUPO G'!L24</f>
        <v>2G</v>
      </c>
      <c r="D52" s="38"/>
      <c r="E52" s="150"/>
      <c r="K52" s="130"/>
      <c r="L52" s="139" t="str">
        <f>IF(J11="","",IF(J11&lt;J23,I11,IF(J11&gt;J23,I23,IF(K11&lt;K23,I11,I23))))</f>
        <v/>
      </c>
      <c r="M52" s="38"/>
      <c r="N52" s="147"/>
      <c r="O52" s="130"/>
      <c r="P52" s="130"/>
    </row>
    <row r="53" spans="2:16">
      <c r="B53" s="130"/>
      <c r="C53" s="130"/>
      <c r="D53" s="130"/>
      <c r="E53" s="130"/>
      <c r="K53" s="130"/>
      <c r="L53" s="130"/>
      <c r="M53" s="130"/>
      <c r="N53" s="130"/>
      <c r="O53" s="154"/>
      <c r="P53" s="130"/>
    </row>
    <row r="54" spans="2:16" ht="13.8" thickBot="1">
      <c r="K54" s="130"/>
      <c r="L54" s="158" t="s">
        <v>145</v>
      </c>
      <c r="M54" s="130"/>
      <c r="N54" s="130"/>
      <c r="O54" s="154"/>
      <c r="P54" s="130"/>
    </row>
    <row r="55" spans="2:16" ht="24" customHeight="1" thickBot="1">
      <c r="K55" s="130"/>
      <c r="L55" s="152">
        <v>44912</v>
      </c>
      <c r="M55" s="130"/>
      <c r="N55" s="130"/>
      <c r="O55" s="140" t="str">
        <f>IF(M52="","",IF(M52&gt;M58,L52,IF(M52&lt;M58,L58,IF(N52&gt;N58,L52,IF(N52&lt;N58,L58,"")))))</f>
        <v/>
      </c>
      <c r="P55" s="130"/>
    </row>
    <row r="56" spans="2:16">
      <c r="K56" s="130"/>
      <c r="L56" s="153">
        <f>Turno4</f>
        <v>0.75</v>
      </c>
      <c r="M56" s="130"/>
      <c r="N56" s="130"/>
      <c r="O56" s="154"/>
      <c r="P56" s="130"/>
    </row>
    <row r="57" spans="2:16">
      <c r="K57" s="130"/>
      <c r="L57" s="130"/>
      <c r="M57" s="130"/>
      <c r="N57" s="130"/>
      <c r="O57" s="154"/>
      <c r="P57" s="130"/>
    </row>
    <row r="58" spans="2:16">
      <c r="K58" s="130"/>
      <c r="L58" s="139" t="str">
        <f>IF(J35="","",IF(J35&lt;J47,I35,IF(J35&gt;J47,I47,IF(K35&lt;K47,I35,I47))))</f>
        <v/>
      </c>
      <c r="M58" s="38"/>
      <c r="N58" s="150"/>
      <c r="O58" s="130"/>
      <c r="P58" s="130"/>
    </row>
    <row r="59" spans="2:16">
      <c r="K59" s="130"/>
      <c r="L59" s="130"/>
      <c r="M59" s="130"/>
      <c r="N59" s="130"/>
      <c r="O59" s="130"/>
      <c r="P59" s="130"/>
    </row>
    <row r="60" spans="2:16"/>
  </sheetData>
  <sheetProtection algorithmName="SHA-512" hashValue="lEt92FIGScxJHLtdrJkhUl7M6aHtZgKjmcsIKJh9mirt9mGKK8joa0daOmSrtzlWpoe6vg9Dv2p9IBQLMtXqug==" saltValue="4NF8HmPwJ1yZBhgCfO6mSA==" spinCount="100000" sheet="1" objects="1" scenarios="1" selectLockedCells="1"/>
  <mergeCells count="6">
    <mergeCell ref="K50:P50"/>
    <mergeCell ref="O29:P29"/>
    <mergeCell ref="B3:E3"/>
    <mergeCell ref="F3:H3"/>
    <mergeCell ref="I3:K3"/>
    <mergeCell ref="L3:N3"/>
  </mergeCells>
  <conditionalFormatting sqref="E6 E12 E18 E24 E30 E36 E42 E48">
    <cfRule type="expression" dxfId="7" priority="1" stopIfTrue="1">
      <formula>AND(D6&lt;&gt;"",D6=D10)</formula>
    </cfRule>
  </conditionalFormatting>
  <conditionalFormatting sqref="E10 E16 E22 E28 E34 E40 E46 E52">
    <cfRule type="expression" dxfId="6" priority="2" stopIfTrue="1">
      <formula>AND(D6&lt;&gt;"",D6=D10)</formula>
    </cfRule>
  </conditionalFormatting>
  <conditionalFormatting sqref="H8 H20 H32 H44 N52">
    <cfRule type="expression" dxfId="5" priority="3" stopIfTrue="1">
      <formula>AND(G8&lt;&gt;"",G8=G14)</formula>
    </cfRule>
  </conditionalFormatting>
  <conditionalFormatting sqref="H14 H26 H38 H50 N58">
    <cfRule type="expression" dxfId="4" priority="4" stopIfTrue="1">
      <formula>AND(G8&lt;&gt;"",G8=G14)</formula>
    </cfRule>
  </conditionalFormatting>
  <conditionalFormatting sqref="K11 K35">
    <cfRule type="expression" dxfId="3" priority="5" stopIfTrue="1">
      <formula>AND(J11&lt;&gt;"",J11=J23)</formula>
    </cfRule>
  </conditionalFormatting>
  <conditionalFormatting sqref="K23 K47">
    <cfRule type="expression" dxfId="2" priority="6" stopIfTrue="1">
      <formula>AND(J11&lt;&gt;"",J11=J23)</formula>
    </cfRule>
  </conditionalFormatting>
  <conditionalFormatting sqref="N17">
    <cfRule type="expression" dxfId="1" priority="7" stopIfTrue="1">
      <formula>AND(M17&lt;&gt;"",M17=M41)</formula>
    </cfRule>
  </conditionalFormatting>
  <conditionalFormatting sqref="N41">
    <cfRule type="expression" dxfId="0" priority="8" stopIfTrue="1">
      <formula>AND(M17&lt;&gt;"",M17=M41)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48FA-E800-4031-9042-79845FCF3619}">
  <sheetPr>
    <tabColor rgb="FFFF0000"/>
  </sheetPr>
  <dimension ref="B3:N39"/>
  <sheetViews>
    <sheetView showGridLines="0" showRowColHeaders="0" zoomScale="80" zoomScaleNormal="80" workbookViewId="0"/>
  </sheetViews>
  <sheetFormatPr baseColWidth="10" defaultRowHeight="13.2"/>
  <cols>
    <col min="1" max="1" width="5.6640625" style="159" customWidth="1"/>
    <col min="2" max="16384" width="11.5546875" style="159"/>
  </cols>
  <sheetData>
    <row r="3" spans="2:14" ht="33">
      <c r="H3" s="182" t="s">
        <v>153</v>
      </c>
      <c r="I3" s="182"/>
      <c r="J3" s="182"/>
      <c r="K3" s="182"/>
      <c r="L3" s="182"/>
      <c r="M3" s="182"/>
      <c r="N3" s="182"/>
    </row>
    <row r="5" spans="2:14" ht="17.399999999999999">
      <c r="H5" s="183" t="s">
        <v>154</v>
      </c>
      <c r="I5" s="183"/>
      <c r="J5" s="183"/>
      <c r="K5" s="183"/>
      <c r="L5" s="183"/>
      <c r="M5" s="183"/>
      <c r="N5" s="183"/>
    </row>
    <row r="6" spans="2:14" ht="17.399999999999999">
      <c r="H6" s="183" t="s">
        <v>155</v>
      </c>
      <c r="I6" s="183"/>
      <c r="J6" s="183"/>
      <c r="K6" s="183"/>
      <c r="L6" s="183"/>
      <c r="M6" s="183"/>
      <c r="N6" s="183"/>
    </row>
    <row r="8" spans="2:14">
      <c r="H8" s="184"/>
      <c r="I8" s="184"/>
      <c r="J8" s="184"/>
      <c r="K8" s="184"/>
      <c r="L8" s="184"/>
      <c r="M8" s="184"/>
      <c r="N8" s="184"/>
    </row>
    <row r="9" spans="2:14" ht="20.399999999999999">
      <c r="D9" s="160"/>
      <c r="H9" s="184"/>
      <c r="I9" s="184"/>
      <c r="J9" s="184"/>
      <c r="K9" s="184"/>
      <c r="L9" s="184"/>
      <c r="M9" s="184"/>
      <c r="N9" s="184"/>
    </row>
    <row r="10" spans="2:14">
      <c r="H10" s="184"/>
      <c r="I10" s="184"/>
      <c r="J10" s="184"/>
      <c r="K10" s="184"/>
      <c r="L10" s="184"/>
      <c r="M10" s="184"/>
      <c r="N10" s="184"/>
    </row>
    <row r="11" spans="2:14">
      <c r="H11" s="184"/>
      <c r="I11" s="184"/>
      <c r="J11" s="184"/>
      <c r="K11" s="184"/>
      <c r="L11" s="184"/>
      <c r="M11" s="184"/>
      <c r="N11" s="184"/>
    </row>
    <row r="12" spans="2:14">
      <c r="H12" s="184"/>
      <c r="I12" s="184"/>
      <c r="J12" s="184"/>
      <c r="K12" s="184"/>
      <c r="L12" s="184"/>
      <c r="M12" s="184"/>
      <c r="N12" s="184"/>
    </row>
    <row r="13" spans="2:14">
      <c r="H13" s="184"/>
      <c r="I13" s="184"/>
      <c r="J13" s="184"/>
      <c r="K13" s="184"/>
      <c r="L13" s="184"/>
      <c r="M13" s="184"/>
      <c r="N13" s="184"/>
    </row>
    <row r="15" spans="2:14">
      <c r="B15" s="185" t="s">
        <v>157</v>
      </c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</row>
    <row r="16" spans="2:14"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</row>
    <row r="38" spans="2:14" ht="24.6" customHeight="1">
      <c r="B38" s="185" t="s">
        <v>156</v>
      </c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</row>
    <row r="39" spans="2:14"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</row>
  </sheetData>
  <sheetProtection algorithmName="SHA-512" hashValue="4/sEMdmv0ZwbDBW3/+cVN8wHAg1NU0Nh9RUo9cf/y+u+wLsWEtaZ2ZOMpsHk+1+2dKWULzeOhFAnPDJYQlzW6g==" saltValue="ud9dqZ7XN17Zpm21kncBJg==" spinCount="100000" sheet="1" objects="1" scenarios="1" selectLockedCells="1"/>
  <mergeCells count="6">
    <mergeCell ref="H3:N3"/>
    <mergeCell ref="H5:N5"/>
    <mergeCell ref="H6:N6"/>
    <mergeCell ref="H8:N13"/>
    <mergeCell ref="B38:N39"/>
    <mergeCell ref="B15:N16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4"/>
  <dimension ref="B2:P25"/>
  <sheetViews>
    <sheetView workbookViewId="0">
      <selection activeCell="C19" sqref="C19"/>
    </sheetView>
  </sheetViews>
  <sheetFormatPr baseColWidth="10" defaultRowHeight="13.2"/>
  <cols>
    <col min="3" max="3" width="12.44140625" bestFit="1" customWidth="1"/>
    <col min="6" max="6" width="9.109375" customWidth="1"/>
    <col min="11" max="11" width="15.33203125" customWidth="1"/>
    <col min="14" max="14" width="9.109375" bestFit="1" customWidth="1"/>
  </cols>
  <sheetData>
    <row r="2" spans="6:16">
      <c r="J2" t="s">
        <v>24</v>
      </c>
      <c r="K2" s="4">
        <f ca="1">NOW()</f>
        <v>44792.484030092593</v>
      </c>
    </row>
    <row r="3" spans="6:16">
      <c r="M3" t="s">
        <v>126</v>
      </c>
      <c r="N3" t="s">
        <v>100</v>
      </c>
    </row>
    <row r="4" spans="6:16">
      <c r="L4" t="s">
        <v>25</v>
      </c>
      <c r="M4" s="5">
        <v>0.54166666666666663</v>
      </c>
      <c r="N4" s="5">
        <f>IF($D$19="+",M4+$C$19,M4-$C$19)</f>
        <v>0.54166666666666663</v>
      </c>
      <c r="P4" s="5"/>
    </row>
    <row r="5" spans="6:16">
      <c r="L5" t="s">
        <v>26</v>
      </c>
      <c r="M5" s="5">
        <v>0.625</v>
      </c>
      <c r="N5" s="5">
        <f>IF($D$19="+",M5+$C$19,M5-$C$19)</f>
        <v>0.625</v>
      </c>
      <c r="P5" s="5"/>
    </row>
    <row r="6" spans="6:16">
      <c r="L6" t="s">
        <v>27</v>
      </c>
      <c r="M6" s="5">
        <v>0.66666666666666674</v>
      </c>
      <c r="N6" s="5">
        <f>IF($D$19="+",M6+$C$19,M6-$C$19)</f>
        <v>0.66666666666666674</v>
      </c>
      <c r="P6" s="5"/>
    </row>
    <row r="7" spans="6:16">
      <c r="L7" t="s">
        <v>118</v>
      </c>
      <c r="M7" s="5">
        <v>0.75</v>
      </c>
      <c r="N7" s="5">
        <f t="shared" ref="N7:N10" si="0">IF($D$19="+",M7+$C$19,M7-$C$19)</f>
        <v>0.75</v>
      </c>
      <c r="P7" s="5"/>
    </row>
    <row r="8" spans="6:16">
      <c r="L8" t="s">
        <v>119</v>
      </c>
      <c r="M8" s="5">
        <v>0.79166666666666674</v>
      </c>
      <c r="N8" s="5">
        <f t="shared" si="0"/>
        <v>0.79166666666666674</v>
      </c>
      <c r="P8" s="5"/>
    </row>
    <row r="9" spans="6:16">
      <c r="L9" t="s">
        <v>120</v>
      </c>
      <c r="M9" s="5">
        <v>0.83333333333333337</v>
      </c>
      <c r="N9" s="5">
        <f t="shared" si="0"/>
        <v>0.83333333333333337</v>
      </c>
      <c r="P9" s="5"/>
    </row>
    <row r="10" spans="6:16">
      <c r="L10" t="s">
        <v>121</v>
      </c>
      <c r="M10" s="5">
        <v>0.91666666666666663</v>
      </c>
      <c r="N10" s="5">
        <f t="shared" si="0"/>
        <v>0.91666666666666663</v>
      </c>
      <c r="P10" s="5"/>
    </row>
    <row r="13" spans="6:16">
      <c r="F13" t="s">
        <v>8</v>
      </c>
      <c r="G13" s="5">
        <v>0.25</v>
      </c>
      <c r="H13" t="s">
        <v>94</v>
      </c>
      <c r="I13" s="20" t="s">
        <v>110</v>
      </c>
      <c r="K13" s="6"/>
      <c r="L13" s="6"/>
    </row>
    <row r="14" spans="6:16">
      <c r="F14" t="s">
        <v>99</v>
      </c>
      <c r="G14" s="5">
        <v>0.29166666666666669</v>
      </c>
      <c r="H14" t="s">
        <v>94</v>
      </c>
      <c r="I14" t="s">
        <v>102</v>
      </c>
      <c r="K14" s="6"/>
      <c r="L14" s="6"/>
    </row>
    <row r="15" spans="6:16">
      <c r="F15" t="s">
        <v>56</v>
      </c>
      <c r="G15" s="5">
        <v>0.25</v>
      </c>
      <c r="H15" t="s">
        <v>94</v>
      </c>
      <c r="I15" t="s">
        <v>103</v>
      </c>
      <c r="K15" s="6"/>
      <c r="L15" s="6"/>
    </row>
    <row r="16" spans="6:16">
      <c r="F16" t="s">
        <v>69</v>
      </c>
      <c r="G16" s="5">
        <v>0.29166666666666669</v>
      </c>
      <c r="H16" t="s">
        <v>94</v>
      </c>
      <c r="I16" t="s">
        <v>104</v>
      </c>
      <c r="K16" s="6"/>
      <c r="L16" s="6"/>
    </row>
    <row r="17" spans="2:12">
      <c r="F17" t="s">
        <v>97</v>
      </c>
      <c r="G17" s="5">
        <v>0.33333333333333331</v>
      </c>
      <c r="H17" t="s">
        <v>94</v>
      </c>
      <c r="I17" t="s">
        <v>111</v>
      </c>
      <c r="K17" s="6"/>
      <c r="L17" s="6"/>
    </row>
    <row r="18" spans="2:12">
      <c r="F18" t="s">
        <v>98</v>
      </c>
      <c r="G18" s="5">
        <v>0.33333333333333331</v>
      </c>
      <c r="H18" t="s">
        <v>94</v>
      </c>
      <c r="I18" t="s">
        <v>105</v>
      </c>
      <c r="K18" s="6"/>
      <c r="L18" s="6"/>
    </row>
    <row r="19" spans="2:12">
      <c r="B19" s="6" t="str">
        <f>Inicio!G24</f>
        <v>Qatar</v>
      </c>
      <c r="C19" s="25">
        <f>VLOOKUP(Inicio!G24,F13:H25,2)</f>
        <v>0</v>
      </c>
      <c r="D19" s="25" t="str">
        <f>VLOOKUP(B19,F13:H25,3)</f>
        <v>+</v>
      </c>
      <c r="F19" t="s">
        <v>60</v>
      </c>
      <c r="G19" s="5">
        <v>8.3333333333333329E-2</v>
      </c>
      <c r="H19" t="s">
        <v>94</v>
      </c>
      <c r="I19" t="s">
        <v>106</v>
      </c>
      <c r="K19" s="6"/>
      <c r="L19" s="6"/>
    </row>
    <row r="20" spans="2:12">
      <c r="F20" t="s">
        <v>46</v>
      </c>
      <c r="G20" s="5">
        <v>0.375</v>
      </c>
      <c r="H20" t="s">
        <v>94</v>
      </c>
      <c r="I20" t="s">
        <v>112</v>
      </c>
      <c r="K20" s="6"/>
      <c r="L20" s="6"/>
    </row>
    <row r="21" spans="2:12">
      <c r="F21" t="s">
        <v>48</v>
      </c>
      <c r="G21" s="5">
        <v>0.29166666666666669</v>
      </c>
      <c r="H21" t="s">
        <v>94</v>
      </c>
      <c r="I21" t="s">
        <v>113</v>
      </c>
      <c r="K21" s="6"/>
      <c r="L21" s="6"/>
    </row>
    <row r="22" spans="2:12">
      <c r="F22" t="s">
        <v>96</v>
      </c>
      <c r="G22" s="5">
        <v>0.33333333333333331</v>
      </c>
      <c r="H22" t="s">
        <v>94</v>
      </c>
      <c r="I22" t="s">
        <v>114</v>
      </c>
      <c r="K22" s="6"/>
      <c r="L22" s="6"/>
    </row>
    <row r="23" spans="2:12">
      <c r="F23" t="s">
        <v>126</v>
      </c>
      <c r="G23" s="5">
        <v>0</v>
      </c>
      <c r="H23" t="s">
        <v>95</v>
      </c>
      <c r="I23" t="s">
        <v>115</v>
      </c>
      <c r="K23" s="6"/>
      <c r="L23" s="6"/>
    </row>
    <row r="24" spans="2:12">
      <c r="F24" t="s">
        <v>50</v>
      </c>
      <c r="G24" s="5">
        <v>0.25</v>
      </c>
      <c r="H24" t="s">
        <v>94</v>
      </c>
      <c r="I24" t="s">
        <v>116</v>
      </c>
      <c r="K24" s="6"/>
      <c r="L24" s="6"/>
    </row>
    <row r="25" spans="2:12">
      <c r="F25" t="s">
        <v>101</v>
      </c>
      <c r="G25" s="5">
        <v>0.29166666666666669</v>
      </c>
      <c r="H25" t="s">
        <v>94</v>
      </c>
      <c r="I25" t="s">
        <v>117</v>
      </c>
      <c r="K25" s="6"/>
      <c r="L25" s="6"/>
    </row>
  </sheetData>
  <sheetProtection password="C654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/>
  <dimension ref="A1:AG59"/>
  <sheetViews>
    <sheetView workbookViewId="0">
      <selection activeCell="A6" sqref="A6"/>
    </sheetView>
  </sheetViews>
  <sheetFormatPr baseColWidth="10" defaultColWidth="9.109375" defaultRowHeight="13.2"/>
  <cols>
    <col min="1" max="10" width="9.109375" style="7"/>
    <col min="11" max="11" width="14.109375" style="7" customWidth="1"/>
    <col min="12" max="22" width="9.109375" style="7"/>
    <col min="23" max="23" width="15.88671875" style="7" customWidth="1"/>
    <col min="24" max="24" width="14.109375" style="8" customWidth="1"/>
    <col min="25" max="25" width="9.109375" style="7"/>
    <col min="26" max="26" width="3.44140625" style="7" customWidth="1"/>
    <col min="27" max="27" width="12.33203125" style="7" customWidth="1"/>
    <col min="28" max="29" width="3.109375" style="7" customWidth="1"/>
    <col min="30" max="31" width="3.33203125" style="7" customWidth="1"/>
    <col min="32" max="32" width="3.44140625" style="7" customWidth="1"/>
    <col min="33" max="33" width="3.109375" style="7" customWidth="1"/>
    <col min="34" max="16384" width="9.109375" style="7"/>
  </cols>
  <sheetData>
    <row r="1" spans="1:33">
      <c r="A1"/>
      <c r="B1"/>
      <c r="C1"/>
      <c r="D1"/>
    </row>
    <row r="4" spans="1:33">
      <c r="A4" s="187" t="s">
        <v>28</v>
      </c>
      <c r="B4" s="187"/>
      <c r="C4" s="187"/>
      <c r="D4" s="187"/>
      <c r="E4" s="187"/>
      <c r="F4" s="187"/>
      <c r="G4" s="187"/>
      <c r="H4" s="187"/>
      <c r="I4" s="187"/>
    </row>
    <row r="5" spans="1:33">
      <c r="K5" s="186" t="s">
        <v>1</v>
      </c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X5" s="10"/>
      <c r="Y5" s="11"/>
      <c r="Z5" s="11"/>
      <c r="AA5" s="11"/>
      <c r="AB5" s="11"/>
      <c r="AC5" s="11"/>
      <c r="AD5" s="11"/>
      <c r="AE5" s="11"/>
      <c r="AF5" s="11"/>
      <c r="AG5" s="11"/>
    </row>
    <row r="6" spans="1:33">
      <c r="A6" s="9" t="s">
        <v>29</v>
      </c>
      <c r="B6" s="27" t="s">
        <v>30</v>
      </c>
      <c r="C6" s="27" t="s">
        <v>31</v>
      </c>
      <c r="D6" s="27" t="s">
        <v>32</v>
      </c>
      <c r="E6" s="27" t="s">
        <v>22</v>
      </c>
      <c r="F6" s="27" t="s">
        <v>33</v>
      </c>
      <c r="G6" s="27" t="s">
        <v>34</v>
      </c>
      <c r="H6" s="27" t="s">
        <v>35</v>
      </c>
      <c r="I6" s="27" t="s">
        <v>36</v>
      </c>
      <c r="K6" s="9" t="s">
        <v>30</v>
      </c>
      <c r="L6" s="9" t="s">
        <v>31</v>
      </c>
      <c r="M6" s="9" t="s">
        <v>32</v>
      </c>
      <c r="N6" s="9" t="s">
        <v>22</v>
      </c>
      <c r="O6" s="9" t="s">
        <v>33</v>
      </c>
      <c r="P6" s="9" t="s">
        <v>34</v>
      </c>
      <c r="Q6" s="9" t="s">
        <v>35</v>
      </c>
      <c r="R6" s="9" t="s">
        <v>36</v>
      </c>
      <c r="S6" s="9" t="s">
        <v>37</v>
      </c>
      <c r="T6" s="9" t="s">
        <v>38</v>
      </c>
      <c r="U6" s="9" t="s">
        <v>39</v>
      </c>
      <c r="V6" s="9" t="s">
        <v>40</v>
      </c>
      <c r="W6" s="12" t="s">
        <v>41</v>
      </c>
      <c r="X6" s="13"/>
      <c r="Y6" s="14"/>
      <c r="Z6" s="15"/>
      <c r="AA6" s="15"/>
      <c r="AB6" s="15"/>
      <c r="AC6" s="15"/>
      <c r="AD6" s="15"/>
      <c r="AE6" s="15"/>
      <c r="AF6" s="15"/>
      <c r="AG6" s="15"/>
    </row>
    <row r="7" spans="1:33">
      <c r="A7" s="9">
        <v>1</v>
      </c>
      <c r="B7" s="26" t="str">
        <f>INDEX(K$7:K$11,MATCH($A7,$X$7:$X$11,0))</f>
        <v>Qatar</v>
      </c>
      <c r="C7" s="26">
        <f t="shared" ref="C7:I7" si="0">INDEX(L$7:L$11,MATCH($A7,$X$7:$X$11,0))</f>
        <v>0</v>
      </c>
      <c r="D7" s="26">
        <f t="shared" si="0"/>
        <v>0</v>
      </c>
      <c r="E7" s="26">
        <f t="shared" si="0"/>
        <v>0</v>
      </c>
      <c r="F7" s="26">
        <f t="shared" si="0"/>
        <v>0</v>
      </c>
      <c r="G7" s="26">
        <f t="shared" si="0"/>
        <v>0</v>
      </c>
      <c r="H7" s="26">
        <f t="shared" si="0"/>
        <v>0</v>
      </c>
      <c r="I7" s="26">
        <f t="shared" si="0"/>
        <v>0</v>
      </c>
      <c r="K7" s="16" t="str">
        <f>equipos!$D2</f>
        <v>Qatar</v>
      </c>
      <c r="L7" s="16">
        <f>'tabla posiciones auxiliar'!N3</f>
        <v>0</v>
      </c>
      <c r="M7" s="16">
        <f>'tabla posiciones auxiliar'!P3</f>
        <v>0</v>
      </c>
      <c r="N7" s="16">
        <f>'tabla posiciones auxiliar'!O3</f>
        <v>0</v>
      </c>
      <c r="O7" s="16">
        <f>'tabla posiciones auxiliar'!Q3</f>
        <v>0</v>
      </c>
      <c r="P7" s="16">
        <f>'tabla posiciones auxiliar'!R3</f>
        <v>0</v>
      </c>
      <c r="Q7" s="16">
        <f>O7-P7</f>
        <v>0</v>
      </c>
      <c r="R7" s="16">
        <f>L7*3+M7</f>
        <v>0</v>
      </c>
      <c r="S7" s="16">
        <f>IF(SUM(L7:N7)=0,ROW()-6,RANK(R7,$R$7:$R$10))</f>
        <v>1</v>
      </c>
      <c r="T7" s="16">
        <f>SUMPRODUCT(($R$7:$R$10=R7)*(Q7&lt;$Q$7:$Q$10))</f>
        <v>0</v>
      </c>
      <c r="U7" s="16">
        <f>S7+T7</f>
        <v>1</v>
      </c>
      <c r="V7" s="26">
        <f>RANK(U7,$U$7:$U$10,1)+COUNTIF($U$7:U7,U7)-1</f>
        <v>1</v>
      </c>
      <c r="W7" s="17">
        <f>R7*100+(O7-P7)*10+O7-ROW(K7)*0.01</f>
        <v>-7.0000000000000007E-2</v>
      </c>
      <c r="X7" s="15">
        <f>RANK(W7,$W$7:$W$10,0)</f>
        <v>1</v>
      </c>
      <c r="Y7" s="18"/>
      <c r="Z7" s="8"/>
      <c r="AA7" s="18"/>
      <c r="AB7" s="18"/>
      <c r="AC7" s="18"/>
      <c r="AD7" s="18"/>
      <c r="AE7" s="18"/>
      <c r="AF7" s="18"/>
      <c r="AG7" s="18"/>
    </row>
    <row r="8" spans="1:33">
      <c r="A8" s="9">
        <v>2</v>
      </c>
      <c r="B8" s="26" t="str">
        <f>INDEX(K$7:K$11,MATCH($A8,$X$7:$X$11,0))</f>
        <v>Ecuador</v>
      </c>
      <c r="C8" s="26">
        <f t="shared" ref="C8:I10" si="1">INDEX(L$7:L$11,MATCH($A8,$X$7:$X$11,0))</f>
        <v>0</v>
      </c>
      <c r="D8" s="26">
        <f t="shared" si="1"/>
        <v>0</v>
      </c>
      <c r="E8" s="26">
        <f t="shared" si="1"/>
        <v>0</v>
      </c>
      <c r="F8" s="26">
        <f t="shared" si="1"/>
        <v>0</v>
      </c>
      <c r="G8" s="26">
        <f t="shared" si="1"/>
        <v>0</v>
      </c>
      <c r="H8" s="26">
        <f t="shared" si="1"/>
        <v>0</v>
      </c>
      <c r="I8" s="26">
        <f t="shared" si="1"/>
        <v>0</v>
      </c>
      <c r="K8" s="16" t="str">
        <f>equipos!$D3</f>
        <v>Ecuador</v>
      </c>
      <c r="L8" s="16">
        <f>'tabla posiciones auxiliar'!N4</f>
        <v>0</v>
      </c>
      <c r="M8" s="16">
        <f>'tabla posiciones auxiliar'!P4</f>
        <v>0</v>
      </c>
      <c r="N8" s="16">
        <f>'tabla posiciones auxiliar'!O4</f>
        <v>0</v>
      </c>
      <c r="O8" s="16">
        <f>'tabla posiciones auxiliar'!Q4</f>
        <v>0</v>
      </c>
      <c r="P8" s="16">
        <f>'tabla posiciones auxiliar'!R4</f>
        <v>0</v>
      </c>
      <c r="Q8" s="16">
        <f>O8-P8</f>
        <v>0</v>
      </c>
      <c r="R8" s="16">
        <f>L8*3+M8</f>
        <v>0</v>
      </c>
      <c r="S8" s="16">
        <f>IF(SUM(L8:N8)=0,ROW()-6,RANK(R8,$R$7:$R$10))</f>
        <v>2</v>
      </c>
      <c r="T8" s="16">
        <f>SUMPRODUCT(($R$7:$R$10=R8)*(Q8&lt;$Q$7:$Q$10))</f>
        <v>0</v>
      </c>
      <c r="U8" s="16">
        <f>S8+T8</f>
        <v>2</v>
      </c>
      <c r="V8" s="26">
        <f>RANK(U8,$U$7:$U$10,1)+COUNTIF($U$7:U8,U8)-1</f>
        <v>2</v>
      </c>
      <c r="W8" s="17">
        <f>R8*100+(O8-P8)*10+O8-ROW(K8)*0.01</f>
        <v>-0.08</v>
      </c>
      <c r="X8" s="15">
        <f>RANK(W8,$W$7:$W$10,0)</f>
        <v>2</v>
      </c>
      <c r="Y8" s="18"/>
      <c r="Z8" s="8"/>
      <c r="AA8" s="18"/>
      <c r="AB8" s="18"/>
      <c r="AC8" s="18"/>
      <c r="AD8" s="18"/>
      <c r="AE8" s="18"/>
      <c r="AF8" s="18"/>
      <c r="AG8" s="18"/>
    </row>
    <row r="9" spans="1:33">
      <c r="A9" s="9">
        <v>3</v>
      </c>
      <c r="B9" s="26" t="str">
        <f>INDEX(K$7:K$11,MATCH($A9,$X$7:$X$11,0))</f>
        <v>Senegal</v>
      </c>
      <c r="C9" s="26">
        <f t="shared" si="1"/>
        <v>0</v>
      </c>
      <c r="D9" s="26">
        <f t="shared" si="1"/>
        <v>0</v>
      </c>
      <c r="E9" s="26">
        <f t="shared" si="1"/>
        <v>0</v>
      </c>
      <c r="F9" s="26">
        <f t="shared" si="1"/>
        <v>0</v>
      </c>
      <c r="G9" s="26">
        <f t="shared" si="1"/>
        <v>0</v>
      </c>
      <c r="H9" s="26">
        <f t="shared" si="1"/>
        <v>0</v>
      </c>
      <c r="I9" s="26">
        <f t="shared" si="1"/>
        <v>0</v>
      </c>
      <c r="K9" s="16" t="str">
        <f>equipos!$D4</f>
        <v>Senegal</v>
      </c>
      <c r="L9" s="16">
        <f>'tabla posiciones auxiliar'!N5</f>
        <v>0</v>
      </c>
      <c r="M9" s="16">
        <f>'tabla posiciones auxiliar'!P5</f>
        <v>0</v>
      </c>
      <c r="N9" s="16">
        <f>'tabla posiciones auxiliar'!O5</f>
        <v>0</v>
      </c>
      <c r="O9" s="16">
        <f>'tabla posiciones auxiliar'!Q5</f>
        <v>0</v>
      </c>
      <c r="P9" s="16">
        <f>'tabla posiciones auxiliar'!R5</f>
        <v>0</v>
      </c>
      <c r="Q9" s="16">
        <f>O9-P9</f>
        <v>0</v>
      </c>
      <c r="R9" s="16">
        <f>L9*3+M9</f>
        <v>0</v>
      </c>
      <c r="S9" s="16">
        <f>IF(SUM(L9:N9)=0,ROW()-6,RANK(R9,$R$7:$R$10))</f>
        <v>3</v>
      </c>
      <c r="T9" s="16">
        <f>SUMPRODUCT(($R$7:$R$10=R9)*(Q9&lt;$Q$7:$Q$10))</f>
        <v>0</v>
      </c>
      <c r="U9" s="16">
        <f>S9+T9</f>
        <v>3</v>
      </c>
      <c r="V9" s="26">
        <f>RANK(U9,$U$7:$U$10,1)+COUNTIF($U$7:U9,U9)-1</f>
        <v>3</v>
      </c>
      <c r="W9" s="17">
        <f>R9*100+(O9-P9)*10+O9-ROW(K9)*0.01</f>
        <v>-0.09</v>
      </c>
      <c r="X9" s="15">
        <f>RANK(W9,$W$7:$W$10,0)</f>
        <v>3</v>
      </c>
      <c r="Y9" s="18"/>
      <c r="Z9" s="8"/>
      <c r="AA9" s="18"/>
      <c r="AB9" s="18"/>
      <c r="AC9" s="18"/>
      <c r="AD9" s="18"/>
      <c r="AE9" s="18"/>
      <c r="AF9" s="18"/>
      <c r="AG9" s="18"/>
    </row>
    <row r="10" spans="1:33">
      <c r="A10" s="9">
        <v>4</v>
      </c>
      <c r="B10" s="26" t="str">
        <f>INDEX(K$7:K$11,MATCH($A10,$X$7:$X$11,0))</f>
        <v>Países Bajos</v>
      </c>
      <c r="C10" s="26">
        <f t="shared" si="1"/>
        <v>0</v>
      </c>
      <c r="D10" s="26">
        <f t="shared" si="1"/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K10" s="16" t="str">
        <f>equipos!$D5</f>
        <v>Países Bajos</v>
      </c>
      <c r="L10" s="16">
        <f>'tabla posiciones auxiliar'!N6</f>
        <v>0</v>
      </c>
      <c r="M10" s="16">
        <f>'tabla posiciones auxiliar'!P6</f>
        <v>0</v>
      </c>
      <c r="N10" s="16">
        <f>'tabla posiciones auxiliar'!O6</f>
        <v>0</v>
      </c>
      <c r="O10" s="16">
        <f>'tabla posiciones auxiliar'!Q6</f>
        <v>0</v>
      </c>
      <c r="P10" s="16">
        <f>'tabla posiciones auxiliar'!R6</f>
        <v>0</v>
      </c>
      <c r="Q10" s="16">
        <f>O10-P10</f>
        <v>0</v>
      </c>
      <c r="R10" s="16">
        <f>L10*3+M10</f>
        <v>0</v>
      </c>
      <c r="S10" s="16">
        <f>IF(SUM(L10:N10)=0,ROW()-6,RANK(R10,$R$7:$R$10))</f>
        <v>4</v>
      </c>
      <c r="T10" s="16">
        <f>SUMPRODUCT(($R$7:$R$10=R10)*(Q10&lt;$Q$7:$Q$10))</f>
        <v>0</v>
      </c>
      <c r="U10" s="16">
        <f>S10+T10</f>
        <v>4</v>
      </c>
      <c r="V10" s="26">
        <f>RANK(U10,$U$7:$U$10,1)+COUNTIF($U$7:U10,U10)-1</f>
        <v>4</v>
      </c>
      <c r="W10" s="17">
        <f>R10*100+(O10-P10)*10+O10-ROW(K10)*0.01</f>
        <v>-0.1</v>
      </c>
      <c r="X10" s="15">
        <f>RANK(W10,$W$7:$W$10,0)</f>
        <v>4</v>
      </c>
      <c r="Y10" s="18"/>
      <c r="Z10" s="8"/>
      <c r="AA10" s="18"/>
      <c r="AB10" s="18"/>
      <c r="AC10" s="18"/>
      <c r="AD10" s="18"/>
      <c r="AE10" s="18"/>
      <c r="AF10" s="18"/>
      <c r="AG10" s="18"/>
    </row>
    <row r="11" spans="1:33">
      <c r="A11" s="19"/>
      <c r="B11" s="15"/>
      <c r="C11" s="15"/>
      <c r="D11" s="15"/>
      <c r="E11" s="15"/>
      <c r="F11" s="15"/>
      <c r="G11" s="15"/>
      <c r="H11" s="15"/>
      <c r="I11" s="15"/>
      <c r="J11" s="18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33">
      <c r="K12" s="186" t="s">
        <v>7</v>
      </c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>
      <c r="A13" s="9" t="s">
        <v>29</v>
      </c>
      <c r="B13" s="27" t="s">
        <v>30</v>
      </c>
      <c r="C13" s="27" t="s">
        <v>31</v>
      </c>
      <c r="D13" s="27" t="s">
        <v>32</v>
      </c>
      <c r="E13" s="27" t="s">
        <v>22</v>
      </c>
      <c r="F13" s="27" t="s">
        <v>33</v>
      </c>
      <c r="G13" s="27" t="s">
        <v>34</v>
      </c>
      <c r="H13" s="27" t="s">
        <v>35</v>
      </c>
      <c r="I13" s="27" t="s">
        <v>36</v>
      </c>
      <c r="K13" s="9" t="s">
        <v>30</v>
      </c>
      <c r="L13" s="9" t="s">
        <v>31</v>
      </c>
      <c r="M13" s="9" t="s">
        <v>32</v>
      </c>
      <c r="N13" s="9" t="s">
        <v>22</v>
      </c>
      <c r="O13" s="9" t="s">
        <v>33</v>
      </c>
      <c r="P13" s="9" t="s">
        <v>34</v>
      </c>
      <c r="Q13" s="9" t="s">
        <v>35</v>
      </c>
      <c r="R13" s="9" t="s">
        <v>36</v>
      </c>
      <c r="S13" s="9" t="s">
        <v>37</v>
      </c>
      <c r="T13" s="9" t="s">
        <v>38</v>
      </c>
      <c r="U13" s="9" t="s">
        <v>39</v>
      </c>
      <c r="V13" s="9" t="s">
        <v>40</v>
      </c>
      <c r="W13" s="12" t="s">
        <v>41</v>
      </c>
      <c r="X13" s="10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>
      <c r="A14" s="9">
        <v>1</v>
      </c>
      <c r="B14" s="26" t="str">
        <f>INDEX(K$14:K$18,MATCH($A14,$X$14:$X$18,0))</f>
        <v>Inglaterra</v>
      </c>
      <c r="C14" s="26">
        <f t="shared" ref="C14:I14" si="2">INDEX(L$14:L$18,MATCH($A14,$X$14:$X$18,0))</f>
        <v>0</v>
      </c>
      <c r="D14" s="26">
        <f t="shared" si="2"/>
        <v>0</v>
      </c>
      <c r="E14" s="26">
        <f t="shared" si="2"/>
        <v>0</v>
      </c>
      <c r="F14" s="26">
        <f t="shared" si="2"/>
        <v>0</v>
      </c>
      <c r="G14" s="26">
        <f t="shared" si="2"/>
        <v>0</v>
      </c>
      <c r="H14" s="26">
        <f t="shared" si="2"/>
        <v>0</v>
      </c>
      <c r="I14" s="26">
        <f t="shared" si="2"/>
        <v>0</v>
      </c>
      <c r="K14" s="16" t="str">
        <f>equipos!D7</f>
        <v>Inglaterra</v>
      </c>
      <c r="L14" s="16">
        <f>'tabla posiciones auxiliar'!N10</f>
        <v>0</v>
      </c>
      <c r="M14" s="16">
        <f>'tabla posiciones auxiliar'!P10</f>
        <v>0</v>
      </c>
      <c r="N14" s="16">
        <f>'tabla posiciones auxiliar'!O10</f>
        <v>0</v>
      </c>
      <c r="O14" s="16">
        <f>'tabla posiciones auxiliar'!Q10</f>
        <v>0</v>
      </c>
      <c r="P14" s="16">
        <f>'tabla posiciones auxiliar'!R10</f>
        <v>0</v>
      </c>
      <c r="Q14" s="16">
        <f>O14-P14</f>
        <v>0</v>
      </c>
      <c r="R14" s="16">
        <f>L14*3+M14</f>
        <v>0</v>
      </c>
      <c r="S14" s="16">
        <f>IF(SUM(L14:N14)=0,ROW()-13,RANK(R14,$R$14:$R$17))</f>
        <v>1</v>
      </c>
      <c r="T14" s="16">
        <f>SUMPRODUCT(($R$14:$R$17=R14)*(Q14&lt;$Q$14:$Q$17))</f>
        <v>0</v>
      </c>
      <c r="U14" s="16">
        <f>S14+T14</f>
        <v>1</v>
      </c>
      <c r="V14" s="26">
        <f>RANK(U14,$U$14:$U$17,1)+COUNTIF($U$14:U14,U14)-1</f>
        <v>1</v>
      </c>
      <c r="W14" s="17">
        <f>R14*100+(O14-P14)*10+O14-ROW(K14)*0.01</f>
        <v>-0.14000000000000001</v>
      </c>
      <c r="X14" s="15">
        <f>RANK(W14,$W$14:$W$17,0)</f>
        <v>1</v>
      </c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>
      <c r="A15" s="9">
        <v>2</v>
      </c>
      <c r="B15" s="26" t="str">
        <f>INDEX(K$14:K$18,MATCH($A15,$X$14:$X$18,0))</f>
        <v>Irán</v>
      </c>
      <c r="C15" s="26">
        <f t="shared" ref="C15:I17" si="3">INDEX(L$14:L$18,MATCH($A15,$X$14:$X$18,0))</f>
        <v>0</v>
      </c>
      <c r="D15" s="26">
        <f t="shared" si="3"/>
        <v>0</v>
      </c>
      <c r="E15" s="26">
        <f t="shared" si="3"/>
        <v>0</v>
      </c>
      <c r="F15" s="26">
        <f t="shared" si="3"/>
        <v>0</v>
      </c>
      <c r="G15" s="26">
        <f t="shared" si="3"/>
        <v>0</v>
      </c>
      <c r="H15" s="26">
        <f t="shared" si="3"/>
        <v>0</v>
      </c>
      <c r="I15" s="26">
        <f t="shared" si="3"/>
        <v>0</v>
      </c>
      <c r="K15" s="16" t="str">
        <f>equipos!D8</f>
        <v>Irán</v>
      </c>
      <c r="L15" s="16">
        <f>'tabla posiciones auxiliar'!N11</f>
        <v>0</v>
      </c>
      <c r="M15" s="16">
        <f>'tabla posiciones auxiliar'!P11</f>
        <v>0</v>
      </c>
      <c r="N15" s="16">
        <f>'tabla posiciones auxiliar'!O11</f>
        <v>0</v>
      </c>
      <c r="O15" s="16">
        <f>'tabla posiciones auxiliar'!Q11</f>
        <v>0</v>
      </c>
      <c r="P15" s="16">
        <f>'tabla posiciones auxiliar'!R11</f>
        <v>0</v>
      </c>
      <c r="Q15" s="16">
        <f>O15-P15</f>
        <v>0</v>
      </c>
      <c r="R15" s="16">
        <f>L15*3+M15</f>
        <v>0</v>
      </c>
      <c r="S15" s="16">
        <f>IF(SUM(L15:N15)=0,ROW()-13,RANK(R15,$R$14:$R$17))</f>
        <v>2</v>
      </c>
      <c r="T15" s="16">
        <f>SUMPRODUCT(($R$14:$R$17=R15)*(Q15&lt;$Q$14:$Q$17))</f>
        <v>0</v>
      </c>
      <c r="U15" s="16">
        <f>S15+T15</f>
        <v>2</v>
      </c>
      <c r="V15" s="26">
        <f>RANK(U15,$U$14:$U$18,1)+COUNTIF($U$14:U15,U15)-1</f>
        <v>2</v>
      </c>
      <c r="W15" s="17">
        <f>R15*100+(O15-P15)*10+O15-ROW(K15)*0.01</f>
        <v>-0.15</v>
      </c>
      <c r="X15" s="15">
        <f>RANK(W15,$W$14:$W$17,0)</f>
        <v>2</v>
      </c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>
      <c r="A16" s="9">
        <v>3</v>
      </c>
      <c r="B16" s="26" t="str">
        <f>INDEX(K$14:K$18,MATCH($A16,$X$14:$X$18,0))</f>
        <v>Estados Unidos</v>
      </c>
      <c r="C16" s="26">
        <f t="shared" si="3"/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K16" s="16" t="str">
        <f>equipos!D9</f>
        <v>Estados Unidos</v>
      </c>
      <c r="L16" s="16">
        <f>'tabla posiciones auxiliar'!N12</f>
        <v>0</v>
      </c>
      <c r="M16" s="16">
        <f>'tabla posiciones auxiliar'!P12</f>
        <v>0</v>
      </c>
      <c r="N16" s="16">
        <f>'tabla posiciones auxiliar'!O12</f>
        <v>0</v>
      </c>
      <c r="O16" s="16">
        <f>'tabla posiciones auxiliar'!Q12</f>
        <v>0</v>
      </c>
      <c r="P16" s="16">
        <f>'tabla posiciones auxiliar'!R12</f>
        <v>0</v>
      </c>
      <c r="Q16" s="16">
        <f>O16-P16</f>
        <v>0</v>
      </c>
      <c r="R16" s="16">
        <f>L16*3+M16</f>
        <v>0</v>
      </c>
      <c r="S16" s="16">
        <f>IF(SUM(L16:N16)=0,ROW()-13,RANK(R16,$R$14:$R$17))</f>
        <v>3</v>
      </c>
      <c r="T16" s="16">
        <f>SUMPRODUCT(($R$14:$R$17=R16)*(Q16&lt;$Q$14:$Q$17))</f>
        <v>0</v>
      </c>
      <c r="U16" s="16">
        <f>S16+T16</f>
        <v>3</v>
      </c>
      <c r="V16" s="26">
        <f>RANK(U16,$U$14:$U$18,1)+COUNTIF($U$14:U16,U16)-1</f>
        <v>3</v>
      </c>
      <c r="W16" s="17">
        <f>R16*100+(O16-P16)*10+O16-ROW(K16)*0.01</f>
        <v>-0.16</v>
      </c>
      <c r="X16" s="15">
        <f>RANK(W16,$W$14:$W$17,0)</f>
        <v>3</v>
      </c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>
      <c r="A17" s="9">
        <v>4</v>
      </c>
      <c r="B17" s="26" t="str">
        <f>INDEX(K$14:K$18,MATCH($A17,$X$14:$X$18,0))</f>
        <v>Gales</v>
      </c>
      <c r="C17" s="26">
        <f t="shared" si="3"/>
        <v>0</v>
      </c>
      <c r="D17" s="26">
        <f t="shared" si="3"/>
        <v>0</v>
      </c>
      <c r="E17" s="26">
        <f t="shared" si="3"/>
        <v>0</v>
      </c>
      <c r="F17" s="26">
        <f t="shared" si="3"/>
        <v>0</v>
      </c>
      <c r="G17" s="26">
        <f t="shared" si="3"/>
        <v>0</v>
      </c>
      <c r="H17" s="26">
        <f t="shared" si="3"/>
        <v>0</v>
      </c>
      <c r="I17" s="26">
        <f t="shared" si="3"/>
        <v>0</v>
      </c>
      <c r="K17" s="16" t="str">
        <f>equipos!D10</f>
        <v>Gales</v>
      </c>
      <c r="L17" s="16">
        <f>'tabla posiciones auxiliar'!N13</f>
        <v>0</v>
      </c>
      <c r="M17" s="16">
        <f>'tabla posiciones auxiliar'!P13</f>
        <v>0</v>
      </c>
      <c r="N17" s="16">
        <f>'tabla posiciones auxiliar'!O13</f>
        <v>0</v>
      </c>
      <c r="O17" s="16">
        <f>'tabla posiciones auxiliar'!Q13</f>
        <v>0</v>
      </c>
      <c r="P17" s="16">
        <f>'tabla posiciones auxiliar'!R13</f>
        <v>0</v>
      </c>
      <c r="Q17" s="16">
        <f>O17-P17</f>
        <v>0</v>
      </c>
      <c r="R17" s="16">
        <f>L17*3+M17</f>
        <v>0</v>
      </c>
      <c r="S17" s="16">
        <f>IF(SUM(L17:N17)=0,ROW()-13,RANK(R17,$R$14:$R$17))</f>
        <v>4</v>
      </c>
      <c r="T17" s="16">
        <f>SUMPRODUCT(($R$14:$R$17=R17)*(Q17&lt;$Q$14:$Q$17))</f>
        <v>0</v>
      </c>
      <c r="U17" s="16">
        <f>S17+T17</f>
        <v>4</v>
      </c>
      <c r="V17" s="26">
        <f>RANK(U17,$U$14:$U$18,1)+COUNTIF($U$14:U17,U17)-1</f>
        <v>4</v>
      </c>
      <c r="W17" s="17">
        <f>R17*100+(O17-P17)*10+O17-ROW(K17)*0.01</f>
        <v>-0.17</v>
      </c>
      <c r="X17" s="15">
        <f>RANK(W17,$W$14:$W$17,0)</f>
        <v>4</v>
      </c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>
      <c r="X18" s="10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>
      <c r="K19" s="186" t="s">
        <v>15</v>
      </c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X19" s="10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>
      <c r="A20" s="9" t="s">
        <v>29</v>
      </c>
      <c r="B20" s="27" t="s">
        <v>30</v>
      </c>
      <c r="C20" s="27" t="s">
        <v>31</v>
      </c>
      <c r="D20" s="27" t="s">
        <v>32</v>
      </c>
      <c r="E20" s="27" t="s">
        <v>22</v>
      </c>
      <c r="F20" s="27" t="s">
        <v>33</v>
      </c>
      <c r="G20" s="27" t="s">
        <v>34</v>
      </c>
      <c r="H20" s="27" t="s">
        <v>35</v>
      </c>
      <c r="I20" s="27" t="s">
        <v>36</v>
      </c>
      <c r="K20" s="9" t="s">
        <v>30</v>
      </c>
      <c r="L20" s="9" t="s">
        <v>31</v>
      </c>
      <c r="M20" s="9" t="s">
        <v>32</v>
      </c>
      <c r="N20" s="9" t="s">
        <v>22</v>
      </c>
      <c r="O20" s="9" t="s">
        <v>33</v>
      </c>
      <c r="P20" s="9" t="s">
        <v>34</v>
      </c>
      <c r="Q20" s="9" t="s">
        <v>35</v>
      </c>
      <c r="R20" s="9" t="s">
        <v>36</v>
      </c>
      <c r="S20" s="9" t="s">
        <v>37</v>
      </c>
      <c r="T20" s="9" t="s">
        <v>38</v>
      </c>
      <c r="U20" s="9" t="s">
        <v>39</v>
      </c>
      <c r="V20" s="9" t="s">
        <v>40</v>
      </c>
      <c r="W20" s="12" t="s">
        <v>41</v>
      </c>
      <c r="X20" s="10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>
      <c r="A21" s="9">
        <v>1</v>
      </c>
      <c r="B21" s="26" t="str">
        <f>INDEX(K$21:K$25,MATCH($A21,$X$21:$X$25,0))</f>
        <v>Argentina</v>
      </c>
      <c r="C21" s="26">
        <f t="shared" ref="C21:I21" si="4">INDEX(L$21:L$25,MATCH($A21,$X$21:$X$25,0))</f>
        <v>0</v>
      </c>
      <c r="D21" s="26">
        <f t="shared" si="4"/>
        <v>0</v>
      </c>
      <c r="E21" s="26">
        <f t="shared" si="4"/>
        <v>0</v>
      </c>
      <c r="F21" s="26">
        <f t="shared" si="4"/>
        <v>0</v>
      </c>
      <c r="G21" s="26">
        <f t="shared" si="4"/>
        <v>0</v>
      </c>
      <c r="H21" s="26">
        <f t="shared" si="4"/>
        <v>0</v>
      </c>
      <c r="I21" s="26">
        <f t="shared" si="4"/>
        <v>0</v>
      </c>
      <c r="K21" s="16" t="str">
        <f>equipos!$D12</f>
        <v>Argentina</v>
      </c>
      <c r="L21" s="16">
        <f>'tabla posiciones auxiliar'!N17</f>
        <v>0</v>
      </c>
      <c r="M21" s="16">
        <f>'tabla posiciones auxiliar'!P17</f>
        <v>0</v>
      </c>
      <c r="N21" s="16">
        <f>'tabla posiciones auxiliar'!O17</f>
        <v>0</v>
      </c>
      <c r="O21" s="16">
        <f>'tabla posiciones auxiliar'!Q17</f>
        <v>0</v>
      </c>
      <c r="P21" s="16">
        <f>'tabla posiciones auxiliar'!R17</f>
        <v>0</v>
      </c>
      <c r="Q21" s="16">
        <f>O21-P21</f>
        <v>0</v>
      </c>
      <c r="R21" s="16">
        <f>L21*3+M21</f>
        <v>0</v>
      </c>
      <c r="S21" s="16">
        <f>IF(SUM(L21:N21)=0,ROW()-20,RANK(R21,$R$21:$R$24))</f>
        <v>1</v>
      </c>
      <c r="T21" s="16">
        <f>SUMPRODUCT(($R$21:$R$24=R21)*(Q21&lt;$Q$21:$Q$24))</f>
        <v>0</v>
      </c>
      <c r="U21" s="16">
        <f>S21+T21</f>
        <v>1</v>
      </c>
      <c r="V21" s="26">
        <f>RANK(U21,$U$21:$U$24,1)+COUNTIF($U$21:U21,U21)-1</f>
        <v>1</v>
      </c>
      <c r="W21" s="17">
        <f>R21*100+(O21-P21)*10+O21-ROW(K21)*0.01</f>
        <v>-0.21</v>
      </c>
      <c r="X21" s="15">
        <f>RANK(W21,$W$21:$W$24,0)</f>
        <v>1</v>
      </c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>
      <c r="A22" s="9">
        <v>2</v>
      </c>
      <c r="B22" s="26" t="str">
        <f>INDEX(K$21:K$25,MATCH($A22,$X$21:$X$25,0))</f>
        <v>Arabia Saudí</v>
      </c>
      <c r="C22" s="26">
        <f t="shared" ref="C22:I24" si="5">INDEX(L$21:L$25,MATCH($A22,$X$21:$X$25,0))</f>
        <v>0</v>
      </c>
      <c r="D22" s="26">
        <f t="shared" si="5"/>
        <v>0</v>
      </c>
      <c r="E22" s="26">
        <f t="shared" si="5"/>
        <v>0</v>
      </c>
      <c r="F22" s="26">
        <f t="shared" si="5"/>
        <v>0</v>
      </c>
      <c r="G22" s="26">
        <f t="shared" si="5"/>
        <v>0</v>
      </c>
      <c r="H22" s="26">
        <f t="shared" si="5"/>
        <v>0</v>
      </c>
      <c r="I22" s="26">
        <f t="shared" si="5"/>
        <v>0</v>
      </c>
      <c r="K22" s="16" t="str">
        <f>equipos!$D13</f>
        <v>Arabia Saudí</v>
      </c>
      <c r="L22" s="16">
        <f>'tabla posiciones auxiliar'!N18</f>
        <v>0</v>
      </c>
      <c r="M22" s="16">
        <f>'tabla posiciones auxiliar'!P18</f>
        <v>0</v>
      </c>
      <c r="N22" s="16">
        <f>'tabla posiciones auxiliar'!O18</f>
        <v>0</v>
      </c>
      <c r="O22" s="16">
        <f>'tabla posiciones auxiliar'!Q18</f>
        <v>0</v>
      </c>
      <c r="P22" s="16">
        <f>'tabla posiciones auxiliar'!R18</f>
        <v>0</v>
      </c>
      <c r="Q22" s="16">
        <f>O22-P22</f>
        <v>0</v>
      </c>
      <c r="R22" s="16">
        <f>L22*3+M22</f>
        <v>0</v>
      </c>
      <c r="S22" s="16">
        <f>IF(SUM(L22:N22)=0,ROW()-20,RANK(R22,$R$21:$R$24))</f>
        <v>2</v>
      </c>
      <c r="T22" s="16">
        <f>SUMPRODUCT(($R$21:$R$24=R22)*(Q22&lt;$Q$21:$Q$24))</f>
        <v>0</v>
      </c>
      <c r="U22" s="16">
        <f>S22+T22</f>
        <v>2</v>
      </c>
      <c r="V22" s="26">
        <f>RANK(U22,$U$21:$U$24,1)+COUNTIF($U$21:U22,U22)-1</f>
        <v>2</v>
      </c>
      <c r="W22" s="17">
        <f>R22*100+(O22-P22)*10+O22-ROW(K22)*0.01</f>
        <v>-0.22</v>
      </c>
      <c r="X22" s="15">
        <f>RANK(W22,$W$21:$W$24,0)</f>
        <v>2</v>
      </c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>
      <c r="A23" s="9">
        <v>3</v>
      </c>
      <c r="B23" s="26" t="str">
        <f>INDEX(K$21:K$25,MATCH($A23,$X$21:$X$25,0))</f>
        <v>México</v>
      </c>
      <c r="C23" s="26">
        <f t="shared" si="5"/>
        <v>0</v>
      </c>
      <c r="D23" s="26">
        <f t="shared" si="5"/>
        <v>0</v>
      </c>
      <c r="E23" s="26">
        <f t="shared" si="5"/>
        <v>0</v>
      </c>
      <c r="F23" s="26">
        <f t="shared" si="5"/>
        <v>0</v>
      </c>
      <c r="G23" s="26">
        <f t="shared" si="5"/>
        <v>0</v>
      </c>
      <c r="H23" s="26">
        <f t="shared" si="5"/>
        <v>0</v>
      </c>
      <c r="I23" s="26">
        <f t="shared" si="5"/>
        <v>0</v>
      </c>
      <c r="K23" s="16" t="str">
        <f>equipos!$D14</f>
        <v>México</v>
      </c>
      <c r="L23" s="16">
        <f>'tabla posiciones auxiliar'!N19</f>
        <v>0</v>
      </c>
      <c r="M23" s="16">
        <f>'tabla posiciones auxiliar'!P19</f>
        <v>0</v>
      </c>
      <c r="N23" s="16">
        <f>'tabla posiciones auxiliar'!O19</f>
        <v>0</v>
      </c>
      <c r="O23" s="16">
        <f>'tabla posiciones auxiliar'!Q19</f>
        <v>0</v>
      </c>
      <c r="P23" s="16">
        <f>'tabla posiciones auxiliar'!R19</f>
        <v>0</v>
      </c>
      <c r="Q23" s="16">
        <f>O23-P23</f>
        <v>0</v>
      </c>
      <c r="R23" s="16">
        <f>L23*3+M23</f>
        <v>0</v>
      </c>
      <c r="S23" s="16">
        <f>IF(SUM(L23:N23)=0,ROW()-20,RANK(R23,$R$21:$R$24))</f>
        <v>3</v>
      </c>
      <c r="T23" s="16">
        <f>SUMPRODUCT(($R$21:$R$24=R23)*(Q23&lt;$Q$21:$Q$24))</f>
        <v>0</v>
      </c>
      <c r="U23" s="16">
        <f>S23+T23</f>
        <v>3</v>
      </c>
      <c r="V23" s="26">
        <f>RANK(U23,$U$21:$U$24,1)+COUNTIF($U$21:U23,U23)-1</f>
        <v>3</v>
      </c>
      <c r="W23" s="17">
        <f>R23*100+(O23-P23)*10+O23-ROW(K23)*0.01</f>
        <v>-0.23</v>
      </c>
      <c r="X23" s="15">
        <f>RANK(W23,$W$21:$W$24,0)</f>
        <v>3</v>
      </c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>
      <c r="A24" s="9">
        <v>4</v>
      </c>
      <c r="B24" s="26" t="str">
        <f>INDEX(K$21:K$25,MATCH($A24,$X$21:$X$25,0))</f>
        <v>Polonia</v>
      </c>
      <c r="C24" s="26">
        <f t="shared" si="5"/>
        <v>0</v>
      </c>
      <c r="D24" s="26">
        <f t="shared" si="5"/>
        <v>0</v>
      </c>
      <c r="E24" s="26">
        <f t="shared" si="5"/>
        <v>0</v>
      </c>
      <c r="F24" s="26">
        <f t="shared" si="5"/>
        <v>0</v>
      </c>
      <c r="G24" s="26">
        <f t="shared" si="5"/>
        <v>0</v>
      </c>
      <c r="H24" s="26">
        <f t="shared" si="5"/>
        <v>0</v>
      </c>
      <c r="I24" s="26">
        <f t="shared" si="5"/>
        <v>0</v>
      </c>
      <c r="K24" s="16" t="str">
        <f>equipos!$D15</f>
        <v>Polonia</v>
      </c>
      <c r="L24" s="16">
        <f>'tabla posiciones auxiliar'!N20</f>
        <v>0</v>
      </c>
      <c r="M24" s="16">
        <f>'tabla posiciones auxiliar'!P20</f>
        <v>0</v>
      </c>
      <c r="N24" s="16">
        <f>'tabla posiciones auxiliar'!O20</f>
        <v>0</v>
      </c>
      <c r="O24" s="16">
        <f>'tabla posiciones auxiliar'!Q20</f>
        <v>0</v>
      </c>
      <c r="P24" s="16">
        <f>'tabla posiciones auxiliar'!R20</f>
        <v>0</v>
      </c>
      <c r="Q24" s="16">
        <f>O24-P24</f>
        <v>0</v>
      </c>
      <c r="R24" s="16">
        <f>L24*3+M24</f>
        <v>0</v>
      </c>
      <c r="S24" s="16">
        <f>IF(SUM(L24:N24)=0,ROW()-20,RANK(R24,$R$21:$R$24))</f>
        <v>4</v>
      </c>
      <c r="T24" s="16">
        <f>SUMPRODUCT(($R$21:$R$24=R24)*(Q24&lt;$Q$21:$Q$24))</f>
        <v>0</v>
      </c>
      <c r="U24" s="16">
        <f>S24+T24</f>
        <v>4</v>
      </c>
      <c r="V24" s="26">
        <f>RANK(U24,$U$21:$U$24,1)+COUNTIF($U$21:U24,U24)-1</f>
        <v>4</v>
      </c>
      <c r="W24" s="17">
        <f>R24*100+(O24-P24)*10+O24-ROW(K24)*0.01</f>
        <v>-0.24</v>
      </c>
      <c r="X24" s="15">
        <f>RANK(W24,$W$21:$W$24,0)</f>
        <v>4</v>
      </c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>
      <c r="X25" s="10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>
      <c r="K26" s="186" t="s">
        <v>10</v>
      </c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X26" s="10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>
      <c r="A27" s="9" t="s">
        <v>29</v>
      </c>
      <c r="B27" s="27" t="s">
        <v>30</v>
      </c>
      <c r="C27" s="27" t="s">
        <v>31</v>
      </c>
      <c r="D27" s="27" t="s">
        <v>32</v>
      </c>
      <c r="E27" s="27" t="s">
        <v>22</v>
      </c>
      <c r="F27" s="27" t="s">
        <v>33</v>
      </c>
      <c r="G27" s="27" t="s">
        <v>34</v>
      </c>
      <c r="H27" s="27" t="s">
        <v>35</v>
      </c>
      <c r="I27" s="27" t="s">
        <v>36</v>
      </c>
      <c r="K27" s="9" t="s">
        <v>30</v>
      </c>
      <c r="L27" s="9" t="s">
        <v>31</v>
      </c>
      <c r="M27" s="9" t="s">
        <v>32</v>
      </c>
      <c r="N27" s="9" t="s">
        <v>22</v>
      </c>
      <c r="O27" s="9" t="s">
        <v>33</v>
      </c>
      <c r="P27" s="9" t="s">
        <v>34</v>
      </c>
      <c r="Q27" s="9" t="s">
        <v>35</v>
      </c>
      <c r="R27" s="9" t="s">
        <v>36</v>
      </c>
      <c r="S27" s="9" t="s">
        <v>37</v>
      </c>
      <c r="T27" s="9" t="s">
        <v>38</v>
      </c>
      <c r="U27" s="9" t="s">
        <v>39</v>
      </c>
      <c r="V27" s="9" t="s">
        <v>40</v>
      </c>
      <c r="W27" s="12" t="s">
        <v>41</v>
      </c>
      <c r="X27" s="10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>
      <c r="A28" s="9">
        <v>1</v>
      </c>
      <c r="B28" s="26" t="str">
        <f>INDEX(K$28:K$32,MATCH($A28,$X$28:$X$32,0))</f>
        <v>Francia</v>
      </c>
      <c r="C28" s="26">
        <f t="shared" ref="C28:I28" si="6">INDEX(L$28:L$32,MATCH($A28,$X$28:$X$32,0))</f>
        <v>0</v>
      </c>
      <c r="D28" s="26">
        <f t="shared" si="6"/>
        <v>0</v>
      </c>
      <c r="E28" s="26">
        <f t="shared" si="6"/>
        <v>0</v>
      </c>
      <c r="F28" s="26">
        <f t="shared" si="6"/>
        <v>0</v>
      </c>
      <c r="G28" s="26">
        <f t="shared" si="6"/>
        <v>0</v>
      </c>
      <c r="H28" s="26">
        <f t="shared" si="6"/>
        <v>0</v>
      </c>
      <c r="I28" s="26">
        <f t="shared" si="6"/>
        <v>0</v>
      </c>
      <c r="K28" s="16" t="str">
        <f>equipos!$D17</f>
        <v>Francia</v>
      </c>
      <c r="L28" s="16">
        <f>'tabla posiciones auxiliar'!N24</f>
        <v>0</v>
      </c>
      <c r="M28" s="16">
        <f>'tabla posiciones auxiliar'!P24</f>
        <v>0</v>
      </c>
      <c r="N28" s="16">
        <f>'tabla posiciones auxiliar'!O24</f>
        <v>0</v>
      </c>
      <c r="O28" s="16">
        <f>'tabla posiciones auxiliar'!Q24</f>
        <v>0</v>
      </c>
      <c r="P28" s="16">
        <f>'tabla posiciones auxiliar'!R24</f>
        <v>0</v>
      </c>
      <c r="Q28" s="16">
        <f>O28-P28</f>
        <v>0</v>
      </c>
      <c r="R28" s="16">
        <f>L28*3+M28</f>
        <v>0</v>
      </c>
      <c r="S28" s="16">
        <f>IF(SUM(L28:N28)=0,ROW()-27,RANK(R28,$R$28:$R$31))</f>
        <v>1</v>
      </c>
      <c r="T28" s="16">
        <f>SUMPRODUCT(($R$28:$R$32=R28)*(Q28&lt;$Q$28:$Q$32))</f>
        <v>0</v>
      </c>
      <c r="U28" s="16">
        <f>S28+T28</f>
        <v>1</v>
      </c>
      <c r="V28" s="26">
        <f>RANK(U28,$U$28:$U$31,1)+COUNTIF($U$28:U28,U28)-1</f>
        <v>1</v>
      </c>
      <c r="W28" s="17">
        <f>R28*100+(O28-P28)*10+O28-ROW(K28)*0.01</f>
        <v>-0.28000000000000003</v>
      </c>
      <c r="X28" s="15">
        <f>RANK(W28,$W$28:$W$31,0)</f>
        <v>1</v>
      </c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>
      <c r="A29" s="9">
        <v>2</v>
      </c>
      <c r="B29" s="26" t="str">
        <f>INDEX(K$28:K$32,MATCH($A29,$X$28:$X$32,0))</f>
        <v>Australia</v>
      </c>
      <c r="C29" s="26">
        <f t="shared" ref="C29:I31" si="7">INDEX(L$28:L$32,MATCH($A29,$X$28:$X$32,0))</f>
        <v>0</v>
      </c>
      <c r="D29" s="26">
        <f t="shared" si="7"/>
        <v>0</v>
      </c>
      <c r="E29" s="26">
        <f t="shared" si="7"/>
        <v>0</v>
      </c>
      <c r="F29" s="26">
        <f t="shared" si="7"/>
        <v>0</v>
      </c>
      <c r="G29" s="26">
        <f t="shared" si="7"/>
        <v>0</v>
      </c>
      <c r="H29" s="26">
        <f t="shared" si="7"/>
        <v>0</v>
      </c>
      <c r="I29" s="26">
        <f t="shared" si="7"/>
        <v>0</v>
      </c>
      <c r="K29" s="16" t="str">
        <f>equipos!$D18</f>
        <v>Australia</v>
      </c>
      <c r="L29" s="16">
        <f>'tabla posiciones auxiliar'!N25</f>
        <v>0</v>
      </c>
      <c r="M29" s="16">
        <f>'tabla posiciones auxiliar'!P25</f>
        <v>0</v>
      </c>
      <c r="N29" s="16">
        <f>'tabla posiciones auxiliar'!O25</f>
        <v>0</v>
      </c>
      <c r="O29" s="16">
        <f>'tabla posiciones auxiliar'!Q25</f>
        <v>0</v>
      </c>
      <c r="P29" s="16">
        <f>'tabla posiciones auxiliar'!R25</f>
        <v>0</v>
      </c>
      <c r="Q29" s="16">
        <f>O29-P29</f>
        <v>0</v>
      </c>
      <c r="R29" s="16">
        <f>L29*3+M29</f>
        <v>0</v>
      </c>
      <c r="S29" s="16">
        <f>IF(SUM(L29:N29)=0,ROW()-27,RANK(R29,$R$28:$R$31))</f>
        <v>2</v>
      </c>
      <c r="T29" s="16">
        <f>SUMPRODUCT(($R$28:$R$32=R29)*(Q29&lt;$Q$28:$Q$32))</f>
        <v>0</v>
      </c>
      <c r="U29" s="16">
        <f>S29+T29</f>
        <v>2</v>
      </c>
      <c r="V29" s="26">
        <f>RANK(U29,$U$28:$U$31,1)+COUNTIF($U$28:U29,U29)-1</f>
        <v>2</v>
      </c>
      <c r="W29" s="17">
        <f>R29*100+(O29-P29)*10+O29-ROW(K29)*0.01</f>
        <v>-0.28999999999999998</v>
      </c>
      <c r="X29" s="15">
        <f>RANK(W29,$W$28:$W$31,0)</f>
        <v>2</v>
      </c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>
      <c r="A30" s="9">
        <v>3</v>
      </c>
      <c r="B30" s="26" t="str">
        <f>INDEX(K$28:K$32,MATCH($A30,$X$28:$X$32,0))</f>
        <v>Dinamarca</v>
      </c>
      <c r="C30" s="26">
        <f t="shared" si="7"/>
        <v>0</v>
      </c>
      <c r="D30" s="26">
        <f t="shared" si="7"/>
        <v>0</v>
      </c>
      <c r="E30" s="26">
        <f t="shared" si="7"/>
        <v>0</v>
      </c>
      <c r="F30" s="26">
        <f t="shared" si="7"/>
        <v>0</v>
      </c>
      <c r="G30" s="26">
        <f t="shared" si="7"/>
        <v>0</v>
      </c>
      <c r="H30" s="26">
        <f t="shared" si="7"/>
        <v>0</v>
      </c>
      <c r="I30" s="26">
        <f t="shared" si="7"/>
        <v>0</v>
      </c>
      <c r="K30" s="16" t="str">
        <f>equipos!$D19</f>
        <v>Dinamarca</v>
      </c>
      <c r="L30" s="16">
        <f>'tabla posiciones auxiliar'!N26</f>
        <v>0</v>
      </c>
      <c r="M30" s="16">
        <f>'tabla posiciones auxiliar'!P26</f>
        <v>0</v>
      </c>
      <c r="N30" s="16">
        <f>'tabla posiciones auxiliar'!O26</f>
        <v>0</v>
      </c>
      <c r="O30" s="16">
        <f>'tabla posiciones auxiliar'!Q26</f>
        <v>0</v>
      </c>
      <c r="P30" s="16">
        <f>'tabla posiciones auxiliar'!R26</f>
        <v>0</v>
      </c>
      <c r="Q30" s="16">
        <f>O30-P30</f>
        <v>0</v>
      </c>
      <c r="R30" s="16">
        <f>L30*3+M30</f>
        <v>0</v>
      </c>
      <c r="S30" s="16">
        <f>IF(SUM(L30:N30)=0,ROW()-27,RANK(R30,$R$28:$R$31))</f>
        <v>3</v>
      </c>
      <c r="T30" s="16">
        <f>SUMPRODUCT(($R$28:$R$32=R30)*(Q30&lt;$Q$28:$Q$32))</f>
        <v>0</v>
      </c>
      <c r="U30" s="16">
        <f>S30+T30</f>
        <v>3</v>
      </c>
      <c r="V30" s="26">
        <f>RANK(U30,$U$28:$U$31,1)+COUNTIF($U$28:U30,U30)-1</f>
        <v>3</v>
      </c>
      <c r="W30" s="17">
        <f>R30*100+(O30-P30)*10+O30-ROW(K30)*0.01</f>
        <v>-0.3</v>
      </c>
      <c r="X30" s="15">
        <f>RANK(W30,$W$28:$W$31,0)</f>
        <v>3</v>
      </c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>
      <c r="A31" s="9">
        <v>4</v>
      </c>
      <c r="B31" s="26" t="str">
        <f>INDEX(K$28:K$32,MATCH($A31,$X$28:$X$32,0))</f>
        <v>Túnez</v>
      </c>
      <c r="C31" s="26">
        <f t="shared" si="7"/>
        <v>0</v>
      </c>
      <c r="D31" s="26">
        <f t="shared" si="7"/>
        <v>0</v>
      </c>
      <c r="E31" s="26">
        <f t="shared" si="7"/>
        <v>0</v>
      </c>
      <c r="F31" s="26">
        <f t="shared" si="7"/>
        <v>0</v>
      </c>
      <c r="G31" s="26">
        <f t="shared" si="7"/>
        <v>0</v>
      </c>
      <c r="H31" s="26">
        <f t="shared" si="7"/>
        <v>0</v>
      </c>
      <c r="I31" s="26">
        <f t="shared" si="7"/>
        <v>0</v>
      </c>
      <c r="K31" s="16" t="str">
        <f>equipos!$D20</f>
        <v>Túnez</v>
      </c>
      <c r="L31" s="16">
        <f>'tabla posiciones auxiliar'!N27</f>
        <v>0</v>
      </c>
      <c r="M31" s="16">
        <f>'tabla posiciones auxiliar'!P27</f>
        <v>0</v>
      </c>
      <c r="N31" s="16">
        <f>'tabla posiciones auxiliar'!O27</f>
        <v>0</v>
      </c>
      <c r="O31" s="16">
        <f>'tabla posiciones auxiliar'!Q27</f>
        <v>0</v>
      </c>
      <c r="P31" s="16">
        <f>'tabla posiciones auxiliar'!R27</f>
        <v>0</v>
      </c>
      <c r="Q31" s="16">
        <f>O31-P31</f>
        <v>0</v>
      </c>
      <c r="R31" s="16">
        <f>L31*3+M31</f>
        <v>0</v>
      </c>
      <c r="S31" s="16">
        <f>IF(SUM(L31:N31)=0,ROW()-27,RANK(R31,$R$28:$R$31))</f>
        <v>4</v>
      </c>
      <c r="T31" s="16">
        <f>SUMPRODUCT(($R$28:$R$32=R31)*(Q31&lt;$Q$28:$Q$32))</f>
        <v>0</v>
      </c>
      <c r="U31" s="16">
        <f>S31+T31</f>
        <v>4</v>
      </c>
      <c r="V31" s="26">
        <f>RANK(U31,$U$28:$U$31,1)+COUNTIF($U$28:U31,U31)-1</f>
        <v>4</v>
      </c>
      <c r="W31" s="17">
        <f>R31*100+(O31-P31)*10+O31-ROW(K31)*0.01</f>
        <v>-0.31</v>
      </c>
      <c r="X31" s="15">
        <f>RANK(W31,$W$28:$W$31,0)</f>
        <v>4</v>
      </c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>
      <c r="X32" s="10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>
      <c r="K33" s="186" t="s">
        <v>11</v>
      </c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X33" s="10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>
      <c r="A34" s="9" t="s">
        <v>29</v>
      </c>
      <c r="B34" s="27" t="s">
        <v>30</v>
      </c>
      <c r="C34" s="27" t="s">
        <v>31</v>
      </c>
      <c r="D34" s="27" t="s">
        <v>32</v>
      </c>
      <c r="E34" s="27" t="s">
        <v>22</v>
      </c>
      <c r="F34" s="27" t="s">
        <v>33</v>
      </c>
      <c r="G34" s="27" t="s">
        <v>34</v>
      </c>
      <c r="H34" s="27" t="s">
        <v>35</v>
      </c>
      <c r="I34" s="27" t="s">
        <v>36</v>
      </c>
      <c r="K34" s="9" t="s">
        <v>30</v>
      </c>
      <c r="L34" s="9" t="s">
        <v>31</v>
      </c>
      <c r="M34" s="9" t="s">
        <v>32</v>
      </c>
      <c r="N34" s="9" t="s">
        <v>22</v>
      </c>
      <c r="O34" s="9" t="s">
        <v>33</v>
      </c>
      <c r="P34" s="9" t="s">
        <v>34</v>
      </c>
      <c r="Q34" s="9" t="s">
        <v>35</v>
      </c>
      <c r="R34" s="9" t="s">
        <v>36</v>
      </c>
      <c r="S34" s="9" t="s">
        <v>37</v>
      </c>
      <c r="T34" s="9" t="s">
        <v>38</v>
      </c>
      <c r="U34" s="9" t="s">
        <v>39</v>
      </c>
      <c r="V34" s="9" t="s">
        <v>40</v>
      </c>
      <c r="W34" s="12" t="s">
        <v>41</v>
      </c>
      <c r="X34" s="10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>
      <c r="A35" s="9">
        <v>1</v>
      </c>
      <c r="B35" s="26" t="str">
        <f>INDEX(K$35:K$39,MATCH($A35,$X$35:$X$39,0))</f>
        <v>España</v>
      </c>
      <c r="C35" s="26">
        <f t="shared" ref="C35:I35" si="8">INDEX(L$35:L$39,MATCH($A35,$X$35:$X$39,0))</f>
        <v>0</v>
      </c>
      <c r="D35" s="26">
        <f t="shared" si="8"/>
        <v>0</v>
      </c>
      <c r="E35" s="26">
        <f t="shared" si="8"/>
        <v>0</v>
      </c>
      <c r="F35" s="26">
        <f t="shared" si="8"/>
        <v>0</v>
      </c>
      <c r="G35" s="26">
        <f t="shared" si="8"/>
        <v>0</v>
      </c>
      <c r="H35" s="26">
        <f t="shared" si="8"/>
        <v>0</v>
      </c>
      <c r="I35" s="26">
        <f t="shared" si="8"/>
        <v>0</v>
      </c>
      <c r="K35" s="16" t="str">
        <f>equipos!$G2</f>
        <v>España</v>
      </c>
      <c r="L35" s="16">
        <f>'tabla posiciones auxiliar'!N31</f>
        <v>0</v>
      </c>
      <c r="M35" s="16">
        <f>'tabla posiciones auxiliar'!P31</f>
        <v>0</v>
      </c>
      <c r="N35" s="16">
        <f>'tabla posiciones auxiliar'!O31</f>
        <v>0</v>
      </c>
      <c r="O35" s="16">
        <f>'tabla posiciones auxiliar'!Q31</f>
        <v>0</v>
      </c>
      <c r="P35" s="16">
        <f>'tabla posiciones auxiliar'!R31</f>
        <v>0</v>
      </c>
      <c r="Q35" s="16">
        <f>O35-P35</f>
        <v>0</v>
      </c>
      <c r="R35" s="16">
        <f>L35*3+M35</f>
        <v>0</v>
      </c>
      <c r="S35" s="16">
        <f>IF(SUM(L35:N35)=0,ROW()-34,RANK(R35,$R$35:$R$38))</f>
        <v>1</v>
      </c>
      <c r="T35" s="16">
        <f>SUMPRODUCT(($R$35:$R$38=R35)*(Q35&lt;$Q$35:$Q$38))</f>
        <v>0</v>
      </c>
      <c r="U35" s="16">
        <f>S35+T35</f>
        <v>1</v>
      </c>
      <c r="V35" s="26">
        <f>RANK(U35,$U$35:$U$38,1)+COUNTIF($U$35:U35,U35)-1</f>
        <v>1</v>
      </c>
      <c r="W35" s="17">
        <f>R35*100+(O35-P35)*10+O35-ROW(K35)*0.01</f>
        <v>-0.35000000000000003</v>
      </c>
      <c r="X35" s="15">
        <f>RANK(W35,$W$35:$W$38,0)</f>
        <v>1</v>
      </c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>
      <c r="A36" s="9">
        <v>2</v>
      </c>
      <c r="B36" s="26" t="str">
        <f>INDEX(K$35:K$39,MATCH($A36,$X$35:$X$39,0))</f>
        <v>Costa Rica</v>
      </c>
      <c r="C36" s="26">
        <f t="shared" ref="C36:I38" si="9">INDEX(L$35:L$39,MATCH($A36,$X$35:$X$39,0))</f>
        <v>0</v>
      </c>
      <c r="D36" s="26">
        <f t="shared" si="9"/>
        <v>0</v>
      </c>
      <c r="E36" s="26">
        <f t="shared" si="9"/>
        <v>0</v>
      </c>
      <c r="F36" s="26">
        <f t="shared" si="9"/>
        <v>0</v>
      </c>
      <c r="G36" s="26">
        <f t="shared" si="9"/>
        <v>0</v>
      </c>
      <c r="H36" s="26">
        <f t="shared" si="9"/>
        <v>0</v>
      </c>
      <c r="I36" s="26">
        <f t="shared" si="9"/>
        <v>0</v>
      </c>
      <c r="K36" s="16" t="str">
        <f>equipos!$G3</f>
        <v>Costa Rica</v>
      </c>
      <c r="L36" s="16">
        <f>'tabla posiciones auxiliar'!N32</f>
        <v>0</v>
      </c>
      <c r="M36" s="16">
        <f>'tabla posiciones auxiliar'!P32</f>
        <v>0</v>
      </c>
      <c r="N36" s="16">
        <f>'tabla posiciones auxiliar'!O32</f>
        <v>0</v>
      </c>
      <c r="O36" s="16">
        <f>'tabla posiciones auxiliar'!Q32</f>
        <v>0</v>
      </c>
      <c r="P36" s="16">
        <f>'tabla posiciones auxiliar'!R32</f>
        <v>0</v>
      </c>
      <c r="Q36" s="16">
        <f>O36-P36</f>
        <v>0</v>
      </c>
      <c r="R36" s="16">
        <f>L36*3+M36</f>
        <v>0</v>
      </c>
      <c r="S36" s="16">
        <f>IF(SUM(L36:N36)=0,ROW()-34,RANK(R36,$R$35:$R$38))</f>
        <v>2</v>
      </c>
      <c r="T36" s="16">
        <f>SUMPRODUCT(($R$35:$R$38=R36)*(Q36&lt;$Q$35:$Q$38))</f>
        <v>0</v>
      </c>
      <c r="U36" s="16">
        <f>S36+T36</f>
        <v>2</v>
      </c>
      <c r="V36" s="26">
        <f>RANK(U36,$U$35:$U$38,1)+COUNTIF($U$35:U36,U36)-1</f>
        <v>2</v>
      </c>
      <c r="W36" s="17">
        <f>R36*100+(O36-P36)*10+O36-ROW(K36)*0.01</f>
        <v>-0.36</v>
      </c>
      <c r="X36" s="15">
        <f>RANK(W36,$W$35:$W$38,0)</f>
        <v>2</v>
      </c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>
      <c r="A37" s="9">
        <v>3</v>
      </c>
      <c r="B37" s="26" t="str">
        <f>INDEX(K$35:K$39,MATCH($A37,$X$35:$X$39,0))</f>
        <v>Alemania</v>
      </c>
      <c r="C37" s="26">
        <f t="shared" si="9"/>
        <v>0</v>
      </c>
      <c r="D37" s="26">
        <f t="shared" si="9"/>
        <v>0</v>
      </c>
      <c r="E37" s="26">
        <f t="shared" si="9"/>
        <v>0</v>
      </c>
      <c r="F37" s="26">
        <f t="shared" si="9"/>
        <v>0</v>
      </c>
      <c r="G37" s="26">
        <f t="shared" si="9"/>
        <v>0</v>
      </c>
      <c r="H37" s="26">
        <f t="shared" si="9"/>
        <v>0</v>
      </c>
      <c r="I37" s="26">
        <f t="shared" si="9"/>
        <v>0</v>
      </c>
      <c r="K37" s="16" t="str">
        <f>equipos!$G4</f>
        <v>Alemania</v>
      </c>
      <c r="L37" s="16">
        <f>'tabla posiciones auxiliar'!N33</f>
        <v>0</v>
      </c>
      <c r="M37" s="16">
        <f>'tabla posiciones auxiliar'!P33</f>
        <v>0</v>
      </c>
      <c r="N37" s="16">
        <f>'tabla posiciones auxiliar'!O33</f>
        <v>0</v>
      </c>
      <c r="O37" s="16">
        <f>'tabla posiciones auxiliar'!Q33</f>
        <v>0</v>
      </c>
      <c r="P37" s="16">
        <f>'tabla posiciones auxiliar'!R33</f>
        <v>0</v>
      </c>
      <c r="Q37" s="16">
        <f>O37-P37</f>
        <v>0</v>
      </c>
      <c r="R37" s="16">
        <f>L37*3+M37</f>
        <v>0</v>
      </c>
      <c r="S37" s="16">
        <f>IF(SUM(L37:N37)=0,ROW()-34,RANK(R37,$R$35:$R$38))</f>
        <v>3</v>
      </c>
      <c r="T37" s="16">
        <f>SUMPRODUCT(($R$35:$R$38=R37)*(Q37&lt;$Q$35:$Q$38))</f>
        <v>0</v>
      </c>
      <c r="U37" s="16">
        <f>S37+T37</f>
        <v>3</v>
      </c>
      <c r="V37" s="26">
        <f>RANK(U37,$U$35:$U$38,1)+COUNTIF($U$35:U37,U37)-1</f>
        <v>3</v>
      </c>
      <c r="W37" s="17">
        <f>R37*100+(O37-P37)*10+O37-ROW(K37)*0.01</f>
        <v>-0.37</v>
      </c>
      <c r="X37" s="15">
        <f>RANK(W37,$W$35:$W$38,0)</f>
        <v>3</v>
      </c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>
      <c r="A38" s="9">
        <v>4</v>
      </c>
      <c r="B38" s="26" t="str">
        <f>INDEX(K$35:K$39,MATCH($A38,$X$35:$X$39,0))</f>
        <v>Japón</v>
      </c>
      <c r="C38" s="26">
        <f t="shared" si="9"/>
        <v>0</v>
      </c>
      <c r="D38" s="26">
        <f t="shared" si="9"/>
        <v>0</v>
      </c>
      <c r="E38" s="26">
        <f t="shared" si="9"/>
        <v>0</v>
      </c>
      <c r="F38" s="26">
        <f t="shared" si="9"/>
        <v>0</v>
      </c>
      <c r="G38" s="26">
        <f t="shared" si="9"/>
        <v>0</v>
      </c>
      <c r="H38" s="26">
        <f t="shared" si="9"/>
        <v>0</v>
      </c>
      <c r="I38" s="26">
        <f t="shared" si="9"/>
        <v>0</v>
      </c>
      <c r="K38" s="16" t="str">
        <f>equipos!$G5</f>
        <v>Japón</v>
      </c>
      <c r="L38" s="16">
        <f>'tabla posiciones auxiliar'!N34</f>
        <v>0</v>
      </c>
      <c r="M38" s="16">
        <f>'tabla posiciones auxiliar'!P34</f>
        <v>0</v>
      </c>
      <c r="N38" s="16">
        <f>'tabla posiciones auxiliar'!O34</f>
        <v>0</v>
      </c>
      <c r="O38" s="16">
        <f>'tabla posiciones auxiliar'!Q34</f>
        <v>0</v>
      </c>
      <c r="P38" s="16">
        <f>'tabla posiciones auxiliar'!R34</f>
        <v>0</v>
      </c>
      <c r="Q38" s="16">
        <f>O38-P38</f>
        <v>0</v>
      </c>
      <c r="R38" s="16">
        <f>L38*3+M38</f>
        <v>0</v>
      </c>
      <c r="S38" s="16">
        <f>IF(SUM(L38:N38)=0,ROW()-34,RANK(R38,$R$35:$R$38))</f>
        <v>4</v>
      </c>
      <c r="T38" s="16">
        <f>SUMPRODUCT(($R$35:$R$38=R38)*(Q38&lt;$Q$35:$Q$38))</f>
        <v>0</v>
      </c>
      <c r="U38" s="16">
        <f>S38+T38</f>
        <v>4</v>
      </c>
      <c r="V38" s="26">
        <f>RANK(U38,$U$35:$U$38,1)+COUNTIF($U$35:U38,U38)-1</f>
        <v>4</v>
      </c>
      <c r="W38" s="17">
        <f>R38*100+(O38-P38)*10+O38-ROW(K38)*0.01</f>
        <v>-0.38</v>
      </c>
      <c r="X38" s="15">
        <f>RANK(W38,$W$35:$W$38,0)</f>
        <v>4</v>
      </c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>
      <c r="X39" s="10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>
      <c r="K40" s="186" t="s">
        <v>12</v>
      </c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X40" s="10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>
      <c r="A41" s="9" t="s">
        <v>29</v>
      </c>
      <c r="B41" s="27" t="s">
        <v>30</v>
      </c>
      <c r="C41" s="27" t="s">
        <v>31</v>
      </c>
      <c r="D41" s="27" t="s">
        <v>32</v>
      </c>
      <c r="E41" s="27" t="s">
        <v>22</v>
      </c>
      <c r="F41" s="27" t="s">
        <v>33</v>
      </c>
      <c r="G41" s="27" t="s">
        <v>34</v>
      </c>
      <c r="H41" s="27" t="s">
        <v>35</v>
      </c>
      <c r="I41" s="27" t="s">
        <v>36</v>
      </c>
      <c r="K41" s="9" t="s">
        <v>30</v>
      </c>
      <c r="L41" s="9" t="s">
        <v>31</v>
      </c>
      <c r="M41" s="9" t="s">
        <v>32</v>
      </c>
      <c r="N41" s="9" t="s">
        <v>22</v>
      </c>
      <c r="O41" s="9" t="s">
        <v>33</v>
      </c>
      <c r="P41" s="9" t="s">
        <v>34</v>
      </c>
      <c r="Q41" s="9" t="s">
        <v>35</v>
      </c>
      <c r="R41" s="9" t="s">
        <v>36</v>
      </c>
      <c r="S41" s="9" t="s">
        <v>37</v>
      </c>
      <c r="T41" s="9" t="s">
        <v>38</v>
      </c>
      <c r="U41" s="9" t="s">
        <v>39</v>
      </c>
      <c r="V41" s="9" t="s">
        <v>40</v>
      </c>
      <c r="W41" s="12" t="s">
        <v>41</v>
      </c>
      <c r="X41" s="10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>
      <c r="A42" s="9">
        <v>1</v>
      </c>
      <c r="B42" s="26" t="str">
        <f>INDEX(K$42:K$46,MATCH($A42,$X$42:$X$46,0))</f>
        <v>Bélgica</v>
      </c>
      <c r="C42" s="26">
        <f t="shared" ref="C42:I42" si="10">INDEX(L$42:L$46,MATCH($A42,$X$42:$X$46,0))</f>
        <v>0</v>
      </c>
      <c r="D42" s="26">
        <f t="shared" si="10"/>
        <v>0</v>
      </c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26">
        <f t="shared" si="10"/>
        <v>0</v>
      </c>
      <c r="K42" s="16" t="str">
        <f>equipos!$G7</f>
        <v>Bélgica</v>
      </c>
      <c r="L42" s="16">
        <f>'tabla posiciones auxiliar'!N38</f>
        <v>0</v>
      </c>
      <c r="M42" s="16">
        <f>'tabla posiciones auxiliar'!P38</f>
        <v>0</v>
      </c>
      <c r="N42" s="16">
        <f>'tabla posiciones auxiliar'!O38</f>
        <v>0</v>
      </c>
      <c r="O42" s="16">
        <f>'tabla posiciones auxiliar'!Q38</f>
        <v>0</v>
      </c>
      <c r="P42" s="16">
        <f>'tabla posiciones auxiliar'!R38</f>
        <v>0</v>
      </c>
      <c r="Q42" s="16">
        <f>O42-P42</f>
        <v>0</v>
      </c>
      <c r="R42" s="16">
        <f>L42*3+M42</f>
        <v>0</v>
      </c>
      <c r="S42" s="16">
        <f>IF(SUM(L42:N42)=0,ROW()-41,RANK(R42,$R$42:$R$45))</f>
        <v>1</v>
      </c>
      <c r="T42" s="16">
        <f>SUMPRODUCT(($R$42:$R$45=R42)*(Q42&lt;$Q$42:$Q$45))</f>
        <v>0</v>
      </c>
      <c r="U42" s="16">
        <f>S42+T42</f>
        <v>1</v>
      </c>
      <c r="V42" s="26">
        <f>RANK(U42,$U$42:$U$45,1)+COUNTIF($U$42:U42,U42)-1</f>
        <v>1</v>
      </c>
      <c r="W42" s="17">
        <f>R42*100+(O42-P42)*10+O42-ROW(K42)*0.01</f>
        <v>-0.42</v>
      </c>
      <c r="X42" s="15">
        <f>RANK(W42,$W$42:$W$45,0)</f>
        <v>1</v>
      </c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9">
        <v>2</v>
      </c>
      <c r="B43" s="26" t="str">
        <f>INDEX(K$42:K$46,MATCH($A43,$X$42:$X$46,0))</f>
        <v>Canadá</v>
      </c>
      <c r="C43" s="26">
        <f t="shared" ref="C43:I45" si="11">INDEX(L$42:L$46,MATCH($A43,$X$42:$X$46,0))</f>
        <v>0</v>
      </c>
      <c r="D43" s="26">
        <f t="shared" si="11"/>
        <v>0</v>
      </c>
      <c r="E43" s="26">
        <f t="shared" si="11"/>
        <v>0</v>
      </c>
      <c r="F43" s="26">
        <f t="shared" si="11"/>
        <v>0</v>
      </c>
      <c r="G43" s="26">
        <f t="shared" si="11"/>
        <v>0</v>
      </c>
      <c r="H43" s="26">
        <f t="shared" si="11"/>
        <v>0</v>
      </c>
      <c r="I43" s="26">
        <f t="shared" si="11"/>
        <v>0</v>
      </c>
      <c r="K43" s="16" t="str">
        <f>equipos!$G8</f>
        <v>Canadá</v>
      </c>
      <c r="L43" s="16">
        <f>'tabla posiciones auxiliar'!N39</f>
        <v>0</v>
      </c>
      <c r="M43" s="16">
        <f>'tabla posiciones auxiliar'!P39</f>
        <v>0</v>
      </c>
      <c r="N43" s="16">
        <f>'tabla posiciones auxiliar'!O39</f>
        <v>0</v>
      </c>
      <c r="O43" s="16">
        <f>'tabla posiciones auxiliar'!Q39</f>
        <v>0</v>
      </c>
      <c r="P43" s="16">
        <f>'tabla posiciones auxiliar'!R39</f>
        <v>0</v>
      </c>
      <c r="Q43" s="16">
        <f>O43-P43</f>
        <v>0</v>
      </c>
      <c r="R43" s="16">
        <f>L43*3+M43</f>
        <v>0</v>
      </c>
      <c r="S43" s="16">
        <f>IF(SUM(L43:N43)=0,ROW()-41,RANK(R43,$R$42:$R$45))</f>
        <v>2</v>
      </c>
      <c r="T43" s="16">
        <f>SUMPRODUCT(($R$42:$R$45=R43)*(Q43&lt;$Q$42:$Q$45))</f>
        <v>0</v>
      </c>
      <c r="U43" s="16">
        <f>S43+T43</f>
        <v>2</v>
      </c>
      <c r="V43" s="26">
        <f>RANK(U43,$U$42:$U$45,1)+COUNTIF($U$42:U43,U43)-1</f>
        <v>2</v>
      </c>
      <c r="W43" s="17">
        <f>R43*100+(O43-P43)*10+O43-ROW(K43)*0.01</f>
        <v>-0.43</v>
      </c>
      <c r="X43" s="15">
        <f>RANK(W43,$W$42:$W$45,0)</f>
        <v>2</v>
      </c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>
      <c r="A44" s="9">
        <v>3</v>
      </c>
      <c r="B44" s="26" t="str">
        <f>INDEX(K$42:K$46,MATCH($A44,$X$42:$X$46,0))</f>
        <v>Marruecos</v>
      </c>
      <c r="C44" s="26">
        <f t="shared" si="11"/>
        <v>0</v>
      </c>
      <c r="D44" s="26">
        <f t="shared" si="11"/>
        <v>0</v>
      </c>
      <c r="E44" s="26">
        <f t="shared" si="11"/>
        <v>0</v>
      </c>
      <c r="F44" s="26">
        <f t="shared" si="11"/>
        <v>0</v>
      </c>
      <c r="G44" s="26">
        <f t="shared" si="11"/>
        <v>0</v>
      </c>
      <c r="H44" s="26">
        <f t="shared" si="11"/>
        <v>0</v>
      </c>
      <c r="I44" s="26">
        <f t="shared" si="11"/>
        <v>0</v>
      </c>
      <c r="K44" s="16" t="str">
        <f>equipos!$G9</f>
        <v>Marruecos</v>
      </c>
      <c r="L44" s="16">
        <f>'tabla posiciones auxiliar'!N40</f>
        <v>0</v>
      </c>
      <c r="M44" s="16">
        <f>'tabla posiciones auxiliar'!P40</f>
        <v>0</v>
      </c>
      <c r="N44" s="16">
        <f>'tabla posiciones auxiliar'!O40</f>
        <v>0</v>
      </c>
      <c r="O44" s="16">
        <f>'tabla posiciones auxiliar'!Q40</f>
        <v>0</v>
      </c>
      <c r="P44" s="16">
        <f>'tabla posiciones auxiliar'!R40</f>
        <v>0</v>
      </c>
      <c r="Q44" s="16">
        <f>O44-P44</f>
        <v>0</v>
      </c>
      <c r="R44" s="16">
        <f>L44*3+M44</f>
        <v>0</v>
      </c>
      <c r="S44" s="16">
        <f>IF(SUM(L44:N44)=0,ROW()-41,RANK(R44,$R$42:$R$45))</f>
        <v>3</v>
      </c>
      <c r="T44" s="16">
        <f>SUMPRODUCT(($R$42:$R$45=R44)*(Q44&lt;$Q$42:$Q$45))</f>
        <v>0</v>
      </c>
      <c r="U44" s="16">
        <f>S44+T44</f>
        <v>3</v>
      </c>
      <c r="V44" s="26">
        <f>RANK(U44,$U$42:$U$45,1)+COUNTIF($U$42:U44,U44)-1</f>
        <v>3</v>
      </c>
      <c r="W44" s="17">
        <f>R44*100+(O44-P44)*10+O44-ROW(K44)*0.01</f>
        <v>-0.44</v>
      </c>
      <c r="X44" s="15">
        <f>RANK(W44,$W$42:$W$45,0)</f>
        <v>3</v>
      </c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>
      <c r="A45" s="9">
        <v>4</v>
      </c>
      <c r="B45" s="26" t="str">
        <f>INDEX(K$42:K$46,MATCH($A45,$X$42:$X$46,0))</f>
        <v>Croacia</v>
      </c>
      <c r="C45" s="26">
        <f t="shared" si="11"/>
        <v>0</v>
      </c>
      <c r="D45" s="26">
        <f t="shared" si="11"/>
        <v>0</v>
      </c>
      <c r="E45" s="26">
        <f t="shared" si="11"/>
        <v>0</v>
      </c>
      <c r="F45" s="26">
        <f t="shared" si="11"/>
        <v>0</v>
      </c>
      <c r="G45" s="26">
        <f t="shared" si="11"/>
        <v>0</v>
      </c>
      <c r="H45" s="26">
        <f t="shared" si="11"/>
        <v>0</v>
      </c>
      <c r="I45" s="26">
        <f t="shared" si="11"/>
        <v>0</v>
      </c>
      <c r="K45" s="16" t="str">
        <f>equipos!$G10</f>
        <v>Croacia</v>
      </c>
      <c r="L45" s="16">
        <f>'tabla posiciones auxiliar'!N41</f>
        <v>0</v>
      </c>
      <c r="M45" s="16">
        <f>'tabla posiciones auxiliar'!P41</f>
        <v>0</v>
      </c>
      <c r="N45" s="16">
        <f>'tabla posiciones auxiliar'!O41</f>
        <v>0</v>
      </c>
      <c r="O45" s="16">
        <f>'tabla posiciones auxiliar'!Q41</f>
        <v>0</v>
      </c>
      <c r="P45" s="16">
        <f>'tabla posiciones auxiliar'!R41</f>
        <v>0</v>
      </c>
      <c r="Q45" s="16">
        <f>O45-P45</f>
        <v>0</v>
      </c>
      <c r="R45" s="16">
        <f>L45*3+M45</f>
        <v>0</v>
      </c>
      <c r="S45" s="16">
        <f>IF(SUM(L45:N45)=0,ROW()-41,RANK(R45,$R$42:$R$45))</f>
        <v>4</v>
      </c>
      <c r="T45" s="16">
        <f>SUMPRODUCT(($R$42:$R$45=R45)*(Q45&lt;$Q$42:$Q$45))</f>
        <v>0</v>
      </c>
      <c r="U45" s="16">
        <f>S45+T45</f>
        <v>4</v>
      </c>
      <c r="V45" s="26">
        <f>RANK(U45,$U$42:$U$45,1)+COUNTIF($U$42:U45,U45)-1</f>
        <v>4</v>
      </c>
      <c r="W45" s="17">
        <f>R45*100+(O45-P45)*10+O45-ROW(K45)*0.01</f>
        <v>-0.45</v>
      </c>
      <c r="X45" s="15">
        <f>RANK(W45,$W$42:$W$45,0)</f>
        <v>4</v>
      </c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>
      <c r="X46" s="10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>
      <c r="K47" s="186" t="s">
        <v>13</v>
      </c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X47" s="10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>
      <c r="A48" s="9" t="s">
        <v>29</v>
      </c>
      <c r="B48" s="27" t="s">
        <v>30</v>
      </c>
      <c r="C48" s="27" t="s">
        <v>31</v>
      </c>
      <c r="D48" s="27" t="s">
        <v>32</v>
      </c>
      <c r="E48" s="27" t="s">
        <v>22</v>
      </c>
      <c r="F48" s="27" t="s">
        <v>33</v>
      </c>
      <c r="G48" s="27" t="s">
        <v>34</v>
      </c>
      <c r="H48" s="27" t="s">
        <v>35</v>
      </c>
      <c r="I48" s="27" t="s">
        <v>36</v>
      </c>
      <c r="K48" s="9" t="s">
        <v>30</v>
      </c>
      <c r="L48" s="9" t="s">
        <v>31</v>
      </c>
      <c r="M48" s="9" t="s">
        <v>32</v>
      </c>
      <c r="N48" s="9" t="s">
        <v>22</v>
      </c>
      <c r="O48" s="9" t="s">
        <v>33</v>
      </c>
      <c r="P48" s="9" t="s">
        <v>34</v>
      </c>
      <c r="Q48" s="9" t="s">
        <v>35</v>
      </c>
      <c r="R48" s="9" t="s">
        <v>36</v>
      </c>
      <c r="S48" s="9" t="s">
        <v>37</v>
      </c>
      <c r="T48" s="9" t="s">
        <v>38</v>
      </c>
      <c r="U48" s="9" t="s">
        <v>39</v>
      </c>
      <c r="V48" s="9" t="s">
        <v>40</v>
      </c>
      <c r="W48" s="12" t="s">
        <v>41</v>
      </c>
      <c r="X48" s="10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>
      <c r="A49" s="9">
        <v>1</v>
      </c>
      <c r="B49" s="26" t="str">
        <f>INDEX(K$49:K$53,MATCH($A49,$X$49:$X$53,0))</f>
        <v>Brasil</v>
      </c>
      <c r="C49" s="26">
        <f t="shared" ref="C49:I49" si="12">INDEX(L$49:L$53,MATCH($A49,$X$49:$X$53,0))</f>
        <v>0</v>
      </c>
      <c r="D49" s="26">
        <f t="shared" si="12"/>
        <v>0</v>
      </c>
      <c r="E49" s="26">
        <f t="shared" si="12"/>
        <v>0</v>
      </c>
      <c r="F49" s="26">
        <f t="shared" si="12"/>
        <v>0</v>
      </c>
      <c r="G49" s="26">
        <f t="shared" si="12"/>
        <v>0</v>
      </c>
      <c r="H49" s="26">
        <f t="shared" si="12"/>
        <v>0</v>
      </c>
      <c r="I49" s="26">
        <f t="shared" si="12"/>
        <v>0</v>
      </c>
      <c r="K49" s="16" t="str">
        <f>equipos!$G12</f>
        <v>Brasil</v>
      </c>
      <c r="L49" s="16">
        <f>'tabla posiciones auxiliar'!N45</f>
        <v>0</v>
      </c>
      <c r="M49" s="16">
        <f>'tabla posiciones auxiliar'!P45</f>
        <v>0</v>
      </c>
      <c r="N49" s="16">
        <f>'tabla posiciones auxiliar'!O45</f>
        <v>0</v>
      </c>
      <c r="O49" s="16">
        <f>'tabla posiciones auxiliar'!Q45</f>
        <v>0</v>
      </c>
      <c r="P49" s="16">
        <f>'tabla posiciones auxiliar'!R45</f>
        <v>0</v>
      </c>
      <c r="Q49" s="16">
        <f>O49-P49</f>
        <v>0</v>
      </c>
      <c r="R49" s="16">
        <f>L49*3+M49</f>
        <v>0</v>
      </c>
      <c r="S49" s="16">
        <f>IF(SUM(L49:N49)=0,ROW()-48,RANK(R49,$R$49:$R$52))</f>
        <v>1</v>
      </c>
      <c r="T49" s="16">
        <f>SUMPRODUCT(($R$49:$R$52=R49)*(Q49&lt;$Q$49:$Q$52))</f>
        <v>0</v>
      </c>
      <c r="U49" s="16">
        <f>S49+T49</f>
        <v>1</v>
      </c>
      <c r="V49" s="26">
        <f>RANK(U49,$U$49:$U$52,1)+COUNTIF($U$49:U49,U49)-1</f>
        <v>1</v>
      </c>
      <c r="W49" s="17">
        <f>R49*100+(O49-P49)*10+O49-ROW(K49)*0.01</f>
        <v>-0.49</v>
      </c>
      <c r="X49" s="15">
        <f>RANK(W49,$W$49:$W$52,0)</f>
        <v>1</v>
      </c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>
      <c r="A50" s="9">
        <v>2</v>
      </c>
      <c r="B50" s="26" t="str">
        <f>INDEX(K$49:K$53,MATCH($A50,$X$49:$X$53,0))</f>
        <v>Serbia</v>
      </c>
      <c r="C50" s="26">
        <f t="shared" ref="C50:I52" si="13">INDEX(L$49:L$53,MATCH($A50,$X$49:$X$53,0))</f>
        <v>0</v>
      </c>
      <c r="D50" s="26">
        <f t="shared" si="13"/>
        <v>0</v>
      </c>
      <c r="E50" s="26">
        <f t="shared" si="13"/>
        <v>0</v>
      </c>
      <c r="F50" s="26">
        <f t="shared" si="13"/>
        <v>0</v>
      </c>
      <c r="G50" s="26">
        <f t="shared" si="13"/>
        <v>0</v>
      </c>
      <c r="H50" s="26">
        <f t="shared" si="13"/>
        <v>0</v>
      </c>
      <c r="I50" s="26">
        <f t="shared" si="13"/>
        <v>0</v>
      </c>
      <c r="K50" s="16" t="str">
        <f>equipos!$G13</f>
        <v>Serbia</v>
      </c>
      <c r="L50" s="16">
        <f>'tabla posiciones auxiliar'!N46</f>
        <v>0</v>
      </c>
      <c r="M50" s="16">
        <f>'tabla posiciones auxiliar'!P46</f>
        <v>0</v>
      </c>
      <c r="N50" s="16">
        <f>'tabla posiciones auxiliar'!O46</f>
        <v>0</v>
      </c>
      <c r="O50" s="16">
        <f>'tabla posiciones auxiliar'!Q46</f>
        <v>0</v>
      </c>
      <c r="P50" s="16">
        <f>'tabla posiciones auxiliar'!R46</f>
        <v>0</v>
      </c>
      <c r="Q50" s="16">
        <f>O50-P50</f>
        <v>0</v>
      </c>
      <c r="R50" s="16">
        <f>L50*3+M50</f>
        <v>0</v>
      </c>
      <c r="S50" s="16">
        <f>IF(SUM(L50:N50)=0,ROW()-48,RANK(R50,$R$49:$R$52))</f>
        <v>2</v>
      </c>
      <c r="T50" s="16">
        <f>SUMPRODUCT(($R$49:$R$52=R50)*(Q50&lt;$Q$49:$Q$52))</f>
        <v>0</v>
      </c>
      <c r="U50" s="16">
        <f>S50+T50</f>
        <v>2</v>
      </c>
      <c r="V50" s="26">
        <f>RANK(U50,$U$49:$U$52,1)+COUNTIF($U$49:U50,U50)-1</f>
        <v>2</v>
      </c>
      <c r="W50" s="17">
        <f>R50*100+(O50-P50)*10+O50-ROW(K50)*0.01</f>
        <v>-0.5</v>
      </c>
      <c r="X50" s="15">
        <f>RANK(W50,$W$49:$W$52,0)</f>
        <v>2</v>
      </c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>
      <c r="A51" s="9">
        <v>3</v>
      </c>
      <c r="B51" s="26" t="str">
        <f>INDEX(K$49:K$53,MATCH($A51,$X$49:$X$53,0))</f>
        <v>Suiza</v>
      </c>
      <c r="C51" s="26">
        <f t="shared" si="13"/>
        <v>0</v>
      </c>
      <c r="D51" s="26">
        <f t="shared" si="13"/>
        <v>0</v>
      </c>
      <c r="E51" s="26">
        <f t="shared" si="13"/>
        <v>0</v>
      </c>
      <c r="F51" s="26">
        <f t="shared" si="13"/>
        <v>0</v>
      </c>
      <c r="G51" s="26">
        <f t="shared" si="13"/>
        <v>0</v>
      </c>
      <c r="H51" s="26">
        <f t="shared" si="13"/>
        <v>0</v>
      </c>
      <c r="I51" s="26">
        <f t="shared" si="13"/>
        <v>0</v>
      </c>
      <c r="K51" s="16" t="str">
        <f>equipos!$G14</f>
        <v>Suiza</v>
      </c>
      <c r="L51" s="16">
        <f>'tabla posiciones auxiliar'!N47</f>
        <v>0</v>
      </c>
      <c r="M51" s="16">
        <f>'tabla posiciones auxiliar'!P47</f>
        <v>0</v>
      </c>
      <c r="N51" s="16">
        <f>'tabla posiciones auxiliar'!O47</f>
        <v>0</v>
      </c>
      <c r="O51" s="16">
        <f>'tabla posiciones auxiliar'!Q47</f>
        <v>0</v>
      </c>
      <c r="P51" s="16">
        <f>'tabla posiciones auxiliar'!R47</f>
        <v>0</v>
      </c>
      <c r="Q51" s="16">
        <f>O51-P51</f>
        <v>0</v>
      </c>
      <c r="R51" s="16">
        <f>L51*3+M51</f>
        <v>0</v>
      </c>
      <c r="S51" s="16">
        <f>IF(SUM(L51:N51)=0,ROW()-48,RANK(R51,$R$49:$R$52))</f>
        <v>3</v>
      </c>
      <c r="T51" s="16">
        <f>SUMPRODUCT(($R$49:$R$52=R51)*(Q51&lt;$Q$49:$Q$52))</f>
        <v>0</v>
      </c>
      <c r="U51" s="16">
        <f>S51+T51</f>
        <v>3</v>
      </c>
      <c r="V51" s="26">
        <f>RANK(U51,$U$49:$U$52,1)+COUNTIF($U$49:U51,U51)-1</f>
        <v>3</v>
      </c>
      <c r="W51" s="17">
        <f>R51*100+(O51-P51)*10+O51-ROW(K51)*0.01</f>
        <v>-0.51</v>
      </c>
      <c r="X51" s="15">
        <f>RANK(W51,$W$49:$W$52,0)</f>
        <v>3</v>
      </c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>
      <c r="A52" s="9">
        <v>4</v>
      </c>
      <c r="B52" s="26" t="str">
        <f>INDEX(K$49:K$53,MATCH($A52,$X$49:$X$53,0))</f>
        <v>Camerún</v>
      </c>
      <c r="C52" s="26">
        <f t="shared" si="13"/>
        <v>0</v>
      </c>
      <c r="D52" s="26">
        <f t="shared" si="13"/>
        <v>0</v>
      </c>
      <c r="E52" s="26">
        <f t="shared" si="13"/>
        <v>0</v>
      </c>
      <c r="F52" s="26">
        <f t="shared" si="13"/>
        <v>0</v>
      </c>
      <c r="G52" s="26">
        <f t="shared" si="13"/>
        <v>0</v>
      </c>
      <c r="H52" s="26">
        <f t="shared" si="13"/>
        <v>0</v>
      </c>
      <c r="I52" s="26">
        <f t="shared" si="13"/>
        <v>0</v>
      </c>
      <c r="K52" s="16" t="str">
        <f>equipos!$G15</f>
        <v>Camerún</v>
      </c>
      <c r="L52" s="16">
        <f>'tabla posiciones auxiliar'!N48</f>
        <v>0</v>
      </c>
      <c r="M52" s="16">
        <f>'tabla posiciones auxiliar'!P48</f>
        <v>0</v>
      </c>
      <c r="N52" s="16">
        <f>'tabla posiciones auxiliar'!O48</f>
        <v>0</v>
      </c>
      <c r="O52" s="16">
        <f>'tabla posiciones auxiliar'!Q48</f>
        <v>0</v>
      </c>
      <c r="P52" s="16">
        <f>'tabla posiciones auxiliar'!R48</f>
        <v>0</v>
      </c>
      <c r="Q52" s="16">
        <f>O52-P52</f>
        <v>0</v>
      </c>
      <c r="R52" s="16">
        <f>L52*3+M52</f>
        <v>0</v>
      </c>
      <c r="S52" s="16">
        <f>IF(SUM(L52:N52)=0,ROW()-48,RANK(R52,$R$49:$R$52))</f>
        <v>4</v>
      </c>
      <c r="T52" s="16">
        <f>SUMPRODUCT(($R$49:$R$52=R52)*(Q52&lt;$Q$49:$Q$52))</f>
        <v>0</v>
      </c>
      <c r="U52" s="16">
        <f>S52+T52</f>
        <v>4</v>
      </c>
      <c r="V52" s="26">
        <f>RANK(U52,$U$49:$U$52,1)+COUNTIF($U$49:U52,U52)-1</f>
        <v>4</v>
      </c>
      <c r="W52" s="17">
        <f>R52*100+(O52-P52)*10+O52-ROW(K52)*0.01</f>
        <v>-0.52</v>
      </c>
      <c r="X52" s="15">
        <f>RANK(W52,$W$49:$W$52,0)</f>
        <v>4</v>
      </c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>
      <c r="X53" s="10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>
      <c r="K54" s="186" t="s">
        <v>14</v>
      </c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X54" s="10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>
      <c r="A55" s="9" t="s">
        <v>29</v>
      </c>
      <c r="B55" s="27" t="s">
        <v>30</v>
      </c>
      <c r="C55" s="27" t="s">
        <v>31</v>
      </c>
      <c r="D55" s="27" t="s">
        <v>32</v>
      </c>
      <c r="E55" s="27" t="s">
        <v>22</v>
      </c>
      <c r="F55" s="27" t="s">
        <v>33</v>
      </c>
      <c r="G55" s="27" t="s">
        <v>34</v>
      </c>
      <c r="H55" s="27" t="s">
        <v>35</v>
      </c>
      <c r="I55" s="27" t="s">
        <v>36</v>
      </c>
      <c r="K55" s="9" t="s">
        <v>30</v>
      </c>
      <c r="L55" s="9" t="s">
        <v>31</v>
      </c>
      <c r="M55" s="9" t="s">
        <v>32</v>
      </c>
      <c r="N55" s="9" t="s">
        <v>22</v>
      </c>
      <c r="O55" s="9" t="s">
        <v>33</v>
      </c>
      <c r="P55" s="9" t="s">
        <v>34</v>
      </c>
      <c r="Q55" s="9" t="s">
        <v>35</v>
      </c>
      <c r="R55" s="9" t="s">
        <v>36</v>
      </c>
      <c r="S55" s="9" t="s">
        <v>37</v>
      </c>
      <c r="T55" s="9" t="s">
        <v>38</v>
      </c>
      <c r="U55" s="9" t="s">
        <v>39</v>
      </c>
      <c r="V55" s="9" t="s">
        <v>40</v>
      </c>
      <c r="W55" s="12" t="s">
        <v>41</v>
      </c>
      <c r="X55" s="10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>
      <c r="A56" s="9">
        <v>1</v>
      </c>
      <c r="B56" s="26" t="str">
        <f>INDEX(K$56:K$60,MATCH($A56,$X$56:$X$60,0))</f>
        <v>Portugal</v>
      </c>
      <c r="C56" s="26">
        <f t="shared" ref="C56:I56" si="14">INDEX(L$56:L$60,MATCH($A56,$X$56:$X$60,0))</f>
        <v>0</v>
      </c>
      <c r="D56" s="26">
        <f t="shared" si="14"/>
        <v>0</v>
      </c>
      <c r="E56" s="26">
        <f t="shared" si="14"/>
        <v>0</v>
      </c>
      <c r="F56" s="26">
        <f t="shared" si="14"/>
        <v>0</v>
      </c>
      <c r="G56" s="26">
        <f t="shared" si="14"/>
        <v>0</v>
      </c>
      <c r="H56" s="26">
        <f t="shared" si="14"/>
        <v>0</v>
      </c>
      <c r="I56" s="26">
        <f t="shared" si="14"/>
        <v>0</v>
      </c>
      <c r="K56" s="16" t="str">
        <f>equipos!$G17</f>
        <v>Portugal</v>
      </c>
      <c r="L56" s="16">
        <f>'tabla posiciones auxiliar'!N52</f>
        <v>0</v>
      </c>
      <c r="M56" s="16">
        <f>'tabla posiciones auxiliar'!P52</f>
        <v>0</v>
      </c>
      <c r="N56" s="16">
        <f>'tabla posiciones auxiliar'!O52</f>
        <v>0</v>
      </c>
      <c r="O56" s="16">
        <f>'tabla posiciones auxiliar'!Q52</f>
        <v>0</v>
      </c>
      <c r="P56" s="16">
        <f>'tabla posiciones auxiliar'!R52</f>
        <v>0</v>
      </c>
      <c r="Q56" s="16">
        <f>O56-P56</f>
        <v>0</v>
      </c>
      <c r="R56" s="16">
        <f>L56*3+M56</f>
        <v>0</v>
      </c>
      <c r="S56" s="16">
        <f>IF(SUM(L56:N56)=0,ROW()-55,RANK(R56,$R$56:$R$59))</f>
        <v>1</v>
      </c>
      <c r="T56" s="16">
        <f>SUMPRODUCT(($R$56:$R$59=R56)*(Q56&lt;$Q$56:$Q$59))</f>
        <v>0</v>
      </c>
      <c r="U56" s="16">
        <f>S56+T56</f>
        <v>1</v>
      </c>
      <c r="V56" s="26">
        <f>RANK(U56,$U$56:$U$59,1)+COUNTIF($U$56:U56,U56)-1</f>
        <v>1</v>
      </c>
      <c r="W56" s="17">
        <f>R56*100+(O56-P56)*10+O56-ROW(K56)*0.01</f>
        <v>-0.56000000000000005</v>
      </c>
      <c r="X56" s="15">
        <f>RANK(W56,$W$56:$W$59,0)</f>
        <v>1</v>
      </c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>
      <c r="A57" s="9">
        <v>2</v>
      </c>
      <c r="B57" s="26" t="str">
        <f>INDEX(K$56:K$60,MATCH($A57,$X$56:$X$60,0))</f>
        <v>Ghana</v>
      </c>
      <c r="C57" s="26">
        <f t="shared" ref="C57:I59" si="15">INDEX(L$56:L$60,MATCH($A57,$X$56:$X$60,0))</f>
        <v>0</v>
      </c>
      <c r="D57" s="26">
        <f t="shared" si="15"/>
        <v>0</v>
      </c>
      <c r="E57" s="26">
        <f t="shared" si="15"/>
        <v>0</v>
      </c>
      <c r="F57" s="26">
        <f t="shared" si="15"/>
        <v>0</v>
      </c>
      <c r="G57" s="26">
        <f t="shared" si="15"/>
        <v>0</v>
      </c>
      <c r="H57" s="26">
        <f t="shared" si="15"/>
        <v>0</v>
      </c>
      <c r="I57" s="26">
        <f t="shared" si="15"/>
        <v>0</v>
      </c>
      <c r="K57" s="16" t="str">
        <f>equipos!$G18</f>
        <v>Ghana</v>
      </c>
      <c r="L57" s="16">
        <f>'tabla posiciones auxiliar'!N53</f>
        <v>0</v>
      </c>
      <c r="M57" s="16">
        <f>'tabla posiciones auxiliar'!P53</f>
        <v>0</v>
      </c>
      <c r="N57" s="16">
        <f>'tabla posiciones auxiliar'!O53</f>
        <v>0</v>
      </c>
      <c r="O57" s="16">
        <f>'tabla posiciones auxiliar'!Q53</f>
        <v>0</v>
      </c>
      <c r="P57" s="16">
        <f>'tabla posiciones auxiliar'!R53</f>
        <v>0</v>
      </c>
      <c r="Q57" s="16">
        <f>O57-P57</f>
        <v>0</v>
      </c>
      <c r="R57" s="16">
        <f>L57*3+M57</f>
        <v>0</v>
      </c>
      <c r="S57" s="16">
        <f>IF(SUM(L57:N57)=0,ROW()-55,RANK(R57,$R$56:$R$59))</f>
        <v>2</v>
      </c>
      <c r="T57" s="16">
        <f>SUMPRODUCT(($R$56:$R$59=R57)*(Q57&lt;$Q$56:$Q$59))</f>
        <v>0</v>
      </c>
      <c r="U57" s="16">
        <f>S57+T57</f>
        <v>2</v>
      </c>
      <c r="V57" s="26">
        <f>RANK(U57,$U$56:$U$59,1)+COUNTIF($U$56:U57,U57)-1</f>
        <v>2</v>
      </c>
      <c r="W57" s="17">
        <f>R57*100+(O57-P57)*10+O57-ROW(K57)*0.01</f>
        <v>-0.57000000000000006</v>
      </c>
      <c r="X57" s="15">
        <f>RANK(W57,$W$56:$W$59,0)</f>
        <v>2</v>
      </c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>
      <c r="A58" s="9">
        <v>3</v>
      </c>
      <c r="B58" s="26" t="str">
        <f>INDEX(K$56:K$60,MATCH($A58,$X$56:$X$60,0))</f>
        <v>Uruguay</v>
      </c>
      <c r="C58" s="26">
        <f t="shared" si="15"/>
        <v>0</v>
      </c>
      <c r="D58" s="26">
        <f t="shared" si="15"/>
        <v>0</v>
      </c>
      <c r="E58" s="26">
        <f t="shared" si="15"/>
        <v>0</v>
      </c>
      <c r="F58" s="26">
        <f t="shared" si="15"/>
        <v>0</v>
      </c>
      <c r="G58" s="26">
        <f t="shared" si="15"/>
        <v>0</v>
      </c>
      <c r="H58" s="26">
        <f t="shared" si="15"/>
        <v>0</v>
      </c>
      <c r="I58" s="26">
        <f t="shared" si="15"/>
        <v>0</v>
      </c>
      <c r="K58" s="16" t="str">
        <f>equipos!$G19</f>
        <v>Uruguay</v>
      </c>
      <c r="L58" s="16">
        <f>'tabla posiciones auxiliar'!N54</f>
        <v>0</v>
      </c>
      <c r="M58" s="16">
        <f>'tabla posiciones auxiliar'!P54</f>
        <v>0</v>
      </c>
      <c r="N58" s="16">
        <f>'tabla posiciones auxiliar'!O54</f>
        <v>0</v>
      </c>
      <c r="O58" s="16">
        <f>'tabla posiciones auxiliar'!Q54</f>
        <v>0</v>
      </c>
      <c r="P58" s="16">
        <f>'tabla posiciones auxiliar'!R54</f>
        <v>0</v>
      </c>
      <c r="Q58" s="16">
        <f>O58-P58</f>
        <v>0</v>
      </c>
      <c r="R58" s="16">
        <f>L58*3+M58</f>
        <v>0</v>
      </c>
      <c r="S58" s="16">
        <f>IF(SUM(L58:N58)=0,ROW()-55,RANK(R58,$R$56:$R$59))</f>
        <v>3</v>
      </c>
      <c r="T58" s="16">
        <f>SUMPRODUCT(($R$56:$R$59=R58)*(Q58&lt;$Q$56:$Q$59))</f>
        <v>0</v>
      </c>
      <c r="U58" s="16">
        <f>S58+T58</f>
        <v>3</v>
      </c>
      <c r="V58" s="26">
        <f>RANK(U58,$U$56:$U$59,1)+COUNTIF($U$56:U58,U58)-1</f>
        <v>3</v>
      </c>
      <c r="W58" s="17">
        <f>R58*100+(O58-P58)*10+O58-ROW(K58)*0.01</f>
        <v>-0.57999999999999996</v>
      </c>
      <c r="X58" s="15">
        <f>RANK(W58,$W$56:$W$59,0)</f>
        <v>3</v>
      </c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>
      <c r="A59" s="9">
        <v>4</v>
      </c>
      <c r="B59" s="26" t="str">
        <f>INDEX(K$56:K$60,MATCH($A59,$X$56:$X$60,0))</f>
        <v>Corea del Sur</v>
      </c>
      <c r="C59" s="26">
        <f t="shared" si="15"/>
        <v>0</v>
      </c>
      <c r="D59" s="26">
        <f t="shared" si="15"/>
        <v>0</v>
      </c>
      <c r="E59" s="26">
        <f t="shared" si="15"/>
        <v>0</v>
      </c>
      <c r="F59" s="26">
        <f t="shared" si="15"/>
        <v>0</v>
      </c>
      <c r="G59" s="26">
        <f t="shared" si="15"/>
        <v>0</v>
      </c>
      <c r="H59" s="26">
        <f t="shared" si="15"/>
        <v>0</v>
      </c>
      <c r="I59" s="26">
        <f t="shared" si="15"/>
        <v>0</v>
      </c>
      <c r="K59" s="16" t="str">
        <f>equipos!$G20</f>
        <v>Corea del Sur</v>
      </c>
      <c r="L59" s="16">
        <f>'tabla posiciones auxiliar'!N55</f>
        <v>0</v>
      </c>
      <c r="M59" s="16">
        <f>'tabla posiciones auxiliar'!P55</f>
        <v>0</v>
      </c>
      <c r="N59" s="16">
        <f>'tabla posiciones auxiliar'!O55</f>
        <v>0</v>
      </c>
      <c r="O59" s="16">
        <f>'tabla posiciones auxiliar'!Q55</f>
        <v>0</v>
      </c>
      <c r="P59" s="16">
        <f>'tabla posiciones auxiliar'!R55</f>
        <v>0</v>
      </c>
      <c r="Q59" s="16">
        <f>O59-P59</f>
        <v>0</v>
      </c>
      <c r="R59" s="16">
        <f>L59*3+M59</f>
        <v>0</v>
      </c>
      <c r="S59" s="16">
        <f>IF(SUM(L59:N59)=0,ROW()-55,RANK(R59,$R$56:$R$59))</f>
        <v>4</v>
      </c>
      <c r="T59" s="16">
        <f>SUMPRODUCT(($R$56:$R$59=R59)*(Q59&lt;$Q$56:$Q$59))</f>
        <v>0</v>
      </c>
      <c r="U59" s="16">
        <f>S59+T59</f>
        <v>4</v>
      </c>
      <c r="V59" s="26">
        <f>RANK(U59,$U$56:$U$59,1)+COUNTIF($U$56:U59,U59)-1</f>
        <v>4</v>
      </c>
      <c r="W59" s="17">
        <f>R59*100+(O59-P59)*10+O59-ROW(K59)*0.01</f>
        <v>-0.59</v>
      </c>
      <c r="X59" s="15">
        <f>RANK(W59,$W$56:$W$59,0)</f>
        <v>4</v>
      </c>
      <c r="Y59" s="18"/>
      <c r="Z59" s="18"/>
      <c r="AA59" s="18"/>
      <c r="AB59" s="18"/>
      <c r="AC59" s="18"/>
      <c r="AD59" s="18"/>
      <c r="AE59" s="18"/>
      <c r="AF59" s="18"/>
      <c r="AG59" s="18"/>
    </row>
  </sheetData>
  <sheetProtection password="C654"/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/>
  <dimension ref="C2:L20"/>
  <sheetViews>
    <sheetView workbookViewId="0"/>
  </sheetViews>
  <sheetFormatPr baseColWidth="10" defaultRowHeight="13.2"/>
  <cols>
    <col min="1" max="1" width="17.33203125" customWidth="1"/>
    <col min="3" max="3" width="5.44140625" customWidth="1"/>
    <col min="6" max="6" width="5.109375" customWidth="1"/>
    <col min="9" max="9" width="15.44140625" customWidth="1"/>
    <col min="10" max="10" width="14.109375" customWidth="1"/>
    <col min="11" max="11" width="14.44140625" customWidth="1"/>
    <col min="12" max="12" width="9.88671875" customWidth="1"/>
  </cols>
  <sheetData>
    <row r="2" spans="3:12">
      <c r="C2" s="20" t="s">
        <v>43</v>
      </c>
      <c r="D2" s="20" t="s">
        <v>126</v>
      </c>
      <c r="F2" s="20" t="s">
        <v>44</v>
      </c>
      <c r="G2" s="20" t="s">
        <v>60</v>
      </c>
    </row>
    <row r="3" spans="3:12">
      <c r="C3" s="20" t="s">
        <v>45</v>
      </c>
      <c r="D3" t="s">
        <v>98</v>
      </c>
      <c r="F3" s="20" t="s">
        <v>47</v>
      </c>
      <c r="G3" t="s">
        <v>122</v>
      </c>
    </row>
    <row r="4" spans="3:12">
      <c r="C4" s="20" t="s">
        <v>49</v>
      </c>
      <c r="D4" t="s">
        <v>127</v>
      </c>
      <c r="F4" s="20" t="s">
        <v>51</v>
      </c>
      <c r="G4" t="s">
        <v>42</v>
      </c>
      <c r="I4" s="20"/>
      <c r="J4" s="20"/>
      <c r="K4" s="20"/>
      <c r="L4" s="20"/>
    </row>
    <row r="5" spans="3:12">
      <c r="C5" s="20" t="s">
        <v>52</v>
      </c>
      <c r="D5" t="s">
        <v>128</v>
      </c>
      <c r="F5" s="20" t="s">
        <v>54</v>
      </c>
      <c r="G5" t="s">
        <v>137</v>
      </c>
      <c r="I5" s="20"/>
      <c r="J5" s="20"/>
      <c r="K5" s="20"/>
      <c r="L5" s="20"/>
    </row>
    <row r="6" spans="3:12">
      <c r="C6" s="20"/>
      <c r="F6" s="20"/>
      <c r="I6" s="20"/>
      <c r="J6" s="20"/>
      <c r="K6" s="20"/>
      <c r="L6" s="20"/>
    </row>
    <row r="7" spans="3:12">
      <c r="C7" s="20" t="s">
        <v>58</v>
      </c>
      <c r="D7" s="20" t="s">
        <v>57</v>
      </c>
      <c r="F7" s="20" t="s">
        <v>59</v>
      </c>
      <c r="G7" s="20" t="s">
        <v>138</v>
      </c>
      <c r="I7" s="20"/>
      <c r="J7" s="20"/>
      <c r="K7" s="20"/>
      <c r="L7" s="20"/>
    </row>
    <row r="8" spans="3:12">
      <c r="C8" s="20" t="s">
        <v>62</v>
      </c>
      <c r="D8" t="s">
        <v>129</v>
      </c>
      <c r="F8" s="20" t="s">
        <v>63</v>
      </c>
      <c r="G8" t="s">
        <v>139</v>
      </c>
      <c r="I8" s="20"/>
      <c r="J8" s="20"/>
      <c r="K8" s="20"/>
      <c r="L8" s="20"/>
    </row>
    <row r="9" spans="3:12">
      <c r="C9" s="20" t="s">
        <v>65</v>
      </c>
      <c r="D9" t="s">
        <v>130</v>
      </c>
      <c r="F9" s="20" t="s">
        <v>66</v>
      </c>
      <c r="G9" s="21" t="s">
        <v>140</v>
      </c>
      <c r="I9" s="20"/>
      <c r="J9" s="20"/>
      <c r="K9" s="20"/>
      <c r="L9" s="20"/>
    </row>
    <row r="10" spans="3:12">
      <c r="C10" s="20" t="s">
        <v>67</v>
      </c>
      <c r="D10" t="s">
        <v>131</v>
      </c>
      <c r="F10" s="20" t="s">
        <v>68</v>
      </c>
      <c r="G10" t="s">
        <v>123</v>
      </c>
      <c r="I10" s="20"/>
      <c r="J10" s="20"/>
      <c r="K10" s="20"/>
      <c r="L10" s="20"/>
    </row>
    <row r="11" spans="3:12">
      <c r="C11" s="20"/>
      <c r="F11" s="20"/>
      <c r="I11" s="20"/>
      <c r="J11" s="20"/>
      <c r="K11" s="20"/>
      <c r="L11" s="20"/>
    </row>
    <row r="12" spans="3:12">
      <c r="C12" s="20" t="s">
        <v>70</v>
      </c>
      <c r="D12" s="20" t="s">
        <v>8</v>
      </c>
      <c r="F12" s="20" t="s">
        <v>71</v>
      </c>
      <c r="G12" s="20" t="s">
        <v>56</v>
      </c>
      <c r="I12" s="20"/>
      <c r="J12" s="20"/>
      <c r="K12" s="20"/>
      <c r="L12" s="20"/>
    </row>
    <row r="13" spans="3:12">
      <c r="C13" s="20" t="s">
        <v>73</v>
      </c>
      <c r="D13" t="s">
        <v>132</v>
      </c>
      <c r="F13" s="20" t="s">
        <v>74</v>
      </c>
      <c r="G13" s="21" t="s">
        <v>141</v>
      </c>
      <c r="L13" s="20"/>
    </row>
    <row r="14" spans="3:12">
      <c r="C14" s="20" t="s">
        <v>75</v>
      </c>
      <c r="D14" t="s">
        <v>133</v>
      </c>
      <c r="F14" s="20" t="s">
        <v>76</v>
      </c>
      <c r="G14" t="s">
        <v>72</v>
      </c>
    </row>
    <row r="15" spans="3:12">
      <c r="C15" s="20" t="s">
        <v>77</v>
      </c>
      <c r="D15" t="s">
        <v>134</v>
      </c>
      <c r="F15" s="20" t="s">
        <v>78</v>
      </c>
      <c r="G15" t="s">
        <v>142</v>
      </c>
    </row>
    <row r="16" spans="3:12">
      <c r="C16" s="20"/>
      <c r="F16" s="20"/>
    </row>
    <row r="17" spans="3:7">
      <c r="C17" s="20" t="s">
        <v>79</v>
      </c>
      <c r="D17" s="20" t="s">
        <v>53</v>
      </c>
      <c r="F17" s="20" t="s">
        <v>80</v>
      </c>
      <c r="G17" s="20" t="s">
        <v>61</v>
      </c>
    </row>
    <row r="18" spans="3:7">
      <c r="C18" s="20" t="s">
        <v>81</v>
      </c>
      <c r="D18" t="s">
        <v>55</v>
      </c>
      <c r="F18" s="20" t="s">
        <v>82</v>
      </c>
      <c r="G18" t="s">
        <v>64</v>
      </c>
    </row>
    <row r="19" spans="3:7">
      <c r="C19" s="20" t="s">
        <v>83</v>
      </c>
      <c r="D19" t="s">
        <v>135</v>
      </c>
      <c r="F19" s="20" t="s">
        <v>84</v>
      </c>
      <c r="G19" t="s">
        <v>50</v>
      </c>
    </row>
    <row r="20" spans="3:7">
      <c r="C20" s="20" t="s">
        <v>85</v>
      </c>
      <c r="D20" t="s">
        <v>136</v>
      </c>
      <c r="F20" s="20" t="s">
        <v>86</v>
      </c>
      <c r="G20" t="s">
        <v>9</v>
      </c>
    </row>
  </sheetData>
  <sheetProtection password="C65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/>
  <dimension ref="A1:R57"/>
  <sheetViews>
    <sheetView workbookViewId="0">
      <selection activeCell="A2" sqref="A2"/>
    </sheetView>
  </sheetViews>
  <sheetFormatPr baseColWidth="10" defaultRowHeight="13.2"/>
  <cols>
    <col min="4" max="4" width="18.6640625" customWidth="1"/>
    <col min="5" max="5" width="3.6640625" customWidth="1"/>
    <col min="6" max="6" width="14.5546875" customWidth="1"/>
    <col min="7" max="7" width="4" customWidth="1"/>
  </cols>
  <sheetData>
    <row r="1" spans="1:18">
      <c r="A1" s="188" t="s">
        <v>87</v>
      </c>
      <c r="B1" s="188"/>
      <c r="C1" s="188"/>
      <c r="D1" s="188"/>
      <c r="E1" s="188"/>
      <c r="F1" s="188"/>
      <c r="G1" s="188"/>
      <c r="H1" s="188"/>
      <c r="I1" s="188"/>
      <c r="J1" s="188"/>
    </row>
    <row r="2" spans="1:18">
      <c r="A2" s="22" t="s">
        <v>88</v>
      </c>
      <c r="B2" s="22" t="s">
        <v>89</v>
      </c>
      <c r="C2" s="22" t="s">
        <v>90</v>
      </c>
      <c r="D2" s="188" t="s">
        <v>1</v>
      </c>
      <c r="E2" s="188"/>
      <c r="F2" s="188"/>
      <c r="G2" s="188"/>
      <c r="H2" s="22" t="s">
        <v>90</v>
      </c>
      <c r="I2" s="22" t="s">
        <v>89</v>
      </c>
      <c r="J2" s="22" t="s">
        <v>88</v>
      </c>
      <c r="M2" s="28" t="s">
        <v>5</v>
      </c>
      <c r="N2" s="28" t="s">
        <v>107</v>
      </c>
      <c r="O2" s="28" t="s">
        <v>108</v>
      </c>
      <c r="P2" s="28" t="s">
        <v>109</v>
      </c>
      <c r="Q2" s="28" t="s">
        <v>33</v>
      </c>
      <c r="R2" s="28" t="s">
        <v>34</v>
      </c>
    </row>
    <row r="3" spans="1:18">
      <c r="A3" s="23">
        <f>IF(ISBLANK('GRUPO A'!$G17),0,IF(ISBLANK('GRUPO A'!$I17),0,1))</f>
        <v>0</v>
      </c>
      <c r="B3" s="23">
        <f>IF(E3&lt;G3,1,0)</f>
        <v>0</v>
      </c>
      <c r="C3" s="23">
        <f>IF(E3&gt;G3,1,0)</f>
        <v>0</v>
      </c>
      <c r="D3" s="23" t="str">
        <f>equipos!$D$2</f>
        <v>Qatar</v>
      </c>
      <c r="E3" s="23">
        <f>'GRUPO A'!G17</f>
        <v>0</v>
      </c>
      <c r="F3" s="23" t="str">
        <f>equipos!$D$3</f>
        <v>Ecuador</v>
      </c>
      <c r="G3" s="23">
        <f>'GRUPO A'!I17</f>
        <v>0</v>
      </c>
      <c r="H3" s="23">
        <f>IF(G3&gt;E3,1,0)</f>
        <v>0</v>
      </c>
      <c r="I3" s="23">
        <f>IF(G3&lt;E3,1,0)</f>
        <v>0</v>
      </c>
      <c r="J3" s="23">
        <f>IF(ISBLANK('GRUPO A'!$G17),0,IF(ISBLANK('GRUPO A'!$I17),0,1))</f>
        <v>0</v>
      </c>
      <c r="L3" s="23" t="str">
        <f>equipos!D2</f>
        <v>Qatar</v>
      </c>
      <c r="M3">
        <f>A3+A5+J7</f>
        <v>0</v>
      </c>
      <c r="N3">
        <f>C3+C5+H7</f>
        <v>0</v>
      </c>
      <c r="O3">
        <f>B3+B5+I7</f>
        <v>0</v>
      </c>
      <c r="P3">
        <f>M3-(N3+O3)</f>
        <v>0</v>
      </c>
      <c r="Q3">
        <f>E3+E5+G7</f>
        <v>0</v>
      </c>
      <c r="R3">
        <f>G3+G5+E7</f>
        <v>0</v>
      </c>
    </row>
    <row r="4" spans="1:18">
      <c r="A4" s="23">
        <f>IF(ISBLANK('GRUPO A'!$G18),0,IF(ISBLANK('GRUPO A'!$I18),0,1))</f>
        <v>0</v>
      </c>
      <c r="B4" s="23">
        <f t="shared" ref="B4:B57" si="0">IF(E4&lt;G4,1,0)</f>
        <v>0</v>
      </c>
      <c r="C4" s="23">
        <f t="shared" ref="C4:C57" si="1">IF(E4&gt;G4,1,0)</f>
        <v>0</v>
      </c>
      <c r="D4" s="23" t="str">
        <f>equipos!$D$4</f>
        <v>Senegal</v>
      </c>
      <c r="E4" s="23">
        <f>'GRUPO A'!G18</f>
        <v>0</v>
      </c>
      <c r="F4" s="23" t="str">
        <f>equipos!$D$5</f>
        <v>Países Bajos</v>
      </c>
      <c r="G4" s="23">
        <f>'GRUPO A'!I18</f>
        <v>0</v>
      </c>
      <c r="H4" s="23">
        <f t="shared" ref="H4:H57" si="2">IF(G4&gt;E4,1,0)</f>
        <v>0</v>
      </c>
      <c r="I4" s="23">
        <f t="shared" ref="I4:I57" si="3">IF(G4&lt;E4,1,0)</f>
        <v>0</v>
      </c>
      <c r="J4" s="23">
        <f>IF(ISBLANK('GRUPO A'!$G18),0,IF(ISBLANK('GRUPO A'!$I18),0,1))</f>
        <v>0</v>
      </c>
      <c r="L4" s="23" t="str">
        <f>equipos!D3</f>
        <v>Ecuador</v>
      </c>
      <c r="M4">
        <f>J3+J6+A8</f>
        <v>0</v>
      </c>
      <c r="N4">
        <f>H3+H6+C8</f>
        <v>0</v>
      </c>
      <c r="O4">
        <f>I3+I6+B8</f>
        <v>0</v>
      </c>
      <c r="P4">
        <f t="shared" ref="P4:P6" si="4">M4-(N4+O4)</f>
        <v>0</v>
      </c>
      <c r="Q4">
        <f>G3+G6+E8</f>
        <v>0</v>
      </c>
      <c r="R4">
        <f>E3+E6+G8</f>
        <v>0</v>
      </c>
    </row>
    <row r="5" spans="1:18">
      <c r="A5" s="23">
        <f>IF(ISBLANK('GRUPO A'!$G19),0,IF(ISBLANK('GRUPO A'!$I19),0,1))</f>
        <v>0</v>
      </c>
      <c r="B5" s="23">
        <f t="shared" si="0"/>
        <v>0</v>
      </c>
      <c r="C5" s="23">
        <f t="shared" si="1"/>
        <v>0</v>
      </c>
      <c r="D5" s="23" t="str">
        <f>equipos!$D$2</f>
        <v>Qatar</v>
      </c>
      <c r="E5" s="23">
        <f>'GRUPO A'!G19</f>
        <v>0</v>
      </c>
      <c r="F5" s="23" t="str">
        <f>equipos!$D$4</f>
        <v>Senegal</v>
      </c>
      <c r="G5" s="23">
        <f>'GRUPO A'!I19</f>
        <v>0</v>
      </c>
      <c r="H5" s="23">
        <f t="shared" si="2"/>
        <v>0</v>
      </c>
      <c r="I5" s="23">
        <f t="shared" si="3"/>
        <v>0</v>
      </c>
      <c r="J5" s="23">
        <f>IF(ISBLANK('GRUPO A'!$G19),0,IF(ISBLANK('GRUPO A'!$I19),0,1))</f>
        <v>0</v>
      </c>
      <c r="L5" s="23" t="str">
        <f>equipos!D4</f>
        <v>Senegal</v>
      </c>
      <c r="M5">
        <f>A4+J5+J8</f>
        <v>0</v>
      </c>
      <c r="N5">
        <f>C4+H5+H8</f>
        <v>0</v>
      </c>
      <c r="O5">
        <f>B4+I5+I8</f>
        <v>0</v>
      </c>
      <c r="P5">
        <f t="shared" si="4"/>
        <v>0</v>
      </c>
      <c r="Q5">
        <f>E4+G5+G8</f>
        <v>0</v>
      </c>
      <c r="R5">
        <f>G4+E5+E8</f>
        <v>0</v>
      </c>
    </row>
    <row r="6" spans="1:18">
      <c r="A6" s="23">
        <f>IF(ISBLANK('GRUPO A'!$G20),0,IF(ISBLANK('GRUPO A'!$I20),0,1))</f>
        <v>0</v>
      </c>
      <c r="B6" s="23">
        <f t="shared" si="0"/>
        <v>0</v>
      </c>
      <c r="C6" s="23">
        <f t="shared" si="1"/>
        <v>0</v>
      </c>
      <c r="D6" s="23" t="str">
        <f>equipos!$D$5</f>
        <v>Países Bajos</v>
      </c>
      <c r="E6" s="23">
        <f>'GRUPO A'!G20</f>
        <v>0</v>
      </c>
      <c r="F6" s="23" t="str">
        <f>equipos!$D$3</f>
        <v>Ecuador</v>
      </c>
      <c r="G6" s="23">
        <f>'GRUPO A'!I20</f>
        <v>0</v>
      </c>
      <c r="H6" s="23">
        <f t="shared" si="2"/>
        <v>0</v>
      </c>
      <c r="I6" s="23">
        <f t="shared" si="3"/>
        <v>0</v>
      </c>
      <c r="J6" s="23">
        <f>IF(ISBLANK('GRUPO A'!$G20),0,IF(ISBLANK('GRUPO A'!$I20),0,1))</f>
        <v>0</v>
      </c>
      <c r="L6" s="23" t="str">
        <f>equipos!D5</f>
        <v>Países Bajos</v>
      </c>
      <c r="M6">
        <f>J4+A6+A7</f>
        <v>0</v>
      </c>
      <c r="N6">
        <f>H4+C6+C7</f>
        <v>0</v>
      </c>
      <c r="O6">
        <f>I4+B6+B7</f>
        <v>0</v>
      </c>
      <c r="P6">
        <f t="shared" si="4"/>
        <v>0</v>
      </c>
      <c r="Q6">
        <f>G4+E6+E7</f>
        <v>0</v>
      </c>
      <c r="R6">
        <f>E4+G6+G7</f>
        <v>0</v>
      </c>
    </row>
    <row r="7" spans="1:18">
      <c r="A7" s="23">
        <f>IF(ISBLANK('GRUPO A'!$G21),0,IF(ISBLANK('GRUPO A'!$I21),0,1))</f>
        <v>0</v>
      </c>
      <c r="B7" s="23">
        <f t="shared" si="0"/>
        <v>0</v>
      </c>
      <c r="C7" s="23">
        <f t="shared" si="1"/>
        <v>0</v>
      </c>
      <c r="D7" s="23" t="str">
        <f>equipos!$D$5</f>
        <v>Países Bajos</v>
      </c>
      <c r="E7" s="23">
        <f>'GRUPO A'!G21</f>
        <v>0</v>
      </c>
      <c r="F7" s="23" t="str">
        <f>equipos!$D$2</f>
        <v>Qatar</v>
      </c>
      <c r="G7" s="23">
        <f>'GRUPO A'!I21</f>
        <v>0</v>
      </c>
      <c r="H7" s="23">
        <f t="shared" si="2"/>
        <v>0</v>
      </c>
      <c r="I7" s="23">
        <f t="shared" si="3"/>
        <v>0</v>
      </c>
      <c r="J7" s="23">
        <f>IF(ISBLANK('GRUPO A'!$G21),0,IF(ISBLANK('GRUPO A'!$I21),0,1))</f>
        <v>0</v>
      </c>
    </row>
    <row r="8" spans="1:18">
      <c r="A8" s="23">
        <f>IF(ISBLANK('GRUPO A'!$G22),0,IF(ISBLANK('GRUPO A'!$I22),0,1))</f>
        <v>0</v>
      </c>
      <c r="B8" s="23">
        <f t="shared" si="0"/>
        <v>0</v>
      </c>
      <c r="C8" s="23">
        <f t="shared" si="1"/>
        <v>0</v>
      </c>
      <c r="D8" s="23" t="str">
        <f>equipos!$D$3</f>
        <v>Ecuador</v>
      </c>
      <c r="E8" s="23">
        <f>'GRUPO A'!G22</f>
        <v>0</v>
      </c>
      <c r="F8" s="23" t="str">
        <f>equipos!$D$4</f>
        <v>Senegal</v>
      </c>
      <c r="G8" s="23">
        <f>'GRUPO A'!I22</f>
        <v>0</v>
      </c>
      <c r="H8" s="23">
        <f t="shared" si="2"/>
        <v>0</v>
      </c>
      <c r="I8" s="23">
        <f t="shared" si="3"/>
        <v>0</v>
      </c>
      <c r="J8" s="23">
        <f>IF(ISBLANK('GRUPO A'!$G22),0,IF(ISBLANK('GRUPO A'!$I22),0,1))</f>
        <v>0</v>
      </c>
    </row>
    <row r="9" spans="1:18">
      <c r="A9" s="23"/>
      <c r="B9" s="23"/>
      <c r="C9" s="23"/>
      <c r="D9" s="188" t="s">
        <v>7</v>
      </c>
      <c r="E9" s="188"/>
      <c r="F9" s="188"/>
      <c r="G9" s="188"/>
      <c r="H9" s="23"/>
      <c r="I9" s="23"/>
      <c r="J9" s="23"/>
      <c r="M9" s="28" t="s">
        <v>5</v>
      </c>
      <c r="N9" s="28" t="s">
        <v>107</v>
      </c>
      <c r="O9" s="28" t="s">
        <v>108</v>
      </c>
      <c r="P9" s="28" t="s">
        <v>109</v>
      </c>
      <c r="Q9" s="28" t="s">
        <v>33</v>
      </c>
      <c r="R9" s="28" t="s">
        <v>34</v>
      </c>
    </row>
    <row r="10" spans="1:18">
      <c r="A10" s="23">
        <f>IF(ISBLANK('GRUPO B'!$G17),0,IF(ISBLANK('GRUPO B'!$I17),0,1))</f>
        <v>0</v>
      </c>
      <c r="B10" s="23">
        <f t="shared" si="0"/>
        <v>0</v>
      </c>
      <c r="C10" s="23">
        <f t="shared" si="1"/>
        <v>0</v>
      </c>
      <c r="D10" s="23" t="str">
        <f>equipos!$D$7</f>
        <v>Inglaterra</v>
      </c>
      <c r="E10" s="23">
        <f>'GRUPO B'!G17</f>
        <v>0</v>
      </c>
      <c r="F10" s="23" t="str">
        <f>equipos!$D$8</f>
        <v>Irán</v>
      </c>
      <c r="G10" s="23">
        <f>'GRUPO B'!I17</f>
        <v>0</v>
      </c>
      <c r="H10" s="23">
        <f t="shared" si="2"/>
        <v>0</v>
      </c>
      <c r="I10" s="23">
        <f t="shared" si="3"/>
        <v>0</v>
      </c>
      <c r="J10" s="23">
        <f>IF(ISBLANK('GRUPO B'!$G17),0,IF(ISBLANK('GRUPO B'!$I17),0,1))</f>
        <v>0</v>
      </c>
      <c r="L10" t="str">
        <f>equipos!D7</f>
        <v>Inglaterra</v>
      </c>
      <c r="M10">
        <f>A10+A12+J14</f>
        <v>0</v>
      </c>
      <c r="N10">
        <f>C10+C12+H14</f>
        <v>0</v>
      </c>
      <c r="O10">
        <f>B10+B12+I14</f>
        <v>0</v>
      </c>
      <c r="P10">
        <f>M10-(N10+O10)</f>
        <v>0</v>
      </c>
      <c r="Q10">
        <f>E10+E12+G14</f>
        <v>0</v>
      </c>
      <c r="R10">
        <f>G10+G12+E14</f>
        <v>0</v>
      </c>
    </row>
    <row r="11" spans="1:18">
      <c r="A11" s="23">
        <f>IF(ISBLANK('GRUPO B'!$G18),0,IF(ISBLANK('GRUPO B'!$I18),0,1))</f>
        <v>0</v>
      </c>
      <c r="B11" s="23">
        <f t="shared" si="0"/>
        <v>0</v>
      </c>
      <c r="C11" s="23">
        <f t="shared" si="1"/>
        <v>0</v>
      </c>
      <c r="D11" s="23" t="str">
        <f>equipos!$D$9</f>
        <v>Estados Unidos</v>
      </c>
      <c r="E11" s="23">
        <f>'GRUPO B'!G18</f>
        <v>0</v>
      </c>
      <c r="F11" s="23" t="str">
        <f>equipos!$D$10</f>
        <v>Gales</v>
      </c>
      <c r="G11" s="23">
        <f>'GRUPO B'!I18</f>
        <v>0</v>
      </c>
      <c r="H11" s="23">
        <f t="shared" si="2"/>
        <v>0</v>
      </c>
      <c r="I11" s="23">
        <f t="shared" si="3"/>
        <v>0</v>
      </c>
      <c r="J11" s="23">
        <f>IF(ISBLANK('GRUPO B'!$G18),0,IF(ISBLANK('GRUPO B'!$I18),0,1))</f>
        <v>0</v>
      </c>
      <c r="L11" t="str">
        <f>equipos!D8</f>
        <v>Irán</v>
      </c>
      <c r="M11">
        <f>J10+J13+A15</f>
        <v>0</v>
      </c>
      <c r="N11">
        <f>H10+H13+C15</f>
        <v>0</v>
      </c>
      <c r="O11">
        <f>I10+I13+B15</f>
        <v>0</v>
      </c>
      <c r="P11">
        <f t="shared" ref="P11:P13" si="5">M11-(N11+O11)</f>
        <v>0</v>
      </c>
      <c r="Q11">
        <f>G10+G13+E15</f>
        <v>0</v>
      </c>
      <c r="R11">
        <f>E10+E13+G15</f>
        <v>0</v>
      </c>
    </row>
    <row r="12" spans="1:18">
      <c r="A12" s="23">
        <f>IF(ISBLANK('GRUPO B'!$G19),0,IF(ISBLANK('GRUPO B'!$I19),0,1))</f>
        <v>0</v>
      </c>
      <c r="B12" s="23">
        <f t="shared" si="0"/>
        <v>0</v>
      </c>
      <c r="C12" s="23">
        <f t="shared" si="1"/>
        <v>0</v>
      </c>
      <c r="D12" s="23" t="str">
        <f>equipos!$D$7</f>
        <v>Inglaterra</v>
      </c>
      <c r="E12" s="23">
        <f>'GRUPO B'!G19</f>
        <v>0</v>
      </c>
      <c r="F12" s="23" t="str">
        <f>equipos!$D$9</f>
        <v>Estados Unidos</v>
      </c>
      <c r="G12" s="23">
        <f>'GRUPO B'!I19</f>
        <v>0</v>
      </c>
      <c r="H12" s="23">
        <f t="shared" si="2"/>
        <v>0</v>
      </c>
      <c r="I12" s="23">
        <f t="shared" si="3"/>
        <v>0</v>
      </c>
      <c r="J12" s="23">
        <f>IF(ISBLANK('GRUPO B'!$G19),0,IF(ISBLANK('GRUPO B'!$I19),0,1))</f>
        <v>0</v>
      </c>
      <c r="L12" t="str">
        <f>equipos!D9</f>
        <v>Estados Unidos</v>
      </c>
      <c r="M12">
        <f>A11+J12+J15</f>
        <v>0</v>
      </c>
      <c r="N12">
        <f>C11+H12+H15</f>
        <v>0</v>
      </c>
      <c r="O12">
        <f>B11+I12+I15</f>
        <v>0</v>
      </c>
      <c r="P12">
        <f t="shared" si="5"/>
        <v>0</v>
      </c>
      <c r="Q12">
        <f>E11+G12+G15</f>
        <v>0</v>
      </c>
      <c r="R12">
        <f>G11+E12+E15</f>
        <v>0</v>
      </c>
    </row>
    <row r="13" spans="1:18">
      <c r="A13" s="23">
        <f>IF(ISBLANK('GRUPO B'!$G20),0,IF(ISBLANK('GRUPO B'!$I20),0,1))</f>
        <v>0</v>
      </c>
      <c r="B13" s="23">
        <f t="shared" si="0"/>
        <v>0</v>
      </c>
      <c r="C13" s="23">
        <f t="shared" si="1"/>
        <v>0</v>
      </c>
      <c r="D13" s="23" t="str">
        <f>equipos!$D$10</f>
        <v>Gales</v>
      </c>
      <c r="E13" s="23">
        <f>'GRUPO B'!G20</f>
        <v>0</v>
      </c>
      <c r="F13" s="23" t="str">
        <f>equipos!$D$8</f>
        <v>Irán</v>
      </c>
      <c r="G13" s="23">
        <f>'GRUPO B'!I20</f>
        <v>0</v>
      </c>
      <c r="H13" s="23">
        <f t="shared" si="2"/>
        <v>0</v>
      </c>
      <c r="I13" s="23">
        <f t="shared" si="3"/>
        <v>0</v>
      </c>
      <c r="J13" s="23">
        <f>IF(ISBLANK('GRUPO B'!$G20),0,IF(ISBLANK('GRUPO B'!$I20),0,1))</f>
        <v>0</v>
      </c>
      <c r="L13" t="str">
        <f>equipos!D10</f>
        <v>Gales</v>
      </c>
      <c r="M13">
        <f>J11+A13+A14</f>
        <v>0</v>
      </c>
      <c r="N13">
        <f>H11+C13+C14</f>
        <v>0</v>
      </c>
      <c r="O13">
        <f>I11+B13+B14</f>
        <v>0</v>
      </c>
      <c r="P13">
        <f t="shared" si="5"/>
        <v>0</v>
      </c>
      <c r="Q13">
        <f>G11+E13+E14</f>
        <v>0</v>
      </c>
      <c r="R13">
        <f>E11+G13+G14</f>
        <v>0</v>
      </c>
    </row>
    <row r="14" spans="1:18">
      <c r="A14" s="23">
        <f>IF(ISBLANK('GRUPO B'!$G21),0,IF(ISBLANK('GRUPO B'!$I21),0,1))</f>
        <v>0</v>
      </c>
      <c r="B14" s="23">
        <f t="shared" si="0"/>
        <v>0</v>
      </c>
      <c r="C14" s="23">
        <f t="shared" si="1"/>
        <v>0</v>
      </c>
      <c r="D14" s="23" t="str">
        <f>equipos!$D$10</f>
        <v>Gales</v>
      </c>
      <c r="E14" s="23">
        <f>'GRUPO B'!G21</f>
        <v>0</v>
      </c>
      <c r="F14" s="23" t="str">
        <f>equipos!$D$7</f>
        <v>Inglaterra</v>
      </c>
      <c r="G14" s="23">
        <f>'GRUPO B'!I21</f>
        <v>0</v>
      </c>
      <c r="H14" s="23">
        <f t="shared" si="2"/>
        <v>0</v>
      </c>
      <c r="I14" s="23">
        <f t="shared" si="3"/>
        <v>0</v>
      </c>
      <c r="J14" s="23">
        <f>IF(ISBLANK('GRUPO B'!$G21),0,IF(ISBLANK('GRUPO B'!$I21),0,1))</f>
        <v>0</v>
      </c>
    </row>
    <row r="15" spans="1:18">
      <c r="A15" s="23">
        <f>IF(ISBLANK('GRUPO B'!$G22),0,IF(ISBLANK('GRUPO B'!$I22),0,1))</f>
        <v>0</v>
      </c>
      <c r="B15" s="23">
        <f t="shared" si="0"/>
        <v>0</v>
      </c>
      <c r="C15" s="23">
        <f t="shared" si="1"/>
        <v>0</v>
      </c>
      <c r="D15" s="23" t="str">
        <f>equipos!$D$8</f>
        <v>Irán</v>
      </c>
      <c r="E15" s="23">
        <f>'GRUPO B'!G22</f>
        <v>0</v>
      </c>
      <c r="F15" s="23" t="str">
        <f>equipos!$D$9</f>
        <v>Estados Unidos</v>
      </c>
      <c r="G15" s="23">
        <f>'GRUPO B'!I22</f>
        <v>0</v>
      </c>
      <c r="H15" s="23">
        <f t="shared" si="2"/>
        <v>0</v>
      </c>
      <c r="I15" s="23">
        <f t="shared" si="3"/>
        <v>0</v>
      </c>
      <c r="J15" s="23">
        <f>IF(ISBLANK('GRUPO B'!$G22),0,IF(ISBLANK('GRUPO B'!$I22),0,1))</f>
        <v>0</v>
      </c>
    </row>
    <row r="16" spans="1:18">
      <c r="A16" s="23"/>
      <c r="B16" s="23"/>
      <c r="C16" s="23"/>
      <c r="D16" s="188" t="s">
        <v>15</v>
      </c>
      <c r="E16" s="188"/>
      <c r="F16" s="188"/>
      <c r="G16" s="188"/>
      <c r="H16" s="23"/>
      <c r="I16" s="23"/>
      <c r="J16" s="23"/>
      <c r="M16" s="28" t="s">
        <v>5</v>
      </c>
      <c r="N16" s="28" t="s">
        <v>107</v>
      </c>
      <c r="O16" s="28" t="s">
        <v>108</v>
      </c>
      <c r="P16" s="28" t="s">
        <v>109</v>
      </c>
      <c r="Q16" s="28" t="s">
        <v>33</v>
      </c>
      <c r="R16" s="28" t="s">
        <v>34</v>
      </c>
    </row>
    <row r="17" spans="1:18">
      <c r="A17" s="23">
        <f>IF(ISBLANK('GRUPO C'!$G17),0,IF(ISBLANK('GRUPO C'!$I17),0,1))</f>
        <v>0</v>
      </c>
      <c r="B17" s="23">
        <f t="shared" si="0"/>
        <v>0</v>
      </c>
      <c r="C17" s="23">
        <f t="shared" si="1"/>
        <v>0</v>
      </c>
      <c r="D17" s="23" t="str">
        <f>equipos!$D$12</f>
        <v>Argentina</v>
      </c>
      <c r="E17" s="23">
        <f>'GRUPO C'!G17</f>
        <v>0</v>
      </c>
      <c r="F17" s="23" t="str">
        <f>equipos!$D$13</f>
        <v>Arabia Saudí</v>
      </c>
      <c r="G17" s="23">
        <f>'GRUPO C'!I17</f>
        <v>0</v>
      </c>
      <c r="H17" s="23">
        <f t="shared" si="2"/>
        <v>0</v>
      </c>
      <c r="I17" s="23">
        <f t="shared" si="3"/>
        <v>0</v>
      </c>
      <c r="J17" s="23">
        <f>IF(ISBLANK('GRUPO C'!$G17),0,IF(ISBLANK('GRUPO C'!$I17),0,1))</f>
        <v>0</v>
      </c>
      <c r="L17" s="23" t="str">
        <f>equipos!D12</f>
        <v>Argentina</v>
      </c>
      <c r="M17">
        <f>A17+A19+J21</f>
        <v>0</v>
      </c>
      <c r="N17">
        <f>C17+C19+H21</f>
        <v>0</v>
      </c>
      <c r="O17">
        <f>B17+B19+I21</f>
        <v>0</v>
      </c>
      <c r="P17">
        <f>M17-(N17+O17)</f>
        <v>0</v>
      </c>
      <c r="Q17">
        <f>E17+E19+G21</f>
        <v>0</v>
      </c>
      <c r="R17">
        <f>G17+G19+E21</f>
        <v>0</v>
      </c>
    </row>
    <row r="18" spans="1:18">
      <c r="A18" s="23">
        <f>IF(ISBLANK('GRUPO C'!$G18),0,IF(ISBLANK('GRUPO C'!$I18),0,1))</f>
        <v>0</v>
      </c>
      <c r="B18" s="23">
        <f t="shared" si="0"/>
        <v>0</v>
      </c>
      <c r="C18" s="23">
        <f t="shared" si="1"/>
        <v>0</v>
      </c>
      <c r="D18" s="23" t="str">
        <f>equipos!$D$14</f>
        <v>México</v>
      </c>
      <c r="E18" s="23">
        <f>'GRUPO C'!G18</f>
        <v>0</v>
      </c>
      <c r="F18" s="23" t="str">
        <f>equipos!$D$15</f>
        <v>Polonia</v>
      </c>
      <c r="G18" s="23">
        <f>'GRUPO C'!I18</f>
        <v>0</v>
      </c>
      <c r="H18" s="23">
        <f t="shared" si="2"/>
        <v>0</v>
      </c>
      <c r="I18" s="23">
        <f t="shared" si="3"/>
        <v>0</v>
      </c>
      <c r="J18" s="23">
        <f>IF(ISBLANK('GRUPO C'!$G18),0,IF(ISBLANK('GRUPO C'!$I18),0,1))</f>
        <v>0</v>
      </c>
      <c r="L18" s="23" t="str">
        <f>equipos!D13</f>
        <v>Arabia Saudí</v>
      </c>
      <c r="M18">
        <f>J17+J20+A22</f>
        <v>0</v>
      </c>
      <c r="N18">
        <f>H17+H20+C22</f>
        <v>0</v>
      </c>
      <c r="O18">
        <f>I17+I20+B22</f>
        <v>0</v>
      </c>
      <c r="P18">
        <f t="shared" ref="P18:P20" si="6">M18-(N18+O18)</f>
        <v>0</v>
      </c>
      <c r="Q18">
        <f>G17+G20+E22</f>
        <v>0</v>
      </c>
      <c r="R18">
        <f>E17+E20+G22</f>
        <v>0</v>
      </c>
    </row>
    <row r="19" spans="1:18">
      <c r="A19" s="23">
        <f>IF(ISBLANK('GRUPO C'!$G19),0,IF(ISBLANK('GRUPO C'!$I19),0,1))</f>
        <v>0</v>
      </c>
      <c r="B19" s="23">
        <f t="shared" si="0"/>
        <v>0</v>
      </c>
      <c r="C19" s="23">
        <f t="shared" si="1"/>
        <v>0</v>
      </c>
      <c r="D19" s="23" t="str">
        <f>equipos!$D$12</f>
        <v>Argentina</v>
      </c>
      <c r="E19" s="23">
        <f>'GRUPO C'!G19</f>
        <v>0</v>
      </c>
      <c r="F19" s="23" t="str">
        <f>equipos!$D$14</f>
        <v>México</v>
      </c>
      <c r="G19" s="23">
        <f>'GRUPO C'!I19</f>
        <v>0</v>
      </c>
      <c r="H19" s="23">
        <f t="shared" si="2"/>
        <v>0</v>
      </c>
      <c r="I19" s="23">
        <f t="shared" si="3"/>
        <v>0</v>
      </c>
      <c r="J19" s="23">
        <f>IF(ISBLANK('GRUPO C'!$G19),0,IF(ISBLANK('GRUPO C'!$I19),0,1))</f>
        <v>0</v>
      </c>
      <c r="L19" s="23" t="str">
        <f>equipos!D14</f>
        <v>México</v>
      </c>
      <c r="M19">
        <f>A18+J19+J22</f>
        <v>0</v>
      </c>
      <c r="N19">
        <f>C18+H19+H22</f>
        <v>0</v>
      </c>
      <c r="O19">
        <f>B18+I19+I22</f>
        <v>0</v>
      </c>
      <c r="P19">
        <f t="shared" si="6"/>
        <v>0</v>
      </c>
      <c r="Q19">
        <f>E18+G19+G22</f>
        <v>0</v>
      </c>
      <c r="R19">
        <f>G18+E19+E22</f>
        <v>0</v>
      </c>
    </row>
    <row r="20" spans="1:18">
      <c r="A20" s="23">
        <f>IF(ISBLANK('GRUPO C'!$G20),0,IF(ISBLANK('GRUPO C'!$I20),0,1))</f>
        <v>0</v>
      </c>
      <c r="B20" s="23">
        <f t="shared" si="0"/>
        <v>0</v>
      </c>
      <c r="C20" s="23">
        <f t="shared" si="1"/>
        <v>0</v>
      </c>
      <c r="D20" s="23" t="str">
        <f>equipos!$D$15</f>
        <v>Polonia</v>
      </c>
      <c r="E20" s="23">
        <f>'GRUPO C'!G20</f>
        <v>0</v>
      </c>
      <c r="F20" s="23" t="str">
        <f>equipos!$D$13</f>
        <v>Arabia Saudí</v>
      </c>
      <c r="G20" s="23">
        <f>'GRUPO C'!I20</f>
        <v>0</v>
      </c>
      <c r="H20" s="23">
        <f t="shared" si="2"/>
        <v>0</v>
      </c>
      <c r="I20" s="23">
        <f t="shared" si="3"/>
        <v>0</v>
      </c>
      <c r="J20" s="23">
        <f>IF(ISBLANK('GRUPO C'!$G20),0,IF(ISBLANK('GRUPO C'!$I20),0,1))</f>
        <v>0</v>
      </c>
      <c r="L20" s="23" t="str">
        <f>equipos!D15</f>
        <v>Polonia</v>
      </c>
      <c r="M20">
        <f>J18+A20+A21</f>
        <v>0</v>
      </c>
      <c r="N20">
        <f>H18+C20+C21</f>
        <v>0</v>
      </c>
      <c r="O20">
        <f>I18+B20+B21</f>
        <v>0</v>
      </c>
      <c r="P20">
        <f t="shared" si="6"/>
        <v>0</v>
      </c>
      <c r="Q20">
        <f>G18+E20+E21</f>
        <v>0</v>
      </c>
      <c r="R20">
        <f>E18+G20+G21</f>
        <v>0</v>
      </c>
    </row>
    <row r="21" spans="1:18">
      <c r="A21" s="23">
        <f>IF(ISBLANK('GRUPO C'!$G21),0,IF(ISBLANK('GRUPO C'!$I21),0,1))</f>
        <v>0</v>
      </c>
      <c r="B21" s="23">
        <f t="shared" si="0"/>
        <v>0</v>
      </c>
      <c r="C21" s="23">
        <f t="shared" si="1"/>
        <v>0</v>
      </c>
      <c r="D21" s="23" t="str">
        <f>equipos!$D$15</f>
        <v>Polonia</v>
      </c>
      <c r="E21" s="23">
        <f>'GRUPO C'!G21</f>
        <v>0</v>
      </c>
      <c r="F21" s="23" t="str">
        <f>equipos!$D$12</f>
        <v>Argentina</v>
      </c>
      <c r="G21" s="23">
        <f>'GRUPO C'!I21</f>
        <v>0</v>
      </c>
      <c r="H21" s="23">
        <f t="shared" si="2"/>
        <v>0</v>
      </c>
      <c r="I21" s="23">
        <f t="shared" si="3"/>
        <v>0</v>
      </c>
      <c r="J21" s="23">
        <f>IF(ISBLANK('GRUPO C'!$G21),0,IF(ISBLANK('GRUPO C'!$I21),0,1))</f>
        <v>0</v>
      </c>
    </row>
    <row r="22" spans="1:18">
      <c r="A22" s="23">
        <f>IF(ISBLANK('GRUPO C'!$G22),0,IF(ISBLANK('GRUPO C'!$I22),0,1))</f>
        <v>0</v>
      </c>
      <c r="B22" s="23">
        <f t="shared" si="0"/>
        <v>0</v>
      </c>
      <c r="C22" s="23">
        <f t="shared" si="1"/>
        <v>0</v>
      </c>
      <c r="D22" s="23" t="str">
        <f>equipos!$D$13</f>
        <v>Arabia Saudí</v>
      </c>
      <c r="E22" s="23">
        <f>'GRUPO C'!G22</f>
        <v>0</v>
      </c>
      <c r="F22" s="23" t="str">
        <f>equipos!$D$14</f>
        <v>México</v>
      </c>
      <c r="G22" s="23">
        <f>'GRUPO C'!I22</f>
        <v>0</v>
      </c>
      <c r="H22" s="23">
        <f t="shared" si="2"/>
        <v>0</v>
      </c>
      <c r="I22" s="23">
        <f t="shared" si="3"/>
        <v>0</v>
      </c>
      <c r="J22" s="23">
        <f>IF(ISBLANK('GRUPO C'!$G22),0,IF(ISBLANK('GRUPO C'!$I22),0,1))</f>
        <v>0</v>
      </c>
    </row>
    <row r="23" spans="1:18">
      <c r="A23" s="23"/>
      <c r="B23" s="23"/>
      <c r="C23" s="23"/>
      <c r="D23" s="188" t="s">
        <v>10</v>
      </c>
      <c r="E23" s="188"/>
      <c r="F23" s="188"/>
      <c r="G23" s="188"/>
      <c r="H23" s="23"/>
      <c r="I23" s="23"/>
      <c r="J23" s="23"/>
      <c r="M23" s="28" t="s">
        <v>5</v>
      </c>
      <c r="N23" s="28" t="s">
        <v>107</v>
      </c>
      <c r="O23" s="28" t="s">
        <v>108</v>
      </c>
      <c r="P23" s="28" t="s">
        <v>109</v>
      </c>
      <c r="Q23" s="28" t="s">
        <v>33</v>
      </c>
      <c r="R23" s="28" t="s">
        <v>34</v>
      </c>
    </row>
    <row r="24" spans="1:18">
      <c r="A24" s="23">
        <f>IF(ISBLANK('GRUPO D'!$G17),0,IF(ISBLANK('GRUPO D'!$I17),0,1))</f>
        <v>0</v>
      </c>
      <c r="B24" s="23">
        <f t="shared" si="0"/>
        <v>0</v>
      </c>
      <c r="C24" s="23">
        <f t="shared" si="1"/>
        <v>0</v>
      </c>
      <c r="D24" s="23" t="str">
        <f>equipos!$D$17</f>
        <v>Francia</v>
      </c>
      <c r="E24" s="23">
        <f>'GRUPO D'!G17</f>
        <v>0</v>
      </c>
      <c r="F24" s="23" t="str">
        <f>equipos!$D$18</f>
        <v>Australia</v>
      </c>
      <c r="G24" s="23">
        <f>'GRUPO D'!I17</f>
        <v>0</v>
      </c>
      <c r="H24" s="23">
        <f t="shared" si="2"/>
        <v>0</v>
      </c>
      <c r="I24" s="23">
        <f t="shared" si="3"/>
        <v>0</v>
      </c>
      <c r="J24" s="23">
        <f>IF(ISBLANK('GRUPO D'!$G17),0,IF(ISBLANK('GRUPO D'!$I17),0,1))</f>
        <v>0</v>
      </c>
      <c r="L24" s="23" t="str">
        <f>equipos!D17</f>
        <v>Francia</v>
      </c>
      <c r="M24">
        <f>A24+A26+J28</f>
        <v>0</v>
      </c>
      <c r="N24">
        <f>C24+C26+H28</f>
        <v>0</v>
      </c>
      <c r="O24">
        <f>B24+B26+I28</f>
        <v>0</v>
      </c>
      <c r="P24">
        <f>M24-(N24+O24)</f>
        <v>0</v>
      </c>
      <c r="Q24">
        <f>E24+E26+G28</f>
        <v>0</v>
      </c>
      <c r="R24">
        <f>G24+G26+E28</f>
        <v>0</v>
      </c>
    </row>
    <row r="25" spans="1:18">
      <c r="A25" s="23">
        <f>IF(ISBLANK('GRUPO D'!$G18),0,IF(ISBLANK('GRUPO D'!$I18),0,1))</f>
        <v>0</v>
      </c>
      <c r="B25" s="23">
        <f t="shared" si="0"/>
        <v>0</v>
      </c>
      <c r="C25" s="23">
        <f t="shared" si="1"/>
        <v>0</v>
      </c>
      <c r="D25" s="23" t="str">
        <f>equipos!$D$19</f>
        <v>Dinamarca</v>
      </c>
      <c r="E25" s="23">
        <f>'GRUPO D'!G18</f>
        <v>0</v>
      </c>
      <c r="F25" s="23" t="str">
        <f>equipos!$D$20</f>
        <v>Túnez</v>
      </c>
      <c r="G25" s="23">
        <f>'GRUPO D'!I18</f>
        <v>0</v>
      </c>
      <c r="H25" s="23">
        <f t="shared" si="2"/>
        <v>0</v>
      </c>
      <c r="I25" s="23">
        <f t="shared" si="3"/>
        <v>0</v>
      </c>
      <c r="J25" s="23">
        <f>IF(ISBLANK('GRUPO D'!$G18),0,IF(ISBLANK('GRUPO D'!$I18),0,1))</f>
        <v>0</v>
      </c>
      <c r="L25" s="23" t="str">
        <f>equipos!D18</f>
        <v>Australia</v>
      </c>
      <c r="M25">
        <f>J24+J27+A29</f>
        <v>0</v>
      </c>
      <c r="N25">
        <f>H24+H27+C29</f>
        <v>0</v>
      </c>
      <c r="O25">
        <f>I24+I27+B29</f>
        <v>0</v>
      </c>
      <c r="P25">
        <f t="shared" ref="P25:P27" si="7">M25-(N25+O25)</f>
        <v>0</v>
      </c>
      <c r="Q25">
        <f>G24+G27+E29</f>
        <v>0</v>
      </c>
      <c r="R25">
        <f>E24+E27+G29</f>
        <v>0</v>
      </c>
    </row>
    <row r="26" spans="1:18">
      <c r="A26" s="23">
        <f>IF(ISBLANK('GRUPO D'!$G19),0,IF(ISBLANK('GRUPO D'!$I19),0,1))</f>
        <v>0</v>
      </c>
      <c r="B26" s="23">
        <f t="shared" si="0"/>
        <v>0</v>
      </c>
      <c r="C26" s="23">
        <f t="shared" si="1"/>
        <v>0</v>
      </c>
      <c r="D26" s="23" t="str">
        <f>equipos!$D$17</f>
        <v>Francia</v>
      </c>
      <c r="E26" s="23">
        <f>'GRUPO D'!G19</f>
        <v>0</v>
      </c>
      <c r="F26" s="23" t="str">
        <f>equipos!$D$19</f>
        <v>Dinamarca</v>
      </c>
      <c r="G26" s="23">
        <f>'GRUPO D'!I19</f>
        <v>0</v>
      </c>
      <c r="H26" s="23">
        <f t="shared" si="2"/>
        <v>0</v>
      </c>
      <c r="I26" s="23">
        <f t="shared" si="3"/>
        <v>0</v>
      </c>
      <c r="J26" s="23">
        <f>IF(ISBLANK('GRUPO D'!$G19),0,IF(ISBLANK('GRUPO D'!$I19),0,1))</f>
        <v>0</v>
      </c>
      <c r="L26" s="23" t="str">
        <f>equipos!D19</f>
        <v>Dinamarca</v>
      </c>
      <c r="M26">
        <f>A25+J26+J29</f>
        <v>0</v>
      </c>
      <c r="N26">
        <f>C25+H26+H29</f>
        <v>0</v>
      </c>
      <c r="O26">
        <f>B25+I26+I29</f>
        <v>0</v>
      </c>
      <c r="P26">
        <f t="shared" si="7"/>
        <v>0</v>
      </c>
      <c r="Q26">
        <f>E25+G26+G29</f>
        <v>0</v>
      </c>
      <c r="R26">
        <f>G25+E26+E29</f>
        <v>0</v>
      </c>
    </row>
    <row r="27" spans="1:18">
      <c r="A27" s="23">
        <f>IF(ISBLANK('GRUPO D'!$G20),0,IF(ISBLANK('GRUPO D'!$I20),0,1))</f>
        <v>0</v>
      </c>
      <c r="B27" s="23">
        <f t="shared" si="0"/>
        <v>0</v>
      </c>
      <c r="C27" s="23">
        <f t="shared" si="1"/>
        <v>0</v>
      </c>
      <c r="D27" s="23" t="str">
        <f>equipos!$D$20</f>
        <v>Túnez</v>
      </c>
      <c r="E27" s="23">
        <f>'GRUPO D'!G20</f>
        <v>0</v>
      </c>
      <c r="F27" s="23" t="str">
        <f>equipos!$D$18</f>
        <v>Australia</v>
      </c>
      <c r="G27" s="23">
        <f>'GRUPO D'!I20</f>
        <v>0</v>
      </c>
      <c r="H27" s="23">
        <f t="shared" si="2"/>
        <v>0</v>
      </c>
      <c r="I27" s="23">
        <f t="shared" si="3"/>
        <v>0</v>
      </c>
      <c r="J27" s="23">
        <f>IF(ISBLANK('GRUPO D'!$G20),0,IF(ISBLANK('GRUPO D'!$I20),0,1))</f>
        <v>0</v>
      </c>
      <c r="L27" s="23" t="str">
        <f>equipos!D20</f>
        <v>Túnez</v>
      </c>
      <c r="M27">
        <f>J25+A27+A28</f>
        <v>0</v>
      </c>
      <c r="N27">
        <f>H25+C27+C28</f>
        <v>0</v>
      </c>
      <c r="O27">
        <f>I25+B27+B28</f>
        <v>0</v>
      </c>
      <c r="P27">
        <f t="shared" si="7"/>
        <v>0</v>
      </c>
      <c r="Q27">
        <f>G25+E27+E28</f>
        <v>0</v>
      </c>
      <c r="R27">
        <f>E25+G27+G28</f>
        <v>0</v>
      </c>
    </row>
    <row r="28" spans="1:18">
      <c r="A28" s="23">
        <f>IF(ISBLANK('GRUPO D'!$G21),0,IF(ISBLANK('GRUPO D'!$I21),0,1))</f>
        <v>0</v>
      </c>
      <c r="B28" s="23">
        <f t="shared" si="0"/>
        <v>0</v>
      </c>
      <c r="C28" s="23">
        <f t="shared" si="1"/>
        <v>0</v>
      </c>
      <c r="D28" s="23" t="str">
        <f>equipos!$D$20</f>
        <v>Túnez</v>
      </c>
      <c r="E28" s="23">
        <f>'GRUPO D'!G21</f>
        <v>0</v>
      </c>
      <c r="F28" s="23" t="str">
        <f>equipos!$D$17</f>
        <v>Francia</v>
      </c>
      <c r="G28" s="23">
        <f>'GRUPO D'!I21</f>
        <v>0</v>
      </c>
      <c r="H28" s="23">
        <f t="shared" si="2"/>
        <v>0</v>
      </c>
      <c r="I28" s="23">
        <f t="shared" si="3"/>
        <v>0</v>
      </c>
      <c r="J28" s="23">
        <f>IF(ISBLANK('GRUPO D'!$G21),0,IF(ISBLANK('GRUPO D'!$I21),0,1))</f>
        <v>0</v>
      </c>
    </row>
    <row r="29" spans="1:18">
      <c r="A29" s="23">
        <f>IF(ISBLANK('GRUPO D'!$G22),0,IF(ISBLANK('GRUPO D'!$I22),0,1))</f>
        <v>0</v>
      </c>
      <c r="B29" s="23">
        <f t="shared" si="0"/>
        <v>0</v>
      </c>
      <c r="C29" s="23">
        <f t="shared" si="1"/>
        <v>0</v>
      </c>
      <c r="D29" s="23" t="str">
        <f>equipos!$D$18</f>
        <v>Australia</v>
      </c>
      <c r="E29" s="23">
        <f>'GRUPO D'!G22</f>
        <v>0</v>
      </c>
      <c r="F29" s="23" t="str">
        <f>equipos!$D$19</f>
        <v>Dinamarca</v>
      </c>
      <c r="G29" s="23">
        <f>'GRUPO D'!I22</f>
        <v>0</v>
      </c>
      <c r="H29" s="23">
        <f t="shared" si="2"/>
        <v>0</v>
      </c>
      <c r="I29" s="23">
        <f t="shared" si="3"/>
        <v>0</v>
      </c>
      <c r="J29" s="23">
        <f>IF(ISBLANK('GRUPO D'!$G22),0,IF(ISBLANK('GRUPO D'!$I22),0,1))</f>
        <v>0</v>
      </c>
    </row>
    <row r="30" spans="1:18">
      <c r="A30" s="23"/>
      <c r="B30" s="23"/>
      <c r="C30" s="23"/>
      <c r="D30" s="188" t="s">
        <v>11</v>
      </c>
      <c r="E30" s="188"/>
      <c r="F30" s="188"/>
      <c r="G30" s="188"/>
      <c r="H30" s="23"/>
      <c r="I30" s="23"/>
      <c r="J30" s="23"/>
      <c r="M30" s="28" t="s">
        <v>5</v>
      </c>
      <c r="N30" s="28" t="s">
        <v>107</v>
      </c>
      <c r="O30" s="28" t="s">
        <v>108</v>
      </c>
      <c r="P30" s="28" t="s">
        <v>109</v>
      </c>
      <c r="Q30" s="28" t="s">
        <v>33</v>
      </c>
      <c r="R30" s="28" t="s">
        <v>34</v>
      </c>
    </row>
    <row r="31" spans="1:18">
      <c r="A31" s="23">
        <f>IF(ISBLANK('GRUPO E'!$G17),0,IF(ISBLANK('GRUPO E'!$I17),0,1))</f>
        <v>0</v>
      </c>
      <c r="B31" s="23">
        <f t="shared" si="0"/>
        <v>0</v>
      </c>
      <c r="C31" s="23">
        <f t="shared" si="1"/>
        <v>0</v>
      </c>
      <c r="D31" s="24" t="str">
        <f>equipos!$G$2</f>
        <v>España</v>
      </c>
      <c r="E31" s="23">
        <f>'GRUPO E'!G17</f>
        <v>0</v>
      </c>
      <c r="F31" s="23" t="str">
        <f>equipos!$G$3</f>
        <v>Costa Rica</v>
      </c>
      <c r="G31" s="23">
        <f>'GRUPO E'!I17</f>
        <v>0</v>
      </c>
      <c r="H31" s="23">
        <f t="shared" si="2"/>
        <v>0</v>
      </c>
      <c r="I31" s="23">
        <f t="shared" si="3"/>
        <v>0</v>
      </c>
      <c r="J31" s="23">
        <f>IF(ISBLANK('GRUPO E'!$G17),0,IF(ISBLANK('GRUPO E'!$I17),0,1))</f>
        <v>0</v>
      </c>
      <c r="L31" s="24" t="str">
        <f>equipos!G2</f>
        <v>España</v>
      </c>
      <c r="M31">
        <f>A31+A33+J35</f>
        <v>0</v>
      </c>
      <c r="N31">
        <f>C31+C33+H35</f>
        <v>0</v>
      </c>
      <c r="O31">
        <f>B31+B33+I35</f>
        <v>0</v>
      </c>
      <c r="P31">
        <f>M31-(N31+O31)</f>
        <v>0</v>
      </c>
      <c r="Q31">
        <f>E31+E33+G35</f>
        <v>0</v>
      </c>
      <c r="R31">
        <f>G31+G33+E35</f>
        <v>0</v>
      </c>
    </row>
    <row r="32" spans="1:18">
      <c r="A32" s="23">
        <f>IF(ISBLANK('GRUPO E'!$G18),0,IF(ISBLANK('GRUPO E'!$I18),0,1))</f>
        <v>0</v>
      </c>
      <c r="B32" s="23">
        <f t="shared" si="0"/>
        <v>0</v>
      </c>
      <c r="C32" s="23">
        <f t="shared" si="1"/>
        <v>0</v>
      </c>
      <c r="D32" s="23" t="str">
        <f>equipos!$G$4</f>
        <v>Alemania</v>
      </c>
      <c r="E32" s="23">
        <f>'GRUPO E'!G18</f>
        <v>0</v>
      </c>
      <c r="F32" s="23" t="str">
        <f>equipos!$G$5</f>
        <v>Japón</v>
      </c>
      <c r="G32" s="23">
        <f>'GRUPO E'!I18</f>
        <v>0</v>
      </c>
      <c r="H32" s="23">
        <f t="shared" si="2"/>
        <v>0</v>
      </c>
      <c r="I32" s="23">
        <f t="shared" si="3"/>
        <v>0</v>
      </c>
      <c r="J32" s="23">
        <f>IF(ISBLANK('GRUPO E'!$G18),0,IF(ISBLANK('GRUPO E'!$I18),0,1))</f>
        <v>0</v>
      </c>
      <c r="L32" s="24" t="str">
        <f>equipos!G3</f>
        <v>Costa Rica</v>
      </c>
      <c r="M32">
        <f>J31+J34+A36</f>
        <v>0</v>
      </c>
      <c r="N32">
        <f>H31+H34+C36</f>
        <v>0</v>
      </c>
      <c r="O32">
        <f>I31+I34+B36</f>
        <v>0</v>
      </c>
      <c r="P32">
        <f t="shared" ref="P32:P34" si="8">M32-(N32+O32)</f>
        <v>0</v>
      </c>
      <c r="Q32">
        <f>G31+G34+E36</f>
        <v>0</v>
      </c>
      <c r="R32">
        <f>E31+E34+G36</f>
        <v>0</v>
      </c>
    </row>
    <row r="33" spans="1:18">
      <c r="A33" s="23">
        <f>IF(ISBLANK('GRUPO E'!$G19),0,IF(ISBLANK('GRUPO E'!$I19),0,1))</f>
        <v>0</v>
      </c>
      <c r="B33" s="23">
        <f t="shared" si="0"/>
        <v>0</v>
      </c>
      <c r="C33" s="23">
        <f t="shared" si="1"/>
        <v>0</v>
      </c>
      <c r="D33" s="23" t="str">
        <f>equipos!$G$2</f>
        <v>España</v>
      </c>
      <c r="E33" s="23">
        <f>'GRUPO E'!G19</f>
        <v>0</v>
      </c>
      <c r="F33" s="23" t="str">
        <f>equipos!$G$4</f>
        <v>Alemania</v>
      </c>
      <c r="G33" s="23">
        <f>'GRUPO E'!I19</f>
        <v>0</v>
      </c>
      <c r="H33" s="23">
        <f t="shared" si="2"/>
        <v>0</v>
      </c>
      <c r="I33" s="23">
        <f t="shared" si="3"/>
        <v>0</v>
      </c>
      <c r="J33" s="23">
        <f>IF(ISBLANK('GRUPO E'!$G19),0,IF(ISBLANK('GRUPO E'!$I19),0,1))</f>
        <v>0</v>
      </c>
      <c r="L33" s="24" t="str">
        <f>equipos!G4</f>
        <v>Alemania</v>
      </c>
      <c r="M33">
        <f>A32+J33+J36</f>
        <v>0</v>
      </c>
      <c r="N33">
        <f>C32+H33+H36</f>
        <v>0</v>
      </c>
      <c r="O33">
        <f>B32+I33+I36</f>
        <v>0</v>
      </c>
      <c r="P33">
        <f t="shared" si="8"/>
        <v>0</v>
      </c>
      <c r="Q33">
        <f>E32+G33+G36</f>
        <v>0</v>
      </c>
      <c r="R33">
        <f>G32+E33+E36</f>
        <v>0</v>
      </c>
    </row>
    <row r="34" spans="1:18">
      <c r="A34" s="23">
        <f>IF(ISBLANK('GRUPO E'!$G20),0,IF(ISBLANK('GRUPO E'!$I20),0,1))</f>
        <v>0</v>
      </c>
      <c r="B34" s="23">
        <f t="shared" si="0"/>
        <v>0</v>
      </c>
      <c r="C34" s="23">
        <f t="shared" si="1"/>
        <v>0</v>
      </c>
      <c r="D34" s="23" t="str">
        <f>equipos!$G$5</f>
        <v>Japón</v>
      </c>
      <c r="E34" s="23">
        <f>'GRUPO E'!G20</f>
        <v>0</v>
      </c>
      <c r="F34" s="23" t="str">
        <f>equipos!$G$3</f>
        <v>Costa Rica</v>
      </c>
      <c r="G34" s="23">
        <f>'GRUPO E'!I20</f>
        <v>0</v>
      </c>
      <c r="H34" s="23">
        <f t="shared" si="2"/>
        <v>0</v>
      </c>
      <c r="I34" s="23">
        <f t="shared" si="3"/>
        <v>0</v>
      </c>
      <c r="J34" s="23">
        <f>IF(ISBLANK('GRUPO E'!$G20),0,IF(ISBLANK('GRUPO E'!$I20),0,1))</f>
        <v>0</v>
      </c>
      <c r="L34" s="24" t="str">
        <f>equipos!G5</f>
        <v>Japón</v>
      </c>
      <c r="M34">
        <f>J32+A34+A35</f>
        <v>0</v>
      </c>
      <c r="N34">
        <f>H32+C34+C35</f>
        <v>0</v>
      </c>
      <c r="O34">
        <f>I32+B34+B35</f>
        <v>0</v>
      </c>
      <c r="P34">
        <f t="shared" si="8"/>
        <v>0</v>
      </c>
      <c r="Q34">
        <f>G32+E34+E35</f>
        <v>0</v>
      </c>
      <c r="R34">
        <f>E32+G34+G35</f>
        <v>0</v>
      </c>
    </row>
    <row r="35" spans="1:18">
      <c r="A35" s="23">
        <f>IF(ISBLANK('GRUPO E'!$G21),0,IF(ISBLANK('GRUPO E'!$I21),0,1))</f>
        <v>0</v>
      </c>
      <c r="B35" s="23">
        <f t="shared" si="0"/>
        <v>0</v>
      </c>
      <c r="C35" s="23">
        <f t="shared" si="1"/>
        <v>0</v>
      </c>
      <c r="D35" s="23" t="str">
        <f>equipos!$G$5</f>
        <v>Japón</v>
      </c>
      <c r="E35" s="23">
        <f>'GRUPO E'!G21</f>
        <v>0</v>
      </c>
      <c r="F35" s="23" t="str">
        <f>equipos!$G$2</f>
        <v>España</v>
      </c>
      <c r="G35" s="23">
        <f>'GRUPO E'!I21</f>
        <v>0</v>
      </c>
      <c r="H35" s="23">
        <f t="shared" si="2"/>
        <v>0</v>
      </c>
      <c r="I35" s="23">
        <f t="shared" si="3"/>
        <v>0</v>
      </c>
      <c r="J35" s="23">
        <f>IF(ISBLANK('GRUPO E'!$G21),0,IF(ISBLANK('GRUPO E'!$I21),0,1))</f>
        <v>0</v>
      </c>
    </row>
    <row r="36" spans="1:18">
      <c r="A36" s="23">
        <f>IF(ISBLANK('GRUPO E'!$G22),0,IF(ISBLANK('GRUPO E'!$I22),0,1))</f>
        <v>0</v>
      </c>
      <c r="B36" s="23">
        <f t="shared" si="0"/>
        <v>0</v>
      </c>
      <c r="C36" s="23">
        <f t="shared" si="1"/>
        <v>0</v>
      </c>
      <c r="D36" s="23" t="str">
        <f>equipos!$G$3</f>
        <v>Costa Rica</v>
      </c>
      <c r="E36" s="23">
        <f>'GRUPO E'!G22</f>
        <v>0</v>
      </c>
      <c r="F36" s="23" t="str">
        <f>equipos!$G$4</f>
        <v>Alemania</v>
      </c>
      <c r="G36" s="23">
        <f>'GRUPO E'!I22</f>
        <v>0</v>
      </c>
      <c r="H36" s="23">
        <f t="shared" si="2"/>
        <v>0</v>
      </c>
      <c r="I36" s="23">
        <f t="shared" si="3"/>
        <v>0</v>
      </c>
      <c r="J36" s="23">
        <f>IF(ISBLANK('GRUPO E'!$G22),0,IF(ISBLANK('GRUPO E'!$I22),0,1))</f>
        <v>0</v>
      </c>
    </row>
    <row r="37" spans="1:18">
      <c r="A37" s="23"/>
      <c r="B37" s="23"/>
      <c r="C37" s="23"/>
      <c r="D37" s="188" t="s">
        <v>12</v>
      </c>
      <c r="E37" s="188"/>
      <c r="F37" s="188"/>
      <c r="G37" s="188"/>
      <c r="H37" s="23"/>
      <c r="I37" s="23"/>
      <c r="J37" s="23"/>
      <c r="M37" s="28" t="s">
        <v>5</v>
      </c>
      <c r="N37" s="28" t="s">
        <v>107</v>
      </c>
      <c r="O37" s="28" t="s">
        <v>108</v>
      </c>
      <c r="P37" s="28" t="s">
        <v>109</v>
      </c>
      <c r="Q37" s="28" t="s">
        <v>33</v>
      </c>
      <c r="R37" s="28" t="s">
        <v>34</v>
      </c>
    </row>
    <row r="38" spans="1:18">
      <c r="A38" s="23">
        <f>IF(ISBLANK('GRUPO F'!$G17),0,IF(ISBLANK('GRUPO F'!$I17),0,1))</f>
        <v>0</v>
      </c>
      <c r="B38" s="23">
        <f t="shared" si="0"/>
        <v>0</v>
      </c>
      <c r="C38" s="23">
        <f t="shared" si="1"/>
        <v>0</v>
      </c>
      <c r="D38" s="23" t="str">
        <f>equipos!$G$7</f>
        <v>Bélgica</v>
      </c>
      <c r="E38" s="23">
        <f>'GRUPO F'!G17</f>
        <v>0</v>
      </c>
      <c r="F38" s="23" t="str">
        <f>equipos!$G$8</f>
        <v>Canadá</v>
      </c>
      <c r="G38" s="23">
        <f>'GRUPO F'!I17</f>
        <v>0</v>
      </c>
      <c r="H38" s="23">
        <f t="shared" si="2"/>
        <v>0</v>
      </c>
      <c r="I38" s="23">
        <f t="shared" si="3"/>
        <v>0</v>
      </c>
      <c r="J38" s="23">
        <f>IF(ISBLANK('GRUPO F'!$G17),0,IF(ISBLANK('GRUPO F'!$I17),0,1))</f>
        <v>0</v>
      </c>
      <c r="L38" s="23" t="str">
        <f>equipos!G7</f>
        <v>Bélgica</v>
      </c>
      <c r="M38">
        <f>A38+A40+J42</f>
        <v>0</v>
      </c>
      <c r="N38">
        <f>C38+C40+H42</f>
        <v>0</v>
      </c>
      <c r="O38">
        <f>B38+B40+I42</f>
        <v>0</v>
      </c>
      <c r="P38">
        <f>M38-(N38+O38)</f>
        <v>0</v>
      </c>
      <c r="Q38">
        <f>E38+E40+G42</f>
        <v>0</v>
      </c>
      <c r="R38">
        <f>G38+G40+E42</f>
        <v>0</v>
      </c>
    </row>
    <row r="39" spans="1:18">
      <c r="A39" s="23">
        <f>IF(ISBLANK('GRUPO F'!$G18),0,IF(ISBLANK('GRUPO F'!$I18),0,1))</f>
        <v>0</v>
      </c>
      <c r="B39" s="23">
        <f t="shared" si="0"/>
        <v>0</v>
      </c>
      <c r="C39" s="23">
        <f t="shared" si="1"/>
        <v>0</v>
      </c>
      <c r="D39" s="23" t="str">
        <f>equipos!$G$9</f>
        <v>Marruecos</v>
      </c>
      <c r="E39" s="23">
        <f>'GRUPO F'!G18</f>
        <v>0</v>
      </c>
      <c r="F39" s="23" t="str">
        <f>equipos!$G$10</f>
        <v>Croacia</v>
      </c>
      <c r="G39" s="23">
        <f>'GRUPO F'!I18</f>
        <v>0</v>
      </c>
      <c r="H39" s="23">
        <f t="shared" si="2"/>
        <v>0</v>
      </c>
      <c r="I39" s="23">
        <f t="shared" si="3"/>
        <v>0</v>
      </c>
      <c r="J39" s="23">
        <f>IF(ISBLANK('GRUPO F'!$G18),0,IF(ISBLANK('GRUPO F'!$I18),0,1))</f>
        <v>0</v>
      </c>
      <c r="L39" s="23" t="str">
        <f>equipos!G8</f>
        <v>Canadá</v>
      </c>
      <c r="M39">
        <f>J38+J41+A43</f>
        <v>0</v>
      </c>
      <c r="N39">
        <f>H38+H41+C43</f>
        <v>0</v>
      </c>
      <c r="O39">
        <f>I38+I41+B43</f>
        <v>0</v>
      </c>
      <c r="P39">
        <f t="shared" ref="P39:P41" si="9">M39-(N39+O39)</f>
        <v>0</v>
      </c>
      <c r="Q39">
        <f>G38+G41+E43</f>
        <v>0</v>
      </c>
      <c r="R39">
        <f>E38+E41+G43</f>
        <v>0</v>
      </c>
    </row>
    <row r="40" spans="1:18">
      <c r="A40" s="23">
        <f>IF(ISBLANK('GRUPO F'!$G19),0,IF(ISBLANK('GRUPO F'!$I19),0,1))</f>
        <v>0</v>
      </c>
      <c r="B40" s="23">
        <f t="shared" si="0"/>
        <v>0</v>
      </c>
      <c r="C40" s="23">
        <f t="shared" si="1"/>
        <v>0</v>
      </c>
      <c r="D40" s="23" t="str">
        <f>equipos!$G$7</f>
        <v>Bélgica</v>
      </c>
      <c r="E40" s="23">
        <f>'GRUPO F'!G19</f>
        <v>0</v>
      </c>
      <c r="F40" s="23" t="str">
        <f>equipos!$G$9</f>
        <v>Marruecos</v>
      </c>
      <c r="G40" s="23">
        <f>'GRUPO F'!I19</f>
        <v>0</v>
      </c>
      <c r="H40" s="23">
        <f t="shared" si="2"/>
        <v>0</v>
      </c>
      <c r="I40" s="23">
        <f t="shared" si="3"/>
        <v>0</v>
      </c>
      <c r="J40" s="23">
        <f>IF(ISBLANK('GRUPO F'!$G19),0,IF(ISBLANK('GRUPO F'!$I19),0,1))</f>
        <v>0</v>
      </c>
      <c r="L40" s="23" t="str">
        <f>equipos!G9</f>
        <v>Marruecos</v>
      </c>
      <c r="M40">
        <f>A39+J40+J43</f>
        <v>0</v>
      </c>
      <c r="N40">
        <f>C39+H40+H43</f>
        <v>0</v>
      </c>
      <c r="O40">
        <f>B39+I40+I43</f>
        <v>0</v>
      </c>
      <c r="P40">
        <f t="shared" si="9"/>
        <v>0</v>
      </c>
      <c r="Q40">
        <f>E39+G40+G43</f>
        <v>0</v>
      </c>
      <c r="R40">
        <f>G39+E40+E43</f>
        <v>0</v>
      </c>
    </row>
    <row r="41" spans="1:18">
      <c r="A41" s="23">
        <f>IF(ISBLANK('GRUPO F'!$G20),0,IF(ISBLANK('GRUPO F'!$I20),0,1))</f>
        <v>0</v>
      </c>
      <c r="B41" s="23">
        <f t="shared" si="0"/>
        <v>0</v>
      </c>
      <c r="C41" s="23">
        <f t="shared" si="1"/>
        <v>0</v>
      </c>
      <c r="D41" s="23" t="str">
        <f>equipos!$G$10</f>
        <v>Croacia</v>
      </c>
      <c r="E41" s="23">
        <f>'GRUPO F'!G20</f>
        <v>0</v>
      </c>
      <c r="F41" s="23" t="str">
        <f>equipos!$G$8</f>
        <v>Canadá</v>
      </c>
      <c r="G41" s="23">
        <f>'GRUPO F'!I20</f>
        <v>0</v>
      </c>
      <c r="H41" s="23">
        <f t="shared" si="2"/>
        <v>0</v>
      </c>
      <c r="I41" s="23">
        <f t="shared" si="3"/>
        <v>0</v>
      </c>
      <c r="J41" s="23">
        <f>IF(ISBLANK('GRUPO F'!$G20),0,IF(ISBLANK('GRUPO F'!$I20),0,1))</f>
        <v>0</v>
      </c>
      <c r="L41" s="23" t="str">
        <f>equipos!G10</f>
        <v>Croacia</v>
      </c>
      <c r="M41">
        <f>J39+A41+A42</f>
        <v>0</v>
      </c>
      <c r="N41">
        <f>H39+C41+C42</f>
        <v>0</v>
      </c>
      <c r="O41">
        <f>I39+B41+B42</f>
        <v>0</v>
      </c>
      <c r="P41">
        <f t="shared" si="9"/>
        <v>0</v>
      </c>
      <c r="Q41">
        <f>G39+E41+E42</f>
        <v>0</v>
      </c>
      <c r="R41">
        <f>E39+G41+G42</f>
        <v>0</v>
      </c>
    </row>
    <row r="42" spans="1:18">
      <c r="A42" s="23">
        <f>IF(ISBLANK('GRUPO F'!$G21),0,IF(ISBLANK('GRUPO F'!$I21),0,1))</f>
        <v>0</v>
      </c>
      <c r="B42" s="23">
        <f t="shared" si="0"/>
        <v>0</v>
      </c>
      <c r="C42" s="23">
        <f t="shared" si="1"/>
        <v>0</v>
      </c>
      <c r="D42" s="23" t="str">
        <f>equipos!$G$10</f>
        <v>Croacia</v>
      </c>
      <c r="E42" s="23">
        <f>'GRUPO F'!G21</f>
        <v>0</v>
      </c>
      <c r="F42" s="23" t="str">
        <f>equipos!$G$7</f>
        <v>Bélgica</v>
      </c>
      <c r="G42" s="23">
        <f>'GRUPO F'!I21</f>
        <v>0</v>
      </c>
      <c r="H42" s="23">
        <f t="shared" si="2"/>
        <v>0</v>
      </c>
      <c r="I42" s="23">
        <f t="shared" si="3"/>
        <v>0</v>
      </c>
      <c r="J42" s="23">
        <f>IF(ISBLANK('GRUPO F'!$G21),0,IF(ISBLANK('GRUPO F'!$I21),0,1))</f>
        <v>0</v>
      </c>
    </row>
    <row r="43" spans="1:18">
      <c r="A43" s="23">
        <f>IF(ISBLANK('GRUPO F'!$G22),0,IF(ISBLANK('GRUPO F'!$I22),0,1))</f>
        <v>0</v>
      </c>
      <c r="B43" s="23">
        <f t="shared" si="0"/>
        <v>0</v>
      </c>
      <c r="C43" s="23">
        <f t="shared" si="1"/>
        <v>0</v>
      </c>
      <c r="D43" s="23" t="str">
        <f>equipos!$G$8</f>
        <v>Canadá</v>
      </c>
      <c r="E43" s="23">
        <f>'GRUPO F'!G22</f>
        <v>0</v>
      </c>
      <c r="F43" s="23" t="str">
        <f>equipos!$G$9</f>
        <v>Marruecos</v>
      </c>
      <c r="G43" s="23">
        <f>'GRUPO F'!I22</f>
        <v>0</v>
      </c>
      <c r="H43" s="23">
        <f t="shared" si="2"/>
        <v>0</v>
      </c>
      <c r="I43" s="23">
        <f t="shared" si="3"/>
        <v>0</v>
      </c>
      <c r="J43" s="23">
        <f>IF(ISBLANK('GRUPO F'!$G22),0,IF(ISBLANK('GRUPO F'!$I22),0,1))</f>
        <v>0</v>
      </c>
    </row>
    <row r="44" spans="1:18">
      <c r="A44" s="23"/>
      <c r="B44" s="23"/>
      <c r="C44" s="23"/>
      <c r="D44" s="188" t="s">
        <v>13</v>
      </c>
      <c r="E44" s="188"/>
      <c r="F44" s="188"/>
      <c r="G44" s="188"/>
      <c r="H44" s="23"/>
      <c r="I44" s="23"/>
      <c r="J44" s="23"/>
      <c r="M44" s="28" t="s">
        <v>5</v>
      </c>
      <c r="N44" s="28" t="s">
        <v>107</v>
      </c>
      <c r="O44" s="28" t="s">
        <v>108</v>
      </c>
      <c r="P44" s="28" t="s">
        <v>109</v>
      </c>
      <c r="Q44" s="28" t="s">
        <v>33</v>
      </c>
      <c r="R44" s="28" t="s">
        <v>34</v>
      </c>
    </row>
    <row r="45" spans="1:18">
      <c r="A45" s="23">
        <f>IF(ISBLANK('GRUPO G'!$G17),0,IF(ISBLANK('GRUPO G'!$I17),0,1))</f>
        <v>0</v>
      </c>
      <c r="B45" s="23">
        <f t="shared" si="0"/>
        <v>0</v>
      </c>
      <c r="C45" s="23">
        <f t="shared" si="1"/>
        <v>0</v>
      </c>
      <c r="D45" s="23" t="str">
        <f>equipos!$G$12</f>
        <v>Brasil</v>
      </c>
      <c r="E45" s="23">
        <f>'GRUPO G'!G17</f>
        <v>0</v>
      </c>
      <c r="F45" s="23" t="str">
        <f>equipos!$G$13</f>
        <v>Serbia</v>
      </c>
      <c r="G45" s="23">
        <f>'GRUPO G'!I17</f>
        <v>0</v>
      </c>
      <c r="H45" s="23">
        <f t="shared" si="2"/>
        <v>0</v>
      </c>
      <c r="I45" s="23">
        <f t="shared" si="3"/>
        <v>0</v>
      </c>
      <c r="J45" s="23">
        <f>IF(ISBLANK('GRUPO G'!$G17),0,IF(ISBLANK('GRUPO G'!$I17),0,1))</f>
        <v>0</v>
      </c>
      <c r="L45" s="23" t="str">
        <f>equipos!G12</f>
        <v>Brasil</v>
      </c>
      <c r="M45">
        <f>A45+A47+J49</f>
        <v>0</v>
      </c>
      <c r="N45">
        <f>C45+C47+H49</f>
        <v>0</v>
      </c>
      <c r="O45">
        <f>B45+B47+I49</f>
        <v>0</v>
      </c>
      <c r="P45">
        <f>M45-(N45+O45)</f>
        <v>0</v>
      </c>
      <c r="Q45">
        <f>E45+E47+G49</f>
        <v>0</v>
      </c>
      <c r="R45">
        <f>G45+G47+E49</f>
        <v>0</v>
      </c>
    </row>
    <row r="46" spans="1:18">
      <c r="A46" s="23">
        <f>IF(ISBLANK('GRUPO G'!$G18),0,IF(ISBLANK('GRUPO G'!$I18),0,1))</f>
        <v>0</v>
      </c>
      <c r="B46" s="23">
        <f t="shared" si="0"/>
        <v>0</v>
      </c>
      <c r="C46" s="23">
        <f t="shared" si="1"/>
        <v>0</v>
      </c>
      <c r="D46" s="23" t="str">
        <f>equipos!$G$14</f>
        <v>Suiza</v>
      </c>
      <c r="E46" s="23">
        <f>'GRUPO G'!G18</f>
        <v>0</v>
      </c>
      <c r="F46" s="23" t="str">
        <f>equipos!$G$15</f>
        <v>Camerún</v>
      </c>
      <c r="G46" s="23">
        <f>'GRUPO G'!I18</f>
        <v>0</v>
      </c>
      <c r="H46" s="23">
        <f t="shared" si="2"/>
        <v>0</v>
      </c>
      <c r="I46" s="23">
        <f t="shared" si="3"/>
        <v>0</v>
      </c>
      <c r="J46" s="23">
        <f>IF(ISBLANK('GRUPO G'!$G18),0,IF(ISBLANK('GRUPO G'!$I18),0,1))</f>
        <v>0</v>
      </c>
      <c r="L46" s="23" t="str">
        <f>equipos!G13</f>
        <v>Serbia</v>
      </c>
      <c r="M46">
        <f>J45+J48+A50</f>
        <v>0</v>
      </c>
      <c r="N46">
        <f>H45+H48+C50</f>
        <v>0</v>
      </c>
      <c r="O46">
        <f>I45+I48+B50</f>
        <v>0</v>
      </c>
      <c r="P46">
        <f t="shared" ref="P46:P48" si="10">M46-(N46+O46)</f>
        <v>0</v>
      </c>
      <c r="Q46">
        <f>G45+G48+E50</f>
        <v>0</v>
      </c>
      <c r="R46">
        <f>E45+E48+G50</f>
        <v>0</v>
      </c>
    </row>
    <row r="47" spans="1:18">
      <c r="A47" s="23">
        <f>IF(ISBLANK('GRUPO G'!$G19),0,IF(ISBLANK('GRUPO G'!$I19),0,1))</f>
        <v>0</v>
      </c>
      <c r="B47" s="23">
        <f t="shared" si="0"/>
        <v>0</v>
      </c>
      <c r="C47" s="23">
        <f t="shared" si="1"/>
        <v>0</v>
      </c>
      <c r="D47" s="23" t="str">
        <f>equipos!$G$12</f>
        <v>Brasil</v>
      </c>
      <c r="E47" s="23">
        <f>'GRUPO G'!G19</f>
        <v>0</v>
      </c>
      <c r="F47" s="23" t="str">
        <f>equipos!$G$14</f>
        <v>Suiza</v>
      </c>
      <c r="G47" s="23">
        <f>'GRUPO G'!I19</f>
        <v>0</v>
      </c>
      <c r="H47" s="23">
        <f t="shared" si="2"/>
        <v>0</v>
      </c>
      <c r="I47" s="23">
        <f t="shared" si="3"/>
        <v>0</v>
      </c>
      <c r="J47" s="23">
        <f>IF(ISBLANK('GRUPO G'!$G19),0,IF(ISBLANK('GRUPO G'!$I19),0,1))</f>
        <v>0</v>
      </c>
      <c r="L47" s="23" t="str">
        <f>equipos!G14</f>
        <v>Suiza</v>
      </c>
      <c r="M47">
        <f>A46+J47+J50</f>
        <v>0</v>
      </c>
      <c r="N47">
        <f>C46+H47+H50</f>
        <v>0</v>
      </c>
      <c r="O47">
        <f>B46+I47+I50</f>
        <v>0</v>
      </c>
      <c r="P47">
        <f t="shared" si="10"/>
        <v>0</v>
      </c>
      <c r="Q47">
        <f>E46+G47+G50</f>
        <v>0</v>
      </c>
      <c r="R47">
        <f>G46+E47+E50</f>
        <v>0</v>
      </c>
    </row>
    <row r="48" spans="1:18">
      <c r="A48" s="23">
        <f>IF(ISBLANK('GRUPO G'!$G20),0,IF(ISBLANK('GRUPO G'!$I20),0,1))</f>
        <v>0</v>
      </c>
      <c r="B48" s="23">
        <f t="shared" si="0"/>
        <v>0</v>
      </c>
      <c r="C48" s="23">
        <f t="shared" si="1"/>
        <v>0</v>
      </c>
      <c r="D48" s="23" t="str">
        <f>equipos!$G$15</f>
        <v>Camerún</v>
      </c>
      <c r="E48" s="23">
        <f>'GRUPO G'!G20</f>
        <v>0</v>
      </c>
      <c r="F48" s="23" t="str">
        <f>equipos!$G$13</f>
        <v>Serbia</v>
      </c>
      <c r="G48" s="23">
        <f>'GRUPO G'!I20</f>
        <v>0</v>
      </c>
      <c r="H48" s="23">
        <f t="shared" si="2"/>
        <v>0</v>
      </c>
      <c r="I48" s="23">
        <f t="shared" si="3"/>
        <v>0</v>
      </c>
      <c r="J48" s="23">
        <f>IF(ISBLANK('GRUPO G'!$G20),0,IF(ISBLANK('GRUPO G'!$I20),0,1))</f>
        <v>0</v>
      </c>
      <c r="L48" s="23" t="str">
        <f>equipos!G15</f>
        <v>Camerún</v>
      </c>
      <c r="M48">
        <f>J46+A48+A49</f>
        <v>0</v>
      </c>
      <c r="N48">
        <f>H46+C48+C49</f>
        <v>0</v>
      </c>
      <c r="O48">
        <f>I46+B48+B49</f>
        <v>0</v>
      </c>
      <c r="P48">
        <f t="shared" si="10"/>
        <v>0</v>
      </c>
      <c r="Q48">
        <f>G46+E48+E49</f>
        <v>0</v>
      </c>
      <c r="R48">
        <f>E46+G48+G49</f>
        <v>0</v>
      </c>
    </row>
    <row r="49" spans="1:18">
      <c r="A49" s="23">
        <f>IF(ISBLANK('GRUPO G'!$G21),0,IF(ISBLANK('GRUPO G'!$I21),0,1))</f>
        <v>0</v>
      </c>
      <c r="B49" s="23">
        <f t="shared" si="0"/>
        <v>0</v>
      </c>
      <c r="C49" s="23">
        <f t="shared" si="1"/>
        <v>0</v>
      </c>
      <c r="D49" s="23" t="str">
        <f>equipos!$G$15</f>
        <v>Camerún</v>
      </c>
      <c r="E49" s="23">
        <f>'GRUPO G'!G21</f>
        <v>0</v>
      </c>
      <c r="F49" s="23" t="str">
        <f>equipos!$G$12</f>
        <v>Brasil</v>
      </c>
      <c r="G49" s="23">
        <f>'GRUPO G'!I21</f>
        <v>0</v>
      </c>
      <c r="H49" s="23">
        <f t="shared" si="2"/>
        <v>0</v>
      </c>
      <c r="I49" s="23">
        <f t="shared" si="3"/>
        <v>0</v>
      </c>
      <c r="J49" s="23">
        <f>IF(ISBLANK('GRUPO G'!$G21),0,IF(ISBLANK('GRUPO G'!$I21),0,1))</f>
        <v>0</v>
      </c>
    </row>
    <row r="50" spans="1:18">
      <c r="A50" s="23">
        <f>IF(ISBLANK('GRUPO G'!$G22),0,IF(ISBLANK('GRUPO G'!$I22),0,1))</f>
        <v>0</v>
      </c>
      <c r="B50" s="23">
        <f t="shared" si="0"/>
        <v>0</v>
      </c>
      <c r="C50" s="23">
        <f t="shared" si="1"/>
        <v>0</v>
      </c>
      <c r="D50" s="23" t="str">
        <f>equipos!$G$13</f>
        <v>Serbia</v>
      </c>
      <c r="E50" s="23">
        <f>'GRUPO G'!G22</f>
        <v>0</v>
      </c>
      <c r="F50" s="23" t="str">
        <f>equipos!$G$14</f>
        <v>Suiza</v>
      </c>
      <c r="G50" s="23">
        <f>'GRUPO G'!I22</f>
        <v>0</v>
      </c>
      <c r="H50" s="23">
        <f t="shared" si="2"/>
        <v>0</v>
      </c>
      <c r="I50" s="23">
        <f t="shared" si="3"/>
        <v>0</v>
      </c>
      <c r="J50" s="23">
        <f>IF(ISBLANK('GRUPO G'!$G22),0,IF(ISBLANK('GRUPO G'!$I22),0,1))</f>
        <v>0</v>
      </c>
    </row>
    <row r="51" spans="1:18">
      <c r="A51" s="23"/>
      <c r="B51" s="23"/>
      <c r="C51" s="23"/>
      <c r="D51" s="188" t="s">
        <v>14</v>
      </c>
      <c r="E51" s="188"/>
      <c r="F51" s="188"/>
      <c r="G51" s="188"/>
      <c r="H51" s="23"/>
      <c r="I51" s="23"/>
      <c r="J51" s="23"/>
      <c r="M51" s="28" t="s">
        <v>5</v>
      </c>
      <c r="N51" s="28" t="s">
        <v>107</v>
      </c>
      <c r="O51" s="28" t="s">
        <v>108</v>
      </c>
      <c r="P51" s="28" t="s">
        <v>109</v>
      </c>
      <c r="Q51" s="28" t="s">
        <v>33</v>
      </c>
      <c r="R51" s="28" t="s">
        <v>34</v>
      </c>
    </row>
    <row r="52" spans="1:18">
      <c r="A52" s="23">
        <f>IF(ISBLANK('GRUPO H'!$G17),0,IF(ISBLANK('GRUPO H'!$I17),0,1))</f>
        <v>0</v>
      </c>
      <c r="B52" s="23">
        <f t="shared" si="0"/>
        <v>0</v>
      </c>
      <c r="C52" s="23">
        <f t="shared" si="1"/>
        <v>0</v>
      </c>
      <c r="D52" s="23" t="str">
        <f>equipos!$G$17</f>
        <v>Portugal</v>
      </c>
      <c r="E52" s="23">
        <f>'GRUPO H'!G17</f>
        <v>0</v>
      </c>
      <c r="F52" s="23" t="str">
        <f>equipos!$G$18</f>
        <v>Ghana</v>
      </c>
      <c r="G52" s="23">
        <f>'GRUPO H'!I17</f>
        <v>0</v>
      </c>
      <c r="H52" s="23">
        <f t="shared" si="2"/>
        <v>0</v>
      </c>
      <c r="I52" s="23">
        <f t="shared" si="3"/>
        <v>0</v>
      </c>
      <c r="J52" s="23">
        <f>IF(ISBLANK('GRUPO H'!$G17),0,IF(ISBLANK('GRUPO H'!$I17),0,1))</f>
        <v>0</v>
      </c>
      <c r="L52" s="23" t="str">
        <f>equipos!G17</f>
        <v>Portugal</v>
      </c>
      <c r="M52">
        <f>A52+A54+J56</f>
        <v>0</v>
      </c>
      <c r="N52">
        <f>C52+C54+H56</f>
        <v>0</v>
      </c>
      <c r="O52">
        <f>B52+B54+I56</f>
        <v>0</v>
      </c>
      <c r="P52">
        <f>M52-(N52+O52)</f>
        <v>0</v>
      </c>
      <c r="Q52">
        <f>E52+E54+G56</f>
        <v>0</v>
      </c>
      <c r="R52">
        <f>G52+G54+E56</f>
        <v>0</v>
      </c>
    </row>
    <row r="53" spans="1:18">
      <c r="A53" s="23">
        <f>IF(ISBLANK('GRUPO H'!$G18),0,IF(ISBLANK('GRUPO H'!$I18),0,1))</f>
        <v>0</v>
      </c>
      <c r="B53" s="23">
        <f t="shared" si="0"/>
        <v>0</v>
      </c>
      <c r="C53" s="23">
        <f t="shared" si="1"/>
        <v>0</v>
      </c>
      <c r="D53" s="23" t="str">
        <f>equipos!$G$19</f>
        <v>Uruguay</v>
      </c>
      <c r="E53" s="23">
        <f>'GRUPO H'!G18</f>
        <v>0</v>
      </c>
      <c r="F53" s="23" t="str">
        <f>equipos!$G$20</f>
        <v>Corea del Sur</v>
      </c>
      <c r="G53" s="23">
        <f>'GRUPO H'!I18</f>
        <v>0</v>
      </c>
      <c r="H53" s="23">
        <f t="shared" si="2"/>
        <v>0</v>
      </c>
      <c r="I53" s="23">
        <f t="shared" si="3"/>
        <v>0</v>
      </c>
      <c r="J53" s="23">
        <f>IF(ISBLANK('GRUPO H'!$G18),0,IF(ISBLANK('GRUPO H'!$I18),0,1))</f>
        <v>0</v>
      </c>
      <c r="L53" s="23" t="str">
        <f>equipos!G18</f>
        <v>Ghana</v>
      </c>
      <c r="M53">
        <f>J52+J55+A57</f>
        <v>0</v>
      </c>
      <c r="N53">
        <f>H52+H55+C57</f>
        <v>0</v>
      </c>
      <c r="O53">
        <f>I52+I55+B57</f>
        <v>0</v>
      </c>
      <c r="P53">
        <f t="shared" ref="P53:P55" si="11">M53-(N53+O53)</f>
        <v>0</v>
      </c>
      <c r="Q53">
        <f>G52+G55+E57</f>
        <v>0</v>
      </c>
      <c r="R53">
        <f>E52+E55+G57</f>
        <v>0</v>
      </c>
    </row>
    <row r="54" spans="1:18">
      <c r="A54" s="23">
        <f>IF(ISBLANK('GRUPO H'!$G19),0,IF(ISBLANK('GRUPO H'!$I19),0,1))</f>
        <v>0</v>
      </c>
      <c r="B54" s="23">
        <f t="shared" si="0"/>
        <v>0</v>
      </c>
      <c r="C54" s="23">
        <f t="shared" si="1"/>
        <v>0</v>
      </c>
      <c r="D54" s="23" t="str">
        <f>equipos!$G$17</f>
        <v>Portugal</v>
      </c>
      <c r="E54" s="23">
        <f>'GRUPO H'!G19</f>
        <v>0</v>
      </c>
      <c r="F54" s="23" t="str">
        <f>equipos!$G$19</f>
        <v>Uruguay</v>
      </c>
      <c r="G54" s="23">
        <f>'GRUPO H'!I19</f>
        <v>0</v>
      </c>
      <c r="H54" s="23">
        <f t="shared" si="2"/>
        <v>0</v>
      </c>
      <c r="I54" s="23">
        <f t="shared" si="3"/>
        <v>0</v>
      </c>
      <c r="J54" s="23">
        <f>IF(ISBLANK('GRUPO H'!$G19),0,IF(ISBLANK('GRUPO H'!$I19),0,1))</f>
        <v>0</v>
      </c>
      <c r="L54" s="23" t="str">
        <f>equipos!G19</f>
        <v>Uruguay</v>
      </c>
      <c r="M54">
        <f>A53+J54+J57</f>
        <v>0</v>
      </c>
      <c r="N54">
        <f>C53+H54+H57</f>
        <v>0</v>
      </c>
      <c r="O54">
        <f>B53+I54+I57</f>
        <v>0</v>
      </c>
      <c r="P54">
        <f t="shared" si="11"/>
        <v>0</v>
      </c>
      <c r="Q54">
        <f>E53+G54+G57</f>
        <v>0</v>
      </c>
      <c r="R54">
        <f>G53+E54+E57</f>
        <v>0</v>
      </c>
    </row>
    <row r="55" spans="1:18">
      <c r="A55" s="23">
        <f>IF(ISBLANK('GRUPO H'!$G20),0,IF(ISBLANK('GRUPO H'!$I20),0,1))</f>
        <v>0</v>
      </c>
      <c r="B55" s="23">
        <f t="shared" si="0"/>
        <v>0</v>
      </c>
      <c r="C55" s="23">
        <f t="shared" si="1"/>
        <v>0</v>
      </c>
      <c r="D55" s="23" t="str">
        <f>equipos!$G$20</f>
        <v>Corea del Sur</v>
      </c>
      <c r="E55" s="23">
        <f>'GRUPO H'!G20</f>
        <v>0</v>
      </c>
      <c r="F55" s="23" t="str">
        <f>equipos!$G$18</f>
        <v>Ghana</v>
      </c>
      <c r="G55" s="23">
        <f>'GRUPO H'!I20</f>
        <v>0</v>
      </c>
      <c r="H55" s="23">
        <f t="shared" si="2"/>
        <v>0</v>
      </c>
      <c r="I55" s="23">
        <f t="shared" si="3"/>
        <v>0</v>
      </c>
      <c r="J55" s="23">
        <f>IF(ISBLANK('GRUPO H'!$G20),0,IF(ISBLANK('GRUPO H'!$I20),0,1))</f>
        <v>0</v>
      </c>
      <c r="L55" s="23" t="str">
        <f>equipos!G20</f>
        <v>Corea del Sur</v>
      </c>
      <c r="M55">
        <f>J53+A55+A56</f>
        <v>0</v>
      </c>
      <c r="N55">
        <f>H53+C55+C56</f>
        <v>0</v>
      </c>
      <c r="O55">
        <f>I53+B55+B56</f>
        <v>0</v>
      </c>
      <c r="P55">
        <f t="shared" si="11"/>
        <v>0</v>
      </c>
      <c r="Q55">
        <f>G53+E55+E56</f>
        <v>0</v>
      </c>
      <c r="R55">
        <f>E53+G55+G56</f>
        <v>0</v>
      </c>
    </row>
    <row r="56" spans="1:18">
      <c r="A56" s="23">
        <f>IF(ISBLANK('GRUPO H'!$G21),0,IF(ISBLANK('GRUPO H'!$I21),0,1))</f>
        <v>0</v>
      </c>
      <c r="B56" s="23">
        <f t="shared" si="0"/>
        <v>0</v>
      </c>
      <c r="C56" s="23">
        <f t="shared" si="1"/>
        <v>0</v>
      </c>
      <c r="D56" s="23" t="str">
        <f>equipos!$G$20</f>
        <v>Corea del Sur</v>
      </c>
      <c r="E56" s="23">
        <f>'GRUPO H'!G21</f>
        <v>0</v>
      </c>
      <c r="F56" s="23" t="str">
        <f>equipos!$G$17</f>
        <v>Portugal</v>
      </c>
      <c r="G56" s="23">
        <f>'GRUPO H'!I21</f>
        <v>0</v>
      </c>
      <c r="H56" s="23">
        <f t="shared" si="2"/>
        <v>0</v>
      </c>
      <c r="I56" s="23">
        <f t="shared" si="3"/>
        <v>0</v>
      </c>
      <c r="J56" s="23">
        <f>IF(ISBLANK('GRUPO H'!$G21),0,IF(ISBLANK('GRUPO H'!$I21),0,1))</f>
        <v>0</v>
      </c>
    </row>
    <row r="57" spans="1:18">
      <c r="A57" s="23">
        <f>IF(ISBLANK('GRUPO H'!$G22),0,IF(ISBLANK('GRUPO H'!$I22),0,1))</f>
        <v>0</v>
      </c>
      <c r="B57" s="23">
        <f t="shared" si="0"/>
        <v>0</v>
      </c>
      <c r="C57" s="23">
        <f t="shared" si="1"/>
        <v>0</v>
      </c>
      <c r="D57" s="23" t="str">
        <f>equipos!$G$18</f>
        <v>Ghana</v>
      </c>
      <c r="E57" s="23">
        <f>'GRUPO H'!G22</f>
        <v>0</v>
      </c>
      <c r="F57" s="23" t="str">
        <f>equipos!$G$19</f>
        <v>Uruguay</v>
      </c>
      <c r="G57" s="23">
        <f>'GRUPO H'!I22</f>
        <v>0</v>
      </c>
      <c r="H57" s="23">
        <f t="shared" si="2"/>
        <v>0</v>
      </c>
      <c r="I57" s="23">
        <f t="shared" si="3"/>
        <v>0</v>
      </c>
      <c r="J57" s="23">
        <f>IF(ISBLANK('GRUPO H'!$G22),0,IF(ISBLANK('GRUPO H'!$I22),0,1))</f>
        <v>0</v>
      </c>
    </row>
  </sheetData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U38"/>
  <sheetViews>
    <sheetView showGridLines="0" showRowColHeaders="0" zoomScale="80" zoomScaleNormal="80" workbookViewId="0">
      <selection activeCell="G17" sqref="G17"/>
    </sheetView>
  </sheetViews>
  <sheetFormatPr baseColWidth="10" defaultColWidth="0" defaultRowHeight="13.2" zeroHeight="1"/>
  <cols>
    <col min="1" max="1" width="5.5546875" style="1" customWidth="1"/>
    <col min="2" max="2" width="12.33203125" style="1" bestFit="1" customWidth="1"/>
    <col min="3" max="3" width="13.6640625" style="1" bestFit="1" customWidth="1"/>
    <col min="4" max="4" width="33.33203125" style="1" customWidth="1"/>
    <col min="5" max="5" width="15.33203125" style="1" customWidth="1"/>
    <col min="6" max="6" width="16.109375" style="1" customWidth="1"/>
    <col min="7" max="7" width="3.6640625" style="1" customWidth="1"/>
    <col min="8" max="8" width="16.88671875" style="1" customWidth="1"/>
    <col min="9" max="9" width="3.6640625" style="1" customWidth="1"/>
    <col min="10" max="11" width="2.77734375" style="1" customWidth="1"/>
    <col min="12" max="12" width="14.6640625" style="100" customWidth="1"/>
    <col min="13" max="19" width="4.33203125" style="100" customWidth="1"/>
    <col min="20" max="20" width="3.33203125" style="100" customWidth="1"/>
    <col min="21" max="21" width="5.77734375" style="100" customWidth="1"/>
    <col min="22" max="16384" width="11.44140625" style="100" hidden="1"/>
  </cols>
  <sheetData>
    <row r="1" spans="2:20" s="1" customFormat="1">
      <c r="D1" s="63"/>
      <c r="E1" s="64"/>
    </row>
    <row r="2" spans="2:20" s="1" customFormat="1"/>
    <row r="3" spans="2:20" s="1" customFormat="1">
      <c r="D3" s="65"/>
      <c r="E3" s="66"/>
    </row>
    <row r="4" spans="2:20" s="1" customFormat="1">
      <c r="H4" s="67"/>
    </row>
    <row r="5" spans="2:20" s="1" customFormat="1" ht="13.8">
      <c r="B5" s="123" t="s">
        <v>125</v>
      </c>
      <c r="C5" s="124" t="s">
        <v>93</v>
      </c>
    </row>
    <row r="6" spans="2:20" s="1" customFormat="1" ht="13.8">
      <c r="B6" s="74">
        <f ca="1">TODAY()</f>
        <v>44792</v>
      </c>
      <c r="C6" s="75">
        <f ca="1">NOW()</f>
        <v>44792.484030092593</v>
      </c>
    </row>
    <row r="7" spans="2:20" s="1" customFormat="1"/>
    <row r="8" spans="2:20" s="1" customFormat="1"/>
    <row r="9" spans="2:20" s="1" customFormat="1"/>
    <row r="10" spans="2:20" s="1" customFormat="1"/>
    <row r="11" spans="2:20" s="1" customFormat="1"/>
    <row r="12" spans="2:20" s="1" customFormat="1" ht="12.75" customHeight="1">
      <c r="B12" s="40"/>
      <c r="C12" s="168" t="s">
        <v>1</v>
      </c>
      <c r="D12" s="168"/>
      <c r="E12" s="168"/>
      <c r="F12" s="168"/>
      <c r="G12" s="41"/>
      <c r="H12" s="41"/>
      <c r="I12" s="42"/>
    </row>
    <row r="13" spans="2:20" s="1" customFormat="1" ht="13.5" customHeight="1">
      <c r="B13" s="43"/>
      <c r="C13" s="169"/>
      <c r="D13" s="169"/>
      <c r="E13" s="169"/>
      <c r="F13" s="169"/>
      <c r="G13" s="44"/>
      <c r="H13" s="44"/>
      <c r="I13" s="45"/>
    </row>
    <row r="14" spans="2:20" s="1" customFormat="1">
      <c r="B14" s="46"/>
      <c r="C14" s="170"/>
      <c r="D14" s="170"/>
      <c r="E14" s="170"/>
      <c r="F14" s="170"/>
      <c r="G14" s="47"/>
      <c r="H14" s="47"/>
      <c r="I14" s="48"/>
    </row>
    <row r="15" spans="2:20" s="1" customFormat="1" ht="13.8" thickBot="1"/>
    <row r="16" spans="2:20" s="1" customFormat="1" ht="14.4" thickBot="1">
      <c r="B16" s="76" t="s">
        <v>92</v>
      </c>
      <c r="C16" s="77" t="s">
        <v>93</v>
      </c>
      <c r="D16" s="77" t="s">
        <v>2</v>
      </c>
      <c r="E16" s="77" t="s">
        <v>3</v>
      </c>
      <c r="F16" s="163" t="s">
        <v>4</v>
      </c>
      <c r="G16" s="163"/>
      <c r="H16" s="163"/>
      <c r="I16" s="164"/>
      <c r="L16" s="94" t="str">
        <f>'Primera Ronda'!K4</f>
        <v>Equipo</v>
      </c>
      <c r="M16" s="95" t="str">
        <f>'Primera Ronda'!L4</f>
        <v>G</v>
      </c>
      <c r="N16" s="95" t="str">
        <f>'Primera Ronda'!M4</f>
        <v>E</v>
      </c>
      <c r="O16" s="95" t="str">
        <f>'Primera Ronda'!N4</f>
        <v>P</v>
      </c>
      <c r="P16" s="95" t="str">
        <f>'Primera Ronda'!O4</f>
        <v>GF</v>
      </c>
      <c r="Q16" s="95" t="str">
        <f>'Primera Ronda'!P4</f>
        <v>GC</v>
      </c>
      <c r="R16" s="95" t="str">
        <f>'Primera Ronda'!Q4</f>
        <v>DG</v>
      </c>
      <c r="S16" s="95" t="str">
        <f>'Primera Ronda'!R4</f>
        <v>Pts.</v>
      </c>
      <c r="T16" s="95" t="s">
        <v>5</v>
      </c>
    </row>
    <row r="17" spans="2:20" s="1" customFormat="1" ht="13.8">
      <c r="B17" s="102">
        <v>44885</v>
      </c>
      <c r="C17" s="103">
        <f>Turno5</f>
        <v>0.79166666666666674</v>
      </c>
      <c r="D17" s="104" t="s">
        <v>143</v>
      </c>
      <c r="E17" s="105" t="str">
        <f t="shared" ref="E17:E22" ca="1" si="0">IF(OR(B17="",C17="",B17&lt;$B$6),"Finalizado",IF(B17=$B$6,IF(AND(C17&lt;=$Q$22,$Q$22&lt;=(C17+0.08333333333)),"En juego",IF($Q$22&lt;C17,"HOY!","Finalizado")),IF($B$6&gt;B17,"Finalizado","Proximamente..")))</f>
        <v>Proximamente..</v>
      </c>
      <c r="F17" s="106" t="str">
        <f>equipos!$D$2</f>
        <v>Qatar</v>
      </c>
      <c r="G17" s="107"/>
      <c r="H17" s="106" t="str">
        <f>equipos!$D$3</f>
        <v>Ecuador</v>
      </c>
      <c r="I17" s="108"/>
      <c r="L17" s="96" t="str">
        <f>'Primera Ronda'!K5</f>
        <v>Qatar</v>
      </c>
      <c r="M17" s="97">
        <f>'Primera Ronda'!L5</f>
        <v>0</v>
      </c>
      <c r="N17" s="97">
        <f>'Primera Ronda'!M5</f>
        <v>0</v>
      </c>
      <c r="O17" s="97">
        <f>'Primera Ronda'!N5</f>
        <v>0</v>
      </c>
      <c r="P17" s="97">
        <f>'Primera Ronda'!O5</f>
        <v>0</v>
      </c>
      <c r="Q17" s="97">
        <f>'Primera Ronda'!P5</f>
        <v>0</v>
      </c>
      <c r="R17" s="97">
        <f>'Primera Ronda'!Q5</f>
        <v>0</v>
      </c>
      <c r="S17" s="97">
        <f>'Primera Ronda'!R5</f>
        <v>0</v>
      </c>
      <c r="T17" s="97">
        <f>SUM(M17:O17)</f>
        <v>0</v>
      </c>
    </row>
    <row r="18" spans="2:20" s="1" customFormat="1" ht="13.8">
      <c r="B18" s="109">
        <v>44886</v>
      </c>
      <c r="C18" s="110">
        <f>Turno5</f>
        <v>0.79166666666666674</v>
      </c>
      <c r="D18" s="111" t="s">
        <v>144</v>
      </c>
      <c r="E18" s="112" t="str">
        <f t="shared" ca="1" si="0"/>
        <v>Proximamente..</v>
      </c>
      <c r="F18" s="113" t="str">
        <f>equipos!$D$4</f>
        <v>Senegal</v>
      </c>
      <c r="G18" s="114"/>
      <c r="H18" s="113" t="str">
        <f>equipos!$D$5</f>
        <v>Países Bajos</v>
      </c>
      <c r="I18" s="115"/>
      <c r="L18" s="96" t="str">
        <f>'Primera Ronda'!K6</f>
        <v>Ecuador</v>
      </c>
      <c r="M18" s="97">
        <f>'Primera Ronda'!L6</f>
        <v>0</v>
      </c>
      <c r="N18" s="97">
        <f>'Primera Ronda'!M6</f>
        <v>0</v>
      </c>
      <c r="O18" s="97">
        <f>'Primera Ronda'!N6</f>
        <v>0</v>
      </c>
      <c r="P18" s="97">
        <f>'Primera Ronda'!O6</f>
        <v>0</v>
      </c>
      <c r="Q18" s="97">
        <f>'Primera Ronda'!P6</f>
        <v>0</v>
      </c>
      <c r="R18" s="97">
        <f>'Primera Ronda'!Q6</f>
        <v>0</v>
      </c>
      <c r="S18" s="97">
        <f>'Primera Ronda'!R6</f>
        <v>0</v>
      </c>
      <c r="T18" s="97">
        <f>SUM(M18:O18)</f>
        <v>0</v>
      </c>
    </row>
    <row r="19" spans="2:20" s="1" customFormat="1" ht="13.8">
      <c r="B19" s="109">
        <v>44890</v>
      </c>
      <c r="C19" s="110">
        <f>Turno3</f>
        <v>0.66666666666666674</v>
      </c>
      <c r="D19" s="111" t="s">
        <v>144</v>
      </c>
      <c r="E19" s="112" t="str">
        <f t="shared" ca="1" si="0"/>
        <v>Proximamente..</v>
      </c>
      <c r="F19" s="113" t="str">
        <f>equipos!$D$2</f>
        <v>Qatar</v>
      </c>
      <c r="G19" s="114"/>
      <c r="H19" s="113" t="str">
        <f>equipos!$D$4</f>
        <v>Senegal</v>
      </c>
      <c r="I19" s="115"/>
      <c r="L19" s="96" t="str">
        <f>'Primera Ronda'!K7</f>
        <v>Senegal</v>
      </c>
      <c r="M19" s="97">
        <f>'Primera Ronda'!L7</f>
        <v>0</v>
      </c>
      <c r="N19" s="97">
        <f>'Primera Ronda'!M7</f>
        <v>0</v>
      </c>
      <c r="O19" s="97">
        <f>'Primera Ronda'!N7</f>
        <v>0</v>
      </c>
      <c r="P19" s="97">
        <f>'Primera Ronda'!O7</f>
        <v>0</v>
      </c>
      <c r="Q19" s="97">
        <f>'Primera Ronda'!P7</f>
        <v>0</v>
      </c>
      <c r="R19" s="97">
        <f>'Primera Ronda'!Q7</f>
        <v>0</v>
      </c>
      <c r="S19" s="97">
        <f>'Primera Ronda'!R7</f>
        <v>0</v>
      </c>
      <c r="T19" s="97">
        <f>SUM(M19:O19)</f>
        <v>0</v>
      </c>
    </row>
    <row r="20" spans="2:20" s="1" customFormat="1" ht="14.4" thickBot="1">
      <c r="B20" s="109">
        <v>44890</v>
      </c>
      <c r="C20" s="103">
        <f>Turno5</f>
        <v>0.79166666666666674</v>
      </c>
      <c r="D20" s="111" t="s">
        <v>145</v>
      </c>
      <c r="E20" s="112" t="str">
        <f t="shared" ca="1" si="0"/>
        <v>Proximamente..</v>
      </c>
      <c r="F20" s="113" t="str">
        <f>equipos!$D$5</f>
        <v>Países Bajos</v>
      </c>
      <c r="G20" s="114"/>
      <c r="H20" s="113" t="str">
        <f>equipos!$D$3</f>
        <v>Ecuador</v>
      </c>
      <c r="I20" s="115"/>
      <c r="L20" s="98" t="str">
        <f>'Primera Ronda'!K8</f>
        <v>Países Bajos</v>
      </c>
      <c r="M20" s="99">
        <f>'Primera Ronda'!L8</f>
        <v>0</v>
      </c>
      <c r="N20" s="99">
        <f>'Primera Ronda'!M8</f>
        <v>0</v>
      </c>
      <c r="O20" s="99">
        <f>'Primera Ronda'!N8</f>
        <v>0</v>
      </c>
      <c r="P20" s="99">
        <f>'Primera Ronda'!O8</f>
        <v>0</v>
      </c>
      <c r="Q20" s="99">
        <f>'Primera Ronda'!P8</f>
        <v>0</v>
      </c>
      <c r="R20" s="99">
        <f>'Primera Ronda'!Q8</f>
        <v>0</v>
      </c>
      <c r="S20" s="99">
        <f>'Primera Ronda'!R8</f>
        <v>0</v>
      </c>
      <c r="T20" s="99">
        <f>SUM(M20:O20)</f>
        <v>0</v>
      </c>
    </row>
    <row r="21" spans="2:20" s="1" customFormat="1" ht="14.4" thickBot="1">
      <c r="B21" s="109">
        <v>44894</v>
      </c>
      <c r="C21" s="110">
        <f>Turno4</f>
        <v>0.75</v>
      </c>
      <c r="D21" s="111" t="s">
        <v>143</v>
      </c>
      <c r="E21" s="112" t="str">
        <f t="shared" ca="1" si="0"/>
        <v>Proximamente..</v>
      </c>
      <c r="F21" s="113" t="str">
        <f>equipos!$D$5</f>
        <v>Países Bajos</v>
      </c>
      <c r="G21" s="114"/>
      <c r="H21" s="113" t="str">
        <f>equipos!$D$2</f>
        <v>Qatar</v>
      </c>
      <c r="I21" s="115"/>
    </row>
    <row r="22" spans="2:20" s="1" customFormat="1" ht="13.8">
      <c r="B22" s="116">
        <v>44894</v>
      </c>
      <c r="C22" s="117">
        <f>Turno4</f>
        <v>0.75</v>
      </c>
      <c r="D22" s="118" t="s">
        <v>145</v>
      </c>
      <c r="E22" s="119" t="str">
        <f t="shared" ca="1" si="0"/>
        <v>Proximamente..</v>
      </c>
      <c r="F22" s="120" t="str">
        <f>equipos!$D$3</f>
        <v>Ecuador</v>
      </c>
      <c r="G22" s="121"/>
      <c r="H22" s="120" t="str">
        <f>equipos!$D$4</f>
        <v>Senegal</v>
      </c>
      <c r="I22" s="122"/>
      <c r="L22" s="165" t="s">
        <v>6</v>
      </c>
      <c r="M22" s="165"/>
      <c r="N22" s="165"/>
      <c r="O22" s="165"/>
      <c r="Q22" s="72">
        <f ca="1">TIME(Q23,Q24,0)</f>
        <v>0.48402777777777778</v>
      </c>
    </row>
    <row r="23" spans="2:20" s="1" customFormat="1" ht="13.8">
      <c r="L23" s="166" t="str">
        <f>IF(T17=3,L17,"1A")</f>
        <v>1A</v>
      </c>
      <c r="M23" s="166"/>
      <c r="N23" s="166"/>
      <c r="O23" s="166"/>
      <c r="Q23" s="73">
        <f ca="1">HOUR(C6)</f>
        <v>11</v>
      </c>
    </row>
    <row r="24" spans="2:20" s="1" customFormat="1" ht="12.75" customHeight="1" thickBot="1">
      <c r="L24" s="167" t="str">
        <f>IF(T18=3,L18,"2A")</f>
        <v>2A</v>
      </c>
      <c r="M24" s="167"/>
      <c r="N24" s="167"/>
      <c r="O24" s="167"/>
      <c r="Q24" s="73">
        <f ca="1">MINUTE(C6)</f>
        <v>37</v>
      </c>
    </row>
    <row r="25" spans="2:20"/>
    <row r="26" spans="2:20"/>
    <row r="27" spans="2:20"/>
    <row r="28" spans="2:20"/>
    <row r="29" spans="2:20"/>
    <row r="30" spans="2:20"/>
    <row r="31" spans="2:20">
      <c r="D31" s="34"/>
      <c r="R31" s="101"/>
    </row>
    <row r="32" spans="2:20"/>
    <row r="33" spans="4:8"/>
    <row r="34" spans="4:8"/>
    <row r="35" spans="4:8">
      <c r="D35" s="34"/>
    </row>
    <row r="36" spans="4:8"/>
    <row r="37" spans="4:8"/>
    <row r="38" spans="4:8" hidden="1">
      <c r="H38" s="34"/>
    </row>
  </sheetData>
  <sheetProtection sheet="1" objects="1" scenarios="1" selectLockedCells="1"/>
  <mergeCells count="5">
    <mergeCell ref="F16:I16"/>
    <mergeCell ref="L22:O22"/>
    <mergeCell ref="L23:O23"/>
    <mergeCell ref="L24:O24"/>
    <mergeCell ref="C12:F14"/>
  </mergeCells>
  <conditionalFormatting sqref="E17:E22">
    <cfRule type="cellIs" dxfId="23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U41"/>
  <sheetViews>
    <sheetView showGridLines="0" showRowColHeaders="0" zoomScale="80" zoomScaleNormal="80" workbookViewId="0">
      <selection activeCell="G17" sqref="G17"/>
    </sheetView>
  </sheetViews>
  <sheetFormatPr baseColWidth="10" defaultColWidth="0" defaultRowHeight="13.2" zeroHeight="1"/>
  <cols>
    <col min="1" max="1" width="5.5546875" style="1" customWidth="1"/>
    <col min="2" max="2" width="12.33203125" style="1" bestFit="1" customWidth="1"/>
    <col min="3" max="3" width="13.6640625" style="1" bestFit="1" customWidth="1"/>
    <col min="4" max="4" width="33.33203125" style="1" customWidth="1"/>
    <col min="5" max="5" width="15.33203125" style="1" customWidth="1"/>
    <col min="6" max="6" width="16.109375" style="1" customWidth="1"/>
    <col min="7" max="7" width="3.6640625" style="1" customWidth="1"/>
    <col min="8" max="8" width="16.88671875" style="1" customWidth="1"/>
    <col min="9" max="9" width="3.6640625" style="1" customWidth="1"/>
    <col min="10" max="11" width="2.77734375" style="1" customWidth="1"/>
    <col min="12" max="12" width="14.6640625" style="1" customWidth="1"/>
    <col min="13" max="19" width="4.33203125" style="1" customWidth="1"/>
    <col min="20" max="20" width="3.33203125" style="1" customWidth="1"/>
    <col min="21" max="21" width="5.77734375" style="1" customWidth="1"/>
    <col min="22" max="16384" width="11.44140625" style="1" hidden="1"/>
  </cols>
  <sheetData>
    <row r="1" spans="2:20">
      <c r="D1" s="63"/>
      <c r="E1" s="64"/>
    </row>
    <row r="2" spans="2:20"/>
    <row r="3" spans="2:20">
      <c r="D3" s="65"/>
      <c r="E3" s="66"/>
    </row>
    <row r="4" spans="2:20">
      <c r="H4" s="67"/>
    </row>
    <row r="5" spans="2:20" ht="13.8">
      <c r="B5" s="123" t="s">
        <v>125</v>
      </c>
      <c r="C5" s="124" t="s">
        <v>93</v>
      </c>
    </row>
    <row r="6" spans="2:20" ht="13.8">
      <c r="B6" s="74">
        <f ca="1">TODAY()</f>
        <v>44792</v>
      </c>
      <c r="C6" s="75">
        <f ca="1">NOW()</f>
        <v>44792.484030092593</v>
      </c>
    </row>
    <row r="7" spans="2:20"/>
    <row r="8" spans="2:20"/>
    <row r="9" spans="2:20"/>
    <row r="10" spans="2:20"/>
    <row r="11" spans="2:20"/>
    <row r="12" spans="2:20" ht="12.75" customHeight="1">
      <c r="B12" s="40"/>
      <c r="C12" s="168" t="s">
        <v>7</v>
      </c>
      <c r="D12" s="168"/>
      <c r="E12" s="168"/>
      <c r="F12" s="168"/>
      <c r="G12" s="41"/>
      <c r="H12" s="41"/>
      <c r="I12" s="42"/>
    </row>
    <row r="13" spans="2:20" ht="13.5" customHeight="1">
      <c r="B13" s="43"/>
      <c r="C13" s="169"/>
      <c r="D13" s="169"/>
      <c r="E13" s="169"/>
      <c r="F13" s="169"/>
      <c r="G13" s="44"/>
      <c r="H13" s="44"/>
      <c r="I13" s="45"/>
    </row>
    <row r="14" spans="2:20">
      <c r="B14" s="46"/>
      <c r="C14" s="170"/>
      <c r="D14" s="170"/>
      <c r="E14" s="170"/>
      <c r="F14" s="170"/>
      <c r="G14" s="47"/>
      <c r="H14" s="47"/>
      <c r="I14" s="48"/>
    </row>
    <row r="15" spans="2:20" ht="13.8" thickBot="1"/>
    <row r="16" spans="2:20" ht="14.4" thickBot="1">
      <c r="B16" s="76" t="s">
        <v>92</v>
      </c>
      <c r="C16" s="77" t="s">
        <v>93</v>
      </c>
      <c r="D16" s="77" t="s">
        <v>2</v>
      </c>
      <c r="E16" s="77" t="s">
        <v>3</v>
      </c>
      <c r="F16" s="163" t="s">
        <v>4</v>
      </c>
      <c r="G16" s="163"/>
      <c r="H16" s="163"/>
      <c r="I16" s="164"/>
      <c r="L16" s="94" t="str">
        <f>'Primera Ronda'!K11</f>
        <v>Equipo</v>
      </c>
      <c r="M16" s="95" t="str">
        <f>'Primera Ronda'!L11</f>
        <v>G</v>
      </c>
      <c r="N16" s="95" t="str">
        <f>'Primera Ronda'!M11</f>
        <v>E</v>
      </c>
      <c r="O16" s="95" t="str">
        <f>'Primera Ronda'!N11</f>
        <v>P</v>
      </c>
      <c r="P16" s="95" t="str">
        <f>'Primera Ronda'!O11</f>
        <v>GF</v>
      </c>
      <c r="Q16" s="95" t="str">
        <f>'Primera Ronda'!P11</f>
        <v>GC</v>
      </c>
      <c r="R16" s="95" t="str">
        <f>'Primera Ronda'!Q11</f>
        <v>DG</v>
      </c>
      <c r="S16" s="95" t="str">
        <f>'Primera Ronda'!R11</f>
        <v>Pts.</v>
      </c>
      <c r="T16" s="95" t="str">
        <f>'Primera Ronda'!S11</f>
        <v>PJ</v>
      </c>
    </row>
    <row r="17" spans="2:20" ht="13.8">
      <c r="B17" s="79">
        <v>44886</v>
      </c>
      <c r="C17" s="80">
        <f>Turno3</f>
        <v>0.66666666666666674</v>
      </c>
      <c r="D17" s="81" t="s">
        <v>145</v>
      </c>
      <c r="E17" s="82" t="str">
        <f t="shared" ref="E17:E22" ca="1" si="0">IF(OR(B17="",C17="",B17&lt;$B$6),"Finalizado",IF(B17=$B$6,IF(AND(C17&lt;=$Q$22,$Q$22&lt;=(C17+0.08333333333)),"En juego",IF($Q$22&lt;C17,"HOY!","Finalizado")),IF($B$6&gt;B17,"Finalizado","Proximamente...")))</f>
        <v>Proximamente...</v>
      </c>
      <c r="F17" s="83" t="str">
        <f>equipos!$D$7</f>
        <v>Inglaterra</v>
      </c>
      <c r="G17" s="107"/>
      <c r="H17" s="83" t="str">
        <f>equipos!$D$8</f>
        <v>Irán</v>
      </c>
      <c r="I17" s="108"/>
      <c r="L17" s="96" t="str">
        <f>'Primera Ronda'!K12</f>
        <v>Inglaterra</v>
      </c>
      <c r="M17" s="97">
        <f>'Primera Ronda'!L12</f>
        <v>0</v>
      </c>
      <c r="N17" s="97">
        <f>'Primera Ronda'!M12</f>
        <v>0</v>
      </c>
      <c r="O17" s="97">
        <f>'Primera Ronda'!N12</f>
        <v>0</v>
      </c>
      <c r="P17" s="97">
        <f>'Primera Ronda'!O12</f>
        <v>0</v>
      </c>
      <c r="Q17" s="97">
        <f>'Primera Ronda'!P12</f>
        <v>0</v>
      </c>
      <c r="R17" s="97">
        <f>'Primera Ronda'!Q12</f>
        <v>0</v>
      </c>
      <c r="S17" s="97">
        <f>'Primera Ronda'!R12</f>
        <v>0</v>
      </c>
      <c r="T17" s="97">
        <f>'Primera Ronda'!S12</f>
        <v>0</v>
      </c>
    </row>
    <row r="18" spans="2:20" ht="13.8">
      <c r="B18" s="84">
        <v>44886</v>
      </c>
      <c r="C18" s="85">
        <f>Turno7</f>
        <v>0.91666666666666663</v>
      </c>
      <c r="D18" s="86" t="s">
        <v>146</v>
      </c>
      <c r="E18" s="87" t="str">
        <f t="shared" ca="1" si="0"/>
        <v>Proximamente...</v>
      </c>
      <c r="F18" s="88" t="str">
        <f>equipos!$D$9</f>
        <v>Estados Unidos</v>
      </c>
      <c r="G18" s="114"/>
      <c r="H18" s="88" t="str">
        <f>equipos!$D$10</f>
        <v>Gales</v>
      </c>
      <c r="I18" s="115"/>
      <c r="L18" s="96" t="str">
        <f>'Primera Ronda'!K13</f>
        <v>Irán</v>
      </c>
      <c r="M18" s="97">
        <f>'Primera Ronda'!L13</f>
        <v>0</v>
      </c>
      <c r="N18" s="97">
        <f>'Primera Ronda'!M13</f>
        <v>0</v>
      </c>
      <c r="O18" s="97">
        <f>'Primera Ronda'!N13</f>
        <v>0</v>
      </c>
      <c r="P18" s="97">
        <f>'Primera Ronda'!O13</f>
        <v>0</v>
      </c>
      <c r="Q18" s="97">
        <f>'Primera Ronda'!P13</f>
        <v>0</v>
      </c>
      <c r="R18" s="97">
        <f>'Primera Ronda'!Q13</f>
        <v>0</v>
      </c>
      <c r="S18" s="97">
        <f>'Primera Ronda'!R13</f>
        <v>0</v>
      </c>
      <c r="T18" s="97">
        <f>'Primera Ronda'!S13</f>
        <v>0</v>
      </c>
    </row>
    <row r="19" spans="2:20" ht="13.8">
      <c r="B19" s="84">
        <v>44890</v>
      </c>
      <c r="C19" s="85">
        <f>Turno7</f>
        <v>0.91666666666666663</v>
      </c>
      <c r="D19" s="86" t="s">
        <v>143</v>
      </c>
      <c r="E19" s="87" t="str">
        <f t="shared" ca="1" si="0"/>
        <v>Proximamente...</v>
      </c>
      <c r="F19" s="88" t="str">
        <f>equipos!$D$7</f>
        <v>Inglaterra</v>
      </c>
      <c r="G19" s="114"/>
      <c r="H19" s="88" t="str">
        <f>equipos!$D$9</f>
        <v>Estados Unidos</v>
      </c>
      <c r="I19" s="115"/>
      <c r="L19" s="96" t="str">
        <f>'Primera Ronda'!K14</f>
        <v>Estados Unidos</v>
      </c>
      <c r="M19" s="97">
        <f>'Primera Ronda'!L14</f>
        <v>0</v>
      </c>
      <c r="N19" s="97">
        <f>'Primera Ronda'!M14</f>
        <v>0</v>
      </c>
      <c r="O19" s="97">
        <f>'Primera Ronda'!N14</f>
        <v>0</v>
      </c>
      <c r="P19" s="97">
        <f>'Primera Ronda'!O14</f>
        <v>0</v>
      </c>
      <c r="Q19" s="97">
        <f>'Primera Ronda'!P14</f>
        <v>0</v>
      </c>
      <c r="R19" s="97">
        <f>'Primera Ronda'!Q14</f>
        <v>0</v>
      </c>
      <c r="S19" s="97">
        <f>'Primera Ronda'!R14</f>
        <v>0</v>
      </c>
      <c r="T19" s="97">
        <f>'Primera Ronda'!S14</f>
        <v>0</v>
      </c>
    </row>
    <row r="20" spans="2:20" ht="14.4" thickBot="1">
      <c r="B20" s="84">
        <v>44890</v>
      </c>
      <c r="C20" s="85">
        <f>Turno1</f>
        <v>0.54166666666666663</v>
      </c>
      <c r="D20" s="86" t="s">
        <v>146</v>
      </c>
      <c r="E20" s="87" t="str">
        <f t="shared" ca="1" si="0"/>
        <v>Proximamente...</v>
      </c>
      <c r="F20" s="88" t="str">
        <f>equipos!$D$10</f>
        <v>Gales</v>
      </c>
      <c r="G20" s="114"/>
      <c r="H20" s="88" t="str">
        <f>equipos!$D$8</f>
        <v>Irán</v>
      </c>
      <c r="I20" s="115"/>
      <c r="L20" s="98" t="str">
        <f>'Primera Ronda'!K15</f>
        <v>Gales</v>
      </c>
      <c r="M20" s="99">
        <f>'Primera Ronda'!L15</f>
        <v>0</v>
      </c>
      <c r="N20" s="99">
        <f>'Primera Ronda'!M15</f>
        <v>0</v>
      </c>
      <c r="O20" s="99">
        <f>'Primera Ronda'!N15</f>
        <v>0</v>
      </c>
      <c r="P20" s="99">
        <f>'Primera Ronda'!O15</f>
        <v>0</v>
      </c>
      <c r="Q20" s="99">
        <f>'Primera Ronda'!P15</f>
        <v>0</v>
      </c>
      <c r="R20" s="99">
        <f>'Primera Ronda'!Q15</f>
        <v>0</v>
      </c>
      <c r="S20" s="99">
        <f>'Primera Ronda'!R15</f>
        <v>0</v>
      </c>
      <c r="T20" s="99">
        <f>'Primera Ronda'!S15</f>
        <v>0</v>
      </c>
    </row>
    <row r="21" spans="2:20" ht="14.4" thickBot="1">
      <c r="B21" s="84">
        <v>44894</v>
      </c>
      <c r="C21" s="85">
        <f>Turno7</f>
        <v>0.91666666666666663</v>
      </c>
      <c r="D21" s="86" t="s">
        <v>146</v>
      </c>
      <c r="E21" s="87" t="str">
        <f t="shared" ca="1" si="0"/>
        <v>Proximamente...</v>
      </c>
      <c r="F21" s="88" t="str">
        <f>equipos!$D$10</f>
        <v>Gales</v>
      </c>
      <c r="G21" s="114"/>
      <c r="H21" s="88" t="str">
        <f>equipos!$D$7</f>
        <v>Inglaterra</v>
      </c>
      <c r="I21" s="115"/>
    </row>
    <row r="22" spans="2:20" ht="13.8">
      <c r="B22" s="89">
        <v>44894</v>
      </c>
      <c r="C22" s="90">
        <f>Turno7</f>
        <v>0.91666666666666663</v>
      </c>
      <c r="D22" s="91" t="s">
        <v>144</v>
      </c>
      <c r="E22" s="92" t="str">
        <f t="shared" ca="1" si="0"/>
        <v>Proximamente...</v>
      </c>
      <c r="F22" s="93" t="str">
        <f>equipos!$D$8</f>
        <v>Irán</v>
      </c>
      <c r="G22" s="121"/>
      <c r="H22" s="93" t="str">
        <f>equipos!$D$9</f>
        <v>Estados Unidos</v>
      </c>
      <c r="I22" s="122"/>
      <c r="L22" s="165" t="s">
        <v>6</v>
      </c>
      <c r="M22" s="165"/>
      <c r="N22" s="165"/>
      <c r="O22" s="165"/>
      <c r="Q22" s="72">
        <f ca="1">TIME(Q23,Q24,0)</f>
        <v>0.48402777777777778</v>
      </c>
    </row>
    <row r="23" spans="2:20" ht="13.8">
      <c r="L23" s="166" t="str">
        <f>IF(T17=3,L17,"1B")</f>
        <v>1B</v>
      </c>
      <c r="M23" s="166"/>
      <c r="N23" s="166"/>
      <c r="O23" s="166"/>
      <c r="Q23" s="73">
        <f ca="1">HOUR(C6)</f>
        <v>11</v>
      </c>
    </row>
    <row r="24" spans="2:20" ht="12.75" customHeight="1" thickBot="1">
      <c r="L24" s="167" t="str">
        <f>IF(T18=3,L18,"2B")</f>
        <v>2B</v>
      </c>
      <c r="M24" s="167"/>
      <c r="N24" s="167"/>
      <c r="O24" s="167"/>
      <c r="Q24" s="73">
        <f ca="1">MINUTE(C6)</f>
        <v>37</v>
      </c>
    </row>
    <row r="25" spans="2:20"/>
    <row r="26" spans="2:20"/>
    <row r="27" spans="2:20" ht="12.75" customHeight="1"/>
    <row r="28" spans="2:20"/>
    <row r="29" spans="2:20"/>
    <row r="30" spans="2:20"/>
    <row r="31" spans="2:20"/>
    <row r="32" spans="2:20"/>
    <row r="33" spans="4:18"/>
    <row r="34" spans="4:18">
      <c r="D34" s="34"/>
      <c r="R34" s="34"/>
    </row>
    <row r="35" spans="4:18"/>
    <row r="36" spans="4:18"/>
    <row r="37" spans="4:18"/>
    <row r="38" spans="4:18" hidden="1">
      <c r="D38" s="34"/>
    </row>
    <row r="41" spans="4:18" hidden="1">
      <c r="H41" s="34"/>
    </row>
  </sheetData>
  <sheetProtection algorithmName="SHA-512" hashValue="LxVocSWluszC+bhcIeyiVoFOxpKYuOz7N/vHKQWzKCJew2dFn5/U+lrygnuP3ONQmk+rOz2NXBaKzy9nbhks4w==" saltValue="eI2JTFglbxLMwtSeTMy1Aw==" spinCount="100000" sheet="1" objects="1" scenarios="1" selectLockedCells="1"/>
  <mergeCells count="5">
    <mergeCell ref="F16:I16"/>
    <mergeCell ref="L22:O22"/>
    <mergeCell ref="L23:O23"/>
    <mergeCell ref="L24:O24"/>
    <mergeCell ref="C12:F14"/>
  </mergeCells>
  <conditionalFormatting sqref="E17:E22">
    <cfRule type="cellIs" dxfId="2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 C20" formula="1"/>
  </ignoredErrors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U41"/>
  <sheetViews>
    <sheetView showGridLines="0" showRowColHeaders="0" zoomScale="80" zoomScaleNormal="80" workbookViewId="0">
      <selection activeCell="G17" sqref="G17"/>
    </sheetView>
  </sheetViews>
  <sheetFormatPr baseColWidth="10" defaultColWidth="0" defaultRowHeight="13.2" zeroHeight="1"/>
  <cols>
    <col min="1" max="1" width="5.5546875" style="1" customWidth="1"/>
    <col min="2" max="2" width="12.33203125" style="1" bestFit="1" customWidth="1"/>
    <col min="3" max="3" width="13.6640625" style="1" bestFit="1" customWidth="1"/>
    <col min="4" max="4" width="33.33203125" style="1" customWidth="1"/>
    <col min="5" max="5" width="15.33203125" style="1" customWidth="1"/>
    <col min="6" max="6" width="16.109375" style="1" customWidth="1"/>
    <col min="7" max="7" width="3.6640625" style="1" customWidth="1"/>
    <col min="8" max="8" width="16.88671875" style="1" customWidth="1"/>
    <col min="9" max="9" width="3.6640625" style="1" customWidth="1"/>
    <col min="10" max="11" width="2.77734375" style="1" customWidth="1"/>
    <col min="12" max="12" width="14.6640625" style="1" customWidth="1"/>
    <col min="13" max="19" width="4.33203125" style="1" customWidth="1"/>
    <col min="20" max="20" width="3.33203125" style="1" customWidth="1"/>
    <col min="21" max="21" width="5.77734375" style="1" customWidth="1"/>
    <col min="22" max="16384" width="11.44140625" style="1" hidden="1"/>
  </cols>
  <sheetData>
    <row r="1" spans="2:20">
      <c r="D1" s="63"/>
      <c r="E1" s="64"/>
    </row>
    <row r="2" spans="2:20"/>
    <row r="3" spans="2:20">
      <c r="D3" s="65"/>
      <c r="E3" s="66"/>
    </row>
    <row r="4" spans="2:20">
      <c r="H4" s="67"/>
    </row>
    <row r="5" spans="2:20" ht="13.8">
      <c r="B5" s="123" t="s">
        <v>0</v>
      </c>
      <c r="C5" s="124" t="s">
        <v>91</v>
      </c>
    </row>
    <row r="6" spans="2:20" ht="13.8">
      <c r="B6" s="74">
        <f ca="1">TODAY()</f>
        <v>44792</v>
      </c>
      <c r="C6" s="75">
        <f ca="1">NOW()</f>
        <v>44792.484030092593</v>
      </c>
    </row>
    <row r="7" spans="2:20"/>
    <row r="8" spans="2:20"/>
    <row r="9" spans="2:20"/>
    <row r="10" spans="2:20"/>
    <row r="11" spans="2:20"/>
    <row r="12" spans="2:20" ht="12.75" customHeight="1">
      <c r="B12" s="40"/>
      <c r="C12" s="168" t="s">
        <v>15</v>
      </c>
      <c r="D12" s="168"/>
      <c r="E12" s="168"/>
      <c r="F12" s="168"/>
      <c r="G12" s="41"/>
      <c r="H12" s="41"/>
      <c r="I12" s="42"/>
    </row>
    <row r="13" spans="2:20" ht="13.5" customHeight="1">
      <c r="B13" s="43"/>
      <c r="C13" s="169"/>
      <c r="D13" s="169"/>
      <c r="E13" s="169"/>
      <c r="F13" s="169"/>
      <c r="G13" s="44"/>
      <c r="H13" s="44"/>
      <c r="I13" s="45"/>
    </row>
    <row r="14" spans="2:20">
      <c r="B14" s="46"/>
      <c r="C14" s="170"/>
      <c r="D14" s="170"/>
      <c r="E14" s="170"/>
      <c r="F14" s="170"/>
      <c r="G14" s="47"/>
      <c r="H14" s="47"/>
      <c r="I14" s="48"/>
    </row>
    <row r="15" spans="2:20" ht="13.8" thickBot="1"/>
    <row r="16" spans="2:20" ht="14.4" thickBot="1">
      <c r="B16" s="76" t="s">
        <v>92</v>
      </c>
      <c r="C16" s="77" t="s">
        <v>93</v>
      </c>
      <c r="D16" s="77" t="s">
        <v>2</v>
      </c>
      <c r="E16" s="77" t="s">
        <v>3</v>
      </c>
      <c r="F16" s="163" t="s">
        <v>4</v>
      </c>
      <c r="G16" s="163"/>
      <c r="H16" s="163"/>
      <c r="I16" s="164"/>
      <c r="L16" s="94" t="str">
        <f>'Primera Ronda'!K18</f>
        <v>Equipo</v>
      </c>
      <c r="M16" s="95" t="str">
        <f>'Primera Ronda'!L18</f>
        <v>G</v>
      </c>
      <c r="N16" s="95" t="str">
        <f>'Primera Ronda'!M18</f>
        <v>E</v>
      </c>
      <c r="O16" s="95" t="str">
        <f>'Primera Ronda'!N18</f>
        <v>P</v>
      </c>
      <c r="P16" s="95" t="str">
        <f>'Primera Ronda'!O18</f>
        <v>GF</v>
      </c>
      <c r="Q16" s="95" t="str">
        <f>'Primera Ronda'!P18</f>
        <v>GC</v>
      </c>
      <c r="R16" s="95" t="str">
        <f>'Primera Ronda'!Q18</f>
        <v>DG</v>
      </c>
      <c r="S16" s="95" t="str">
        <f>'Primera Ronda'!R18</f>
        <v>Pts.</v>
      </c>
      <c r="T16" s="95" t="str">
        <f>'Primera Ronda'!S18</f>
        <v>PJ</v>
      </c>
    </row>
    <row r="17" spans="2:20" ht="13.8">
      <c r="B17" s="79">
        <v>44887</v>
      </c>
      <c r="C17" s="80">
        <f>Turno1</f>
        <v>0.54166666666666663</v>
      </c>
      <c r="D17" s="81" t="s">
        <v>147</v>
      </c>
      <c r="E17" s="82" t="str">
        <f t="shared" ref="E17:E22" ca="1" si="0">IF(OR(B17="",C17="",B17&lt;$B$6),"Finalizado",IF(B17=$B$6,IF(AND(C17&lt;=$Q$22,$Q$22&lt;=(C17+0.08333333333)),"En juego",IF($Q$22&lt;C17,"HOY!","Finalizado")),IF($B$6&gt;B17,"Finalizado","Proximamente..")))</f>
        <v>Proximamente..</v>
      </c>
      <c r="F17" s="83" t="str">
        <f>equipos!$D$12</f>
        <v>Argentina</v>
      </c>
      <c r="G17" s="107"/>
      <c r="H17" s="83" t="str">
        <f>equipos!$D$13</f>
        <v>Arabia Saudí</v>
      </c>
      <c r="I17" s="108"/>
      <c r="L17" s="96" t="str">
        <f>'Primera Ronda'!K19</f>
        <v>Argentina</v>
      </c>
      <c r="M17" s="97">
        <f>'Primera Ronda'!L19</f>
        <v>0</v>
      </c>
      <c r="N17" s="97">
        <f>'Primera Ronda'!M19</f>
        <v>0</v>
      </c>
      <c r="O17" s="97">
        <f>'Primera Ronda'!N19</f>
        <v>0</v>
      </c>
      <c r="P17" s="97">
        <f>'Primera Ronda'!O19</f>
        <v>0</v>
      </c>
      <c r="Q17" s="97">
        <f>'Primera Ronda'!P19</f>
        <v>0</v>
      </c>
      <c r="R17" s="97">
        <f>'Primera Ronda'!Q19</f>
        <v>0</v>
      </c>
      <c r="S17" s="97">
        <f>'Primera Ronda'!R19</f>
        <v>0</v>
      </c>
      <c r="T17" s="97">
        <f>'Primera Ronda'!S19</f>
        <v>0</v>
      </c>
    </row>
    <row r="18" spans="2:20" ht="13.8">
      <c r="B18" s="84">
        <v>44887</v>
      </c>
      <c r="C18" s="85">
        <f>Turno5</f>
        <v>0.79166666666666674</v>
      </c>
      <c r="D18" s="86" t="s">
        <v>148</v>
      </c>
      <c r="E18" s="87" t="str">
        <f t="shared" ca="1" si="0"/>
        <v>Proximamente..</v>
      </c>
      <c r="F18" s="88" t="str">
        <f>equipos!$D$14</f>
        <v>México</v>
      </c>
      <c r="G18" s="114"/>
      <c r="H18" s="88" t="str">
        <f>equipos!$D$15</f>
        <v>Polonia</v>
      </c>
      <c r="I18" s="115"/>
      <c r="L18" s="96" t="str">
        <f>'Primera Ronda'!K20</f>
        <v>Arabia Saudí</v>
      </c>
      <c r="M18" s="97">
        <f>'Primera Ronda'!L20</f>
        <v>0</v>
      </c>
      <c r="N18" s="97">
        <f>'Primera Ronda'!M20</f>
        <v>0</v>
      </c>
      <c r="O18" s="97">
        <f>'Primera Ronda'!N20</f>
        <v>0</v>
      </c>
      <c r="P18" s="97">
        <f>'Primera Ronda'!O20</f>
        <v>0</v>
      </c>
      <c r="Q18" s="97">
        <f>'Primera Ronda'!P20</f>
        <v>0</v>
      </c>
      <c r="R18" s="97">
        <f>'Primera Ronda'!Q20</f>
        <v>0</v>
      </c>
      <c r="S18" s="97">
        <f>'Primera Ronda'!R20</f>
        <v>0</v>
      </c>
      <c r="T18" s="97">
        <f>'Primera Ronda'!S20</f>
        <v>0</v>
      </c>
    </row>
    <row r="19" spans="2:20" ht="13.8">
      <c r="B19" s="84">
        <v>44891</v>
      </c>
      <c r="C19" s="85">
        <f>Turno7</f>
        <v>0.91666666666666663</v>
      </c>
      <c r="D19" s="86" t="s">
        <v>147</v>
      </c>
      <c r="E19" s="87" t="str">
        <f t="shared" ca="1" si="0"/>
        <v>Proximamente..</v>
      </c>
      <c r="F19" s="88" t="str">
        <f>equipos!$D$12</f>
        <v>Argentina</v>
      </c>
      <c r="G19" s="114"/>
      <c r="H19" s="88" t="str">
        <f>equipos!$D$14</f>
        <v>México</v>
      </c>
      <c r="I19" s="115"/>
      <c r="L19" s="96" t="str">
        <f>'Primera Ronda'!K21</f>
        <v>México</v>
      </c>
      <c r="M19" s="97">
        <f>'Primera Ronda'!L21</f>
        <v>0</v>
      </c>
      <c r="N19" s="97">
        <f>'Primera Ronda'!M21</f>
        <v>0</v>
      </c>
      <c r="O19" s="97">
        <f>'Primera Ronda'!N21</f>
        <v>0</v>
      </c>
      <c r="P19" s="97">
        <f>'Primera Ronda'!O21</f>
        <v>0</v>
      </c>
      <c r="Q19" s="97">
        <f>'Primera Ronda'!P21</f>
        <v>0</v>
      </c>
      <c r="R19" s="97">
        <f>'Primera Ronda'!Q21</f>
        <v>0</v>
      </c>
      <c r="S19" s="97">
        <f>'Primera Ronda'!R21</f>
        <v>0</v>
      </c>
      <c r="T19" s="97">
        <f>'Primera Ronda'!S21</f>
        <v>0</v>
      </c>
    </row>
    <row r="20" spans="2:20" ht="14.4" thickBot="1">
      <c r="B20" s="84">
        <v>44891</v>
      </c>
      <c r="C20" s="85">
        <f>Turno3</f>
        <v>0.66666666666666674</v>
      </c>
      <c r="D20" s="86" t="s">
        <v>149</v>
      </c>
      <c r="E20" s="87" t="str">
        <f t="shared" ca="1" si="0"/>
        <v>Proximamente..</v>
      </c>
      <c r="F20" s="88" t="str">
        <f>equipos!$D$15</f>
        <v>Polonia</v>
      </c>
      <c r="G20" s="114"/>
      <c r="H20" s="88" t="str">
        <f>equipos!$D$13</f>
        <v>Arabia Saudí</v>
      </c>
      <c r="I20" s="115"/>
      <c r="L20" s="98" t="str">
        <f>'Primera Ronda'!K22</f>
        <v>Polonia</v>
      </c>
      <c r="M20" s="99">
        <f>'Primera Ronda'!L22</f>
        <v>0</v>
      </c>
      <c r="N20" s="99">
        <f>'Primera Ronda'!M22</f>
        <v>0</v>
      </c>
      <c r="O20" s="99">
        <f>'Primera Ronda'!N22</f>
        <v>0</v>
      </c>
      <c r="P20" s="99">
        <f>'Primera Ronda'!O22</f>
        <v>0</v>
      </c>
      <c r="Q20" s="99">
        <f>'Primera Ronda'!P22</f>
        <v>0</v>
      </c>
      <c r="R20" s="99">
        <f>'Primera Ronda'!Q22</f>
        <v>0</v>
      </c>
      <c r="S20" s="99">
        <f>'Primera Ronda'!R22</f>
        <v>0</v>
      </c>
      <c r="T20" s="99">
        <f>'Primera Ronda'!S22</f>
        <v>0</v>
      </c>
    </row>
    <row r="21" spans="2:20" ht="14.4" thickBot="1">
      <c r="B21" s="84">
        <v>44895</v>
      </c>
      <c r="C21" s="85">
        <f>Turno7</f>
        <v>0.91666666666666663</v>
      </c>
      <c r="D21" s="86" t="s">
        <v>148</v>
      </c>
      <c r="E21" s="87" t="str">
        <f t="shared" ca="1" si="0"/>
        <v>Proximamente..</v>
      </c>
      <c r="F21" s="88" t="str">
        <f>equipos!$D$15</f>
        <v>Polonia</v>
      </c>
      <c r="G21" s="114"/>
      <c r="H21" s="88" t="str">
        <f>equipos!$D$12</f>
        <v>Argentina</v>
      </c>
      <c r="I21" s="115"/>
    </row>
    <row r="22" spans="2:20" ht="13.8">
      <c r="B22" s="89">
        <v>44895</v>
      </c>
      <c r="C22" s="90">
        <f>Turno7</f>
        <v>0.91666666666666663</v>
      </c>
      <c r="D22" s="91" t="s">
        <v>147</v>
      </c>
      <c r="E22" s="92" t="str">
        <f t="shared" ca="1" si="0"/>
        <v>Proximamente..</v>
      </c>
      <c r="F22" s="93" t="str">
        <f>equipos!$D$13</f>
        <v>Arabia Saudí</v>
      </c>
      <c r="G22" s="121"/>
      <c r="H22" s="93" t="str">
        <f>equipos!$D$14</f>
        <v>México</v>
      </c>
      <c r="I22" s="122"/>
      <c r="L22" s="171" t="s">
        <v>6</v>
      </c>
      <c r="M22" s="171"/>
      <c r="N22" s="171"/>
      <c r="O22" s="171"/>
      <c r="Q22" s="68">
        <f ca="1">TIME(Q23,Q24,0)</f>
        <v>0.48402777777777778</v>
      </c>
    </row>
    <row r="23" spans="2:20">
      <c r="L23" s="172" t="str">
        <f>IF(T17=3,L17,"1C")</f>
        <v>1C</v>
      </c>
      <c r="M23" s="172"/>
      <c r="N23" s="172"/>
      <c r="O23" s="172"/>
      <c r="Q23" s="69">
        <f ca="1">HOUR(C6)</f>
        <v>11</v>
      </c>
    </row>
    <row r="24" spans="2:20" ht="12.75" customHeight="1" thickBot="1">
      <c r="L24" s="173" t="str">
        <f>IF(T18=3,L18,"2C")</f>
        <v>2C</v>
      </c>
      <c r="M24" s="173"/>
      <c r="N24" s="173"/>
      <c r="O24" s="173"/>
      <c r="Q24" s="69">
        <f ca="1">MINUTE(C6)</f>
        <v>37</v>
      </c>
    </row>
    <row r="25" spans="2:20"/>
    <row r="26" spans="2:20"/>
    <row r="27" spans="2:20" ht="12.75" customHeight="1"/>
    <row r="28" spans="2:20"/>
    <row r="29" spans="2:20"/>
    <row r="30" spans="2:20"/>
    <row r="31" spans="2:20"/>
    <row r="32" spans="2:20"/>
    <row r="33" spans="4:18"/>
    <row r="34" spans="4:18">
      <c r="D34" s="34"/>
      <c r="R34" s="34"/>
    </row>
    <row r="35" spans="4:18"/>
    <row r="36" spans="4:18"/>
    <row r="37" spans="4:18"/>
    <row r="38" spans="4:18" hidden="1">
      <c r="D38" s="34"/>
    </row>
    <row r="41" spans="4:18" hidden="1">
      <c r="H41" s="34"/>
    </row>
  </sheetData>
  <sheetProtection algorithmName="SHA-512" hashValue="D+uRYapjxtaNwRMKh1SiBMQU6PzXuole4QV7k78e5+L0P0sTdySOCffhnJl8K4qwzWvxubsQFobBW6a65XxEMQ==" saltValue="Ci79VgVWtPwh55Ri5UYSBg==" spinCount="100000" sheet="1" objects="1" scenarios="1" selectLockedCells="1"/>
  <mergeCells count="5">
    <mergeCell ref="F16:I16"/>
    <mergeCell ref="L22:O22"/>
    <mergeCell ref="L23:O23"/>
    <mergeCell ref="L24:O24"/>
    <mergeCell ref="C12:F14"/>
  </mergeCells>
  <conditionalFormatting sqref="E17:E22">
    <cfRule type="cellIs" dxfId="21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ignoredErrors>
    <ignoredError sqref="F18 C20" formula="1"/>
  </ignoredErrors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U41"/>
  <sheetViews>
    <sheetView showGridLines="0" showRowColHeaders="0" zoomScale="80" zoomScaleNormal="80" workbookViewId="0">
      <selection activeCell="G17" sqref="G17"/>
    </sheetView>
  </sheetViews>
  <sheetFormatPr baseColWidth="10" defaultColWidth="0" defaultRowHeight="13.2" zeroHeight="1"/>
  <cols>
    <col min="1" max="1" width="5.5546875" style="1" customWidth="1"/>
    <col min="2" max="2" width="12.33203125" style="1" bestFit="1" customWidth="1"/>
    <col min="3" max="3" width="13.6640625" style="1" bestFit="1" customWidth="1"/>
    <col min="4" max="4" width="33.33203125" style="1" customWidth="1"/>
    <col min="5" max="5" width="15.33203125" style="1" customWidth="1"/>
    <col min="6" max="6" width="16.109375" style="1" customWidth="1"/>
    <col min="7" max="7" width="3.6640625" style="1" customWidth="1"/>
    <col min="8" max="8" width="16.88671875" style="1" customWidth="1"/>
    <col min="9" max="9" width="3.6640625" style="1" customWidth="1"/>
    <col min="10" max="11" width="2.77734375" style="1" customWidth="1"/>
    <col min="12" max="12" width="14.6640625" style="1" customWidth="1"/>
    <col min="13" max="19" width="4.33203125" style="1" customWidth="1"/>
    <col min="20" max="20" width="3.33203125" style="1" customWidth="1"/>
    <col min="21" max="21" width="5.77734375" style="1" customWidth="1"/>
    <col min="22" max="16384" width="11.44140625" style="1" hidden="1"/>
  </cols>
  <sheetData>
    <row r="1" spans="2:20">
      <c r="D1" s="63"/>
      <c r="E1" s="64"/>
    </row>
    <row r="2" spans="2:20"/>
    <row r="3" spans="2:20">
      <c r="D3" s="65"/>
      <c r="E3" s="66"/>
    </row>
    <row r="4" spans="2:20">
      <c r="H4" s="67"/>
    </row>
    <row r="5" spans="2:20" ht="13.8">
      <c r="B5" s="123" t="s">
        <v>0</v>
      </c>
      <c r="C5" s="124" t="s">
        <v>91</v>
      </c>
    </row>
    <row r="6" spans="2:20" ht="13.8">
      <c r="B6" s="74">
        <f ca="1">TODAY()</f>
        <v>44792</v>
      </c>
      <c r="C6" s="75">
        <f ca="1">NOW()</f>
        <v>44792.484030092593</v>
      </c>
    </row>
    <row r="7" spans="2:20"/>
    <row r="8" spans="2:20"/>
    <row r="9" spans="2:20"/>
    <row r="10" spans="2:20"/>
    <row r="11" spans="2:20"/>
    <row r="12" spans="2:20" ht="12.75" customHeight="1">
      <c r="B12" s="40"/>
      <c r="C12" s="168" t="s">
        <v>10</v>
      </c>
      <c r="D12" s="168"/>
      <c r="E12" s="168"/>
      <c r="F12" s="168"/>
      <c r="G12" s="41"/>
      <c r="H12" s="41"/>
      <c r="I12" s="42"/>
    </row>
    <row r="13" spans="2:20" ht="13.5" customHeight="1">
      <c r="B13" s="43"/>
      <c r="C13" s="169"/>
      <c r="D13" s="169"/>
      <c r="E13" s="169"/>
      <c r="F13" s="169"/>
      <c r="G13" s="44"/>
      <c r="H13" s="44"/>
      <c r="I13" s="45"/>
    </row>
    <row r="14" spans="2:20">
      <c r="B14" s="46"/>
      <c r="C14" s="170"/>
      <c r="D14" s="170"/>
      <c r="E14" s="170"/>
      <c r="F14" s="170"/>
      <c r="G14" s="47"/>
      <c r="H14" s="47"/>
      <c r="I14" s="48"/>
    </row>
    <row r="15" spans="2:20" ht="13.8" thickBot="1"/>
    <row r="16" spans="2:20" ht="14.4" thickBot="1">
      <c r="B16" s="76" t="s">
        <v>92</v>
      </c>
      <c r="C16" s="78" t="s">
        <v>93</v>
      </c>
      <c r="D16" s="78" t="s">
        <v>2</v>
      </c>
      <c r="E16" s="78" t="s">
        <v>3</v>
      </c>
      <c r="F16" s="163" t="s">
        <v>4</v>
      </c>
      <c r="G16" s="163"/>
      <c r="H16" s="163"/>
      <c r="I16" s="164"/>
      <c r="L16" s="94" t="str">
        <f>'Primera Ronda'!K25</f>
        <v>Equipo</v>
      </c>
      <c r="M16" s="95" t="str">
        <f>'Primera Ronda'!L25</f>
        <v>G</v>
      </c>
      <c r="N16" s="95" t="str">
        <f>'Primera Ronda'!M25</f>
        <v>E</v>
      </c>
      <c r="O16" s="95" t="str">
        <f>'Primera Ronda'!N25</f>
        <v>P</v>
      </c>
      <c r="P16" s="95" t="str">
        <f>'Primera Ronda'!O25</f>
        <v>GF</v>
      </c>
      <c r="Q16" s="95" t="str">
        <f>'Primera Ronda'!P25</f>
        <v>GC</v>
      </c>
      <c r="R16" s="95" t="str">
        <f>'Primera Ronda'!Q25</f>
        <v>DG</v>
      </c>
      <c r="S16" s="95" t="str">
        <f>'Primera Ronda'!R25</f>
        <v>Pts.</v>
      </c>
      <c r="T16" s="95" t="str">
        <f>'Primera Ronda'!S25</f>
        <v>PJ</v>
      </c>
    </row>
    <row r="17" spans="2:20" ht="13.8">
      <c r="B17" s="79">
        <v>44887</v>
      </c>
      <c r="C17" s="80">
        <f>Turno7</f>
        <v>0.91666666666666663</v>
      </c>
      <c r="D17" s="81" t="s">
        <v>150</v>
      </c>
      <c r="E17" s="82" t="str">
        <f t="shared" ref="E17:E22" ca="1" si="0">IF(OR(B17="",C17="",B17&lt;$B$6),"Finalizado",IF(B17=$B$6,IF(AND(C17&lt;=$Q$22,$Q$22&lt;=(C17+0.08333333333)),"En juego",IF($Q$22&lt;C17,"HOY!","Finalizado")),IF($B$6&gt;B17,"Finalizado","Proximamente..")))</f>
        <v>Proximamente..</v>
      </c>
      <c r="F17" s="83" t="str">
        <f>equipos!$D$17</f>
        <v>Francia</v>
      </c>
      <c r="G17" s="107"/>
      <c r="H17" s="83" t="str">
        <f>equipos!$D$18</f>
        <v>Australia</v>
      </c>
      <c r="I17" s="108"/>
      <c r="L17" s="96" t="str">
        <f>'Primera Ronda'!K26</f>
        <v>Francia</v>
      </c>
      <c r="M17" s="97">
        <f>'Primera Ronda'!L26</f>
        <v>0</v>
      </c>
      <c r="N17" s="97">
        <f>'Primera Ronda'!M26</f>
        <v>0</v>
      </c>
      <c r="O17" s="97">
        <f>'Primera Ronda'!N26</f>
        <v>0</v>
      </c>
      <c r="P17" s="97">
        <f>'Primera Ronda'!O26</f>
        <v>0</v>
      </c>
      <c r="Q17" s="97">
        <f>'Primera Ronda'!P26</f>
        <v>0</v>
      </c>
      <c r="R17" s="97">
        <f>'Primera Ronda'!Q26</f>
        <v>0</v>
      </c>
      <c r="S17" s="97">
        <f>'Primera Ronda'!R26</f>
        <v>0</v>
      </c>
      <c r="T17" s="97">
        <f>'Primera Ronda'!S26</f>
        <v>0</v>
      </c>
    </row>
    <row r="18" spans="2:20" ht="13.8">
      <c r="B18" s="84">
        <v>44887</v>
      </c>
      <c r="C18" s="85">
        <f>Turno3</f>
        <v>0.66666666666666674</v>
      </c>
      <c r="D18" s="86" t="s">
        <v>149</v>
      </c>
      <c r="E18" s="87" t="str">
        <f t="shared" ca="1" si="0"/>
        <v>Proximamente..</v>
      </c>
      <c r="F18" s="88" t="str">
        <f>equipos!$D$19</f>
        <v>Dinamarca</v>
      </c>
      <c r="G18" s="114"/>
      <c r="H18" s="88" t="str">
        <f>equipos!$D$20</f>
        <v>Túnez</v>
      </c>
      <c r="I18" s="115"/>
      <c r="L18" s="96" t="str">
        <f>'Primera Ronda'!K27</f>
        <v>Australia</v>
      </c>
      <c r="M18" s="97">
        <f>'Primera Ronda'!L27</f>
        <v>0</v>
      </c>
      <c r="N18" s="97">
        <f>'Primera Ronda'!M27</f>
        <v>0</v>
      </c>
      <c r="O18" s="97">
        <f>'Primera Ronda'!N27</f>
        <v>0</v>
      </c>
      <c r="P18" s="97">
        <f>'Primera Ronda'!O27</f>
        <v>0</v>
      </c>
      <c r="Q18" s="97">
        <f>'Primera Ronda'!P27</f>
        <v>0</v>
      </c>
      <c r="R18" s="97">
        <f>'Primera Ronda'!Q27</f>
        <v>0</v>
      </c>
      <c r="S18" s="97">
        <f>'Primera Ronda'!R27</f>
        <v>0</v>
      </c>
      <c r="T18" s="97">
        <f>'Primera Ronda'!S27</f>
        <v>0</v>
      </c>
    </row>
    <row r="19" spans="2:20" ht="13.8">
      <c r="B19" s="84">
        <v>44891</v>
      </c>
      <c r="C19" s="85">
        <f>Turno5</f>
        <v>0.79166666666666674</v>
      </c>
      <c r="D19" s="86" t="s">
        <v>148</v>
      </c>
      <c r="E19" s="87" t="str">
        <f t="shared" ca="1" si="0"/>
        <v>Proximamente..</v>
      </c>
      <c r="F19" s="88" t="str">
        <f>equipos!$D$17</f>
        <v>Francia</v>
      </c>
      <c r="G19" s="114"/>
      <c r="H19" s="88" t="str">
        <f>equipos!$D$19</f>
        <v>Dinamarca</v>
      </c>
      <c r="I19" s="115"/>
      <c r="L19" s="96" t="str">
        <f>'Primera Ronda'!K28</f>
        <v>Dinamarca</v>
      </c>
      <c r="M19" s="97">
        <f>'Primera Ronda'!L28</f>
        <v>0</v>
      </c>
      <c r="N19" s="97">
        <f>'Primera Ronda'!M28</f>
        <v>0</v>
      </c>
      <c r="O19" s="97">
        <f>'Primera Ronda'!N28</f>
        <v>0</v>
      </c>
      <c r="P19" s="97">
        <f>'Primera Ronda'!O28</f>
        <v>0</v>
      </c>
      <c r="Q19" s="97">
        <f>'Primera Ronda'!P28</f>
        <v>0</v>
      </c>
      <c r="R19" s="97">
        <f>'Primera Ronda'!Q28</f>
        <v>0</v>
      </c>
      <c r="S19" s="97">
        <f>'Primera Ronda'!R28</f>
        <v>0</v>
      </c>
      <c r="T19" s="97">
        <f>'Primera Ronda'!S28</f>
        <v>0</v>
      </c>
    </row>
    <row r="20" spans="2:20" ht="14.4" thickBot="1">
      <c r="B20" s="84">
        <v>44891</v>
      </c>
      <c r="C20" s="85">
        <f>Turno2</f>
        <v>0.625</v>
      </c>
      <c r="D20" s="86" t="s">
        <v>150</v>
      </c>
      <c r="E20" s="87" t="str">
        <f t="shared" ca="1" si="0"/>
        <v>Proximamente..</v>
      </c>
      <c r="F20" s="88" t="str">
        <f>equipos!$D$20</f>
        <v>Túnez</v>
      </c>
      <c r="G20" s="114"/>
      <c r="H20" s="88" t="str">
        <f>equipos!$D$18</f>
        <v>Australia</v>
      </c>
      <c r="I20" s="115"/>
      <c r="L20" s="98" t="str">
        <f>'Primera Ronda'!K29</f>
        <v>Túnez</v>
      </c>
      <c r="M20" s="99">
        <f>'Primera Ronda'!L29</f>
        <v>0</v>
      </c>
      <c r="N20" s="99">
        <f>'Primera Ronda'!M29</f>
        <v>0</v>
      </c>
      <c r="O20" s="99">
        <f>'Primera Ronda'!N29</f>
        <v>0</v>
      </c>
      <c r="P20" s="99">
        <f>'Primera Ronda'!O29</f>
        <v>0</v>
      </c>
      <c r="Q20" s="99">
        <f>'Primera Ronda'!P29</f>
        <v>0</v>
      </c>
      <c r="R20" s="99">
        <f>'Primera Ronda'!Q29</f>
        <v>0</v>
      </c>
      <c r="S20" s="99">
        <f>'Primera Ronda'!R29</f>
        <v>0</v>
      </c>
      <c r="T20" s="99">
        <f>'Primera Ronda'!S29</f>
        <v>0</v>
      </c>
    </row>
    <row r="21" spans="2:20" ht="14.4" thickBot="1">
      <c r="B21" s="84">
        <v>44895</v>
      </c>
      <c r="C21" s="85">
        <f>Turno4</f>
        <v>0.75</v>
      </c>
      <c r="D21" s="86" t="s">
        <v>149</v>
      </c>
      <c r="E21" s="87" t="str">
        <f t="shared" ca="1" si="0"/>
        <v>Proximamente..</v>
      </c>
      <c r="F21" s="88" t="str">
        <f>equipos!$D$20</f>
        <v>Túnez</v>
      </c>
      <c r="G21" s="114"/>
      <c r="H21" s="88" t="str">
        <f>equipos!$D$17</f>
        <v>Francia</v>
      </c>
      <c r="I21" s="115"/>
    </row>
    <row r="22" spans="2:20" ht="13.8">
      <c r="B22" s="89">
        <v>44895</v>
      </c>
      <c r="C22" s="90">
        <f>Turno4</f>
        <v>0.75</v>
      </c>
      <c r="D22" s="91" t="s">
        <v>150</v>
      </c>
      <c r="E22" s="92" t="str">
        <f t="shared" ca="1" si="0"/>
        <v>Proximamente..</v>
      </c>
      <c r="F22" s="93" t="str">
        <f>equipos!$D$18</f>
        <v>Australia</v>
      </c>
      <c r="G22" s="121"/>
      <c r="H22" s="93" t="str">
        <f>equipos!$D$19</f>
        <v>Dinamarca</v>
      </c>
      <c r="I22" s="122"/>
      <c r="L22" s="171" t="s">
        <v>6</v>
      </c>
      <c r="M22" s="171"/>
      <c r="N22" s="171"/>
      <c r="O22" s="171"/>
      <c r="Q22" s="72">
        <f ca="1">TIME(Q23,Q24,0)</f>
        <v>0.48402777777777778</v>
      </c>
    </row>
    <row r="23" spans="2:20">
      <c r="L23" s="172" t="str">
        <f>IF(T17=3,L17,"1D")</f>
        <v>1D</v>
      </c>
      <c r="M23" s="172"/>
      <c r="N23" s="172"/>
      <c r="O23" s="172"/>
      <c r="Q23" s="73">
        <f ca="1">HOUR(C6)</f>
        <v>11</v>
      </c>
    </row>
    <row r="24" spans="2:20" ht="12.75" customHeight="1" thickBot="1">
      <c r="L24" s="173" t="str">
        <f>IF(T18=3,L18,"2D")</f>
        <v>2D</v>
      </c>
      <c r="M24" s="173"/>
      <c r="N24" s="173"/>
      <c r="O24" s="173"/>
      <c r="Q24" s="73">
        <f ca="1">MINUTE(C6)</f>
        <v>37</v>
      </c>
    </row>
    <row r="25" spans="2:20"/>
    <row r="26" spans="2:20"/>
    <row r="27" spans="2:20" ht="12.75" customHeight="1"/>
    <row r="28" spans="2:20"/>
    <row r="29" spans="2:20"/>
    <row r="30" spans="2:20"/>
    <row r="31" spans="2:20"/>
    <row r="32" spans="2:20"/>
    <row r="33" spans="4:18"/>
    <row r="34" spans="4:18">
      <c r="D34" s="34"/>
      <c r="R34" s="34"/>
    </row>
    <row r="35" spans="4:18"/>
    <row r="36" spans="4:18"/>
    <row r="37" spans="4:18"/>
    <row r="38" spans="4:18" hidden="1">
      <c r="D38" s="34"/>
    </row>
    <row r="41" spans="4:18" hidden="1">
      <c r="H41" s="34"/>
    </row>
  </sheetData>
  <sheetProtection algorithmName="SHA-512" hashValue="8ray4RWbYWW2Adt0jMnSF6Gxa4xeHLkguuCBX3WZlEgbTvfna6WXYuxBRe7ptGzSuf3wJDbMSP4VuQ6M8j4DWQ==" saltValue="DVMzUhU5Eri81ktCtiCUmg==" spinCount="100000" sheet="1" objects="1" scenarios="1" selectLockedCells="1"/>
  <mergeCells count="5">
    <mergeCell ref="F16:I16"/>
    <mergeCell ref="L22:O22"/>
    <mergeCell ref="L23:O23"/>
    <mergeCell ref="L24:O24"/>
    <mergeCell ref="C12:F14"/>
  </mergeCells>
  <conditionalFormatting sqref="E17:E22">
    <cfRule type="cellIs" dxfId="20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ignoredErrors>
    <ignoredError sqref="F18" formula="1"/>
  </ignoredErrors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U41"/>
  <sheetViews>
    <sheetView showGridLines="0" showRowColHeaders="0" zoomScale="80" zoomScaleNormal="80" workbookViewId="0">
      <selection activeCell="G17" sqref="G17"/>
    </sheetView>
  </sheetViews>
  <sheetFormatPr baseColWidth="10" defaultColWidth="0" defaultRowHeight="13.2" zeroHeight="1"/>
  <cols>
    <col min="1" max="1" width="5.5546875" style="1" customWidth="1"/>
    <col min="2" max="2" width="12.33203125" style="1" bestFit="1" customWidth="1"/>
    <col min="3" max="3" width="13.6640625" style="1" bestFit="1" customWidth="1"/>
    <col min="4" max="4" width="33.33203125" style="1" customWidth="1"/>
    <col min="5" max="5" width="15.33203125" style="1" customWidth="1"/>
    <col min="6" max="6" width="16.109375" style="1" customWidth="1"/>
    <col min="7" max="7" width="3.6640625" style="1" customWidth="1"/>
    <col min="8" max="8" width="16.88671875" style="1" customWidth="1"/>
    <col min="9" max="9" width="3.6640625" style="1" customWidth="1"/>
    <col min="10" max="11" width="2.77734375" style="1" customWidth="1"/>
    <col min="12" max="12" width="14.6640625" style="1" customWidth="1"/>
    <col min="13" max="19" width="4.33203125" style="1" customWidth="1"/>
    <col min="20" max="20" width="3.33203125" style="1" customWidth="1"/>
    <col min="21" max="21" width="5.77734375" style="1" customWidth="1"/>
    <col min="22" max="16384" width="11.44140625" style="1" hidden="1"/>
  </cols>
  <sheetData>
    <row r="1" spans="2:20">
      <c r="D1" s="63"/>
      <c r="E1" s="64"/>
    </row>
    <row r="2" spans="2:20"/>
    <row r="3" spans="2:20">
      <c r="D3" s="65"/>
      <c r="E3" s="66"/>
    </row>
    <row r="4" spans="2:20">
      <c r="H4" s="67"/>
    </row>
    <row r="5" spans="2:20" ht="13.8">
      <c r="B5" s="123" t="s">
        <v>0</v>
      </c>
      <c r="C5" s="124" t="s">
        <v>91</v>
      </c>
    </row>
    <row r="6" spans="2:20" ht="13.8">
      <c r="B6" s="74">
        <f ca="1">TODAY()</f>
        <v>44792</v>
      </c>
      <c r="C6" s="75">
        <f ca="1">NOW()</f>
        <v>44792.484030092593</v>
      </c>
    </row>
    <row r="7" spans="2:20"/>
    <row r="8" spans="2:20"/>
    <row r="9" spans="2:20"/>
    <row r="10" spans="2:20"/>
    <row r="11" spans="2:20"/>
    <row r="12" spans="2:20" ht="12.75" customHeight="1">
      <c r="B12" s="40"/>
      <c r="C12" s="168" t="s">
        <v>11</v>
      </c>
      <c r="D12" s="168"/>
      <c r="E12" s="168"/>
      <c r="F12" s="168"/>
      <c r="G12" s="41"/>
      <c r="H12" s="41"/>
      <c r="I12" s="42"/>
    </row>
    <row r="13" spans="2:20" ht="13.5" customHeight="1">
      <c r="B13" s="43"/>
      <c r="C13" s="169"/>
      <c r="D13" s="169"/>
      <c r="E13" s="169"/>
      <c r="F13" s="169"/>
      <c r="G13" s="44"/>
      <c r="H13" s="44"/>
      <c r="I13" s="45"/>
    </row>
    <row r="14" spans="2:20">
      <c r="B14" s="46"/>
      <c r="C14" s="170"/>
      <c r="D14" s="170"/>
      <c r="E14" s="170"/>
      <c r="F14" s="170"/>
      <c r="G14" s="47"/>
      <c r="H14" s="47"/>
      <c r="I14" s="48"/>
    </row>
    <row r="15" spans="2:20" ht="13.8" thickBot="1"/>
    <row r="16" spans="2:20" ht="14.4" thickBot="1">
      <c r="B16" s="76" t="s">
        <v>92</v>
      </c>
      <c r="C16" s="78" t="s">
        <v>93</v>
      </c>
      <c r="D16" s="78" t="s">
        <v>2</v>
      </c>
      <c r="E16" s="78" t="s">
        <v>3</v>
      </c>
      <c r="F16" s="163" t="s">
        <v>4</v>
      </c>
      <c r="G16" s="163"/>
      <c r="H16" s="163"/>
      <c r="I16" s="164"/>
      <c r="L16" s="94" t="str">
        <f>'Primera Ronda'!K32</f>
        <v>Equipo</v>
      </c>
      <c r="M16" s="95" t="str">
        <f>'Primera Ronda'!L32</f>
        <v>G</v>
      </c>
      <c r="N16" s="95" t="str">
        <f>'Primera Ronda'!M32</f>
        <v>E</v>
      </c>
      <c r="O16" s="95" t="str">
        <f>'Primera Ronda'!N32</f>
        <v>P</v>
      </c>
      <c r="P16" s="95" t="str">
        <f>'Primera Ronda'!O32</f>
        <v>GF</v>
      </c>
      <c r="Q16" s="95" t="str">
        <f>'Primera Ronda'!P32</f>
        <v>GC</v>
      </c>
      <c r="R16" s="95" t="str">
        <f>'Primera Ronda'!Q32</f>
        <v>DG</v>
      </c>
      <c r="S16" s="95" t="str">
        <f>'Primera Ronda'!R32</f>
        <v>Pts.</v>
      </c>
      <c r="T16" s="95" t="str">
        <f>'Primera Ronda'!S32</f>
        <v>PJ</v>
      </c>
    </row>
    <row r="17" spans="2:20" ht="13.8">
      <c r="B17" s="79">
        <v>44888</v>
      </c>
      <c r="C17" s="80">
        <f>Turno5</f>
        <v>0.79166666666666674</v>
      </c>
      <c r="D17" s="81" t="s">
        <v>144</v>
      </c>
      <c r="E17" s="82" t="str">
        <f t="shared" ref="E17:E22" ca="1" si="0">IF(OR(B17="",C17="",B17&lt;$B$6),"Finalizado",IF(B17=$B$6,IF(AND(C17&lt;=$Q$22,$Q$22&lt;=(C17+0.08333333333)),"En juego",IF($Q$22&lt;C17,"HOY!","Finalizado")),IF($B$6&gt;B17,"Finalizado","Proximamente..")))</f>
        <v>Proximamente..</v>
      </c>
      <c r="F17" s="83" t="str">
        <f>equipos!$G$2</f>
        <v>España</v>
      </c>
      <c r="G17" s="107"/>
      <c r="H17" s="83" t="str">
        <f>equipos!$G$3</f>
        <v>Costa Rica</v>
      </c>
      <c r="I17" s="108"/>
      <c r="L17" s="96" t="str">
        <f>'Primera Ronda'!K33</f>
        <v>España</v>
      </c>
      <c r="M17" s="97">
        <f>'Primera Ronda'!L33</f>
        <v>0</v>
      </c>
      <c r="N17" s="97">
        <f>'Primera Ronda'!M33</f>
        <v>0</v>
      </c>
      <c r="O17" s="97">
        <f>'Primera Ronda'!N33</f>
        <v>0</v>
      </c>
      <c r="P17" s="97">
        <f>'Primera Ronda'!O33</f>
        <v>0</v>
      </c>
      <c r="Q17" s="97">
        <f>'Primera Ronda'!P33</f>
        <v>0</v>
      </c>
      <c r="R17" s="97">
        <f>'Primera Ronda'!Q33</f>
        <v>0</v>
      </c>
      <c r="S17" s="97">
        <f>'Primera Ronda'!R33</f>
        <v>0</v>
      </c>
      <c r="T17" s="97">
        <f>'Primera Ronda'!S33</f>
        <v>0</v>
      </c>
    </row>
    <row r="18" spans="2:20" ht="13.8">
      <c r="B18" s="84">
        <v>44888</v>
      </c>
      <c r="C18" s="85">
        <f>Turno3</f>
        <v>0.66666666666666674</v>
      </c>
      <c r="D18" s="86" t="s">
        <v>145</v>
      </c>
      <c r="E18" s="87" t="str">
        <f t="shared" ca="1" si="0"/>
        <v>Proximamente..</v>
      </c>
      <c r="F18" s="88" t="str">
        <f>equipos!$G$4</f>
        <v>Alemania</v>
      </c>
      <c r="G18" s="114"/>
      <c r="H18" s="88" t="str">
        <f>equipos!$G$5</f>
        <v>Japón</v>
      </c>
      <c r="I18" s="115"/>
      <c r="L18" s="96" t="str">
        <f>'Primera Ronda'!K34</f>
        <v>Costa Rica</v>
      </c>
      <c r="M18" s="97">
        <f>'Primera Ronda'!L34</f>
        <v>0</v>
      </c>
      <c r="N18" s="97">
        <f>'Primera Ronda'!M34</f>
        <v>0</v>
      </c>
      <c r="O18" s="97">
        <f>'Primera Ronda'!N34</f>
        <v>0</v>
      </c>
      <c r="P18" s="97">
        <f>'Primera Ronda'!O34</f>
        <v>0</v>
      </c>
      <c r="Q18" s="97">
        <f>'Primera Ronda'!P34</f>
        <v>0</v>
      </c>
      <c r="R18" s="97">
        <f>'Primera Ronda'!Q34</f>
        <v>0</v>
      </c>
      <c r="S18" s="97">
        <f>'Primera Ronda'!R34</f>
        <v>0</v>
      </c>
      <c r="T18" s="97">
        <f>'Primera Ronda'!S34</f>
        <v>0</v>
      </c>
    </row>
    <row r="19" spans="2:20" ht="13.8">
      <c r="B19" s="84">
        <v>44892</v>
      </c>
      <c r="C19" s="85">
        <f>Turno7</f>
        <v>0.91666666666666663</v>
      </c>
      <c r="D19" s="86" t="s">
        <v>143</v>
      </c>
      <c r="E19" s="87" t="str">
        <f t="shared" ca="1" si="0"/>
        <v>Proximamente..</v>
      </c>
      <c r="F19" s="88" t="str">
        <f>equipos!$G$2</f>
        <v>España</v>
      </c>
      <c r="G19" s="114"/>
      <c r="H19" s="88" t="str">
        <f>equipos!$G$4</f>
        <v>Alemania</v>
      </c>
      <c r="I19" s="115"/>
      <c r="L19" s="96" t="str">
        <f>'Primera Ronda'!K35</f>
        <v>Alemania</v>
      </c>
      <c r="M19" s="97">
        <f>'Primera Ronda'!L35</f>
        <v>0</v>
      </c>
      <c r="N19" s="97">
        <f>'Primera Ronda'!M35</f>
        <v>0</v>
      </c>
      <c r="O19" s="97">
        <f>'Primera Ronda'!N35</f>
        <v>0</v>
      </c>
      <c r="P19" s="97">
        <f>'Primera Ronda'!O35</f>
        <v>0</v>
      </c>
      <c r="Q19" s="97">
        <f>'Primera Ronda'!P35</f>
        <v>0</v>
      </c>
      <c r="R19" s="97">
        <f>'Primera Ronda'!Q35</f>
        <v>0</v>
      </c>
      <c r="S19" s="97">
        <f>'Primera Ronda'!R35</f>
        <v>0</v>
      </c>
      <c r="T19" s="97">
        <f>'Primera Ronda'!S35</f>
        <v>0</v>
      </c>
    </row>
    <row r="20" spans="2:20" ht="14.4" thickBot="1">
      <c r="B20" s="84">
        <v>44892</v>
      </c>
      <c r="C20" s="85">
        <f>Turno1</f>
        <v>0.54166666666666663</v>
      </c>
      <c r="D20" s="86" t="s">
        <v>146</v>
      </c>
      <c r="E20" s="87" t="str">
        <f t="shared" ca="1" si="0"/>
        <v>Proximamente..</v>
      </c>
      <c r="F20" s="88" t="str">
        <f>equipos!$G$5</f>
        <v>Japón</v>
      </c>
      <c r="G20" s="114"/>
      <c r="H20" s="88" t="str">
        <f>equipos!$G$3</f>
        <v>Costa Rica</v>
      </c>
      <c r="I20" s="115"/>
      <c r="L20" s="98" t="str">
        <f>'Primera Ronda'!K36</f>
        <v>Japón</v>
      </c>
      <c r="M20" s="99">
        <f>'Primera Ronda'!L36</f>
        <v>0</v>
      </c>
      <c r="N20" s="99">
        <f>'Primera Ronda'!M36</f>
        <v>0</v>
      </c>
      <c r="O20" s="99">
        <f>'Primera Ronda'!N36</f>
        <v>0</v>
      </c>
      <c r="P20" s="99">
        <f>'Primera Ronda'!O36</f>
        <v>0</v>
      </c>
      <c r="Q20" s="99">
        <f>'Primera Ronda'!P36</f>
        <v>0</v>
      </c>
      <c r="R20" s="99">
        <f>'Primera Ronda'!Q36</f>
        <v>0</v>
      </c>
      <c r="S20" s="99">
        <f>'Primera Ronda'!R36</f>
        <v>0</v>
      </c>
      <c r="T20" s="99">
        <f>'Primera Ronda'!S36</f>
        <v>0</v>
      </c>
    </row>
    <row r="21" spans="2:20" ht="14.4" thickBot="1">
      <c r="B21" s="84">
        <v>44896</v>
      </c>
      <c r="C21" s="85">
        <f>Turno7</f>
        <v>0.91666666666666663</v>
      </c>
      <c r="D21" s="86" t="s">
        <v>145</v>
      </c>
      <c r="E21" s="87" t="str">
        <f t="shared" ca="1" si="0"/>
        <v>Proximamente..</v>
      </c>
      <c r="F21" s="88" t="str">
        <f>equipos!$G$5</f>
        <v>Japón</v>
      </c>
      <c r="G21" s="114"/>
      <c r="H21" s="88" t="str">
        <f>equipos!$G$2</f>
        <v>España</v>
      </c>
      <c r="I21" s="115"/>
    </row>
    <row r="22" spans="2:20" ht="13.8">
      <c r="B22" s="89">
        <v>44896</v>
      </c>
      <c r="C22" s="90">
        <f>Turno7</f>
        <v>0.91666666666666663</v>
      </c>
      <c r="D22" s="91" t="s">
        <v>143</v>
      </c>
      <c r="E22" s="92" t="str">
        <f t="shared" ca="1" si="0"/>
        <v>Proximamente..</v>
      </c>
      <c r="F22" s="93" t="str">
        <f>equipos!$G$3</f>
        <v>Costa Rica</v>
      </c>
      <c r="G22" s="121"/>
      <c r="H22" s="93" t="str">
        <f>equipos!$G$4</f>
        <v>Alemania</v>
      </c>
      <c r="I22" s="122"/>
      <c r="L22" s="171" t="s">
        <v>6</v>
      </c>
      <c r="M22" s="171"/>
      <c r="N22" s="171"/>
      <c r="O22" s="171"/>
      <c r="Q22" s="72">
        <f ca="1">TIME(Q23,Q24,0)</f>
        <v>0.48402777777777778</v>
      </c>
    </row>
    <row r="23" spans="2:20">
      <c r="L23" s="172" t="str">
        <f>IF(T17=3,L17,"1E")</f>
        <v>1E</v>
      </c>
      <c r="M23" s="172"/>
      <c r="N23" s="172"/>
      <c r="O23" s="172"/>
      <c r="Q23" s="73">
        <f ca="1">HOUR(C6)</f>
        <v>11</v>
      </c>
    </row>
    <row r="24" spans="2:20" ht="12.75" customHeight="1" thickBot="1">
      <c r="L24" s="173" t="str">
        <f>IF(T18=3,L18,"2E")</f>
        <v>2E</v>
      </c>
      <c r="M24" s="173"/>
      <c r="N24" s="173"/>
      <c r="O24" s="173"/>
      <c r="Q24" s="73">
        <f ca="1">MINUTE(C6)</f>
        <v>37</v>
      </c>
    </row>
    <row r="25" spans="2:20"/>
    <row r="26" spans="2:20"/>
    <row r="27" spans="2:20" ht="12.75" customHeight="1"/>
    <row r="28" spans="2:20"/>
    <row r="29" spans="2:20"/>
    <row r="30" spans="2:20"/>
    <row r="31" spans="2:20"/>
    <row r="32" spans="2:20"/>
    <row r="33" spans="4:18"/>
    <row r="34" spans="4:18">
      <c r="D34" s="34"/>
      <c r="R34" s="34"/>
    </row>
    <row r="35" spans="4:18"/>
    <row r="36" spans="4:18"/>
    <row r="37" spans="4:18"/>
    <row r="38" spans="4:18" hidden="1">
      <c r="D38" s="34"/>
    </row>
    <row r="41" spans="4:18" hidden="1">
      <c r="H41" s="34"/>
    </row>
  </sheetData>
  <sheetProtection algorithmName="SHA-512" hashValue="+R0Sfl/huSZkHI3XD9T+d2jWL1NZlxD9tExAceW8uJlCcrN4O59yYSjlf27UAnsR9kmM4ChIGt+AUneCVN5hgQ==" saltValue="hqsrjy0GSy0BqL6gJqodSg==" spinCount="100000" sheet="1" objects="1" scenarios="1" selectLockedCells="1"/>
  <mergeCells count="5">
    <mergeCell ref="F16:I16"/>
    <mergeCell ref="L22:O22"/>
    <mergeCell ref="L23:O23"/>
    <mergeCell ref="L24:O24"/>
    <mergeCell ref="C12:F14"/>
  </mergeCells>
  <conditionalFormatting sqref="E17:E22">
    <cfRule type="cellIs" dxfId="1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ignoredErrors>
    <ignoredError sqref="F18 C20" formula="1"/>
  </ignoredErrors>
  <drawing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U41"/>
  <sheetViews>
    <sheetView showGridLines="0" showRowColHeaders="0" zoomScale="80" zoomScaleNormal="80" workbookViewId="0">
      <selection activeCell="G17" sqref="G17"/>
    </sheetView>
  </sheetViews>
  <sheetFormatPr baseColWidth="10" defaultColWidth="0" defaultRowHeight="13.2" zeroHeight="1"/>
  <cols>
    <col min="1" max="1" width="5.5546875" style="1" customWidth="1"/>
    <col min="2" max="2" width="12.33203125" style="1" bestFit="1" customWidth="1"/>
    <col min="3" max="3" width="13.6640625" style="1" bestFit="1" customWidth="1"/>
    <col min="4" max="4" width="33.33203125" style="1" customWidth="1"/>
    <col min="5" max="5" width="15.33203125" style="1" customWidth="1"/>
    <col min="6" max="6" width="16.109375" style="1" customWidth="1"/>
    <col min="7" max="7" width="3.6640625" style="1" customWidth="1"/>
    <col min="8" max="8" width="16.88671875" style="1" customWidth="1"/>
    <col min="9" max="9" width="3.6640625" style="1" customWidth="1"/>
    <col min="10" max="11" width="2.77734375" style="1" customWidth="1"/>
    <col min="12" max="12" width="14.6640625" style="1" customWidth="1"/>
    <col min="13" max="19" width="4.33203125" style="1" customWidth="1"/>
    <col min="20" max="20" width="3.33203125" style="1" customWidth="1"/>
    <col min="21" max="21" width="5.77734375" style="1" customWidth="1"/>
    <col min="22" max="16384" width="11.44140625" style="1" hidden="1"/>
  </cols>
  <sheetData>
    <row r="1" spans="2:20">
      <c r="D1" s="63"/>
      <c r="E1" s="64"/>
    </row>
    <row r="2" spans="2:20"/>
    <row r="3" spans="2:20">
      <c r="D3" s="65"/>
      <c r="E3" s="66"/>
    </row>
    <row r="4" spans="2:20">
      <c r="H4" s="67"/>
    </row>
    <row r="5" spans="2:20" ht="13.8">
      <c r="B5" s="123" t="s">
        <v>0</v>
      </c>
      <c r="C5" s="124" t="s">
        <v>91</v>
      </c>
    </row>
    <row r="6" spans="2:20" ht="13.8">
      <c r="B6" s="74">
        <f ca="1">TODAY()</f>
        <v>44792</v>
      </c>
      <c r="C6" s="75">
        <f ca="1">NOW()</f>
        <v>44792.484030092593</v>
      </c>
    </row>
    <row r="7" spans="2:20"/>
    <row r="8" spans="2:20"/>
    <row r="9" spans="2:20"/>
    <row r="10" spans="2:20"/>
    <row r="11" spans="2:20"/>
    <row r="12" spans="2:20" ht="12.75" customHeight="1">
      <c r="B12" s="40"/>
      <c r="C12" s="168" t="s">
        <v>12</v>
      </c>
      <c r="D12" s="168"/>
      <c r="E12" s="168"/>
      <c r="F12" s="168"/>
      <c r="G12" s="41"/>
      <c r="H12" s="41"/>
      <c r="I12" s="42"/>
    </row>
    <row r="13" spans="2:20" ht="13.5" customHeight="1">
      <c r="B13" s="43"/>
      <c r="C13" s="169"/>
      <c r="D13" s="169"/>
      <c r="E13" s="169"/>
      <c r="F13" s="169"/>
      <c r="G13" s="44"/>
      <c r="H13" s="44"/>
      <c r="I13" s="45"/>
    </row>
    <row r="14" spans="2:20">
      <c r="B14" s="46"/>
      <c r="C14" s="170"/>
      <c r="D14" s="170"/>
      <c r="E14" s="170"/>
      <c r="F14" s="170"/>
      <c r="G14" s="47"/>
      <c r="H14" s="47"/>
      <c r="I14" s="48"/>
    </row>
    <row r="15" spans="2:20" ht="13.8" thickBot="1"/>
    <row r="16" spans="2:20" ht="14.4" thickBot="1">
      <c r="B16" s="76" t="s">
        <v>92</v>
      </c>
      <c r="C16" s="78" t="s">
        <v>93</v>
      </c>
      <c r="D16" s="78" t="s">
        <v>2</v>
      </c>
      <c r="E16" s="78" t="s">
        <v>3</v>
      </c>
      <c r="F16" s="163" t="s">
        <v>4</v>
      </c>
      <c r="G16" s="163"/>
      <c r="H16" s="163"/>
      <c r="I16" s="164"/>
      <c r="L16" s="94" t="str">
        <f>'Primera Ronda'!K39</f>
        <v>Equipo</v>
      </c>
      <c r="M16" s="95" t="str">
        <f>'Primera Ronda'!L39</f>
        <v>G</v>
      </c>
      <c r="N16" s="95" t="str">
        <f>'Primera Ronda'!M39</f>
        <v>E</v>
      </c>
      <c r="O16" s="95" t="str">
        <f>'Primera Ronda'!N39</f>
        <v>P</v>
      </c>
      <c r="P16" s="95" t="str">
        <f>'Primera Ronda'!O39</f>
        <v>GF</v>
      </c>
      <c r="Q16" s="95" t="str">
        <f>'Primera Ronda'!P39</f>
        <v>GC</v>
      </c>
      <c r="R16" s="95" t="str">
        <f>'Primera Ronda'!Q39</f>
        <v>DG</v>
      </c>
      <c r="S16" s="95" t="str">
        <f>'Primera Ronda'!R39</f>
        <v>Pts.</v>
      </c>
      <c r="T16" s="95" t="str">
        <f>'Primera Ronda'!S39</f>
        <v>PJ</v>
      </c>
    </row>
    <row r="17" spans="2:20" ht="13.8">
      <c r="B17" s="79">
        <v>44888</v>
      </c>
      <c r="C17" s="80">
        <f>Turno7</f>
        <v>0.91666666666666663</v>
      </c>
      <c r="D17" s="81" t="s">
        <v>146</v>
      </c>
      <c r="E17" s="82" t="str">
        <f t="shared" ref="E17:E22" ca="1" si="0">IF(OR(B17="",C17="",B17&lt;$B$6),"Finalizado",IF(B17=$B$6,IF(AND(C17&lt;=$Q$22,$Q$22&lt;=(C17+0.08333333333)),"En juego",IF($Q$22&lt;C17,"HOY!","Finalizado")),IF($B$6&gt;B17,"Finalizado","Proximamente..")))</f>
        <v>Proximamente..</v>
      </c>
      <c r="F17" s="83" t="str">
        <f>equipos!$G$7</f>
        <v>Bélgica</v>
      </c>
      <c r="G17" s="107"/>
      <c r="H17" s="83" t="str">
        <f>equipos!$G$8</f>
        <v>Canadá</v>
      </c>
      <c r="I17" s="108"/>
      <c r="L17" s="96" t="str">
        <f>'Primera Ronda'!K40</f>
        <v>Bélgica</v>
      </c>
      <c r="M17" s="97">
        <f>'Primera Ronda'!L40</f>
        <v>0</v>
      </c>
      <c r="N17" s="97">
        <f>'Primera Ronda'!M40</f>
        <v>0</v>
      </c>
      <c r="O17" s="97">
        <f>'Primera Ronda'!N40</f>
        <v>0</v>
      </c>
      <c r="P17" s="97">
        <f>'Primera Ronda'!O40</f>
        <v>0</v>
      </c>
      <c r="Q17" s="97">
        <f>'Primera Ronda'!P40</f>
        <v>0</v>
      </c>
      <c r="R17" s="97">
        <f>'Primera Ronda'!Q40</f>
        <v>0</v>
      </c>
      <c r="S17" s="97">
        <f>'Primera Ronda'!R40</f>
        <v>0</v>
      </c>
      <c r="T17" s="97">
        <f>'Primera Ronda'!S40</f>
        <v>0</v>
      </c>
    </row>
    <row r="18" spans="2:20" ht="13.8">
      <c r="B18" s="84">
        <v>44888</v>
      </c>
      <c r="C18" s="85">
        <f>Turno1</f>
        <v>0.54166666666666663</v>
      </c>
      <c r="D18" s="86" t="s">
        <v>143</v>
      </c>
      <c r="E18" s="87" t="str">
        <f t="shared" ca="1" si="0"/>
        <v>Proximamente..</v>
      </c>
      <c r="F18" s="88" t="str">
        <f>equipos!$G$9</f>
        <v>Marruecos</v>
      </c>
      <c r="G18" s="114"/>
      <c r="H18" s="88" t="str">
        <f>equipos!$G$10</f>
        <v>Croacia</v>
      </c>
      <c r="I18" s="115"/>
      <c r="L18" s="96" t="str">
        <f>'Primera Ronda'!K41</f>
        <v>Canadá</v>
      </c>
      <c r="M18" s="97">
        <f>'Primera Ronda'!L41</f>
        <v>0</v>
      </c>
      <c r="N18" s="97">
        <f>'Primera Ronda'!M41</f>
        <v>0</v>
      </c>
      <c r="O18" s="97">
        <f>'Primera Ronda'!N41</f>
        <v>0</v>
      </c>
      <c r="P18" s="97">
        <f>'Primera Ronda'!O41</f>
        <v>0</v>
      </c>
      <c r="Q18" s="97">
        <f>'Primera Ronda'!P41</f>
        <v>0</v>
      </c>
      <c r="R18" s="97">
        <f>'Primera Ronda'!Q41</f>
        <v>0</v>
      </c>
      <c r="S18" s="97">
        <f>'Primera Ronda'!R41</f>
        <v>0</v>
      </c>
      <c r="T18" s="97">
        <f>'Primera Ronda'!S41</f>
        <v>0</v>
      </c>
    </row>
    <row r="19" spans="2:20" ht="13.8">
      <c r="B19" s="84">
        <v>44892</v>
      </c>
      <c r="C19" s="85">
        <f>Turno3</f>
        <v>0.66666666666666674</v>
      </c>
      <c r="D19" s="86" t="s">
        <v>144</v>
      </c>
      <c r="E19" s="87" t="str">
        <f t="shared" ca="1" si="0"/>
        <v>Proximamente..</v>
      </c>
      <c r="F19" s="88" t="str">
        <f>equipos!$G$7</f>
        <v>Bélgica</v>
      </c>
      <c r="G19" s="114"/>
      <c r="H19" s="88" t="str">
        <f>equipos!$G$9</f>
        <v>Marruecos</v>
      </c>
      <c r="I19" s="115"/>
      <c r="L19" s="96" t="str">
        <f>'Primera Ronda'!K42</f>
        <v>Marruecos</v>
      </c>
      <c r="M19" s="97">
        <f>'Primera Ronda'!L42</f>
        <v>0</v>
      </c>
      <c r="N19" s="97">
        <f>'Primera Ronda'!M42</f>
        <v>0</v>
      </c>
      <c r="O19" s="97">
        <f>'Primera Ronda'!N42</f>
        <v>0</v>
      </c>
      <c r="P19" s="97">
        <f>'Primera Ronda'!O42</f>
        <v>0</v>
      </c>
      <c r="Q19" s="97">
        <f>'Primera Ronda'!P42</f>
        <v>0</v>
      </c>
      <c r="R19" s="97">
        <f>'Primera Ronda'!Q42</f>
        <v>0</v>
      </c>
      <c r="S19" s="97">
        <f>'Primera Ronda'!R42</f>
        <v>0</v>
      </c>
      <c r="T19" s="97">
        <f>'Primera Ronda'!S42</f>
        <v>0</v>
      </c>
    </row>
    <row r="20" spans="2:20" ht="14.4" thickBot="1">
      <c r="B20" s="84">
        <v>44892</v>
      </c>
      <c r="C20" s="85">
        <f>Turno5</f>
        <v>0.79166666666666674</v>
      </c>
      <c r="D20" s="86" t="s">
        <v>145</v>
      </c>
      <c r="E20" s="87" t="str">
        <f t="shared" ca="1" si="0"/>
        <v>Proximamente..</v>
      </c>
      <c r="F20" s="88" t="str">
        <f>equipos!$G$10</f>
        <v>Croacia</v>
      </c>
      <c r="G20" s="114"/>
      <c r="H20" s="88" t="str">
        <f>equipos!$G$8</f>
        <v>Canadá</v>
      </c>
      <c r="I20" s="115"/>
      <c r="L20" s="98" t="str">
        <f>'Primera Ronda'!K43</f>
        <v>Croacia</v>
      </c>
      <c r="M20" s="99">
        <f>'Primera Ronda'!L43</f>
        <v>0</v>
      </c>
      <c r="N20" s="99">
        <f>'Primera Ronda'!M43</f>
        <v>0</v>
      </c>
      <c r="O20" s="99">
        <f>'Primera Ronda'!N43</f>
        <v>0</v>
      </c>
      <c r="P20" s="99">
        <f>'Primera Ronda'!O43</f>
        <v>0</v>
      </c>
      <c r="Q20" s="99">
        <f>'Primera Ronda'!P43</f>
        <v>0</v>
      </c>
      <c r="R20" s="99">
        <f>'Primera Ronda'!Q43</f>
        <v>0</v>
      </c>
      <c r="S20" s="99">
        <f>'Primera Ronda'!R43</f>
        <v>0</v>
      </c>
      <c r="T20" s="99">
        <f>'Primera Ronda'!S43</f>
        <v>0</v>
      </c>
    </row>
    <row r="21" spans="2:20" ht="14.4" thickBot="1">
      <c r="B21" s="84">
        <v>44896</v>
      </c>
      <c r="C21" s="85">
        <f>Turno4</f>
        <v>0.75</v>
      </c>
      <c r="D21" s="86" t="s">
        <v>146</v>
      </c>
      <c r="E21" s="87" t="str">
        <f t="shared" ca="1" si="0"/>
        <v>Proximamente..</v>
      </c>
      <c r="F21" s="88" t="str">
        <f>equipos!$G$10</f>
        <v>Croacia</v>
      </c>
      <c r="G21" s="114"/>
      <c r="H21" s="88" t="str">
        <f>equipos!$G$7</f>
        <v>Bélgica</v>
      </c>
      <c r="I21" s="115"/>
    </row>
    <row r="22" spans="2:20" ht="13.8">
      <c r="B22" s="89">
        <v>44896</v>
      </c>
      <c r="C22" s="90">
        <f>Turno4</f>
        <v>0.75</v>
      </c>
      <c r="D22" s="91" t="s">
        <v>144</v>
      </c>
      <c r="E22" s="92" t="str">
        <f t="shared" ca="1" si="0"/>
        <v>Proximamente..</v>
      </c>
      <c r="F22" s="93" t="str">
        <f>equipos!$G$8</f>
        <v>Canadá</v>
      </c>
      <c r="G22" s="121"/>
      <c r="H22" s="93" t="str">
        <f>equipos!$G$9</f>
        <v>Marruecos</v>
      </c>
      <c r="I22" s="122"/>
      <c r="L22" s="171" t="s">
        <v>6</v>
      </c>
      <c r="M22" s="171"/>
      <c r="N22" s="171"/>
      <c r="O22" s="171"/>
      <c r="Q22" s="72">
        <f ca="1">TIME(Q23,Q24,0)</f>
        <v>0.48402777777777778</v>
      </c>
    </row>
    <row r="23" spans="2:20">
      <c r="L23" s="172" t="str">
        <f>IF(T17=3,L17,"1F")</f>
        <v>1F</v>
      </c>
      <c r="M23" s="172"/>
      <c r="N23" s="172"/>
      <c r="O23" s="172"/>
      <c r="Q23" s="73">
        <f ca="1">HOUR(C6)</f>
        <v>11</v>
      </c>
    </row>
    <row r="24" spans="2:20" ht="12.75" customHeight="1" thickBot="1">
      <c r="L24" s="173" t="str">
        <f>IF(T18=3,L18,"2F")</f>
        <v>2F</v>
      </c>
      <c r="M24" s="173"/>
      <c r="N24" s="173"/>
      <c r="O24" s="173"/>
      <c r="Q24" s="73">
        <f ca="1">MINUTE(C6)</f>
        <v>37</v>
      </c>
    </row>
    <row r="25" spans="2:20"/>
    <row r="26" spans="2:20"/>
    <row r="27" spans="2:20" ht="12.75" customHeight="1"/>
    <row r="28" spans="2:20"/>
    <row r="29" spans="2:20"/>
    <row r="30" spans="2:20"/>
    <row r="31" spans="2:20"/>
    <row r="32" spans="2:20"/>
    <row r="33" spans="4:18"/>
    <row r="34" spans="4:18">
      <c r="D34" s="34"/>
      <c r="R34" s="34"/>
    </row>
    <row r="35" spans="4:18"/>
    <row r="36" spans="4:18"/>
    <row r="37" spans="4:18"/>
    <row r="38" spans="4:18" hidden="1">
      <c r="D38" s="34"/>
    </row>
    <row r="41" spans="4:18" hidden="1">
      <c r="H41" s="34"/>
    </row>
  </sheetData>
  <sheetProtection algorithmName="SHA-512" hashValue="PW5Pkl7/YEhRBZyNN74wagSAfJonMd2X4oAz1pyVSflSGiLUlXnWHNV97XPnZ92ts1KZ+S0tZS720uOG+Ag5Bg==" saltValue="2dxqAUGNA/xqqInb9rSSFA==" spinCount="100000" sheet="1" objects="1" scenarios="1" selectLockedCells="1"/>
  <mergeCells count="5">
    <mergeCell ref="F16:I16"/>
    <mergeCell ref="L22:O22"/>
    <mergeCell ref="L23:O23"/>
    <mergeCell ref="L24:O24"/>
    <mergeCell ref="C12:F14"/>
  </mergeCells>
  <conditionalFormatting sqref="E17:E22">
    <cfRule type="cellIs" dxfId="18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ignoredErrors>
    <ignoredError sqref="F18" formula="1"/>
  </ignoredErrors>
  <drawing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U41"/>
  <sheetViews>
    <sheetView showGridLines="0" showRowColHeaders="0" zoomScale="80" zoomScaleNormal="80" workbookViewId="0">
      <selection activeCell="G17" sqref="G17"/>
    </sheetView>
  </sheetViews>
  <sheetFormatPr baseColWidth="10" defaultColWidth="0" defaultRowHeight="13.2" zeroHeight="1"/>
  <cols>
    <col min="1" max="1" width="5.5546875" style="1" customWidth="1"/>
    <col min="2" max="2" width="12.33203125" style="1" bestFit="1" customWidth="1"/>
    <col min="3" max="3" width="13.6640625" style="1" bestFit="1" customWidth="1"/>
    <col min="4" max="4" width="33.33203125" style="1" customWidth="1"/>
    <col min="5" max="5" width="15.33203125" style="1" customWidth="1"/>
    <col min="6" max="6" width="16.109375" style="1" customWidth="1"/>
    <col min="7" max="7" width="3.6640625" style="1" customWidth="1"/>
    <col min="8" max="8" width="16.88671875" style="1" customWidth="1"/>
    <col min="9" max="9" width="3.6640625" style="1" customWidth="1"/>
    <col min="10" max="11" width="2.77734375" style="1" customWidth="1"/>
    <col min="12" max="12" width="14.6640625" style="1" customWidth="1"/>
    <col min="13" max="19" width="4.33203125" style="1" customWidth="1"/>
    <col min="20" max="20" width="3.33203125" style="1" customWidth="1"/>
    <col min="21" max="21" width="5.77734375" style="1" customWidth="1"/>
    <col min="22" max="16384" width="11.44140625" style="1" hidden="1"/>
  </cols>
  <sheetData>
    <row r="1" spans="2:20">
      <c r="D1" s="63"/>
      <c r="E1" s="64"/>
    </row>
    <row r="2" spans="2:20"/>
    <row r="3" spans="2:20">
      <c r="D3" s="65"/>
      <c r="E3" s="66"/>
    </row>
    <row r="4" spans="2:20">
      <c r="H4" s="67"/>
    </row>
    <row r="5" spans="2:20" ht="13.8">
      <c r="B5" s="123" t="s">
        <v>0</v>
      </c>
      <c r="C5" s="124" t="s">
        <v>91</v>
      </c>
    </row>
    <row r="6" spans="2:20" ht="13.8">
      <c r="B6" s="74">
        <f ca="1">TODAY()</f>
        <v>44792</v>
      </c>
      <c r="C6" s="75">
        <f ca="1">NOW()</f>
        <v>44792.484030092593</v>
      </c>
    </row>
    <row r="7" spans="2:20"/>
    <row r="8" spans="2:20"/>
    <row r="9" spans="2:20"/>
    <row r="10" spans="2:20"/>
    <row r="11" spans="2:20"/>
    <row r="12" spans="2:20" ht="12.75" customHeight="1">
      <c r="B12" s="40"/>
      <c r="C12" s="168" t="s">
        <v>13</v>
      </c>
      <c r="D12" s="168"/>
      <c r="E12" s="168"/>
      <c r="F12" s="168"/>
      <c r="G12" s="41"/>
      <c r="H12" s="41"/>
      <c r="I12" s="42"/>
    </row>
    <row r="13" spans="2:20" ht="13.5" customHeight="1">
      <c r="B13" s="43"/>
      <c r="C13" s="169"/>
      <c r="D13" s="169"/>
      <c r="E13" s="169"/>
      <c r="F13" s="169"/>
      <c r="G13" s="44"/>
      <c r="H13" s="44"/>
      <c r="I13" s="45"/>
    </row>
    <row r="14" spans="2:20">
      <c r="B14" s="46"/>
      <c r="C14" s="170"/>
      <c r="D14" s="170"/>
      <c r="E14" s="170"/>
      <c r="F14" s="170"/>
      <c r="G14" s="47"/>
      <c r="H14" s="47"/>
      <c r="I14" s="48"/>
    </row>
    <row r="15" spans="2:20" ht="13.8" thickBot="1"/>
    <row r="16" spans="2:20" ht="14.4" thickBot="1">
      <c r="B16" s="76" t="s">
        <v>92</v>
      </c>
      <c r="C16" s="78" t="s">
        <v>93</v>
      </c>
      <c r="D16" s="78" t="s">
        <v>2</v>
      </c>
      <c r="E16" s="78" t="s">
        <v>3</v>
      </c>
      <c r="F16" s="163" t="s">
        <v>4</v>
      </c>
      <c r="G16" s="163"/>
      <c r="H16" s="163"/>
      <c r="I16" s="164"/>
      <c r="L16" s="94" t="str">
        <f>'Primera Ronda'!K46</f>
        <v>Equipo</v>
      </c>
      <c r="M16" s="95" t="str">
        <f>'Primera Ronda'!L46</f>
        <v>G</v>
      </c>
      <c r="N16" s="95" t="str">
        <f>'Primera Ronda'!M46</f>
        <v>E</v>
      </c>
      <c r="O16" s="95" t="str">
        <f>'Primera Ronda'!N46</f>
        <v>P</v>
      </c>
      <c r="P16" s="95" t="str">
        <f>'Primera Ronda'!O46</f>
        <v>GF</v>
      </c>
      <c r="Q16" s="95" t="str">
        <f>'Primera Ronda'!P46</f>
        <v>GC</v>
      </c>
      <c r="R16" s="95" t="str">
        <f>'Primera Ronda'!Q46</f>
        <v>DG</v>
      </c>
      <c r="S16" s="95" t="str">
        <f>'Primera Ronda'!R46</f>
        <v>Pts.</v>
      </c>
      <c r="T16" s="95" t="str">
        <f>'Primera Ronda'!S46</f>
        <v>PJ</v>
      </c>
    </row>
    <row r="17" spans="2:20" ht="13.8">
      <c r="B17" s="79">
        <v>44889</v>
      </c>
      <c r="C17" s="80">
        <f>Turno7</f>
        <v>0.91666666666666663</v>
      </c>
      <c r="D17" s="81" t="s">
        <v>147</v>
      </c>
      <c r="E17" s="82" t="str">
        <f t="shared" ref="E17:E22" ca="1" si="0">IF(OR(B17="",C17="",B17&lt;$B$6),"Finalizado",IF(B17=$B$6,IF(AND(C17&lt;=$Q$22,$Q$22&lt;=(C17+0.08333333333)),"En juego",IF($Q$22&lt;C17,"HOY!","Finalizado")),IF($B$6&gt;B17,"Finalizado","Proximamente..")))</f>
        <v>Proximamente..</v>
      </c>
      <c r="F17" s="83" t="str">
        <f>equipos!$G$12</f>
        <v>Brasil</v>
      </c>
      <c r="G17" s="107"/>
      <c r="H17" s="83" t="str">
        <f>equipos!$G$13</f>
        <v>Serbia</v>
      </c>
      <c r="I17" s="108"/>
      <c r="L17" s="96" t="str">
        <f>'Primera Ronda'!K47</f>
        <v>Brasil</v>
      </c>
      <c r="M17" s="97">
        <f>'Primera Ronda'!L47</f>
        <v>0</v>
      </c>
      <c r="N17" s="97">
        <f>'Primera Ronda'!M47</f>
        <v>0</v>
      </c>
      <c r="O17" s="97">
        <f>'Primera Ronda'!N47</f>
        <v>0</v>
      </c>
      <c r="P17" s="97">
        <f>'Primera Ronda'!O47</f>
        <v>0</v>
      </c>
      <c r="Q17" s="97">
        <f>'Primera Ronda'!P47</f>
        <v>0</v>
      </c>
      <c r="R17" s="97">
        <f>'Primera Ronda'!Q47</f>
        <v>0</v>
      </c>
      <c r="S17" s="97">
        <f>'Primera Ronda'!R47</f>
        <v>0</v>
      </c>
      <c r="T17" s="97">
        <f>'Primera Ronda'!S47</f>
        <v>0</v>
      </c>
    </row>
    <row r="18" spans="2:20" ht="13.8">
      <c r="B18" s="84">
        <v>44889</v>
      </c>
      <c r="C18" s="85">
        <f>Turno1</f>
        <v>0.54166666666666663</v>
      </c>
      <c r="D18" s="86" t="s">
        <v>150</v>
      </c>
      <c r="E18" s="87" t="str">
        <f t="shared" ca="1" si="0"/>
        <v>Proximamente..</v>
      </c>
      <c r="F18" s="88" t="str">
        <f>equipos!$G$14</f>
        <v>Suiza</v>
      </c>
      <c r="G18" s="114"/>
      <c r="H18" s="88" t="str">
        <f>equipos!$G$15</f>
        <v>Camerún</v>
      </c>
      <c r="I18" s="115"/>
      <c r="L18" s="96" t="str">
        <f>'Primera Ronda'!K48</f>
        <v>Serbia</v>
      </c>
      <c r="M18" s="97">
        <f>'Primera Ronda'!L48</f>
        <v>0</v>
      </c>
      <c r="N18" s="97">
        <f>'Primera Ronda'!M48</f>
        <v>0</v>
      </c>
      <c r="O18" s="97">
        <f>'Primera Ronda'!N48</f>
        <v>0</v>
      </c>
      <c r="P18" s="97">
        <f>'Primera Ronda'!O48</f>
        <v>0</v>
      </c>
      <c r="Q18" s="97">
        <f>'Primera Ronda'!P48</f>
        <v>0</v>
      </c>
      <c r="R18" s="97">
        <f>'Primera Ronda'!Q48</f>
        <v>0</v>
      </c>
      <c r="S18" s="97">
        <f>'Primera Ronda'!R48</f>
        <v>0</v>
      </c>
      <c r="T18" s="97">
        <f>'Primera Ronda'!S48</f>
        <v>0</v>
      </c>
    </row>
    <row r="19" spans="2:20" ht="13.8">
      <c r="B19" s="84">
        <v>44893</v>
      </c>
      <c r="C19" s="85">
        <f>Turno5</f>
        <v>0.79166666666666674</v>
      </c>
      <c r="D19" s="86" t="s">
        <v>148</v>
      </c>
      <c r="E19" s="87" t="str">
        <f t="shared" ca="1" si="0"/>
        <v>Proximamente..</v>
      </c>
      <c r="F19" s="88" t="str">
        <f>equipos!$G$12</f>
        <v>Brasil</v>
      </c>
      <c r="G19" s="114"/>
      <c r="H19" s="88" t="str">
        <f>equipos!$G$14</f>
        <v>Suiza</v>
      </c>
      <c r="I19" s="115"/>
      <c r="L19" s="96" t="str">
        <f>'Primera Ronda'!K49</f>
        <v>Suiza</v>
      </c>
      <c r="M19" s="97">
        <f>'Primera Ronda'!L49</f>
        <v>0</v>
      </c>
      <c r="N19" s="97">
        <f>'Primera Ronda'!M49</f>
        <v>0</v>
      </c>
      <c r="O19" s="97">
        <f>'Primera Ronda'!N49</f>
        <v>0</v>
      </c>
      <c r="P19" s="97">
        <f>'Primera Ronda'!O49</f>
        <v>0</v>
      </c>
      <c r="Q19" s="97">
        <f>'Primera Ronda'!P49</f>
        <v>0</v>
      </c>
      <c r="R19" s="97">
        <f>'Primera Ronda'!Q49</f>
        <v>0</v>
      </c>
      <c r="S19" s="97">
        <f>'Primera Ronda'!R49</f>
        <v>0</v>
      </c>
      <c r="T19" s="97">
        <f>'Primera Ronda'!S49</f>
        <v>0</v>
      </c>
    </row>
    <row r="20" spans="2:20" ht="14.4" thickBot="1">
      <c r="B20" s="84">
        <v>44893</v>
      </c>
      <c r="C20" s="85">
        <f>Turno1</f>
        <v>0.54166666666666663</v>
      </c>
      <c r="D20" s="86" t="s">
        <v>150</v>
      </c>
      <c r="E20" s="87" t="str">
        <f t="shared" ca="1" si="0"/>
        <v>Proximamente..</v>
      </c>
      <c r="F20" s="88" t="str">
        <f>equipos!$G$15</f>
        <v>Camerún</v>
      </c>
      <c r="G20" s="114"/>
      <c r="H20" s="88" t="str">
        <f>equipos!$G$13</f>
        <v>Serbia</v>
      </c>
      <c r="I20" s="115"/>
      <c r="L20" s="98" t="str">
        <f>'Primera Ronda'!K50</f>
        <v>Camerún</v>
      </c>
      <c r="M20" s="99">
        <f>'Primera Ronda'!L50</f>
        <v>0</v>
      </c>
      <c r="N20" s="99">
        <f>'Primera Ronda'!M50</f>
        <v>0</v>
      </c>
      <c r="O20" s="99">
        <f>'Primera Ronda'!N50</f>
        <v>0</v>
      </c>
      <c r="P20" s="99">
        <f>'Primera Ronda'!O50</f>
        <v>0</v>
      </c>
      <c r="Q20" s="99">
        <f>'Primera Ronda'!P50</f>
        <v>0</v>
      </c>
      <c r="R20" s="99">
        <f>'Primera Ronda'!Q50</f>
        <v>0</v>
      </c>
      <c r="S20" s="99">
        <f>'Primera Ronda'!R50</f>
        <v>0</v>
      </c>
      <c r="T20" s="99">
        <f>'Primera Ronda'!S50</f>
        <v>0</v>
      </c>
    </row>
    <row r="21" spans="2:20" ht="14.4" thickBot="1">
      <c r="B21" s="84">
        <v>44897</v>
      </c>
      <c r="C21" s="85">
        <f>Turno7</f>
        <v>0.91666666666666663</v>
      </c>
      <c r="D21" s="86" t="s">
        <v>147</v>
      </c>
      <c r="E21" s="87" t="str">
        <f t="shared" ca="1" si="0"/>
        <v>Proximamente..</v>
      </c>
      <c r="F21" s="88" t="str">
        <f>equipos!$G$15</f>
        <v>Camerún</v>
      </c>
      <c r="G21" s="114"/>
      <c r="H21" s="88" t="str">
        <f>equipos!$G$12</f>
        <v>Brasil</v>
      </c>
      <c r="I21" s="115"/>
    </row>
    <row r="22" spans="2:20" ht="13.8">
      <c r="B22" s="89">
        <v>44897</v>
      </c>
      <c r="C22" s="90">
        <f>Turno7</f>
        <v>0.91666666666666663</v>
      </c>
      <c r="D22" s="91" t="s">
        <v>148</v>
      </c>
      <c r="E22" s="92" t="str">
        <f t="shared" ca="1" si="0"/>
        <v>Proximamente..</v>
      </c>
      <c r="F22" s="93" t="str">
        <f>equipos!$G$13</f>
        <v>Serbia</v>
      </c>
      <c r="G22" s="121"/>
      <c r="H22" s="93" t="str">
        <f>equipos!$G$14</f>
        <v>Suiza</v>
      </c>
      <c r="I22" s="122"/>
      <c r="L22" s="171" t="s">
        <v>6</v>
      </c>
      <c r="M22" s="171"/>
      <c r="N22" s="171"/>
      <c r="O22" s="171"/>
      <c r="Q22" s="72">
        <f ca="1">TIME(Q23,Q24,0)</f>
        <v>0.48402777777777778</v>
      </c>
    </row>
    <row r="23" spans="2:20">
      <c r="L23" s="172" t="str">
        <f>IF(T17=3,L17,"1G")</f>
        <v>1G</v>
      </c>
      <c r="M23" s="172"/>
      <c r="N23" s="172"/>
      <c r="O23" s="172"/>
      <c r="Q23" s="73">
        <f ca="1">HOUR(C6)</f>
        <v>11</v>
      </c>
    </row>
    <row r="24" spans="2:20" ht="12.75" customHeight="1" thickBot="1">
      <c r="L24" s="173" t="str">
        <f>IF(T18=3,L18,"2G")</f>
        <v>2G</v>
      </c>
      <c r="M24" s="173"/>
      <c r="N24" s="173"/>
      <c r="O24" s="173"/>
      <c r="Q24" s="73">
        <f ca="1">MINUTE(C6)</f>
        <v>37</v>
      </c>
    </row>
    <row r="25" spans="2:20"/>
    <row r="26" spans="2:20"/>
    <row r="27" spans="2:20" ht="12.75" customHeight="1"/>
    <row r="28" spans="2:20"/>
    <row r="29" spans="2:20"/>
    <row r="30" spans="2:20"/>
    <row r="31" spans="2:20"/>
    <row r="32" spans="2:20"/>
    <row r="33" spans="4:18"/>
    <row r="34" spans="4:18">
      <c r="D34" s="34"/>
      <c r="R34" s="34"/>
    </row>
    <row r="35" spans="4:18"/>
    <row r="36" spans="4:18"/>
    <row r="37" spans="4:18"/>
    <row r="38" spans="4:18" hidden="1">
      <c r="D38" s="34"/>
    </row>
    <row r="41" spans="4:18" hidden="1">
      <c r="H41" s="34"/>
    </row>
  </sheetData>
  <sheetProtection algorithmName="SHA-512" hashValue="QOQXTbdqWeun9vXleJ6dMkL8Re4k5pUmIYemPJF7dDGfTKdlGOQ9/o9MyCIoasnKaDHIOayJHJhX68LS7i0sjA==" saltValue="rKyWwusTCAlCpaMwyNbDVQ==" spinCount="100000" sheet="1" objects="1" scenarios="1" selectLockedCells="1"/>
  <mergeCells count="5">
    <mergeCell ref="F16:I16"/>
    <mergeCell ref="L22:O22"/>
    <mergeCell ref="L23:O23"/>
    <mergeCell ref="L24:O24"/>
    <mergeCell ref="C12:F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ignoredErrors>
    <ignoredError sqref="H19 F18 C19" formula="1"/>
  </ignoredErrors>
  <drawing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U41"/>
  <sheetViews>
    <sheetView showGridLines="0" showRowColHeaders="0" zoomScale="80" zoomScaleNormal="80" workbookViewId="0">
      <selection activeCell="G17" sqref="G17"/>
    </sheetView>
  </sheetViews>
  <sheetFormatPr baseColWidth="10" defaultColWidth="0" defaultRowHeight="13.2" zeroHeight="1"/>
  <cols>
    <col min="1" max="1" width="5.5546875" style="1" customWidth="1"/>
    <col min="2" max="2" width="12.33203125" style="1" bestFit="1" customWidth="1"/>
    <col min="3" max="3" width="13.6640625" style="1" bestFit="1" customWidth="1"/>
    <col min="4" max="4" width="33.33203125" style="1" customWidth="1"/>
    <col min="5" max="5" width="15.33203125" style="1" customWidth="1"/>
    <col min="6" max="6" width="16.109375" style="1" customWidth="1"/>
    <col min="7" max="7" width="3.6640625" style="1" customWidth="1"/>
    <col min="8" max="8" width="16.88671875" style="1" customWidth="1"/>
    <col min="9" max="9" width="3.6640625" style="1" customWidth="1"/>
    <col min="10" max="11" width="2.77734375" style="1" customWidth="1"/>
    <col min="12" max="12" width="14.6640625" style="1" customWidth="1"/>
    <col min="13" max="19" width="4.33203125" style="1" customWidth="1"/>
    <col min="20" max="20" width="3.33203125" style="1" customWidth="1"/>
    <col min="21" max="21" width="5.77734375" style="1" customWidth="1"/>
    <col min="22" max="16384" width="11.44140625" style="1" hidden="1"/>
  </cols>
  <sheetData>
    <row r="1" spans="2:20">
      <c r="D1" s="63"/>
      <c r="E1" s="64"/>
    </row>
    <row r="2" spans="2:20"/>
    <row r="3" spans="2:20">
      <c r="D3" s="65"/>
      <c r="E3" s="66"/>
    </row>
    <row r="4" spans="2:20">
      <c r="H4" s="67"/>
    </row>
    <row r="5" spans="2:20" ht="13.8">
      <c r="B5" s="123" t="s">
        <v>0</v>
      </c>
      <c r="C5" s="124" t="s">
        <v>91</v>
      </c>
    </row>
    <row r="6" spans="2:20" ht="13.8">
      <c r="B6" s="74">
        <f ca="1">TODAY()</f>
        <v>44792</v>
      </c>
      <c r="C6" s="75">
        <f ca="1">NOW()</f>
        <v>44792.484030092593</v>
      </c>
    </row>
    <row r="7" spans="2:20"/>
    <row r="8" spans="2:20"/>
    <row r="9" spans="2:20"/>
    <row r="10" spans="2:20"/>
    <row r="11" spans="2:20"/>
    <row r="12" spans="2:20" ht="12.75" customHeight="1">
      <c r="B12" s="40"/>
      <c r="C12" s="168" t="s">
        <v>14</v>
      </c>
      <c r="D12" s="168"/>
      <c r="E12" s="168"/>
      <c r="F12" s="168"/>
      <c r="G12" s="41"/>
      <c r="H12" s="41"/>
      <c r="I12" s="42"/>
    </row>
    <row r="13" spans="2:20" ht="13.5" customHeight="1">
      <c r="B13" s="43"/>
      <c r="C13" s="169"/>
      <c r="D13" s="169"/>
      <c r="E13" s="169"/>
      <c r="F13" s="169"/>
      <c r="G13" s="44"/>
      <c r="H13" s="44"/>
      <c r="I13" s="45"/>
    </row>
    <row r="14" spans="2:20" ht="12.75" customHeight="1">
      <c r="B14" s="46"/>
      <c r="C14" s="170"/>
      <c r="D14" s="170"/>
      <c r="E14" s="170"/>
      <c r="F14" s="170"/>
      <c r="G14" s="47"/>
      <c r="H14" s="47"/>
      <c r="I14" s="48"/>
    </row>
    <row r="15" spans="2:20" ht="13.8" thickBot="1"/>
    <row r="16" spans="2:20" ht="14.4" thickBot="1">
      <c r="B16" s="76" t="s">
        <v>92</v>
      </c>
      <c r="C16" s="78" t="s">
        <v>93</v>
      </c>
      <c r="D16" s="78" t="s">
        <v>2</v>
      </c>
      <c r="E16" s="78" t="s">
        <v>3</v>
      </c>
      <c r="F16" s="163" t="s">
        <v>4</v>
      </c>
      <c r="G16" s="163"/>
      <c r="H16" s="163"/>
      <c r="I16" s="164"/>
      <c r="L16" s="94" t="str">
        <f>'Primera Ronda'!K53</f>
        <v>Equipo</v>
      </c>
      <c r="M16" s="95" t="str">
        <f>'Primera Ronda'!L53</f>
        <v>G</v>
      </c>
      <c r="N16" s="95" t="str">
        <f>'Primera Ronda'!M53</f>
        <v>E</v>
      </c>
      <c r="O16" s="95" t="str">
        <f>'Primera Ronda'!N53</f>
        <v>P</v>
      </c>
      <c r="P16" s="95" t="str">
        <f>'Primera Ronda'!O53</f>
        <v>GF</v>
      </c>
      <c r="Q16" s="95" t="str">
        <f>'Primera Ronda'!P53</f>
        <v>GC</v>
      </c>
      <c r="R16" s="95" t="str">
        <f>'Primera Ronda'!Q53</f>
        <v>DG</v>
      </c>
      <c r="S16" s="95" t="str">
        <f>'Primera Ronda'!R53</f>
        <v>Pts.</v>
      </c>
      <c r="T16" s="95" t="str">
        <f>'Primera Ronda'!S53</f>
        <v>PJ</v>
      </c>
    </row>
    <row r="17" spans="2:20" ht="13.8">
      <c r="B17" s="79">
        <v>44889</v>
      </c>
      <c r="C17" s="80">
        <f>Turno5</f>
        <v>0.79166666666666674</v>
      </c>
      <c r="D17" s="81" t="s">
        <v>148</v>
      </c>
      <c r="E17" s="82" t="str">
        <f t="shared" ref="E17:E22" ca="1" si="0">IF(OR(B17="",C17="",B17&lt;$B$6),"Finalizado",IF(B17=$B$6,IF(AND(C17&lt;=$Q$22,$Q$22&lt;=(C17+0.08333333333)),"En juego",IF($Q$22&lt;C17,"HOY!","Finalizado")),IF($B$6&gt;B17,"Finalizado","Proximamente..")))</f>
        <v>Proximamente..</v>
      </c>
      <c r="F17" s="83" t="str">
        <f>equipos!$G$17</f>
        <v>Portugal</v>
      </c>
      <c r="G17" s="107"/>
      <c r="H17" s="83" t="str">
        <f>equipos!$G$18</f>
        <v>Ghana</v>
      </c>
      <c r="I17" s="108"/>
      <c r="L17" s="96" t="str">
        <f>'Primera Ronda'!K54</f>
        <v>Portugal</v>
      </c>
      <c r="M17" s="97">
        <f>'Primera Ronda'!L54</f>
        <v>0</v>
      </c>
      <c r="N17" s="97">
        <f>'Primera Ronda'!M54</f>
        <v>0</v>
      </c>
      <c r="O17" s="97">
        <f>'Primera Ronda'!N54</f>
        <v>0</v>
      </c>
      <c r="P17" s="97">
        <f>'Primera Ronda'!O54</f>
        <v>0</v>
      </c>
      <c r="Q17" s="97">
        <f>'Primera Ronda'!P54</f>
        <v>0</v>
      </c>
      <c r="R17" s="97">
        <f>'Primera Ronda'!Q54</f>
        <v>0</v>
      </c>
      <c r="S17" s="97">
        <f>'Primera Ronda'!R54</f>
        <v>0</v>
      </c>
      <c r="T17" s="97">
        <f>'Primera Ronda'!S54</f>
        <v>0</v>
      </c>
    </row>
    <row r="18" spans="2:20" ht="13.8">
      <c r="B18" s="84">
        <v>44889</v>
      </c>
      <c r="C18" s="85">
        <f>Turno3</f>
        <v>0.66666666666666674</v>
      </c>
      <c r="D18" s="86" t="s">
        <v>149</v>
      </c>
      <c r="E18" s="87" t="str">
        <f t="shared" ca="1" si="0"/>
        <v>Proximamente..</v>
      </c>
      <c r="F18" s="88" t="str">
        <f>equipos!$G$19</f>
        <v>Uruguay</v>
      </c>
      <c r="G18" s="114"/>
      <c r="H18" s="88" t="str">
        <f>equipos!$G$20</f>
        <v>Corea del Sur</v>
      </c>
      <c r="I18" s="115"/>
      <c r="L18" s="96" t="str">
        <f>'Primera Ronda'!K55</f>
        <v>Ghana</v>
      </c>
      <c r="M18" s="97">
        <f>'Primera Ronda'!L55</f>
        <v>0</v>
      </c>
      <c r="N18" s="97">
        <f>'Primera Ronda'!M55</f>
        <v>0</v>
      </c>
      <c r="O18" s="97">
        <f>'Primera Ronda'!N55</f>
        <v>0</v>
      </c>
      <c r="P18" s="97">
        <f>'Primera Ronda'!O55</f>
        <v>0</v>
      </c>
      <c r="Q18" s="97">
        <f>'Primera Ronda'!P55</f>
        <v>0</v>
      </c>
      <c r="R18" s="97">
        <f>'Primera Ronda'!Q55</f>
        <v>0</v>
      </c>
      <c r="S18" s="97">
        <f>'Primera Ronda'!R55</f>
        <v>0</v>
      </c>
      <c r="T18" s="97">
        <f>'Primera Ronda'!S55</f>
        <v>0</v>
      </c>
    </row>
    <row r="19" spans="2:20" ht="13.8">
      <c r="B19" s="84">
        <v>44893</v>
      </c>
      <c r="C19" s="85">
        <f>Turno7</f>
        <v>0.91666666666666663</v>
      </c>
      <c r="D19" s="86" t="s">
        <v>147</v>
      </c>
      <c r="E19" s="87" t="str">
        <f t="shared" ca="1" si="0"/>
        <v>Proximamente..</v>
      </c>
      <c r="F19" s="88" t="str">
        <f>equipos!$G$17</f>
        <v>Portugal</v>
      </c>
      <c r="G19" s="114"/>
      <c r="H19" s="88" t="str">
        <f>equipos!$G$19</f>
        <v>Uruguay</v>
      </c>
      <c r="I19" s="115"/>
      <c r="L19" s="96" t="str">
        <f>'Primera Ronda'!K56</f>
        <v>Uruguay</v>
      </c>
      <c r="M19" s="97">
        <f>'Primera Ronda'!L56</f>
        <v>0</v>
      </c>
      <c r="N19" s="97">
        <f>'Primera Ronda'!M56</f>
        <v>0</v>
      </c>
      <c r="O19" s="97">
        <f>'Primera Ronda'!N56</f>
        <v>0</v>
      </c>
      <c r="P19" s="97">
        <f>'Primera Ronda'!O56</f>
        <v>0</v>
      </c>
      <c r="Q19" s="97">
        <f>'Primera Ronda'!P56</f>
        <v>0</v>
      </c>
      <c r="R19" s="97">
        <f>'Primera Ronda'!Q56</f>
        <v>0</v>
      </c>
      <c r="S19" s="97">
        <f>'Primera Ronda'!R56</f>
        <v>0</v>
      </c>
      <c r="T19" s="97">
        <f>'Primera Ronda'!S56</f>
        <v>0</v>
      </c>
    </row>
    <row r="20" spans="2:20" ht="14.4" thickBot="1">
      <c r="B20" s="84">
        <v>44893</v>
      </c>
      <c r="C20" s="85">
        <f>Turno3</f>
        <v>0.66666666666666674</v>
      </c>
      <c r="D20" s="86" t="s">
        <v>149</v>
      </c>
      <c r="E20" s="87" t="str">
        <f t="shared" ca="1" si="0"/>
        <v>Proximamente..</v>
      </c>
      <c r="F20" s="88" t="str">
        <f>equipos!$G$20</f>
        <v>Corea del Sur</v>
      </c>
      <c r="G20" s="114"/>
      <c r="H20" s="88" t="str">
        <f>equipos!$G$18</f>
        <v>Ghana</v>
      </c>
      <c r="I20" s="115"/>
      <c r="L20" s="98" t="str">
        <f>'Primera Ronda'!K57</f>
        <v>Corea del Sur</v>
      </c>
      <c r="M20" s="99">
        <f>'Primera Ronda'!L57</f>
        <v>0</v>
      </c>
      <c r="N20" s="99">
        <f>'Primera Ronda'!M57</f>
        <v>0</v>
      </c>
      <c r="O20" s="99">
        <f>'Primera Ronda'!N57</f>
        <v>0</v>
      </c>
      <c r="P20" s="99">
        <f>'Primera Ronda'!O57</f>
        <v>0</v>
      </c>
      <c r="Q20" s="99">
        <f>'Primera Ronda'!P57</f>
        <v>0</v>
      </c>
      <c r="R20" s="99">
        <f>'Primera Ronda'!Q57</f>
        <v>0</v>
      </c>
      <c r="S20" s="99">
        <f>'Primera Ronda'!R57</f>
        <v>0</v>
      </c>
      <c r="T20" s="99">
        <f>'Primera Ronda'!S57</f>
        <v>0</v>
      </c>
    </row>
    <row r="21" spans="2:20" ht="14.4" thickBot="1">
      <c r="B21" s="84">
        <v>44897</v>
      </c>
      <c r="C21" s="85">
        <f>Turno4</f>
        <v>0.75</v>
      </c>
      <c r="D21" s="86" t="s">
        <v>149</v>
      </c>
      <c r="E21" s="87" t="str">
        <f t="shared" ca="1" si="0"/>
        <v>Proximamente..</v>
      </c>
      <c r="F21" s="88" t="str">
        <f>equipos!$G$20</f>
        <v>Corea del Sur</v>
      </c>
      <c r="G21" s="114"/>
      <c r="H21" s="88" t="str">
        <f>equipos!$G$17</f>
        <v>Portugal</v>
      </c>
      <c r="I21" s="115"/>
    </row>
    <row r="22" spans="2:20" ht="13.8">
      <c r="B22" s="89">
        <v>44897</v>
      </c>
      <c r="C22" s="90">
        <f>Turno4</f>
        <v>0.75</v>
      </c>
      <c r="D22" s="91" t="s">
        <v>150</v>
      </c>
      <c r="E22" s="92" t="str">
        <f t="shared" ca="1" si="0"/>
        <v>Proximamente..</v>
      </c>
      <c r="F22" s="93" t="str">
        <f>equipos!$G$18</f>
        <v>Ghana</v>
      </c>
      <c r="G22" s="121"/>
      <c r="H22" s="93" t="str">
        <f>equipos!$G$19</f>
        <v>Uruguay</v>
      </c>
      <c r="I22" s="122"/>
      <c r="L22" s="171" t="s">
        <v>6</v>
      </c>
      <c r="M22" s="171"/>
      <c r="N22" s="171"/>
      <c r="O22" s="171"/>
      <c r="Q22" s="72">
        <f ca="1">TIME(Q23,Q24,0)</f>
        <v>0.48402777777777778</v>
      </c>
    </row>
    <row r="23" spans="2:20">
      <c r="L23" s="172" t="str">
        <f>IF(T17=3,L17,"1H")</f>
        <v>1H</v>
      </c>
      <c r="M23" s="172"/>
      <c r="N23" s="172"/>
      <c r="O23" s="172"/>
      <c r="Q23" s="73">
        <f ca="1">HOUR(C6)</f>
        <v>11</v>
      </c>
    </row>
    <row r="24" spans="2:20" ht="12.75" customHeight="1" thickBot="1">
      <c r="L24" s="173" t="str">
        <f>IF(T18=3,L18,"2H")</f>
        <v>2H</v>
      </c>
      <c r="M24" s="173"/>
      <c r="N24" s="173"/>
      <c r="O24" s="173"/>
      <c r="Q24" s="73">
        <f ca="1">MINUTE(C6)</f>
        <v>37</v>
      </c>
    </row>
    <row r="25" spans="2:20"/>
    <row r="26" spans="2:20"/>
    <row r="27" spans="2:20" ht="12.75" customHeight="1"/>
    <row r="28" spans="2:20"/>
    <row r="29" spans="2:20"/>
    <row r="30" spans="2:20"/>
    <row r="31" spans="2:20"/>
    <row r="32" spans="2:20"/>
    <row r="33" spans="4:18"/>
    <row r="34" spans="4:18">
      <c r="D34" s="34"/>
      <c r="R34" s="34"/>
    </row>
    <row r="35" spans="4:18"/>
    <row r="36" spans="4:18"/>
    <row r="37" spans="4:18"/>
    <row r="38" spans="4:18" hidden="1">
      <c r="D38" s="34"/>
    </row>
    <row r="41" spans="4:18" hidden="1">
      <c r="H41" s="34"/>
    </row>
  </sheetData>
  <sheetProtection algorithmName="SHA-512" hashValue="vrKVVLlI4pU4/sGL44C3LdHuBrvkG9eOJXulXlE3M8DKu1levzEYVhyYoqnOKulyxuKbQ+8MNn68ynT2FmPEFw==" saltValue="NVtJB5hcVPVoBQZI6AIxGg==" spinCount="100000" sheet="1" objects="1" scenarios="1" selectLockedCells="1"/>
  <mergeCells count="5">
    <mergeCell ref="F16:I16"/>
    <mergeCell ref="L22:O22"/>
    <mergeCell ref="L23:O23"/>
    <mergeCell ref="L24:O24"/>
    <mergeCell ref="C12:F14"/>
  </mergeCells>
  <conditionalFormatting sqref="E17:E22">
    <cfRule type="cellIs" dxfId="16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 C19" formula="1"/>
  </ignoredErrors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8</vt:i4>
      </vt:variant>
    </vt:vector>
  </HeadingPairs>
  <TitlesOfParts>
    <vt:vector size="21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Cuadro Final</vt:lpstr>
      <vt:lpstr>CONTACTO</vt:lpstr>
      <vt:lpstr>Hoja1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dannyriva@hotmail.com</dc:creator>
  <cp:lastModifiedBy>Danny Riva</cp:lastModifiedBy>
  <dcterms:created xsi:type="dcterms:W3CDTF">2010-06-17T02:38:21Z</dcterms:created>
  <dcterms:modified xsi:type="dcterms:W3CDTF">2022-08-19T16:37:47Z</dcterms:modified>
</cp:coreProperties>
</file>