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Downloads\"/>
    </mc:Choice>
  </mc:AlternateContent>
  <xr:revisionPtr revIDLastSave="0" documentId="13_ncr:1_{2BAEEA1A-35DF-4570-8977-81A33406111A}" xr6:coauthVersionLast="47" xr6:coauthVersionMax="47" xr10:uidLastSave="{00000000-0000-0000-0000-000000000000}"/>
  <bookViews>
    <workbookView xWindow="-120" yWindow="-120" windowWidth="20640" windowHeight="11160" xr2:uid="{F99D6DFB-A2CB-4EDC-B2F0-EFFA2BC2D207}"/>
  </bookViews>
  <sheets>
    <sheet name="FIXTURE" sheetId="1" r:id="rId1"/>
    <sheet name="Datos de actualizaciones" sheetId="3" r:id="rId2"/>
    <sheet name="Ejemplo" sheetId="4" r:id="rId3"/>
  </sheets>
  <definedNames>
    <definedName name="_xlnm._FilterDatabase" localSheetId="0" hidden="1">FIXTURE!$B$66:$K$146</definedName>
    <definedName name="GRUPOA">Tabla5[]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P90" i="1" l="1"/>
  <c r="AL90" i="1"/>
  <c r="AP79" i="1"/>
  <c r="AL79" i="1"/>
  <c r="AH85" i="1"/>
  <c r="AH73" i="1"/>
  <c r="AD85" i="1"/>
  <c r="AD73" i="1"/>
  <c r="V70" i="1"/>
  <c r="Z88" i="1"/>
  <c r="Z82" i="1"/>
  <c r="Z76" i="1"/>
  <c r="Z70" i="1"/>
  <c r="V88" i="1"/>
  <c r="V82" i="1"/>
  <c r="V76" i="1"/>
  <c r="AL91" i="1"/>
  <c r="AL80" i="1"/>
  <c r="AD86" i="1"/>
  <c r="AD74" i="1"/>
  <c r="V89" i="1"/>
  <c r="V83" i="1"/>
  <c r="V71" i="1"/>
  <c r="N91" i="1"/>
  <c r="N88" i="1"/>
  <c r="N85" i="1"/>
  <c r="N82" i="1"/>
  <c r="N79" i="1"/>
  <c r="N76" i="1"/>
  <c r="N73" i="1"/>
  <c r="N70" i="1"/>
  <c r="AW60" i="1"/>
  <c r="AW53" i="1"/>
  <c r="AW46" i="1"/>
  <c r="AW39" i="1"/>
  <c r="AW32" i="1"/>
  <c r="AW25" i="1"/>
  <c r="AW18" i="1"/>
  <c r="AW10" i="1"/>
  <c r="AX11" i="1"/>
  <c r="AW11" i="1"/>
  <c r="K145" i="1"/>
  <c r="K146" i="1"/>
  <c r="K141" i="1"/>
  <c r="K142" i="1"/>
  <c r="K143" i="1"/>
  <c r="K144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25" i="1"/>
  <c r="K126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67" i="1"/>
  <c r="BH60" i="1"/>
  <c r="BA60" i="1"/>
  <c r="AZ60" i="1"/>
  <c r="AY60" i="1"/>
  <c r="AX60" i="1"/>
  <c r="AH60" i="1"/>
  <c r="AD60" i="1"/>
  <c r="Z60" i="1"/>
  <c r="V60" i="1"/>
  <c r="R60" i="1"/>
  <c r="N60" i="1"/>
  <c r="BH59" i="1"/>
  <c r="BA59" i="1"/>
  <c r="AZ59" i="1"/>
  <c r="AY59" i="1"/>
  <c r="AX59" i="1"/>
  <c r="AW59" i="1"/>
  <c r="BH58" i="1"/>
  <c r="BA58" i="1"/>
  <c r="AZ58" i="1"/>
  <c r="AY58" i="1"/>
  <c r="AX58" i="1"/>
  <c r="AW58" i="1"/>
  <c r="AH58" i="1"/>
  <c r="AD58" i="1"/>
  <c r="Z58" i="1"/>
  <c r="V58" i="1"/>
  <c r="R58" i="1"/>
  <c r="N58" i="1"/>
  <c r="BH57" i="1"/>
  <c r="BA57" i="1"/>
  <c r="AZ57" i="1"/>
  <c r="AY57" i="1"/>
  <c r="AX57" i="1"/>
  <c r="AW57" i="1"/>
  <c r="BH53" i="1"/>
  <c r="BA53" i="1"/>
  <c r="AZ53" i="1"/>
  <c r="AY53" i="1"/>
  <c r="AX53" i="1"/>
  <c r="AH53" i="1"/>
  <c r="AD53" i="1"/>
  <c r="Z53" i="1"/>
  <c r="V53" i="1"/>
  <c r="R53" i="1"/>
  <c r="N53" i="1"/>
  <c r="BH52" i="1"/>
  <c r="BA52" i="1"/>
  <c r="AZ52" i="1"/>
  <c r="AY52" i="1"/>
  <c r="AX52" i="1"/>
  <c r="AW52" i="1"/>
  <c r="BH51" i="1"/>
  <c r="BA51" i="1"/>
  <c r="AZ51" i="1"/>
  <c r="AY51" i="1"/>
  <c r="AX51" i="1"/>
  <c r="AW51" i="1"/>
  <c r="AH51" i="1"/>
  <c r="AD51" i="1"/>
  <c r="Z51" i="1"/>
  <c r="V51" i="1"/>
  <c r="R51" i="1"/>
  <c r="N51" i="1"/>
  <c r="BH50" i="1"/>
  <c r="BA50" i="1"/>
  <c r="AZ50" i="1"/>
  <c r="AY50" i="1"/>
  <c r="AX50" i="1"/>
  <c r="AW50" i="1"/>
  <c r="BH46" i="1"/>
  <c r="BA46" i="1"/>
  <c r="AZ46" i="1"/>
  <c r="AY46" i="1"/>
  <c r="AX46" i="1"/>
  <c r="AH46" i="1"/>
  <c r="AD46" i="1"/>
  <c r="Z46" i="1"/>
  <c r="V46" i="1"/>
  <c r="R46" i="1"/>
  <c r="N46" i="1"/>
  <c r="BH45" i="1"/>
  <c r="BA45" i="1"/>
  <c r="AZ45" i="1"/>
  <c r="AY45" i="1"/>
  <c r="AX45" i="1"/>
  <c r="AW45" i="1"/>
  <c r="BH44" i="1"/>
  <c r="BA44" i="1"/>
  <c r="AZ44" i="1"/>
  <c r="AY44" i="1"/>
  <c r="AX44" i="1"/>
  <c r="AW44" i="1"/>
  <c r="AH44" i="1"/>
  <c r="AD44" i="1"/>
  <c r="Z44" i="1"/>
  <c r="V44" i="1"/>
  <c r="R44" i="1"/>
  <c r="N44" i="1"/>
  <c r="BH43" i="1"/>
  <c r="BA43" i="1"/>
  <c r="AZ43" i="1"/>
  <c r="AY43" i="1"/>
  <c r="AX43" i="1"/>
  <c r="AW43" i="1"/>
  <c r="BH39" i="1"/>
  <c r="BA39" i="1"/>
  <c r="AZ39" i="1"/>
  <c r="AY39" i="1"/>
  <c r="AX39" i="1"/>
  <c r="AH39" i="1"/>
  <c r="AD39" i="1"/>
  <c r="Z39" i="1"/>
  <c r="V39" i="1"/>
  <c r="R39" i="1"/>
  <c r="N39" i="1"/>
  <c r="BH38" i="1"/>
  <c r="BA38" i="1"/>
  <c r="AZ38" i="1"/>
  <c r="AY38" i="1"/>
  <c r="AX38" i="1"/>
  <c r="AW38" i="1"/>
  <c r="BH37" i="1"/>
  <c r="BA37" i="1"/>
  <c r="AZ37" i="1"/>
  <c r="AY37" i="1"/>
  <c r="AX37" i="1"/>
  <c r="AW37" i="1"/>
  <c r="AH37" i="1"/>
  <c r="AD37" i="1"/>
  <c r="Z37" i="1"/>
  <c r="V37" i="1"/>
  <c r="R37" i="1"/>
  <c r="N37" i="1"/>
  <c r="BH36" i="1"/>
  <c r="BA36" i="1"/>
  <c r="AZ36" i="1"/>
  <c r="AY36" i="1"/>
  <c r="AX36" i="1"/>
  <c r="AW36" i="1"/>
  <c r="BH32" i="1"/>
  <c r="BA32" i="1"/>
  <c r="AZ32" i="1"/>
  <c r="AY32" i="1"/>
  <c r="AX32" i="1"/>
  <c r="AH32" i="1"/>
  <c r="AD32" i="1"/>
  <c r="Z32" i="1"/>
  <c r="V32" i="1"/>
  <c r="R32" i="1"/>
  <c r="N32" i="1"/>
  <c r="BH31" i="1"/>
  <c r="BA31" i="1"/>
  <c r="AZ31" i="1"/>
  <c r="AY31" i="1"/>
  <c r="AX31" i="1"/>
  <c r="AW31" i="1"/>
  <c r="BH30" i="1"/>
  <c r="BA30" i="1"/>
  <c r="AZ30" i="1"/>
  <c r="AY30" i="1"/>
  <c r="AX30" i="1"/>
  <c r="AW30" i="1"/>
  <c r="AH30" i="1"/>
  <c r="AD30" i="1"/>
  <c r="Z30" i="1"/>
  <c r="V30" i="1"/>
  <c r="R30" i="1"/>
  <c r="N30" i="1"/>
  <c r="BH29" i="1"/>
  <c r="BA29" i="1"/>
  <c r="AZ29" i="1"/>
  <c r="AY29" i="1"/>
  <c r="AX29" i="1"/>
  <c r="AW29" i="1"/>
  <c r="BH25" i="1"/>
  <c r="BA25" i="1"/>
  <c r="AZ25" i="1"/>
  <c r="AY25" i="1"/>
  <c r="AX25" i="1"/>
  <c r="AH25" i="1"/>
  <c r="AD25" i="1"/>
  <c r="Z25" i="1"/>
  <c r="V25" i="1"/>
  <c r="R25" i="1"/>
  <c r="N25" i="1"/>
  <c r="BH24" i="1"/>
  <c r="BA24" i="1"/>
  <c r="AZ24" i="1"/>
  <c r="AY24" i="1"/>
  <c r="AX24" i="1"/>
  <c r="AW24" i="1"/>
  <c r="BH23" i="1"/>
  <c r="BA23" i="1"/>
  <c r="AZ23" i="1"/>
  <c r="AY23" i="1"/>
  <c r="AX23" i="1"/>
  <c r="AW23" i="1"/>
  <c r="AH23" i="1"/>
  <c r="AD23" i="1"/>
  <c r="Z23" i="1"/>
  <c r="V23" i="1"/>
  <c r="R23" i="1"/>
  <c r="N23" i="1"/>
  <c r="BH22" i="1"/>
  <c r="BA22" i="1"/>
  <c r="AZ22" i="1"/>
  <c r="AY22" i="1"/>
  <c r="AX22" i="1"/>
  <c r="AW22" i="1"/>
  <c r="BH18" i="1"/>
  <c r="BA18" i="1"/>
  <c r="AZ18" i="1"/>
  <c r="AY18" i="1"/>
  <c r="AX18" i="1"/>
  <c r="AH18" i="1"/>
  <c r="AD18" i="1"/>
  <c r="Z18" i="1"/>
  <c r="V18" i="1"/>
  <c r="R18" i="1"/>
  <c r="N18" i="1"/>
  <c r="BH17" i="1"/>
  <c r="BA17" i="1"/>
  <c r="AZ17" i="1"/>
  <c r="AY17" i="1"/>
  <c r="AX17" i="1"/>
  <c r="AW17" i="1"/>
  <c r="BH16" i="1"/>
  <c r="BA16" i="1"/>
  <c r="AZ16" i="1"/>
  <c r="AY16" i="1"/>
  <c r="AX16" i="1"/>
  <c r="AW16" i="1"/>
  <c r="AH16" i="1"/>
  <c r="AD16" i="1"/>
  <c r="Z16" i="1"/>
  <c r="V16" i="1"/>
  <c r="R16" i="1"/>
  <c r="N16" i="1"/>
  <c r="BH15" i="1"/>
  <c r="BA15" i="1"/>
  <c r="AZ15" i="1"/>
  <c r="AY15" i="1"/>
  <c r="AX15" i="1"/>
  <c r="AW15" i="1"/>
  <c r="AH9" i="1"/>
  <c r="Z11" i="1"/>
  <c r="R11" i="1"/>
  <c r="Z9" i="1"/>
  <c r="AH11" i="1"/>
  <c r="N11" i="1"/>
  <c r="R9" i="1"/>
  <c r="V11" i="1"/>
  <c r="AD11" i="1"/>
  <c r="AD9" i="1"/>
  <c r="V9" i="1"/>
  <c r="N9" i="1"/>
  <c r="BH8" i="1"/>
  <c r="BH11" i="1"/>
  <c r="BH9" i="1"/>
  <c r="BH10" i="1"/>
  <c r="AW8" i="1"/>
  <c r="AX8" i="1"/>
  <c r="AY8" i="1"/>
  <c r="AZ8" i="1"/>
  <c r="BA8" i="1"/>
  <c r="AW9" i="1"/>
  <c r="AX9" i="1"/>
  <c r="AY9" i="1"/>
  <c r="AZ9" i="1"/>
  <c r="BA9" i="1"/>
  <c r="AX10" i="1"/>
  <c r="AY10" i="1"/>
  <c r="AZ10" i="1"/>
  <c r="BA10" i="1"/>
  <c r="AY11" i="1"/>
  <c r="AZ11" i="1"/>
  <c r="BA11" i="1"/>
  <c r="AV18" i="1" l="1"/>
  <c r="BB58" i="1"/>
  <c r="AU58" i="1"/>
  <c r="AU51" i="1"/>
  <c r="AU57" i="1"/>
  <c r="BB30" i="1"/>
  <c r="AU31" i="1"/>
  <c r="BB22" i="1"/>
  <c r="BG29" i="1"/>
  <c r="BB51" i="1"/>
  <c r="BB36" i="1"/>
  <c r="BB44" i="1"/>
  <c r="BB16" i="1"/>
  <c r="AU39" i="1"/>
  <c r="AV46" i="1"/>
  <c r="AU52" i="1"/>
  <c r="AV38" i="1"/>
  <c r="BG50" i="1"/>
  <c r="AV60" i="1"/>
  <c r="AU17" i="1"/>
  <c r="AU24" i="1"/>
  <c r="AU43" i="1"/>
  <c r="AU44" i="1"/>
  <c r="BB23" i="1"/>
  <c r="AV30" i="1"/>
  <c r="AV31" i="1"/>
  <c r="AU32" i="1"/>
  <c r="AU38" i="1"/>
  <c r="AV53" i="1"/>
  <c r="BB57" i="1"/>
  <c r="BG58" i="1"/>
  <c r="AU59" i="1"/>
  <c r="BG22" i="1"/>
  <c r="AV23" i="1"/>
  <c r="AV24" i="1"/>
  <c r="AU25" i="1"/>
  <c r="BG30" i="1"/>
  <c r="BG37" i="1"/>
  <c r="BB43" i="1"/>
  <c r="BG44" i="1"/>
  <c r="AU45" i="1"/>
  <c r="AU50" i="1"/>
  <c r="BB50" i="1"/>
  <c r="BB15" i="1"/>
  <c r="AV17" i="1"/>
  <c r="AU18" i="1"/>
  <c r="BG23" i="1"/>
  <c r="BB29" i="1"/>
  <c r="BG60" i="1"/>
  <c r="AV25" i="1"/>
  <c r="BG25" i="1"/>
  <c r="AV32" i="1"/>
  <c r="BG32" i="1"/>
  <c r="BG36" i="1"/>
  <c r="AV37" i="1"/>
  <c r="AV39" i="1"/>
  <c r="BG43" i="1"/>
  <c r="AV45" i="1"/>
  <c r="BG45" i="1"/>
  <c r="AV50" i="1"/>
  <c r="BG51" i="1"/>
  <c r="AU53" i="1"/>
  <c r="BG57" i="1"/>
  <c r="AV58" i="1"/>
  <c r="AV59" i="1"/>
  <c r="BG59" i="1"/>
  <c r="BG24" i="1"/>
  <c r="BG31" i="1"/>
  <c r="BG38" i="1"/>
  <c r="AU46" i="1"/>
  <c r="AV51" i="1"/>
  <c r="AV52" i="1"/>
  <c r="BG52" i="1"/>
  <c r="AV57" i="1"/>
  <c r="AU60" i="1"/>
  <c r="BG46" i="1"/>
  <c r="BG15" i="1"/>
  <c r="AV16" i="1"/>
  <c r="AV22" i="1"/>
  <c r="AV29" i="1"/>
  <c r="AV36" i="1"/>
  <c r="BG39" i="1"/>
  <c r="BG53" i="1"/>
  <c r="BG8" i="1"/>
  <c r="BG10" i="1"/>
  <c r="BB59" i="1"/>
  <c r="BB60" i="1"/>
  <c r="BB52" i="1"/>
  <c r="BB53" i="1"/>
  <c r="AV43" i="1"/>
  <c r="AV44" i="1"/>
  <c r="BB45" i="1"/>
  <c r="BB46" i="1"/>
  <c r="BB37" i="1"/>
  <c r="AU36" i="1"/>
  <c r="AU37" i="1"/>
  <c r="BB38" i="1"/>
  <c r="BB39" i="1"/>
  <c r="AU29" i="1"/>
  <c r="AU30" i="1"/>
  <c r="BB31" i="1"/>
  <c r="BB32" i="1"/>
  <c r="AU22" i="1"/>
  <c r="AU23" i="1"/>
  <c r="BB24" i="1"/>
  <c r="BB25" i="1"/>
  <c r="AU16" i="1"/>
  <c r="BG17" i="1"/>
  <c r="AV15" i="1"/>
  <c r="BG16" i="1"/>
  <c r="AU15" i="1"/>
  <c r="BG18" i="1"/>
  <c r="BB17" i="1"/>
  <c r="BB18" i="1"/>
  <c r="BG11" i="1"/>
  <c r="BG9" i="1"/>
  <c r="BB9" i="1"/>
  <c r="AV8" i="1"/>
  <c r="AU9" i="1"/>
  <c r="AU8" i="1"/>
  <c r="BB8" i="1"/>
  <c r="AU10" i="1"/>
  <c r="BB11" i="1"/>
  <c r="BB10" i="1"/>
  <c r="AV11" i="1"/>
  <c r="AU11" i="1"/>
  <c r="AV10" i="1"/>
  <c r="AV9" i="1"/>
  <c r="BF38" i="1" l="1"/>
  <c r="BF46" i="1"/>
  <c r="BF53" i="1"/>
  <c r="BD18" i="1"/>
  <c r="BF32" i="1"/>
  <c r="BD30" i="1"/>
  <c r="BD15" i="1"/>
  <c r="BD16" i="1"/>
  <c r="BD22" i="1"/>
  <c r="BD43" i="1"/>
  <c r="BD52" i="1"/>
  <c r="BF30" i="1"/>
  <c r="BD17" i="1"/>
  <c r="BD24" i="1"/>
  <c r="BD31" i="1"/>
  <c r="BD39" i="1"/>
  <c r="BF59" i="1"/>
  <c r="BD32" i="1"/>
  <c r="BD53" i="1"/>
  <c r="BF18" i="1"/>
  <c r="BF25" i="1"/>
  <c r="BF23" i="1"/>
  <c r="BD29" i="1"/>
  <c r="BD37" i="1"/>
  <c r="BD25" i="1"/>
  <c r="BD45" i="1"/>
  <c r="BD58" i="1"/>
  <c r="BD46" i="1"/>
  <c r="BD50" i="1"/>
  <c r="BF50" i="1"/>
  <c r="BD51" i="1"/>
  <c r="BD59" i="1"/>
  <c r="BD36" i="1"/>
  <c r="BD23" i="1"/>
  <c r="BD60" i="1"/>
  <c r="BD57" i="1"/>
  <c r="BD44" i="1"/>
  <c r="BD38" i="1"/>
  <c r="BD8" i="1"/>
  <c r="BD9" i="1"/>
  <c r="BD10" i="1"/>
  <c r="BD11" i="1"/>
  <c r="BF60" i="1"/>
  <c r="BF58" i="1"/>
  <c r="BF57" i="1"/>
  <c r="BF52" i="1"/>
  <c r="BF51" i="1"/>
  <c r="BF44" i="1"/>
  <c r="BF43" i="1"/>
  <c r="BF45" i="1"/>
  <c r="BF39" i="1"/>
  <c r="BF37" i="1"/>
  <c r="BF36" i="1"/>
  <c r="BF31" i="1"/>
  <c r="BF29" i="1"/>
  <c r="BF24" i="1"/>
  <c r="BF22" i="1"/>
  <c r="BF17" i="1"/>
  <c r="BF15" i="1"/>
  <c r="BF16" i="1"/>
  <c r="BF8" i="1"/>
  <c r="BF9" i="1"/>
  <c r="BF11" i="1"/>
  <c r="BF10" i="1"/>
  <c r="BE50" i="1" l="1"/>
  <c r="I50" i="1" s="1"/>
  <c r="BE15" i="1"/>
  <c r="BE32" i="1"/>
  <c r="BE60" i="1"/>
  <c r="BE46" i="1"/>
  <c r="BE37" i="1"/>
  <c r="BE58" i="1"/>
  <c r="BE30" i="1"/>
  <c r="BE25" i="1"/>
  <c r="BE57" i="1"/>
  <c r="H57" i="1" s="1"/>
  <c r="BE59" i="1"/>
  <c r="BE52" i="1"/>
  <c r="BE51" i="1"/>
  <c r="J51" i="1" s="1"/>
  <c r="BE53" i="1"/>
  <c r="H50" i="1" s="1"/>
  <c r="BE44" i="1"/>
  <c r="BE43" i="1"/>
  <c r="BE45" i="1"/>
  <c r="BE38" i="1"/>
  <c r="BE36" i="1"/>
  <c r="BE39" i="1"/>
  <c r="BE31" i="1"/>
  <c r="BE29" i="1"/>
  <c r="BE23" i="1"/>
  <c r="BE24" i="1"/>
  <c r="BE22" i="1"/>
  <c r="BE18" i="1"/>
  <c r="BE17" i="1"/>
  <c r="BE16" i="1"/>
  <c r="BE8" i="1"/>
  <c r="BE9" i="1"/>
  <c r="BE10" i="1"/>
  <c r="BE11" i="1"/>
  <c r="F8" i="1" l="1"/>
  <c r="K50" i="1"/>
  <c r="E11" i="1"/>
  <c r="H32" i="1"/>
  <c r="I16" i="1"/>
  <c r="J52" i="1"/>
  <c r="I51" i="1"/>
  <c r="H51" i="1"/>
  <c r="C51" i="1"/>
  <c r="E53" i="1"/>
  <c r="F51" i="1"/>
  <c r="H17" i="1"/>
  <c r="G53" i="1"/>
  <c r="I53" i="1"/>
  <c r="F53" i="1"/>
  <c r="C53" i="1"/>
  <c r="F50" i="1"/>
  <c r="G50" i="1"/>
  <c r="D50" i="1"/>
  <c r="E50" i="1"/>
  <c r="N78" i="1" s="1"/>
  <c r="C50" i="1"/>
  <c r="J50" i="1"/>
  <c r="G51" i="1"/>
  <c r="E51" i="1"/>
  <c r="R90" i="1" s="1"/>
  <c r="K51" i="1"/>
  <c r="D51" i="1"/>
  <c r="K52" i="1"/>
  <c r="E52" i="1"/>
  <c r="H52" i="1"/>
  <c r="C52" i="1"/>
  <c r="I52" i="1"/>
  <c r="F52" i="1"/>
  <c r="G52" i="1"/>
  <c r="D52" i="1"/>
  <c r="I15" i="1"/>
  <c r="C15" i="1"/>
  <c r="K15" i="1"/>
  <c r="F15" i="1"/>
  <c r="G15" i="1"/>
  <c r="H15" i="1"/>
  <c r="J15" i="1"/>
  <c r="D15" i="1"/>
  <c r="E15" i="1"/>
  <c r="J60" i="1"/>
  <c r="F60" i="1"/>
  <c r="H59" i="1"/>
  <c r="D59" i="1"/>
  <c r="H58" i="1"/>
  <c r="D58" i="1"/>
  <c r="J57" i="1"/>
  <c r="F57" i="1"/>
  <c r="F59" i="1"/>
  <c r="J58" i="1"/>
  <c r="F58" i="1"/>
  <c r="D57" i="1"/>
  <c r="G60" i="1"/>
  <c r="E59" i="1"/>
  <c r="E58" i="1"/>
  <c r="R78" i="1" s="1"/>
  <c r="C57" i="1"/>
  <c r="I60" i="1"/>
  <c r="E60" i="1"/>
  <c r="K59" i="1"/>
  <c r="G59" i="1"/>
  <c r="C59" i="1"/>
  <c r="K58" i="1"/>
  <c r="G58" i="1"/>
  <c r="C58" i="1"/>
  <c r="I57" i="1"/>
  <c r="E57" i="1"/>
  <c r="N90" i="1" s="1"/>
  <c r="H60" i="1"/>
  <c r="D60" i="1"/>
  <c r="J59" i="1"/>
  <c r="K60" i="1"/>
  <c r="C60" i="1"/>
  <c r="I59" i="1"/>
  <c r="I58" i="1"/>
  <c r="K57" i="1"/>
  <c r="G57" i="1"/>
  <c r="D53" i="1"/>
  <c r="J53" i="1"/>
  <c r="H53" i="1"/>
  <c r="K53" i="1"/>
  <c r="J46" i="1"/>
  <c r="F46" i="1"/>
  <c r="H45" i="1"/>
  <c r="D45" i="1"/>
  <c r="H44" i="1"/>
  <c r="D44" i="1"/>
  <c r="J43" i="1"/>
  <c r="F43" i="1"/>
  <c r="D46" i="1"/>
  <c r="F45" i="1"/>
  <c r="J44" i="1"/>
  <c r="F44" i="1"/>
  <c r="H43" i="1"/>
  <c r="K46" i="1"/>
  <c r="C46" i="1"/>
  <c r="E45" i="1"/>
  <c r="E44" i="1"/>
  <c r="R75" i="1" s="1"/>
  <c r="G43" i="1"/>
  <c r="I46" i="1"/>
  <c r="E46" i="1"/>
  <c r="K45" i="1"/>
  <c r="G45" i="1"/>
  <c r="C45" i="1"/>
  <c r="K44" i="1"/>
  <c r="G44" i="1"/>
  <c r="C44" i="1"/>
  <c r="I43" i="1"/>
  <c r="E43" i="1"/>
  <c r="N87" i="1" s="1"/>
  <c r="H46" i="1"/>
  <c r="J45" i="1"/>
  <c r="D43" i="1"/>
  <c r="G46" i="1"/>
  <c r="I45" i="1"/>
  <c r="I44" i="1"/>
  <c r="K43" i="1"/>
  <c r="C43" i="1"/>
  <c r="J39" i="1"/>
  <c r="F39" i="1"/>
  <c r="H38" i="1"/>
  <c r="D38" i="1"/>
  <c r="H37" i="1"/>
  <c r="D37" i="1"/>
  <c r="J36" i="1"/>
  <c r="F36" i="1"/>
  <c r="I39" i="1"/>
  <c r="E39" i="1"/>
  <c r="K38" i="1"/>
  <c r="G38" i="1"/>
  <c r="C38" i="1"/>
  <c r="K37" i="1"/>
  <c r="G37" i="1"/>
  <c r="C37" i="1"/>
  <c r="I36" i="1"/>
  <c r="E36" i="1"/>
  <c r="N75" i="1" s="1"/>
  <c r="H39" i="1"/>
  <c r="D39" i="1"/>
  <c r="J38" i="1"/>
  <c r="F38" i="1"/>
  <c r="J37" i="1"/>
  <c r="F37" i="1"/>
  <c r="H36" i="1"/>
  <c r="D36" i="1"/>
  <c r="K39" i="1"/>
  <c r="G39" i="1"/>
  <c r="C39" i="1"/>
  <c r="I38" i="1"/>
  <c r="E38" i="1"/>
  <c r="I37" i="1"/>
  <c r="E37" i="1"/>
  <c r="R87" i="1" s="1"/>
  <c r="K36" i="1"/>
  <c r="G36" i="1"/>
  <c r="C36" i="1"/>
  <c r="J32" i="1"/>
  <c r="F32" i="1"/>
  <c r="H31" i="1"/>
  <c r="D31" i="1"/>
  <c r="H30" i="1"/>
  <c r="D30" i="1"/>
  <c r="J29" i="1"/>
  <c r="F29" i="1"/>
  <c r="C32" i="1"/>
  <c r="I31" i="1"/>
  <c r="I30" i="1"/>
  <c r="G29" i="1"/>
  <c r="I32" i="1"/>
  <c r="E32" i="1"/>
  <c r="K31" i="1"/>
  <c r="G31" i="1"/>
  <c r="C31" i="1"/>
  <c r="K30" i="1"/>
  <c r="G30" i="1"/>
  <c r="C30" i="1"/>
  <c r="I29" i="1"/>
  <c r="E29" i="1"/>
  <c r="N84" i="1" s="1"/>
  <c r="K32" i="1"/>
  <c r="C29" i="1"/>
  <c r="D32" i="1"/>
  <c r="J31" i="1"/>
  <c r="F31" i="1"/>
  <c r="J30" i="1"/>
  <c r="F30" i="1"/>
  <c r="H29" i="1"/>
  <c r="D29" i="1"/>
  <c r="G32" i="1"/>
  <c r="E31" i="1"/>
  <c r="E30" i="1"/>
  <c r="R72" i="1" s="1"/>
  <c r="K29" i="1"/>
  <c r="J25" i="1"/>
  <c r="F25" i="1"/>
  <c r="H24" i="1"/>
  <c r="D24" i="1"/>
  <c r="H23" i="1"/>
  <c r="D23" i="1"/>
  <c r="J22" i="1"/>
  <c r="F22" i="1"/>
  <c r="C25" i="1"/>
  <c r="I24" i="1"/>
  <c r="I23" i="1"/>
  <c r="K22" i="1"/>
  <c r="I25" i="1"/>
  <c r="E25" i="1"/>
  <c r="K24" i="1"/>
  <c r="G24" i="1"/>
  <c r="C24" i="1"/>
  <c r="K23" i="1"/>
  <c r="G23" i="1"/>
  <c r="C23" i="1"/>
  <c r="I22" i="1"/>
  <c r="E22" i="1"/>
  <c r="D22" i="1"/>
  <c r="G25" i="1"/>
  <c r="C22" i="1"/>
  <c r="H25" i="1"/>
  <c r="D25" i="1"/>
  <c r="J24" i="1"/>
  <c r="F24" i="1"/>
  <c r="J23" i="1"/>
  <c r="F23" i="1"/>
  <c r="H22" i="1"/>
  <c r="K25" i="1"/>
  <c r="E24" i="1"/>
  <c r="E23" i="1"/>
  <c r="G22" i="1"/>
  <c r="F16" i="1"/>
  <c r="K16" i="1"/>
  <c r="D16" i="1"/>
  <c r="H18" i="1"/>
  <c r="E18" i="1"/>
  <c r="F18" i="1"/>
  <c r="I17" i="1"/>
  <c r="E17" i="1"/>
  <c r="C18" i="1"/>
  <c r="F17" i="1"/>
  <c r="G18" i="1"/>
  <c r="C17" i="1"/>
  <c r="I18" i="1"/>
  <c r="H16" i="1"/>
  <c r="J18" i="1"/>
  <c r="K18" i="1"/>
  <c r="C16" i="1"/>
  <c r="G17" i="1"/>
  <c r="D17" i="1"/>
  <c r="J17" i="1"/>
  <c r="D18" i="1"/>
  <c r="E16" i="1"/>
  <c r="J16" i="1"/>
  <c r="G16" i="1"/>
  <c r="K17" i="1"/>
  <c r="H9" i="1"/>
  <c r="D9" i="1"/>
  <c r="F9" i="1"/>
  <c r="H11" i="1"/>
  <c r="C9" i="1"/>
  <c r="J11" i="1"/>
  <c r="K9" i="1"/>
  <c r="K8" i="1"/>
  <c r="D8" i="1"/>
  <c r="G10" i="1"/>
  <c r="K11" i="1"/>
  <c r="J10" i="1"/>
  <c r="J9" i="1"/>
  <c r="I8" i="1"/>
  <c r="I10" i="1"/>
  <c r="E9" i="1"/>
  <c r="C10" i="1"/>
  <c r="C11" i="1"/>
  <c r="G8" i="1"/>
  <c r="H10" i="1"/>
  <c r="H8" i="1"/>
  <c r="F11" i="1"/>
  <c r="G9" i="1"/>
  <c r="G11" i="1"/>
  <c r="C8" i="1"/>
  <c r="J8" i="1"/>
  <c r="K10" i="1"/>
  <c r="I9" i="1"/>
  <c r="I11" i="1"/>
  <c r="E10" i="1"/>
  <c r="D11" i="1"/>
  <c r="F10" i="1"/>
  <c r="E8" i="1"/>
  <c r="N69" i="1" s="1"/>
  <c r="D10" i="1"/>
  <c r="R69" i="1" l="1"/>
  <c r="N81" i="1"/>
  <c r="R81" i="1"/>
  <c r="R84" i="1"/>
  <c r="N72" i="1"/>
</calcChain>
</file>

<file path=xl/sharedStrings.xml><?xml version="1.0" encoding="utf-8"?>
<sst xmlns="http://schemas.openxmlformats.org/spreadsheetml/2006/main" count="503" uniqueCount="123">
  <si>
    <t>COPA MUNDIAL DE LA FIFA QATAR 2022</t>
  </si>
  <si>
    <t>GRUPO A</t>
  </si>
  <si>
    <t>EQUIPO</t>
  </si>
  <si>
    <t>#</t>
  </si>
  <si>
    <t>PTS</t>
  </si>
  <si>
    <t>PJ</t>
  </si>
  <si>
    <t>PG</t>
  </si>
  <si>
    <t>PE</t>
  </si>
  <si>
    <t>PP</t>
  </si>
  <si>
    <t>GF</t>
  </si>
  <si>
    <t>GC</t>
  </si>
  <si>
    <t>DIF</t>
  </si>
  <si>
    <t>QATAR</t>
  </si>
  <si>
    <t>ECUADOR</t>
  </si>
  <si>
    <t>SENEGAL</t>
  </si>
  <si>
    <t>HOLANDA</t>
  </si>
  <si>
    <t>FECHA 1</t>
  </si>
  <si>
    <t>PARTIDOS</t>
  </si>
  <si>
    <t>-</t>
  </si>
  <si>
    <t>FECHA Y HORA:</t>
  </si>
  <si>
    <t>ESTADIO:</t>
  </si>
  <si>
    <t>FECHA 2</t>
  </si>
  <si>
    <t>FECHA 3</t>
  </si>
  <si>
    <t>GRUPO B</t>
  </si>
  <si>
    <t>GRUPO C</t>
  </si>
  <si>
    <t>GRUPO D</t>
  </si>
  <si>
    <t>GRUPO E</t>
  </si>
  <si>
    <t>GRUPO G</t>
  </si>
  <si>
    <t>GRUPO H</t>
  </si>
  <si>
    <t>GRUPO F</t>
  </si>
  <si>
    <t>INGLATERRA</t>
  </si>
  <si>
    <t>IRÁN</t>
  </si>
  <si>
    <t>ESTADOS UNIDOS</t>
  </si>
  <si>
    <t>Gal|Esc|Ucr</t>
  </si>
  <si>
    <t>ARGENTINA</t>
  </si>
  <si>
    <t>ARABIA SAUDITA</t>
  </si>
  <si>
    <t>MÉXICO</t>
  </si>
  <si>
    <t>POLONIA</t>
  </si>
  <si>
    <t>FRANCIA</t>
  </si>
  <si>
    <t>DINAMARCA</t>
  </si>
  <si>
    <t>TÚNEZ</t>
  </si>
  <si>
    <t>PER/EAU/AUS</t>
  </si>
  <si>
    <t>ESPAÑA</t>
  </si>
  <si>
    <t>COSTA RICA / N. ZEL</t>
  </si>
  <si>
    <t>ALEMANIA</t>
  </si>
  <si>
    <t>JAPÓN</t>
  </si>
  <si>
    <t>BÉLGICA</t>
  </si>
  <si>
    <t>CANADÁ</t>
  </si>
  <si>
    <t>MARRUECOS</t>
  </si>
  <si>
    <t>CROACIA</t>
  </si>
  <si>
    <t>BRASIL</t>
  </si>
  <si>
    <t>SERBIA</t>
  </si>
  <si>
    <t>SUIZA</t>
  </si>
  <si>
    <t>CAMERÚN</t>
  </si>
  <si>
    <t>PORTUGAL</t>
  </si>
  <si>
    <t>GHANA</t>
  </si>
  <si>
    <t>URUGUAY</t>
  </si>
  <si>
    <t>COREA DEL SUR</t>
  </si>
  <si>
    <t>FÓRMULAS:</t>
  </si>
  <si>
    <t>FASE DE GRUPOS</t>
  </si>
  <si>
    <t>FASE FINAL</t>
  </si>
  <si>
    <t>OCTAVOS DE FINAL</t>
  </si>
  <si>
    <t>CUARTOS DE FINAL</t>
  </si>
  <si>
    <t>SEMIFINAL</t>
  </si>
  <si>
    <t>FINAL</t>
  </si>
  <si>
    <t>TERCER PUESTO</t>
  </si>
  <si>
    <t>TABLA DE GOLEADORES</t>
  </si>
  <si>
    <t>JUGADOR</t>
  </si>
  <si>
    <t>SELEC.</t>
  </si>
  <si>
    <t>GOLES</t>
  </si>
  <si>
    <t>PN</t>
  </si>
  <si>
    <t>TL</t>
  </si>
  <si>
    <t>G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</si>
  <si>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</si>
  <si>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</si>
  <si>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</si>
  <si>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</si>
  <si>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</si>
  <si>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</si>
  <si>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</si>
  <si>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</si>
  <si>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</si>
  <si>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</si>
  <si>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</si>
  <si>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</si>
  <si>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</si>
  <si>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</si>
  <si>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</si>
  <si>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</si>
  <si>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3 DIC / 16:00</t>
  </si>
  <si>
    <t>3 DIC / 20:00</t>
  </si>
  <si>
    <t>4 DIC / 20:00</t>
  </si>
  <si>
    <t>4 DIC / 16:00</t>
  </si>
  <si>
    <t>5 DIC / 16:00</t>
  </si>
  <si>
    <t>5 DIC / 20:00</t>
  </si>
  <si>
    <t>6 DIC / 16:00</t>
  </si>
  <si>
    <t>6 DIC / 20:00</t>
  </si>
  <si>
    <t>9 DIC / 20:00</t>
  </si>
  <si>
    <t>9 DIC / 16:00</t>
  </si>
  <si>
    <t>10 DIC / 20:00</t>
  </si>
  <si>
    <t>10 DIC / 16:00</t>
  </si>
  <si>
    <t>13 DIC / 20:00</t>
  </si>
  <si>
    <t>14 DIC / 20:00</t>
  </si>
  <si>
    <t>17 DIC / 16:00</t>
  </si>
  <si>
    <t>18 DIC / 20:00</t>
  </si>
  <si>
    <t>Última actualización:</t>
  </si>
  <si>
    <t>Versión</t>
  </si>
  <si>
    <t>Informe</t>
  </si>
  <si>
    <t>1.1</t>
  </si>
  <si>
    <t>Primer modelo de archivo.</t>
  </si>
  <si>
    <t>1.2</t>
  </si>
  <si>
    <t>1.3</t>
  </si>
  <si>
    <t>1.4</t>
  </si>
  <si>
    <t>Pestaña de informes de actualización creada por el autor.</t>
  </si>
  <si>
    <t>Correción de error de fórmula (Fase final: aut. Enfrentamiento n°52).</t>
  </si>
  <si>
    <t>Correción de error de fórmula (Fase de grupos: Fecha 2 en suma de Partidos ganados).</t>
  </si>
  <si>
    <t>En caso de definición por penales escribir debajo del resultado</t>
  </si>
  <si>
    <t>EQUIPO A</t>
  </si>
  <si>
    <t>EQUIPO B</t>
  </si>
  <si>
    <t>Escribir resultados de penales en la celda marcada por debajo del resultado de los 90'.</t>
  </si>
  <si>
    <t>1.5</t>
  </si>
  <si>
    <t>Se añadieron las fórmulas restantes de la fase final.</t>
  </si>
  <si>
    <t>3/4/2022 (versión 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</si>
</sst>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B0F0"/>
      <name val="Calibri"/>
      <family val="2"/>
      <scheme val="minor"/>
    </font>
    <font>
      <i/>
      <u/>
      <sz val="11"/>
      <color rgb="FF00B0F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5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0" fontId="3" fillId="2" borderId="0" xfId="0" applyFont="1" applyFill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" xfId="0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2" borderId="9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3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2" borderId="6" xfId="0" applyFill="1" applyBorder="1"/>
    <xf numFmtId="0" fontId="0" fillId="4" borderId="4" xfId="0" applyFill="1" applyBorder="1"/>
    <xf numFmtId="0" fontId="0" fillId="4" borderId="14" xfId="0" applyFill="1" applyBorder="1"/>
    <xf numFmtId="0" fontId="0" fillId="2" borderId="14" xfId="0" applyFill="1" applyBorder="1"/>
    <xf numFmtId="0" fontId="0" fillId="2" borderId="1" xfId="0" applyFill="1" applyBorder="1"/>
    <xf numFmtId="0" fontId="1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8" borderId="0" xfId="0" applyFill="1"/>
    <xf numFmtId="0" fontId="3" fillId="8" borderId="0" xfId="0" applyFont="1" applyFill="1"/>
    <xf numFmtId="0" fontId="0" fillId="9" borderId="0" xfId="0" applyFill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3" fillId="2" borderId="1" xfId="0" applyFont="1" applyFill="1" applyBorder="1"/>
    <xf numFmtId="49" fontId="0" fillId="5" borderId="13" xfId="0" applyNumberFormat="1" applyFill="1" applyBorder="1" applyAlignment="1">
      <alignment horizontal="right"/>
    </xf>
    <xf numFmtId="0" fontId="3" fillId="2" borderId="14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2" borderId="0" xfId="0" applyFont="1" applyFill="1"/>
    <xf numFmtId="0" fontId="0" fillId="11" borderId="0" xfId="0" applyFill="1"/>
    <xf numFmtId="0" fontId="4" fillId="11" borderId="0" xfId="0" applyFont="1" applyFill="1"/>
    <xf numFmtId="0" fontId="4" fillId="11" borderId="0" xfId="0" applyFont="1" applyFill="1" applyAlignment="1">
      <alignment horizontal="right"/>
    </xf>
    <xf numFmtId="0" fontId="2" fillId="0" borderId="0" xfId="0" applyFont="1"/>
    <xf numFmtId="0" fontId="5" fillId="2" borderId="0" xfId="0" applyFont="1" applyFill="1" applyAlignment="1">
      <alignment horizontal="center" vertical="center"/>
    </xf>
    <xf numFmtId="0" fontId="6" fillId="2" borderId="0" xfId="0" applyFont="1" applyFill="1"/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7" fillId="11" borderId="0" xfId="1" applyFill="1"/>
    <xf numFmtId="0" fontId="8" fillId="2" borderId="0" xfId="0" applyFont="1" applyFill="1"/>
    <xf numFmtId="0" fontId="9" fillId="11" borderId="0" xfId="1" applyFont="1" applyFill="1"/>
  </cellXfs>
  <cellStyles count="2">
    <cellStyle name="Hipervínculo" xfId="1" builtinId="8"/>
    <cellStyle name="Normal" xfId="0" builtinId="0"/>
  </cellStyles>
  <dxfs count="1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C00000"/>
        </left>
        <right style="thin">
          <color rgb="FFC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C00000"/>
        </left>
        <right style="thin">
          <color rgb="FFC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C00000"/>
        </left>
        <right style="thin">
          <color rgb="FFC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C00000"/>
        </left>
        <right style="thin">
          <color rgb="FFC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C00000"/>
        </left>
        <right style="thin">
          <color rgb="FFC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C00000"/>
        </left>
        <right style="thin">
          <color rgb="FFC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C00000"/>
        </left>
        <right style="thin">
          <color rgb="FFC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C00000"/>
        </left>
        <right style="thin">
          <color rgb="FFC00000"/>
        </right>
        <top/>
        <bottom/>
      </border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500000"/>
      <color rgb="FFDA8200"/>
      <color rgb="FFFF9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D91085-BE53-4395-8E6B-D170A6495A6D}" name="Tabla5" displayName="Tabla5" ref="AS7:BB11" totalsRowShown="0" headerRowDxfId="103" dataDxfId="102" tableBorderDxfId="101">
  <sortState xmlns:xlrd2="http://schemas.microsoft.com/office/spreadsheetml/2017/richdata2" ref="AS8:BB11">
    <sortCondition ref="AS7:AS11"/>
  </sortState>
  <tableColumns count="10">
    <tableColumn id="1" xr3:uid="{18832210-B2C7-472D-9DF4-008F85D30AD7}" name="#" dataDxfId="100"/>
    <tableColumn id="3" xr3:uid="{9FCE6A5D-F710-49E7-B1F7-47D2E1526EE1}" name="EQUIPO" dataDxfId="99"/>
    <tableColumn id="4" xr3:uid="{4790460F-CB7C-4233-B4D0-324B4A52350F}" name="PTS" dataDxfId="98">
      <calculatedColumnFormula>AW8*3+AX8</calculatedColumnFormula>
    </tableColumn>
    <tableColumn id="5" xr3:uid="{6EAA1F59-27C7-4CDD-9176-C686BDA5F7A8}" name="PJ" dataDxfId="97">
      <calculatedColumnFormula>AW8+AX8+AY8</calculatedColumnFormula>
    </tableColumn>
    <tableColumn id="6" xr3:uid="{EFB50D57-25E8-44D0-8436-BE604C5A0458}" name="PG" dataDxfId="96"/>
    <tableColumn id="7" xr3:uid="{425C4E1E-D1EE-49B8-A04D-6D22A69B96D8}" name="PE" dataDxfId="95"/>
    <tableColumn id="8" xr3:uid="{79E6A45A-4714-478B-AF1F-66D8E73E8FC5}" name="PP" dataDxfId="94"/>
    <tableColumn id="9" xr3:uid="{25D028DD-F85E-43C5-942D-48BFEC03EEC1}" name="GF" dataDxfId="93"/>
    <tableColumn id="10" xr3:uid="{6C566F31-042D-4734-BAD7-78A6941D9D1D}" name="GC" dataDxfId="92"/>
    <tableColumn id="11" xr3:uid="{56157A3B-FC04-4722-B8B3-F12A530E78A7}" name="DIF" dataDxfId="91">
      <calculatedColumnFormula>AZ8-BA8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3A97505-5FAA-407A-8C21-D994299C0AFA}" name="Tabla525" displayName="Tabla525" ref="AS14:BB18" totalsRowShown="0" headerRowDxfId="90" dataDxfId="89" tableBorderDxfId="88">
  <sortState xmlns:xlrd2="http://schemas.microsoft.com/office/spreadsheetml/2017/richdata2" ref="AS15:BB18">
    <sortCondition ref="AS7:AS11"/>
  </sortState>
  <tableColumns count="10">
    <tableColumn id="1" xr3:uid="{EFC98A50-84FD-4232-A8F1-2B84DA1BDB87}" name="#" dataDxfId="87"/>
    <tableColumn id="3" xr3:uid="{FC1BD57F-0FAB-4136-89BA-A7CB7D38BBED}" name="EQUIPO" dataDxfId="86"/>
    <tableColumn id="4" xr3:uid="{7CC7F4FE-6561-4D9C-A7E6-7E0BB1122D87}" name="PTS" dataDxfId="85">
      <calculatedColumnFormula>AW15*3+AX15</calculatedColumnFormula>
    </tableColumn>
    <tableColumn id="5" xr3:uid="{1A6B9899-A4C0-4A7C-9CA9-F1BC4C60A831}" name="PJ" dataDxfId="84">
      <calculatedColumnFormula>AW15+AX15+AY15</calculatedColumnFormula>
    </tableColumn>
    <tableColumn id="6" xr3:uid="{8932400D-C694-4C0B-9219-6A6B989F71A9}" name="PG" dataDxfId="83"/>
    <tableColumn id="7" xr3:uid="{F7A3A1CB-15D7-43E7-A7F8-3FDACEE627F4}" name="PE" dataDxfId="82"/>
    <tableColumn id="8" xr3:uid="{246F7606-56E6-4D4C-BC9E-536A652B212B}" name="PP" dataDxfId="81"/>
    <tableColumn id="9" xr3:uid="{41E10E77-EA15-468E-8E0C-ABA4AC94A229}" name="GF" dataDxfId="80"/>
    <tableColumn id="10" xr3:uid="{C5C8B1DA-0FE8-4797-BAEC-5C74AF6BD7BF}" name="GC" dataDxfId="79"/>
    <tableColumn id="11" xr3:uid="{8E63014D-B300-484F-8E28-635F38C12808}" name="DIF" dataDxfId="78">
      <calculatedColumnFormula>AZ15-BA15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25172B0-6AA6-4370-80CE-4954CBF6D94C}" name="Tabla52526" displayName="Tabla52526" ref="AS21:BB25" totalsRowShown="0" headerRowDxfId="77" dataDxfId="76" tableBorderDxfId="75">
  <sortState xmlns:xlrd2="http://schemas.microsoft.com/office/spreadsheetml/2017/richdata2" ref="AS22:BB25">
    <sortCondition ref="AS7:AS11"/>
  </sortState>
  <tableColumns count="10">
    <tableColumn id="1" xr3:uid="{14EDBC94-B4D8-47D6-B5D8-39891DA3FCE5}" name="#" dataDxfId="74"/>
    <tableColumn id="3" xr3:uid="{7F2E3056-A3B5-415B-A85E-02E3AFB32249}" name="EQUIPO" dataDxfId="73"/>
    <tableColumn id="4" xr3:uid="{1F23C278-2D00-4EE6-AF90-492964707C16}" name="PTS" dataDxfId="72">
      <calculatedColumnFormula>AW22*3+AX22</calculatedColumnFormula>
    </tableColumn>
    <tableColumn id="5" xr3:uid="{CAD40EED-F65B-4721-B0F6-2B7D0BBDA5F1}" name="PJ" dataDxfId="71">
      <calculatedColumnFormula>AW22+AX22+AY22</calculatedColumnFormula>
    </tableColumn>
    <tableColumn id="6" xr3:uid="{8A979DAB-6835-42E6-8234-299C8ADFC5E9}" name="PG" dataDxfId="70"/>
    <tableColumn id="7" xr3:uid="{AAAE696F-06A7-4BB9-8144-5258F3FCA1CC}" name="PE" dataDxfId="69"/>
    <tableColumn id="8" xr3:uid="{A51235FE-70CE-4FCD-B916-7A1A3DA341B4}" name="PP" dataDxfId="68"/>
    <tableColumn id="9" xr3:uid="{38E2883D-9E99-47BE-88C9-DC81369F2D5B}" name="GF" dataDxfId="67"/>
    <tableColumn id="10" xr3:uid="{C65C4293-7430-4EEF-A5DF-6FD266E17F27}" name="GC" dataDxfId="66"/>
    <tableColumn id="11" xr3:uid="{0DECF39A-BCF2-4147-A584-84CA21B7EF59}" name="DIF" dataDxfId="65">
      <calculatedColumnFormula>AZ22-BA22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F9CCFB8-4E25-45A6-8BF6-D31002B2DC69}" name="Tabla5252627" displayName="Tabla5252627" ref="AS28:BB32" totalsRowShown="0" headerRowDxfId="64" dataDxfId="63" tableBorderDxfId="62">
  <sortState xmlns:xlrd2="http://schemas.microsoft.com/office/spreadsheetml/2017/richdata2" ref="AS29:BB32">
    <sortCondition ref="AS7:AS11"/>
  </sortState>
  <tableColumns count="10">
    <tableColumn id="1" xr3:uid="{CEAF520E-1247-4D1F-836D-B59777F71D8A}" name="#" dataDxfId="61"/>
    <tableColumn id="3" xr3:uid="{A338AB0B-9C8F-4F1D-B7BC-9ED1AF5E2CF6}" name="EQUIPO" dataDxfId="60"/>
    <tableColumn id="4" xr3:uid="{2A6F5CFE-242B-405C-978B-51A4CBC3B816}" name="PTS" dataDxfId="59">
      <calculatedColumnFormula>AW29*3+AX29</calculatedColumnFormula>
    </tableColumn>
    <tableColumn id="5" xr3:uid="{AF3C4EE4-D7A0-41A8-B660-2A2FACE33F79}" name="PJ" dataDxfId="58">
      <calculatedColumnFormula>AW29+AX29+AY29</calculatedColumnFormula>
    </tableColumn>
    <tableColumn id="6" xr3:uid="{CFF9F84C-512E-4E42-AE0A-6B2D2288CA34}" name="PG" dataDxfId="57"/>
    <tableColumn id="7" xr3:uid="{816BA406-9C98-4F47-B405-AA2D83E6D930}" name="PE" dataDxfId="56"/>
    <tableColumn id="8" xr3:uid="{0D0A613B-0EF0-41EA-875F-E145CE09393A}" name="PP" dataDxfId="55"/>
    <tableColumn id="9" xr3:uid="{12035FFD-00A0-454C-9FFA-BE50EF99D182}" name="GF" dataDxfId="54"/>
    <tableColumn id="10" xr3:uid="{022BA7E0-D8A4-4333-8E0D-685789E3ADD3}" name="GC" dataDxfId="53"/>
    <tableColumn id="11" xr3:uid="{D4E6E23E-1280-4F63-8761-A4B4C60F3680}" name="DIF" dataDxfId="52">
      <calculatedColumnFormula>AZ29-BA29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3900710-7097-4410-A0B5-5005F921943D}" name="Tabla5252628" displayName="Tabla5252628" ref="AS35:BB39" totalsRowShown="0" headerRowDxfId="51" dataDxfId="50" tableBorderDxfId="49">
  <sortState xmlns:xlrd2="http://schemas.microsoft.com/office/spreadsheetml/2017/richdata2" ref="AS36:BB39">
    <sortCondition ref="AS7:AS11"/>
  </sortState>
  <tableColumns count="10">
    <tableColumn id="1" xr3:uid="{C50CC83C-AFE3-4382-88F9-BC23B4E76DD5}" name="#" dataDxfId="48"/>
    <tableColumn id="3" xr3:uid="{7597ED8D-9B6B-43E7-AFF2-F925F97885CF}" name="EQUIPO" dataDxfId="47"/>
    <tableColumn id="4" xr3:uid="{8AF02595-3235-4FE9-8315-9676A68A0F51}" name="PTS" dataDxfId="46">
      <calculatedColumnFormula>AW36*3+AX36</calculatedColumnFormula>
    </tableColumn>
    <tableColumn id="5" xr3:uid="{9A0FD58A-7324-4889-AF6D-422F80B0850D}" name="PJ" dataDxfId="45">
      <calculatedColumnFormula>AW36+AX36+AY36</calculatedColumnFormula>
    </tableColumn>
    <tableColumn id="6" xr3:uid="{89684800-04BD-43B1-9055-773FFAAED3CD}" name="PG" dataDxfId="44"/>
    <tableColumn id="7" xr3:uid="{287EDCC1-9120-48D7-8AAB-8E5D758BB4B1}" name="PE" dataDxfId="43"/>
    <tableColumn id="8" xr3:uid="{FBBBD06B-383C-4954-A5B7-EA1B9263E3F4}" name="PP" dataDxfId="42"/>
    <tableColumn id="9" xr3:uid="{64A26EAF-DD89-4409-B0CA-DC2A3E25FF90}" name="GF" dataDxfId="41"/>
    <tableColumn id="10" xr3:uid="{2ADA5227-212A-4E7A-9C00-2416260BF61F}" name="GC" dataDxfId="40"/>
    <tableColumn id="11" xr3:uid="{AD9EE65A-077B-499C-A386-E88793140C6D}" name="DIF" dataDxfId="39">
      <calculatedColumnFormula>AZ36-BA36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5E4E2AC-A59A-4B79-BD1F-572D7E903A44}" name="Tabla5252629" displayName="Tabla5252629" ref="AS42:BB46" totalsRowShown="0" headerRowDxfId="38" dataDxfId="37" tableBorderDxfId="36">
  <sortState xmlns:xlrd2="http://schemas.microsoft.com/office/spreadsheetml/2017/richdata2" ref="AS43:BB46">
    <sortCondition ref="AS7:AS11"/>
  </sortState>
  <tableColumns count="10">
    <tableColumn id="1" xr3:uid="{A737C2D1-70E6-4B62-A8F6-362370871482}" name="#" dataDxfId="35"/>
    <tableColumn id="3" xr3:uid="{990A8E9E-D240-4283-8F26-F0D450494513}" name="EQUIPO" dataDxfId="34"/>
    <tableColumn id="4" xr3:uid="{3E0AE9EC-B149-43CA-AC54-51411663988A}" name="PTS" dataDxfId="33">
      <calculatedColumnFormula>AW43*3+AX43</calculatedColumnFormula>
    </tableColumn>
    <tableColumn id="5" xr3:uid="{BAE9E7D1-5075-42D9-9840-21959687833D}" name="PJ" dataDxfId="32">
      <calculatedColumnFormula>AW43+AX43+AY43</calculatedColumnFormula>
    </tableColumn>
    <tableColumn id="6" xr3:uid="{F6A7F288-C4ED-4E16-899E-4B6C8ADAF028}" name="PG" dataDxfId="31"/>
    <tableColumn id="7" xr3:uid="{F98B9662-4AFE-4323-BB71-BF95105D4BD8}" name="PE" dataDxfId="30"/>
    <tableColumn id="8" xr3:uid="{42171E1C-EAA5-4098-AC61-1FB9FD83BEBF}" name="PP" dataDxfId="29"/>
    <tableColumn id="9" xr3:uid="{787C543E-144A-49B3-A610-F188E86E132E}" name="GF" dataDxfId="28"/>
    <tableColumn id="10" xr3:uid="{394C729E-147B-4879-9DF2-1377EC095470}" name="GC" dataDxfId="27"/>
    <tableColumn id="11" xr3:uid="{40F980D1-89BA-41B3-A282-02715A12454F}" name="DIF" dataDxfId="26">
      <calculatedColumnFormula>AZ43-BA43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1B1E535-CBDB-4834-918F-C828FBEECE23}" name="Tabla5252630" displayName="Tabla5252630" ref="AS49:BB53" totalsRowShown="0" headerRowDxfId="25" dataDxfId="24" tableBorderDxfId="23">
  <sortState xmlns:xlrd2="http://schemas.microsoft.com/office/spreadsheetml/2017/richdata2" ref="AS50:BB53">
    <sortCondition ref="AS7:AS11"/>
  </sortState>
  <tableColumns count="10">
    <tableColumn id="1" xr3:uid="{945749EE-47F0-445C-90B2-EEAE88DB161C}" name="#" dataDxfId="22"/>
    <tableColumn id="3" xr3:uid="{D785456D-FE52-4DA5-B64E-4F34D0910F58}" name="EQUIPO" dataDxfId="21"/>
    <tableColumn id="4" xr3:uid="{CEEBB20E-092F-4DC1-A2D2-E79D5AE67BD9}" name="PTS" dataDxfId="20">
      <calculatedColumnFormula>AW50*3+AX50</calculatedColumnFormula>
    </tableColumn>
    <tableColumn id="5" xr3:uid="{C3F81C04-D2FA-489F-9834-EBEDADA8E0E5}" name="PJ" dataDxfId="19">
      <calculatedColumnFormula>AW50+AX50+AY50</calculatedColumnFormula>
    </tableColumn>
    <tableColumn id="6" xr3:uid="{3971CCB6-5159-46EF-B9B6-C4EA8348176C}" name="PG" dataDxfId="18"/>
    <tableColumn id="7" xr3:uid="{DF0A561F-CE01-4041-AEB0-6F90E070BF17}" name="PE" dataDxfId="17"/>
    <tableColumn id="8" xr3:uid="{7DA348DB-527D-4322-A279-F4FCB70B976F}" name="PP" dataDxfId="16"/>
    <tableColumn id="9" xr3:uid="{B1BD3CDF-9007-4C08-801D-21AE5FC9432E}" name="GF" dataDxfId="15"/>
    <tableColumn id="10" xr3:uid="{EAB88838-0B96-4E90-AE9C-5DF4433435D0}" name="GC" dataDxfId="14"/>
    <tableColumn id="11" xr3:uid="{40D057A1-2B2C-443E-809A-A35AC2CFF0A6}" name="DIF" dataDxfId="13">
      <calculatedColumnFormula>AZ50-BA50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A34B939-9BDA-41C7-9D0E-B0F24E5D3B56}" name="Tabla525263031" displayName="Tabla525263031" ref="AS56:BB60" totalsRowShown="0" headerRowDxfId="12" dataDxfId="11" tableBorderDxfId="10">
  <sortState xmlns:xlrd2="http://schemas.microsoft.com/office/spreadsheetml/2017/richdata2" ref="AS57:BB60">
    <sortCondition ref="AS7:AS11"/>
  </sortState>
  <tableColumns count="10">
    <tableColumn id="1" xr3:uid="{3F4B59D2-302F-413D-80B3-607F23D03C93}" name="#" dataDxfId="9"/>
    <tableColumn id="3" xr3:uid="{B58A178F-2B59-4D7B-BB37-F4DACF83C587}" name="EQUIPO" dataDxfId="8"/>
    <tableColumn id="4" xr3:uid="{99651DFC-DAE3-48A0-B8BE-B9E59DF9E3BC}" name="PTS" dataDxfId="7">
      <calculatedColumnFormula>AW57*3+AX57</calculatedColumnFormula>
    </tableColumn>
    <tableColumn id="5" xr3:uid="{3FC37BC7-C48D-4ADF-A7E8-6003FCFE815E}" name="PJ" dataDxfId="6">
      <calculatedColumnFormula>AW57+AX57+AY57</calculatedColumnFormula>
    </tableColumn>
    <tableColumn id="6" xr3:uid="{DD6007E4-15B7-40D5-80C8-934A7566A1D2}" name="PG" dataDxfId="5"/>
    <tableColumn id="7" xr3:uid="{181267AC-338F-494F-A349-09FFD5543386}" name="PE" dataDxfId="4"/>
    <tableColumn id="8" xr3:uid="{3B15D0A6-74D6-4DDB-9CBF-5DA65E092BCD}" name="PP" dataDxfId="3"/>
    <tableColumn id="9" xr3:uid="{C58F1023-7011-4306-9955-8693D4B14628}" name="GF" dataDxfId="2"/>
    <tableColumn id="10" xr3:uid="{1DF7325E-9C0E-4BEC-99C1-B3E32DD46A56}" name="GC" dataDxfId="1"/>
    <tableColumn id="11" xr3:uid="{1BFE1140-6004-4BC1-8A7E-4B7FAC09D638}" name="DIF" dataDxfId="0">
      <calculatedColumnFormula>AZ57-BA57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A666-CBAB-40ED-BCAA-0EE24862A321}">
  <dimension ref="A1:BI146"/>
  <sheetViews>
    <sheetView tabSelected="1" topLeftCell="A142" zoomScaleNormal="100" workbookViewId="0">
      <selection activeCell="Q10" sqref="Q10"/>
    </sheetView>
  </sheetViews>
  <sheetFormatPr baseColWidth="10" defaultRowHeight="15" x14ac:dyDescent="0.25"/>
  <cols>
    <col min="1" max="1" width="5.7109375" style="1" customWidth="1"/>
    <col min="2" max="2" width="4.140625" style="1" customWidth="1"/>
    <col min="3" max="3" width="18.7109375" style="1" customWidth="1"/>
    <col min="4" max="4" width="6.7109375" style="1" customWidth="1"/>
    <col min="5" max="5" width="5" style="1" customWidth="1"/>
    <col min="6" max="6" width="5.7109375" style="1" customWidth="1"/>
    <col min="7" max="7" width="5.28515625" style="1" customWidth="1"/>
    <col min="8" max="8" width="5.42578125" style="1" customWidth="1"/>
    <col min="9" max="9" width="5.5703125" style="1" customWidth="1"/>
    <col min="10" max="10" width="5.7109375" style="1" customWidth="1"/>
    <col min="11" max="11" width="6.7109375" style="1" customWidth="1"/>
    <col min="12" max="12" width="2.7109375" style="1" customWidth="1"/>
    <col min="13" max="13" width="4.7109375" style="1" customWidth="1"/>
    <col min="14" max="14" width="18.7109375" style="1" customWidth="1"/>
    <col min="15" max="15" width="4.7109375" style="1" customWidth="1"/>
    <col min="16" max="16" width="2.7109375" style="1" customWidth="1"/>
    <col min="17" max="17" width="4.7109375" style="1" customWidth="1"/>
    <col min="18" max="18" width="18.7109375" style="1" customWidth="1"/>
    <col min="19" max="19" width="4.7109375" style="1" customWidth="1"/>
    <col min="20" max="20" width="2.7109375" style="1" customWidth="1"/>
    <col min="21" max="21" width="4.7109375" style="1" customWidth="1"/>
    <col min="22" max="22" width="18.7109375" style="1" customWidth="1"/>
    <col min="23" max="23" width="4.7109375" style="1" customWidth="1"/>
    <col min="24" max="24" width="2.7109375" style="1" customWidth="1"/>
    <col min="25" max="25" width="4.7109375" style="1" customWidth="1"/>
    <col min="26" max="26" width="18.7109375" style="1" customWidth="1"/>
    <col min="27" max="27" width="4.7109375" style="1" customWidth="1"/>
    <col min="28" max="28" width="2.7109375" style="1" customWidth="1"/>
    <col min="29" max="29" width="4.7109375" style="1" customWidth="1"/>
    <col min="30" max="30" width="18.7109375" style="1" customWidth="1"/>
    <col min="31" max="31" width="4.7109375" style="1" customWidth="1"/>
    <col min="32" max="32" width="2.7109375" style="1" customWidth="1"/>
    <col min="33" max="33" width="4.7109375" style="1" customWidth="1"/>
    <col min="34" max="34" width="18.7109375" style="1" customWidth="1"/>
    <col min="35" max="35" width="4.7109375" style="1" customWidth="1"/>
    <col min="36" max="36" width="2.7109375" style="1" customWidth="1"/>
    <col min="37" max="37" width="4.7109375" style="1" customWidth="1"/>
    <col min="38" max="38" width="18.7109375" style="1" customWidth="1"/>
    <col min="39" max="39" width="4.7109375" style="1" customWidth="1"/>
    <col min="40" max="40" width="2.7109375" style="1" customWidth="1"/>
    <col min="41" max="41" width="4.7109375" style="1" customWidth="1"/>
    <col min="42" max="42" width="18.7109375" style="1" customWidth="1"/>
    <col min="43" max="43" width="4.7109375" style="1" customWidth="1"/>
    <col min="44" max="44" width="11.42578125" style="1"/>
    <col min="45" max="45" width="4.140625" style="1" customWidth="1"/>
    <col min="46" max="46" width="18.7109375" style="1" customWidth="1"/>
    <col min="47" max="47" width="6.7109375" style="1" customWidth="1"/>
    <col min="48" max="48" width="5" style="1" customWidth="1"/>
    <col min="49" max="49" width="5.7109375" style="1" customWidth="1"/>
    <col min="50" max="50" width="5.28515625" style="1" customWidth="1"/>
    <col min="51" max="51" width="5.42578125" style="1" customWidth="1"/>
    <col min="52" max="52" width="5.5703125" style="1" customWidth="1"/>
    <col min="53" max="53" width="5.7109375" style="1" customWidth="1"/>
    <col min="54" max="54" width="6.7109375" style="1" customWidth="1"/>
    <col min="55" max="55" width="11.42578125" style="1"/>
    <col min="56" max="56" width="11.85546875" style="1" bestFit="1" customWidth="1"/>
    <col min="57" max="16384" width="11.42578125" style="1"/>
  </cols>
  <sheetData>
    <row r="1" spans="2:61" x14ac:dyDescent="0.25">
      <c r="B1" s="55"/>
    </row>
    <row r="2" spans="2:61" s="2" customFormat="1" ht="27.75" customHeight="1" x14ac:dyDescent="0.25">
      <c r="B2" s="4" t="s">
        <v>0</v>
      </c>
      <c r="V2" s="3"/>
      <c r="AI2" s="54"/>
      <c r="AS2" s="4"/>
    </row>
    <row r="3" spans="2:61" ht="3.95" customHeight="1" x14ac:dyDescent="0.25"/>
    <row r="4" spans="2:61" s="34" customFormat="1" x14ac:dyDescent="0.25">
      <c r="B4" s="35" t="s">
        <v>59</v>
      </c>
    </row>
    <row r="5" spans="2:61" ht="3.95" customHeight="1" x14ac:dyDescent="0.25"/>
    <row r="6" spans="2:61" x14ac:dyDescent="0.25">
      <c r="B6" s="6" t="s">
        <v>1</v>
      </c>
      <c r="C6" s="7"/>
      <c r="D6" s="7"/>
      <c r="E6" s="7"/>
      <c r="F6" s="7"/>
      <c r="G6" s="7"/>
      <c r="H6" s="7"/>
      <c r="I6" s="7"/>
      <c r="J6" s="7"/>
      <c r="K6" s="8"/>
      <c r="M6" s="6" t="s">
        <v>17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  <c r="AS6" s="61" t="s">
        <v>1</v>
      </c>
      <c r="AT6" s="61"/>
      <c r="AU6" s="61"/>
      <c r="AV6" s="61"/>
      <c r="AW6" s="61"/>
      <c r="AX6" s="61"/>
      <c r="AY6" s="61"/>
      <c r="AZ6" s="61"/>
      <c r="BA6" s="61"/>
      <c r="BB6" s="61"/>
      <c r="BD6" s="1" t="s">
        <v>58</v>
      </c>
    </row>
    <row r="7" spans="2:61" s="5" customFormat="1" x14ac:dyDescent="0.25">
      <c r="B7" s="44" t="s">
        <v>3</v>
      </c>
      <c r="C7" s="45" t="s">
        <v>2</v>
      </c>
      <c r="D7" s="45" t="s">
        <v>4</v>
      </c>
      <c r="E7" s="45" t="s">
        <v>5</v>
      </c>
      <c r="F7" s="45" t="s">
        <v>6</v>
      </c>
      <c r="G7" s="45" t="s">
        <v>7</v>
      </c>
      <c r="H7" s="45" t="s">
        <v>8</v>
      </c>
      <c r="I7" s="45" t="s">
        <v>9</v>
      </c>
      <c r="J7" s="45" t="s">
        <v>10</v>
      </c>
      <c r="K7" s="45" t="s">
        <v>11</v>
      </c>
      <c r="M7" s="13" t="s">
        <v>16</v>
      </c>
      <c r="N7" s="14"/>
      <c r="O7" s="14"/>
      <c r="P7" s="14"/>
      <c r="Q7" s="14"/>
      <c r="R7" s="14"/>
      <c r="S7" s="15"/>
      <c r="U7" s="13" t="s">
        <v>21</v>
      </c>
      <c r="V7" s="14"/>
      <c r="W7" s="14"/>
      <c r="X7" s="14"/>
      <c r="Y7" s="14"/>
      <c r="Z7" s="14"/>
      <c r="AA7" s="15"/>
      <c r="AC7" s="13" t="s">
        <v>22</v>
      </c>
      <c r="AD7" s="14"/>
      <c r="AE7" s="14"/>
      <c r="AF7" s="14"/>
      <c r="AG7" s="14"/>
      <c r="AH7" s="14"/>
      <c r="AI7" s="15"/>
      <c r="AJ7" s="1"/>
      <c r="AK7" s="1"/>
      <c r="AL7" s="1"/>
      <c r="AM7" s="1"/>
      <c r="AN7" s="1"/>
      <c r="AO7" s="1"/>
      <c r="AP7" s="1"/>
      <c r="AQ7" s="1"/>
      <c r="AR7" s="1"/>
      <c r="AS7" s="60" t="s">
        <v>3</v>
      </c>
      <c r="AT7" s="60" t="s">
        <v>2</v>
      </c>
      <c r="AU7" s="60" t="s">
        <v>4</v>
      </c>
      <c r="AV7" s="60" t="s">
        <v>5</v>
      </c>
      <c r="AW7" s="60" t="s">
        <v>6</v>
      </c>
      <c r="AX7" s="60" t="s">
        <v>7</v>
      </c>
      <c r="AY7" s="60" t="s">
        <v>8</v>
      </c>
      <c r="AZ7" s="60" t="s">
        <v>9</v>
      </c>
      <c r="BA7" s="60" t="s">
        <v>10</v>
      </c>
      <c r="BB7" s="60" t="s">
        <v>11</v>
      </c>
      <c r="BC7" s="1"/>
      <c r="BD7" s="1"/>
      <c r="BE7" s="1"/>
      <c r="BF7" s="1"/>
      <c r="BG7" s="1"/>
      <c r="BH7" s="1"/>
      <c r="BI7" s="1"/>
    </row>
    <row r="8" spans="2:61" x14ac:dyDescent="0.25">
      <c r="B8" s="46">
        <v>1</v>
      </c>
      <c r="C8" s="47" t="str">
        <f>INDEX(Tabla5[EQUIPO],MATCH(B8,BE8:BE11,0))</f>
        <v>ECUADOR</v>
      </c>
      <c r="D8" s="48">
        <f>INDEX(Tabla5[PTS],MATCH(B8,BE8:BE11,0))</f>
        <v>3</v>
      </c>
      <c r="E8" s="49">
        <f>INDEX(Tabla5[PJ],MATCH(B8,BE8:BE11,0))</f>
        <v>1</v>
      </c>
      <c r="F8" s="49">
        <f>INDEX(Tabla5[PG],MATCH(B8,BE8:BE11,0))</f>
        <v>1</v>
      </c>
      <c r="G8" s="49">
        <f>INDEX(Tabla5[PE],MATCH(B8,BE8:BE11,0))</f>
        <v>0</v>
      </c>
      <c r="H8" s="49">
        <f>INDEX(Tabla5[PP],MATCH(B8,BE8:BE11,0))</f>
        <v>0</v>
      </c>
      <c r="I8" s="49">
        <f>INDEX(Tabla5[GF],MATCH(B8,BE8:BE11,0))</f>
        <v>2</v>
      </c>
      <c r="J8" s="49">
        <f>INDEX(Tabla5[GC],MATCH(B8,BE8:BE11,0))</f>
        <v>1</v>
      </c>
      <c r="K8" s="49">
        <f>INDEX(Tabla5[DIF],MATCH(B8,BE8:BE11,0))</f>
        <v>1</v>
      </c>
      <c r="M8" s="16" t="s">
        <v>20</v>
      </c>
      <c r="N8" s="17"/>
      <c r="O8" s="21"/>
      <c r="P8" s="17" t="s">
        <v>19</v>
      </c>
      <c r="Q8" s="17"/>
      <c r="R8" s="17"/>
      <c r="S8" s="21"/>
      <c r="U8" s="16" t="s">
        <v>20</v>
      </c>
      <c r="V8" s="17"/>
      <c r="W8" s="21"/>
      <c r="X8" s="17" t="s">
        <v>19</v>
      </c>
      <c r="Y8" s="17"/>
      <c r="Z8" s="17"/>
      <c r="AA8" s="21"/>
      <c r="AC8" s="16" t="s">
        <v>20</v>
      </c>
      <c r="AD8" s="17"/>
      <c r="AE8" s="21"/>
      <c r="AF8" s="17" t="s">
        <v>19</v>
      </c>
      <c r="AG8" s="17"/>
      <c r="AH8" s="17"/>
      <c r="AI8" s="21"/>
      <c r="AS8" s="60">
        <v>1</v>
      </c>
      <c r="AT8" s="62" t="s">
        <v>12</v>
      </c>
      <c r="AU8" s="63">
        <f>AW8*3+AX8</f>
        <v>0</v>
      </c>
      <c r="AV8" s="63">
        <f>AW8+AX8+AY8</f>
        <v>1</v>
      </c>
      <c r="AW8" s="63">
        <f>IF(O9&gt;Q9,1,0)+IF(W9&gt;Y9,1,0)+IF(AE9&gt;AG9,1,0)</f>
        <v>0</v>
      </c>
      <c r="AX8" s="63">
        <f>IF(O9=Q9,IF(ISBLANK(O9),0,1),0)+IF(W9=Y9,IF(ISBLANK(W9),0,1),0)+IF(AE9=AG9,IF(ISBLANK(AE9),0,1),0)</f>
        <v>0</v>
      </c>
      <c r="AY8" s="63">
        <f>IF(O9&lt;Q9,1,0)+IF(W9&lt;Y9,1,0)+IF(AE9&lt;AG9,1,0)</f>
        <v>1</v>
      </c>
      <c r="AZ8" s="63">
        <f>O9+W9+AE9</f>
        <v>1</v>
      </c>
      <c r="BA8" s="63">
        <f>Q9+Y9+AG9</f>
        <v>2</v>
      </c>
      <c r="BB8" s="63">
        <f>AZ8-BA8</f>
        <v>-1</v>
      </c>
      <c r="BD8" s="1">
        <f>+Tabla5[[#This Row],[PTS]]+ROW(BD8:BD11)/1000+COUNTIF(Tabla5[DIF],"&lt;="&amp;Tabla5[[#This Row],[DIF]])/1000+COUNTIF(Tabla5[GF],"&lt;="&amp;Tabla5[[#This Row],[GF]])/1000+COUNTIF(Tabla5['#],"&gt;="&amp;Tabla5[[#This Row],['#]])/10000</f>
        <v>1.24E-2</v>
      </c>
      <c r="BE8" s="1">
        <f>_xlfn.RANK.EQ(BD8,BD8:BD11)</f>
        <v>4</v>
      </c>
      <c r="BF8" s="1">
        <f>+COUNTIF(Tabla5[DIF],"&lt;="&amp;Tabla5[[#This Row],[DIF]])</f>
        <v>1</v>
      </c>
      <c r="BG8" s="1">
        <f>+COUNTIF(Tabla5[GF],"&lt;="&amp;Tabla5[[#This Row],[GF]])</f>
        <v>3</v>
      </c>
      <c r="BH8" s="1">
        <f>+COUNTIF(Tabla5['#],"&lt;="&amp;Tabla5[[#This Row],['#]])</f>
        <v>1</v>
      </c>
    </row>
    <row r="9" spans="2:61" x14ac:dyDescent="0.25">
      <c r="B9" s="46">
        <v>2</v>
      </c>
      <c r="C9" s="47" t="str">
        <f>INDEX(Tabla5[EQUIPO],MATCH(B9,BE8:BE11,0))</f>
        <v>SENEGAL</v>
      </c>
      <c r="D9" s="48">
        <f>INDEX(Tabla5[PTS],MATCH(B9,BE8:BE11,0))</f>
        <v>0</v>
      </c>
      <c r="E9" s="49">
        <f>INDEX(Tabla5[PJ],MATCH(B9,BE8:BE11,0))</f>
        <v>0</v>
      </c>
      <c r="F9" s="49">
        <f>INDEX(Tabla5[PG],MATCH(B9,BE8:BE11,0))</f>
        <v>0</v>
      </c>
      <c r="G9" s="49">
        <f>INDEX(Tabla5[PE],MATCH(B9,BE8:BE11,0))</f>
        <v>0</v>
      </c>
      <c r="H9" s="49">
        <f>INDEX(Tabla5[PP],MATCH(B9,BE8:BE11,0))</f>
        <v>0</v>
      </c>
      <c r="I9" s="49">
        <f>INDEX(Tabla5[GF],MATCH(B9,BE8:BE11,0))</f>
        <v>0</v>
      </c>
      <c r="J9" s="49">
        <f>INDEX(Tabla5[GC],MATCH(B9,BE8:BE11,0))</f>
        <v>0</v>
      </c>
      <c r="K9" s="49">
        <f>INDEX(Tabla5[DIF],MATCH(B9,BE8:BE11,0))</f>
        <v>0</v>
      </c>
      <c r="M9" s="43"/>
      <c r="N9" s="24" t="str">
        <f>AT8</f>
        <v>QATAR</v>
      </c>
      <c r="O9" s="28">
        <v>1</v>
      </c>
      <c r="P9" s="29" t="s">
        <v>18</v>
      </c>
      <c r="Q9" s="30">
        <v>2</v>
      </c>
      <c r="R9" s="25" t="str">
        <f>Tabla5[[#This Row],[EQUIPO]]</f>
        <v>ECUADOR</v>
      </c>
      <c r="S9" s="23"/>
      <c r="U9" s="43"/>
      <c r="V9" s="24" t="str">
        <f>AT8</f>
        <v>QATAR</v>
      </c>
      <c r="W9" s="28"/>
      <c r="X9" s="29" t="s">
        <v>18</v>
      </c>
      <c r="Y9" s="30"/>
      <c r="Z9" s="25" t="str">
        <f>AT10</f>
        <v>SENEGAL</v>
      </c>
      <c r="AA9" s="23"/>
      <c r="AC9" s="43"/>
      <c r="AD9" s="24" t="str">
        <f>AT8</f>
        <v>QATAR</v>
      </c>
      <c r="AE9" s="28"/>
      <c r="AF9" s="29" t="s">
        <v>18</v>
      </c>
      <c r="AG9" s="30"/>
      <c r="AH9" s="25" t="str">
        <f>AT11</f>
        <v>HOLANDA</v>
      </c>
      <c r="AI9" s="23"/>
      <c r="AS9" s="60">
        <v>2</v>
      </c>
      <c r="AT9" s="62" t="s">
        <v>13</v>
      </c>
      <c r="AU9" s="63">
        <f>AW9*3+AX9</f>
        <v>3</v>
      </c>
      <c r="AV9" s="63">
        <f>AW9+AX9+AY9</f>
        <v>1</v>
      </c>
      <c r="AW9" s="63">
        <f>IF(Q9&gt;O9,1,0)+IF(W11&gt;Y11,1,0)+IF(AE11&gt;AG11,1,0)</f>
        <v>1</v>
      </c>
      <c r="AX9" s="63">
        <f>IF(Q9=O9,IF(ISBLANK(Q9),0,1),0)+IF(W11=Y11,IF(ISBLANK(W11),0,1),0)+IF(AE11=AG11,IF(ISBLANK(AE11),0,1),0)</f>
        <v>0</v>
      </c>
      <c r="AY9" s="63">
        <f>IF(Q9&lt;O9,1,0)+IF(W11&lt;Y11,1,0)+IF(AE11&lt;AG11,1,0)</f>
        <v>0</v>
      </c>
      <c r="AZ9" s="63">
        <f>Q9+W11+AE11</f>
        <v>2</v>
      </c>
      <c r="BA9" s="63">
        <f>O9+Y11+AG11</f>
        <v>1</v>
      </c>
      <c r="BB9" s="63">
        <f>AZ9-BA9</f>
        <v>1</v>
      </c>
      <c r="BD9" s="1">
        <f>+Tabla5[[#This Row],[PTS]]+ROW(BD8:BD11)/1000+COUNTIF(Tabla5[DIF],"&lt;="&amp;Tabla5[[#This Row],[DIF]])/1000+COUNTIF(Tabla5[GF],"&lt;="&amp;Tabla5[[#This Row],[GF]])/1000+COUNTIF(Tabla5['#],"&gt;="&amp;Tabla5[[#This Row],['#]])/10000</f>
        <v>3.0163000000000002</v>
      </c>
      <c r="BE9" s="1">
        <f>_xlfn.RANK.EQ(BD9,BD8:BD11)</f>
        <v>1</v>
      </c>
      <c r="BF9" s="1">
        <f>+COUNTIF(Tabla5[DIF],"&lt;="&amp;Tabla5[[#This Row],[DIF]])</f>
        <v>4</v>
      </c>
      <c r="BG9" s="1">
        <f>+COUNTIF(Tabla5[GF],"&lt;="&amp;Tabla5[[#This Row],[GF]])</f>
        <v>4</v>
      </c>
      <c r="BH9" s="1">
        <f>+COUNTIF(Tabla5['#],"&lt;="&amp;Tabla5[[#This Row],['#]])</f>
        <v>2</v>
      </c>
    </row>
    <row r="10" spans="2:61" x14ac:dyDescent="0.25">
      <c r="B10" s="50">
        <v>3</v>
      </c>
      <c r="C10" s="51" t="str">
        <f>INDEX(Tabla5[EQUIPO],MATCH(B10,BE8:BE11,0))</f>
        <v>HOLANDA</v>
      </c>
      <c r="D10" s="52">
        <f>INDEX(Tabla5[PTS],MATCH(B10,BE8:BE11,0))</f>
        <v>0</v>
      </c>
      <c r="E10" s="53">
        <f>INDEX(Tabla5[PJ],MATCH(B10,BE8:BE11,0))</f>
        <v>0</v>
      </c>
      <c r="F10" s="53">
        <f>INDEX(Tabla5[PG],MATCH(B10,BE8:BE11,0))</f>
        <v>0</v>
      </c>
      <c r="G10" s="53">
        <f>INDEX(Tabla5[PE],MATCH(B10,BE8:BE11,0))</f>
        <v>0</v>
      </c>
      <c r="H10" s="53">
        <f>INDEX(Tabla5[PP],MATCH(B10,BE8:BE11,0))</f>
        <v>0</v>
      </c>
      <c r="I10" s="53">
        <f>INDEX(Tabla5[GF],MATCH(B10,BE8:BE11,0))</f>
        <v>0</v>
      </c>
      <c r="J10" s="53">
        <f>INDEX(Tabla5[GC],MATCH(B10,BE8:BE11,0))</f>
        <v>0</v>
      </c>
      <c r="K10" s="53">
        <f>INDEX(Tabla5[DIF],MATCH(B10,BE8:BE11,0))</f>
        <v>0</v>
      </c>
      <c r="M10" s="19" t="s">
        <v>20</v>
      </c>
      <c r="N10" s="20"/>
      <c r="O10" s="22"/>
      <c r="P10" s="20" t="s">
        <v>19</v>
      </c>
      <c r="Q10" s="20"/>
      <c r="R10" s="20"/>
      <c r="S10" s="22"/>
      <c r="U10" s="19" t="s">
        <v>20</v>
      </c>
      <c r="V10" s="20"/>
      <c r="W10" s="22"/>
      <c r="X10" s="20" t="s">
        <v>19</v>
      </c>
      <c r="Y10" s="20"/>
      <c r="Z10" s="20"/>
      <c r="AA10" s="22"/>
      <c r="AC10" s="19" t="s">
        <v>20</v>
      </c>
      <c r="AD10" s="20"/>
      <c r="AE10" s="22"/>
      <c r="AF10" s="20" t="s">
        <v>19</v>
      </c>
      <c r="AG10" s="20"/>
      <c r="AH10" s="20"/>
      <c r="AI10" s="22"/>
      <c r="AS10" s="60">
        <v>3</v>
      </c>
      <c r="AT10" s="62" t="s">
        <v>14</v>
      </c>
      <c r="AU10" s="63">
        <f>AW10*3+AX10</f>
        <v>0</v>
      </c>
      <c r="AV10" s="63">
        <f>AW10+AX10+AY10</f>
        <v>0</v>
      </c>
      <c r="AW10" s="63">
        <f>IF(O11&gt;Q11,1,0)+IF(Y9&gt;W9,1,0)+IF(AG11&gt;AE11,1,0)</f>
        <v>0</v>
      </c>
      <c r="AX10" s="63">
        <f>IF(O11=Q11,IF(ISBLANK(O11),0,1),0)+IF(Y9=W9,IF(ISBLANK(Y9),0,1),0)+IF(AG11=AE11,IF(ISBLANK(AG11),0,1),0)</f>
        <v>0</v>
      </c>
      <c r="AY10" s="63">
        <f>IF(O11&lt;Q11,1,0)+IF(Y9&lt;W9,1,0)+IF(AG11&lt;AE11,1,0)</f>
        <v>0</v>
      </c>
      <c r="AZ10" s="63">
        <f>O11+Y9+AG11</f>
        <v>0</v>
      </c>
      <c r="BA10" s="63">
        <f>Q11+W9+AE11</f>
        <v>0</v>
      </c>
      <c r="BB10" s="63">
        <f>AZ10-BA10</f>
        <v>0</v>
      </c>
      <c r="BD10" s="1">
        <f>+Tabla5[[#This Row],[PTS]]+ROW(BD8:BD11)/1000+COUNTIF(Tabla5[DIF],"&lt;="&amp;Tabla5[[#This Row],[DIF]])/1000+COUNTIF(Tabla5[GF],"&lt;="&amp;Tabla5[[#This Row],[GF]])/1000+COUNTIF(Tabla5['#],"&gt;="&amp;Tabla5[[#This Row],['#]])/10000</f>
        <v>1.32E-2</v>
      </c>
      <c r="BE10" s="1">
        <f>_xlfn.RANK.EQ(BD10,BD8:BD11)</f>
        <v>2</v>
      </c>
      <c r="BF10" s="1">
        <f>+COUNTIF(Tabla5[DIF],"&lt;="&amp;Tabla5[[#This Row],[DIF]])</f>
        <v>3</v>
      </c>
      <c r="BG10" s="1">
        <f>+COUNTIF(Tabla5[GF],"&lt;="&amp;Tabla5[[#This Row],[GF]])</f>
        <v>2</v>
      </c>
      <c r="BH10" s="1">
        <f>+COUNTIF(Tabla5['#],"&lt;="&amp;Tabla5[[#This Row],['#]])</f>
        <v>3</v>
      </c>
    </row>
    <row r="11" spans="2:61" x14ac:dyDescent="0.25">
      <c r="B11" s="50">
        <v>4</v>
      </c>
      <c r="C11" s="51" t="str">
        <f>INDEX(Tabla5[EQUIPO],MATCH(B11,BE8:BE11,0))</f>
        <v>QATAR</v>
      </c>
      <c r="D11" s="52">
        <f>INDEX(Tabla5[PTS],MATCH(B11,BE8:BE11,0))</f>
        <v>0</v>
      </c>
      <c r="E11" s="53">
        <f>INDEX(Tabla5[PJ],MATCH(B11,BE8:BE11,0))</f>
        <v>1</v>
      </c>
      <c r="F11" s="53">
        <f>INDEX(Tabla5[PG],MATCH(B11,BE8:BE11,0))</f>
        <v>0</v>
      </c>
      <c r="G11" s="53">
        <f>INDEX(Tabla5[PE],MATCH(B11,BE8:BE11,0))</f>
        <v>0</v>
      </c>
      <c r="H11" s="53">
        <f>INDEX(Tabla5[PP],MATCH(B11,BE8:BE11,0))</f>
        <v>1</v>
      </c>
      <c r="I11" s="53">
        <f>INDEX(Tabla5[GF],MATCH(B11,BE8:BE11,0))</f>
        <v>1</v>
      </c>
      <c r="J11" s="53">
        <f>INDEX(Tabla5[GC],MATCH(B11,BE8:BE11,0))</f>
        <v>2</v>
      </c>
      <c r="K11" s="53">
        <f>INDEX(Tabla5[DIF],MATCH(B11,BE8:BE11,0))</f>
        <v>-1</v>
      </c>
      <c r="M11" s="41"/>
      <c r="N11" s="11" t="str">
        <f>AT10</f>
        <v>SENEGAL</v>
      </c>
      <c r="O11" s="31"/>
      <c r="P11" s="32" t="s">
        <v>18</v>
      </c>
      <c r="Q11" s="33"/>
      <c r="R11" s="12" t="str">
        <f>Tabla5[[#This Row],[EQUIPO]]</f>
        <v>HOLANDA</v>
      </c>
      <c r="S11" s="18"/>
      <c r="U11" s="41"/>
      <c r="V11" s="11" t="str">
        <f>AT9</f>
        <v>ECUADOR</v>
      </c>
      <c r="W11" s="31"/>
      <c r="X11" s="32" t="s">
        <v>18</v>
      </c>
      <c r="Y11" s="33"/>
      <c r="Z11" s="12" t="str">
        <f>Tabla5[[#This Row],[EQUIPO]]</f>
        <v>HOLANDA</v>
      </c>
      <c r="AA11" s="18"/>
      <c r="AC11" s="41"/>
      <c r="AD11" s="11" t="str">
        <f>AT9</f>
        <v>ECUADOR</v>
      </c>
      <c r="AE11" s="31"/>
      <c r="AF11" s="32" t="s">
        <v>18</v>
      </c>
      <c r="AG11" s="33"/>
      <c r="AH11" s="12" t="str">
        <f>AT10</f>
        <v>SENEGAL</v>
      </c>
      <c r="AI11" s="18"/>
      <c r="AS11" s="60">
        <v>4</v>
      </c>
      <c r="AT11" s="62" t="s">
        <v>15</v>
      </c>
      <c r="AU11" s="63">
        <f>AW11*3+AX11</f>
        <v>0</v>
      </c>
      <c r="AV11" s="63">
        <f>AW11+AX11+AY11</f>
        <v>0</v>
      </c>
      <c r="AW11" s="63">
        <f>IF(Q11&gt;O11,1,0)+IF(Y11&gt;W11,1,0)+IF(AG9&gt;AE9,1,0)</f>
        <v>0</v>
      </c>
      <c r="AX11" s="63">
        <f>IF(Q11=O11,IF(ISBLANK(Q11),0,1),0)+IF(Y11=W11,IF(ISBLANK(Y11),0,1),0)+IF(AG9=AE9,IF(ISBLANK(AG9),0,1),0)</f>
        <v>0</v>
      </c>
      <c r="AY11" s="63">
        <f>IF(Q11&lt;O11,1,0)+IF(Y11&lt;W11,1,0)+IF(AG9&lt;AE9,1,0)</f>
        <v>0</v>
      </c>
      <c r="AZ11" s="63">
        <f>Q11+Y11+AG9</f>
        <v>0</v>
      </c>
      <c r="BA11" s="63">
        <f>O11+W11+AE9</f>
        <v>0</v>
      </c>
      <c r="BB11" s="63">
        <f>AZ11-BA11</f>
        <v>0</v>
      </c>
      <c r="BD11" s="1">
        <f>+Tabla5[[#This Row],[PTS]]+ROW(BD8:BD11)/1000+COUNTIF(Tabla5[DIF],"&lt;="&amp;Tabla5[[#This Row],[DIF]])/1000+COUNTIF(Tabla5[GF],"&lt;="&amp;Tabla5[[#This Row],[GF]])/1000+COUNTIF(Tabla5['#],"&gt;="&amp;Tabla5[[#This Row],['#]])/10000</f>
        <v>1.3099999999999999E-2</v>
      </c>
      <c r="BE11" s="1">
        <f>_xlfn.RANK.EQ(BD11,BD8:BD11)</f>
        <v>3</v>
      </c>
      <c r="BF11" s="1">
        <f>+COUNTIF(Tabla5[DIF],"&lt;="&amp;Tabla5[[#This Row],[DIF]])</f>
        <v>3</v>
      </c>
      <c r="BG11" s="1">
        <f>+COUNTIF(Tabla5[GF],"&lt;="&amp;Tabla5[[#This Row],[GF]])</f>
        <v>2</v>
      </c>
      <c r="BH11" s="1">
        <f>+COUNTIF(Tabla5['#],"&lt;="&amp;Tabla5[[#This Row],['#]])</f>
        <v>4</v>
      </c>
    </row>
    <row r="12" spans="2:61" x14ac:dyDescent="0.25"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spans="2:61" x14ac:dyDescent="0.25">
      <c r="B13" s="6" t="s">
        <v>23</v>
      </c>
      <c r="C13" s="7"/>
      <c r="D13" s="7"/>
      <c r="E13" s="7"/>
      <c r="F13" s="7"/>
      <c r="G13" s="7"/>
      <c r="H13" s="7"/>
      <c r="I13" s="7"/>
      <c r="J13" s="7"/>
      <c r="K13" s="8"/>
      <c r="M13" s="6" t="s">
        <v>17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/>
      <c r="AS13" s="61" t="s">
        <v>23</v>
      </c>
      <c r="AT13" s="61"/>
      <c r="AU13" s="61"/>
      <c r="AV13" s="61"/>
      <c r="AW13" s="61"/>
      <c r="AX13" s="61"/>
      <c r="AY13" s="61"/>
      <c r="AZ13" s="61"/>
      <c r="BA13" s="61"/>
      <c r="BB13" s="61"/>
    </row>
    <row r="14" spans="2:61" x14ac:dyDescent="0.25">
      <c r="B14" s="44" t="s">
        <v>3</v>
      </c>
      <c r="C14" s="45" t="s">
        <v>2</v>
      </c>
      <c r="D14" s="45" t="s">
        <v>4</v>
      </c>
      <c r="E14" s="45" t="s">
        <v>5</v>
      </c>
      <c r="F14" s="45" t="s">
        <v>6</v>
      </c>
      <c r="G14" s="45" t="s">
        <v>7</v>
      </c>
      <c r="H14" s="45" t="s">
        <v>8</v>
      </c>
      <c r="I14" s="45" t="s">
        <v>9</v>
      </c>
      <c r="J14" s="45" t="s">
        <v>10</v>
      </c>
      <c r="K14" s="45" t="s">
        <v>11</v>
      </c>
      <c r="L14" s="5"/>
      <c r="M14" s="13" t="s">
        <v>16</v>
      </c>
      <c r="N14" s="14"/>
      <c r="O14" s="14"/>
      <c r="P14" s="14"/>
      <c r="Q14" s="14"/>
      <c r="R14" s="14"/>
      <c r="S14" s="15"/>
      <c r="T14" s="5"/>
      <c r="U14" s="13" t="s">
        <v>21</v>
      </c>
      <c r="V14" s="14"/>
      <c r="W14" s="14"/>
      <c r="X14" s="14"/>
      <c r="Y14" s="14"/>
      <c r="Z14" s="14"/>
      <c r="AA14" s="15"/>
      <c r="AB14" s="5"/>
      <c r="AC14" s="13" t="s">
        <v>22</v>
      </c>
      <c r="AD14" s="14"/>
      <c r="AE14" s="14"/>
      <c r="AF14" s="14"/>
      <c r="AG14" s="14"/>
      <c r="AH14" s="14"/>
      <c r="AI14" s="15"/>
      <c r="AS14" s="60" t="s">
        <v>3</v>
      </c>
      <c r="AT14" s="60" t="s">
        <v>2</v>
      </c>
      <c r="AU14" s="60" t="s">
        <v>4</v>
      </c>
      <c r="AV14" s="60" t="s">
        <v>5</v>
      </c>
      <c r="AW14" s="60" t="s">
        <v>6</v>
      </c>
      <c r="AX14" s="60" t="s">
        <v>7</v>
      </c>
      <c r="AY14" s="60" t="s">
        <v>8</v>
      </c>
      <c r="AZ14" s="60" t="s">
        <v>9</v>
      </c>
      <c r="BA14" s="60" t="s">
        <v>10</v>
      </c>
      <c r="BB14" s="60" t="s">
        <v>11</v>
      </c>
    </row>
    <row r="15" spans="2:61" x14ac:dyDescent="0.25">
      <c r="B15" s="46">
        <v>1</v>
      </c>
      <c r="C15" s="47" t="str">
        <f>INDEX(Tabla525[EQUIPO],MATCH(B15,BE15:BE18,0))</f>
        <v>INGLATERRA</v>
      </c>
      <c r="D15" s="48">
        <f>INDEX(Tabla525[PTS],MATCH(B15,BE15:BE18,0))</f>
        <v>0</v>
      </c>
      <c r="E15" s="49">
        <f>INDEX(Tabla525[PJ],MATCH(B15,BE15:BE18,0))</f>
        <v>0</v>
      </c>
      <c r="F15" s="49">
        <f>INDEX(Tabla525[PG],MATCH(B15,BE15:BE18,0))</f>
        <v>0</v>
      </c>
      <c r="G15" s="49">
        <f>INDEX(Tabla525[PE],MATCH(B15,BE15:BE18,0))</f>
        <v>0</v>
      </c>
      <c r="H15" s="49">
        <f>INDEX(Tabla525[PP],MATCH(B15,BE15:BE18,0))</f>
        <v>0</v>
      </c>
      <c r="I15" s="49">
        <f>INDEX(Tabla525[GF],MATCH(B15,BE15:BE18,0))</f>
        <v>0</v>
      </c>
      <c r="J15" s="49">
        <f>INDEX(Tabla525[GC],MATCH(B15,BE15:BE18,0))</f>
        <v>0</v>
      </c>
      <c r="K15" s="49">
        <f>INDEX(Tabla525[DIF],MATCH(B15,BE15:BE18,0))</f>
        <v>0</v>
      </c>
      <c r="M15" s="16" t="s">
        <v>20</v>
      </c>
      <c r="N15" s="17"/>
      <c r="O15" s="21"/>
      <c r="P15" s="17" t="s">
        <v>19</v>
      </c>
      <c r="Q15" s="17"/>
      <c r="R15" s="17"/>
      <c r="S15" s="21"/>
      <c r="U15" s="16" t="s">
        <v>20</v>
      </c>
      <c r="V15" s="17"/>
      <c r="W15" s="21"/>
      <c r="X15" s="17" t="s">
        <v>19</v>
      </c>
      <c r="Y15" s="17"/>
      <c r="Z15" s="17"/>
      <c r="AA15" s="21"/>
      <c r="AC15" s="16" t="s">
        <v>20</v>
      </c>
      <c r="AD15" s="17"/>
      <c r="AE15" s="21"/>
      <c r="AF15" s="17" t="s">
        <v>19</v>
      </c>
      <c r="AG15" s="17"/>
      <c r="AH15" s="17"/>
      <c r="AI15" s="21"/>
      <c r="AS15" s="60">
        <v>1</v>
      </c>
      <c r="AT15" s="62" t="s">
        <v>30</v>
      </c>
      <c r="AU15" s="63">
        <f>AW15*3+AX15</f>
        <v>0</v>
      </c>
      <c r="AV15" s="63">
        <f>AW15+AX15+AY15</f>
        <v>0</v>
      </c>
      <c r="AW15" s="63">
        <f>IF(O16&gt;Q16,1,0)+IF(W16&gt;Y16,1,0)+IF(AE16&gt;AG16,1,0)</f>
        <v>0</v>
      </c>
      <c r="AX15" s="63">
        <f>IF(O16=Q16,IF(ISBLANK(O16),0,1),0)+IF(W16=Y16,IF(ISBLANK(W16),0,1),0)+IF(AE16=AG16,IF(ISBLANK(AE16),0,1),0)</f>
        <v>0</v>
      </c>
      <c r="AY15" s="63">
        <f>IF(O16&lt;Q16,1,0)+IF(W16&lt;Y16,1,0)+IF(AE16&lt;AG16,1,0)</f>
        <v>0</v>
      </c>
      <c r="AZ15" s="63">
        <f>O16+W16+AE16</f>
        <v>0</v>
      </c>
      <c r="BA15" s="63">
        <f>Q16+Y16+AG16</f>
        <v>0</v>
      </c>
      <c r="BB15" s="63">
        <f>AZ15-BA15</f>
        <v>0</v>
      </c>
      <c r="BD15" s="1">
        <f>+Tabla525[[#This Row],[PTS]]+ROW(BD15:BD18)/1000+COUNTIF(Tabla525[DIF],"&lt;="&amp;Tabla525[[#This Row],[DIF]])/1000+COUNTIF(Tabla525[GF],"&lt;="&amp;Tabla525[[#This Row],[GF]])/1000+COUNTIF(Tabla525['#],"&gt;="&amp;Tabla525[[#This Row],['#]])/10000</f>
        <v>2.3400000000000001E-2</v>
      </c>
      <c r="BE15" s="1">
        <f>_xlfn.RANK.EQ(BD15,BD15:BD18)</f>
        <v>1</v>
      </c>
      <c r="BF15" s="1">
        <f>+COUNTIF(Tabla525[DIF],"&lt;="&amp;Tabla525[[#This Row],[DIF]])</f>
        <v>4</v>
      </c>
      <c r="BG15" s="1">
        <f>+COUNTIF(Tabla525[GF],"&lt;="&amp;Tabla525[[#This Row],[GF]])</f>
        <v>4</v>
      </c>
      <c r="BH15" s="1">
        <f>+COUNTIF(Tabla525['#],"&lt;="&amp;Tabla525[[#This Row],['#]])</f>
        <v>1</v>
      </c>
    </row>
    <row r="16" spans="2:61" x14ac:dyDescent="0.25">
      <c r="B16" s="46">
        <v>2</v>
      </c>
      <c r="C16" s="47" t="str">
        <f>INDEX(Tabla525[EQUIPO],MATCH(B16,BE15:BE18,0))</f>
        <v>IRÁN</v>
      </c>
      <c r="D16" s="48">
        <f>INDEX(Tabla525[PTS],MATCH(B16,BE15:BE18,0))</f>
        <v>0</v>
      </c>
      <c r="E16" s="49">
        <f>INDEX(Tabla525[PJ],MATCH(B16,BE15:BE18,0))</f>
        <v>0</v>
      </c>
      <c r="F16" s="49">
        <f>INDEX(Tabla525[PG],MATCH(B16,BE15:BE18,0))</f>
        <v>0</v>
      </c>
      <c r="G16" s="49">
        <f>INDEX(Tabla525[PE],MATCH(B16,BE15:BE18,0))</f>
        <v>0</v>
      </c>
      <c r="H16" s="49">
        <f>INDEX(Tabla525[PP],MATCH(B16,BE15:BE18,0))</f>
        <v>0</v>
      </c>
      <c r="I16" s="49">
        <f>INDEX(Tabla525[GF],MATCH(B16,BE15:BE18,0))</f>
        <v>0</v>
      </c>
      <c r="J16" s="49">
        <f>INDEX(Tabla525[GC],MATCH(B16,BE15:BE18,0))</f>
        <v>0</v>
      </c>
      <c r="K16" s="49">
        <f>INDEX(Tabla525[DIF],MATCH(B16,BE15:BE18,0))</f>
        <v>0</v>
      </c>
      <c r="M16" s="26"/>
      <c r="N16" s="24" t="str">
        <f>AT15</f>
        <v>INGLATERRA</v>
      </c>
      <c r="O16" s="28"/>
      <c r="P16" s="29" t="s">
        <v>18</v>
      </c>
      <c r="Q16" s="30"/>
      <c r="R16" s="25" t="str">
        <f>Tabla525[[#This Row],[EQUIPO]]</f>
        <v>IRÁN</v>
      </c>
      <c r="S16" s="23"/>
      <c r="U16" s="26"/>
      <c r="V16" s="24" t="str">
        <f>AT15</f>
        <v>INGLATERRA</v>
      </c>
      <c r="W16" s="28"/>
      <c r="X16" s="29" t="s">
        <v>18</v>
      </c>
      <c r="Y16" s="30"/>
      <c r="Z16" s="25" t="str">
        <f>AT17</f>
        <v>ESTADOS UNIDOS</v>
      </c>
      <c r="AA16" s="23"/>
      <c r="AC16" s="26"/>
      <c r="AD16" s="24" t="str">
        <f>AT15</f>
        <v>INGLATERRA</v>
      </c>
      <c r="AE16" s="28"/>
      <c r="AF16" s="29" t="s">
        <v>18</v>
      </c>
      <c r="AG16" s="30"/>
      <c r="AH16" s="25" t="str">
        <f>AT18</f>
        <v>Gal|Esc|Ucr</v>
      </c>
      <c r="AI16" s="23"/>
      <c r="AS16" s="60">
        <v>2</v>
      </c>
      <c r="AT16" s="62" t="s">
        <v>31</v>
      </c>
      <c r="AU16" s="63">
        <f>AW16*3+AX16</f>
        <v>0</v>
      </c>
      <c r="AV16" s="63">
        <f>AW16+AX16+AY16</f>
        <v>0</v>
      </c>
      <c r="AW16" s="63">
        <f>IF(Q16&gt;O16,1,0)+IF(W18&gt;Y18,1,0)+IF(AE18&gt;AG18,1,0)</f>
        <v>0</v>
      </c>
      <c r="AX16" s="63">
        <f>IF(Q16=O16,IF(ISBLANK(Q16),0,1),0)+IF(W18=Y18,IF(ISBLANK(W18),0,1),0)+IF(AE18=AG18,IF(ISBLANK(AE18),0,1),0)</f>
        <v>0</v>
      </c>
      <c r="AY16" s="63">
        <f>IF(Q16&lt;O16,1,0)+IF(W18&lt;Y18,1,0)+IF(AE18&lt;AG18,1,0)</f>
        <v>0</v>
      </c>
      <c r="AZ16" s="63">
        <f>Q16+W18+AE18</f>
        <v>0</v>
      </c>
      <c r="BA16" s="63">
        <f>O16+Y18+AG18</f>
        <v>0</v>
      </c>
      <c r="BB16" s="63">
        <f>AZ16-BA16</f>
        <v>0</v>
      </c>
      <c r="BD16" s="1">
        <f>+Tabla525[[#This Row],[PTS]]+ROW(BD15:BD18)/1000+COUNTIF(Tabla525[DIF],"&lt;="&amp;Tabla525[[#This Row],[DIF]])/1000+COUNTIF(Tabla525[GF],"&lt;="&amp;Tabla525[[#This Row],[GF]])/1000+COUNTIF(Tabla525['#],"&gt;="&amp;Tabla525[[#This Row],['#]])/10000</f>
        <v>2.3300000000000001E-2</v>
      </c>
      <c r="BE16" s="1">
        <f>_xlfn.RANK.EQ(BD16,BD15:BD18)</f>
        <v>2</v>
      </c>
      <c r="BF16" s="1">
        <f>+COUNTIF(Tabla525[DIF],"&lt;="&amp;Tabla525[[#This Row],[DIF]])</f>
        <v>4</v>
      </c>
      <c r="BG16" s="1">
        <f>+COUNTIF(Tabla525[GF],"&lt;="&amp;Tabla525[[#This Row],[GF]])</f>
        <v>4</v>
      </c>
      <c r="BH16" s="1">
        <f>+COUNTIF(Tabla525['#],"&lt;="&amp;Tabla525[[#This Row],['#]])</f>
        <v>2</v>
      </c>
    </row>
    <row r="17" spans="2:60" x14ac:dyDescent="0.25">
      <c r="B17" s="50">
        <v>3</v>
      </c>
      <c r="C17" s="51" t="str">
        <f>INDEX(Tabla525[EQUIPO],MATCH(B17,BE15:BE18,0))</f>
        <v>ESTADOS UNIDOS</v>
      </c>
      <c r="D17" s="52">
        <f>INDEX(Tabla525[PTS],MATCH(B17,BE15:BE18,0))</f>
        <v>0</v>
      </c>
      <c r="E17" s="53">
        <f>INDEX(Tabla525[PJ],MATCH(B17,BE15:BE18,0))</f>
        <v>0</v>
      </c>
      <c r="F17" s="53">
        <f>INDEX(Tabla525[PG],MATCH(B17,BE15:BE18,0))</f>
        <v>0</v>
      </c>
      <c r="G17" s="53">
        <f>INDEX(Tabla525[PE],MATCH(B17,BE15:BE18,0))</f>
        <v>0</v>
      </c>
      <c r="H17" s="53">
        <f>INDEX(Tabla525[PP],MATCH(B17,BE15:BE18,0))</f>
        <v>0</v>
      </c>
      <c r="I17" s="53">
        <f>INDEX(Tabla525[GF],MATCH(B17,BE15:BE18,0))</f>
        <v>0</v>
      </c>
      <c r="J17" s="53">
        <f>INDEX(Tabla525[GC],MATCH(B17,BE15:BE18,0))</f>
        <v>0</v>
      </c>
      <c r="K17" s="53">
        <f>INDEX(Tabla525[DIF],MATCH(B17,BE15:BE18,0))</f>
        <v>0</v>
      </c>
      <c r="M17" s="19" t="s">
        <v>20</v>
      </c>
      <c r="N17" s="20"/>
      <c r="O17" s="22"/>
      <c r="P17" s="20" t="s">
        <v>19</v>
      </c>
      <c r="Q17" s="20"/>
      <c r="R17" s="20"/>
      <c r="S17" s="22"/>
      <c r="U17" s="19" t="s">
        <v>20</v>
      </c>
      <c r="V17" s="20"/>
      <c r="W17" s="22"/>
      <c r="X17" s="20" t="s">
        <v>19</v>
      </c>
      <c r="Y17" s="20"/>
      <c r="Z17" s="20"/>
      <c r="AA17" s="22"/>
      <c r="AC17" s="19" t="s">
        <v>20</v>
      </c>
      <c r="AD17" s="20"/>
      <c r="AE17" s="22"/>
      <c r="AF17" s="20" t="s">
        <v>19</v>
      </c>
      <c r="AG17" s="20"/>
      <c r="AH17" s="20"/>
      <c r="AI17" s="22"/>
      <c r="AS17" s="60">
        <v>3</v>
      </c>
      <c r="AT17" s="62" t="s">
        <v>32</v>
      </c>
      <c r="AU17" s="63">
        <f>AW17*3+AX17</f>
        <v>0</v>
      </c>
      <c r="AV17" s="63">
        <f>AW17+AX17+AY17</f>
        <v>0</v>
      </c>
      <c r="AW17" s="63">
        <f>IF(O18&gt;Q18,1,0)+IF(Y16&gt;W16,1,0)+IF(AG18&gt;AE18,1,0)</f>
        <v>0</v>
      </c>
      <c r="AX17" s="63">
        <f>IF(O18=Q18,IF(ISBLANK(O18),0,1),0)+IF(Y16=W16,IF(ISBLANK(Y16),0,1),0)+IF(AG18=AE18,IF(ISBLANK(AG18),0,1),0)</f>
        <v>0</v>
      </c>
      <c r="AY17" s="63">
        <f>IF(O18&lt;Q18,1,0)+IF(Y16&lt;W16,1,0)+IF(AG18&lt;AE18,1,0)</f>
        <v>0</v>
      </c>
      <c r="AZ17" s="63">
        <f>O18+Y16+AG18</f>
        <v>0</v>
      </c>
      <c r="BA17" s="63">
        <f>Q18+W16+AE18</f>
        <v>0</v>
      </c>
      <c r="BB17" s="63">
        <f>AZ17-BA17</f>
        <v>0</v>
      </c>
      <c r="BD17" s="1">
        <f>+Tabla525[[#This Row],[PTS]]+ROW(BD15:BD18)/1000+COUNTIF(Tabla525[DIF],"&lt;="&amp;Tabla525[[#This Row],[DIF]])/1000+COUNTIF(Tabla525[GF],"&lt;="&amp;Tabla525[[#This Row],[GF]])/1000+COUNTIF(Tabla525['#],"&gt;="&amp;Tabla525[[#This Row],['#]])/10000</f>
        <v>2.3199999999999998E-2</v>
      </c>
      <c r="BE17" s="1">
        <f>_xlfn.RANK.EQ(BD17,BD15:BD18)</f>
        <v>3</v>
      </c>
      <c r="BF17" s="1">
        <f>+COUNTIF(Tabla525[DIF],"&lt;="&amp;Tabla525[[#This Row],[DIF]])</f>
        <v>4</v>
      </c>
      <c r="BG17" s="1">
        <f>+COUNTIF(Tabla525[GF],"&lt;="&amp;Tabla525[[#This Row],[GF]])</f>
        <v>4</v>
      </c>
      <c r="BH17" s="1">
        <f>+COUNTIF(Tabla525['#],"&lt;="&amp;Tabla525[[#This Row],['#]])</f>
        <v>3</v>
      </c>
    </row>
    <row r="18" spans="2:60" x14ac:dyDescent="0.25">
      <c r="B18" s="50">
        <v>4</v>
      </c>
      <c r="C18" s="51" t="str">
        <f>INDEX(Tabla525[EQUIPO],MATCH(B18,BE15:BE18,0))</f>
        <v>Gal|Esc|Ucr</v>
      </c>
      <c r="D18" s="52">
        <f>INDEX(Tabla525[PTS],MATCH(B18,BE15:BE18,0))</f>
        <v>0</v>
      </c>
      <c r="E18" s="53">
        <f>INDEX(Tabla525[PJ],MATCH(B18,BE15:BE18,0))</f>
        <v>0</v>
      </c>
      <c r="F18" s="53">
        <f>INDEX(Tabla525[PG],MATCH(B18,BE15:BE18,0))</f>
        <v>0</v>
      </c>
      <c r="G18" s="53">
        <f>INDEX(Tabla525[PE],MATCH(B18,BE15:BE18,0))</f>
        <v>0</v>
      </c>
      <c r="H18" s="53">
        <f>INDEX(Tabla525[PP],MATCH(B18,BE15:BE18,0))</f>
        <v>0</v>
      </c>
      <c r="I18" s="53">
        <f>INDEX(Tabla525[GF],MATCH(B18,BE15:BE18,0))</f>
        <v>0</v>
      </c>
      <c r="J18" s="53">
        <f>INDEX(Tabla525[GC],MATCH(B18,BE15:BE18,0))</f>
        <v>0</v>
      </c>
      <c r="K18" s="53">
        <f>INDEX(Tabla525[DIF],MATCH(B18,BE15:BE18,0))</f>
        <v>0</v>
      </c>
      <c r="M18" s="27"/>
      <c r="N18" s="11" t="str">
        <f>AT17</f>
        <v>ESTADOS UNIDOS</v>
      </c>
      <c r="O18" s="31"/>
      <c r="P18" s="32" t="s">
        <v>18</v>
      </c>
      <c r="Q18" s="33"/>
      <c r="R18" s="12" t="str">
        <f>Tabla525[[#This Row],[EQUIPO]]</f>
        <v>Gal|Esc|Ucr</v>
      </c>
      <c r="S18" s="18"/>
      <c r="U18" s="27"/>
      <c r="V18" s="11" t="str">
        <f>AT16</f>
        <v>IRÁN</v>
      </c>
      <c r="W18" s="31"/>
      <c r="X18" s="32" t="s">
        <v>18</v>
      </c>
      <c r="Y18" s="33"/>
      <c r="Z18" s="12" t="str">
        <f>Tabla525[[#This Row],[EQUIPO]]</f>
        <v>Gal|Esc|Ucr</v>
      </c>
      <c r="AA18" s="18"/>
      <c r="AC18" s="27"/>
      <c r="AD18" s="11" t="str">
        <f>AT16</f>
        <v>IRÁN</v>
      </c>
      <c r="AE18" s="31"/>
      <c r="AF18" s="32" t="s">
        <v>18</v>
      </c>
      <c r="AG18" s="33"/>
      <c r="AH18" s="12" t="str">
        <f>AT17</f>
        <v>ESTADOS UNIDOS</v>
      </c>
      <c r="AI18" s="18"/>
      <c r="AS18" s="60">
        <v>4</v>
      </c>
      <c r="AT18" s="62" t="s">
        <v>33</v>
      </c>
      <c r="AU18" s="63">
        <f>AW18*3+AX18</f>
        <v>0</v>
      </c>
      <c r="AV18" s="63">
        <f>AW18+AX18+AY18</f>
        <v>0</v>
      </c>
      <c r="AW18" s="63">
        <f>IF(Q18&gt;O18,1,0)+IF(Y18&gt;W18,1,0)+IF(AG16&gt;AE16,1,0)</f>
        <v>0</v>
      </c>
      <c r="AX18" s="63">
        <f>IF(Q18=O18,IF(ISBLANK(Q18),0,1),0)+IF(Y18=W18,IF(ISBLANK(Y18),0,1),0)+IF(AG16=AE16,IF(ISBLANK(AG16),0,1),0)</f>
        <v>0</v>
      </c>
      <c r="AY18" s="63">
        <f>IF(Q18&lt;O18,1,0)+IF(Y18&lt;W18,1,0)+IF(AG16&lt;AE16,1,0)</f>
        <v>0</v>
      </c>
      <c r="AZ18" s="63">
        <f>Q18+Y18+AG16</f>
        <v>0</v>
      </c>
      <c r="BA18" s="63">
        <f>O18+W18+AE16</f>
        <v>0</v>
      </c>
      <c r="BB18" s="63">
        <f>AZ18-BA18</f>
        <v>0</v>
      </c>
      <c r="BD18" s="1">
        <f>+Tabla525[[#This Row],[PTS]]+ROW(BD15:BD18)/1000+COUNTIF(Tabla525[DIF],"&lt;="&amp;Tabla525[[#This Row],[DIF]])/1000+COUNTIF(Tabla525[GF],"&lt;="&amp;Tabla525[[#This Row],[GF]])/1000+COUNTIF(Tabla525['#],"&gt;="&amp;Tabla525[[#This Row],['#]])/10000</f>
        <v>2.3099999999999999E-2</v>
      </c>
      <c r="BE18" s="1">
        <f>_xlfn.RANK.EQ(BD18,BD15:BD18)</f>
        <v>4</v>
      </c>
      <c r="BF18" s="1">
        <f>+COUNTIF(Tabla525[DIF],"&lt;="&amp;Tabla525[[#This Row],[DIF]])</f>
        <v>4</v>
      </c>
      <c r="BG18" s="1">
        <f>+COUNTIF(Tabla525[GF],"&lt;="&amp;Tabla525[[#This Row],[GF]])</f>
        <v>4</v>
      </c>
      <c r="BH18" s="1">
        <f>+COUNTIF(Tabla525['#],"&lt;="&amp;Tabla525[[#This Row],['#]])</f>
        <v>4</v>
      </c>
    </row>
    <row r="19" spans="2:60" x14ac:dyDescent="0.25">
      <c r="AS19" s="61"/>
      <c r="AT19" s="61"/>
      <c r="AU19" s="61"/>
      <c r="AV19" s="61"/>
      <c r="AW19" s="61"/>
      <c r="AX19" s="61"/>
      <c r="AY19" s="61"/>
      <c r="AZ19" s="61"/>
      <c r="BA19" s="61"/>
      <c r="BB19" s="61"/>
    </row>
    <row r="20" spans="2:60" x14ac:dyDescent="0.25">
      <c r="B20" s="6" t="s">
        <v>24</v>
      </c>
      <c r="C20" s="7"/>
      <c r="D20" s="7"/>
      <c r="E20" s="7"/>
      <c r="F20" s="7"/>
      <c r="G20" s="7"/>
      <c r="H20" s="7"/>
      <c r="I20" s="7"/>
      <c r="J20" s="7"/>
      <c r="K20" s="8"/>
      <c r="M20" s="6" t="s">
        <v>17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8"/>
      <c r="AS20" s="61" t="s">
        <v>24</v>
      </c>
      <c r="AT20" s="61"/>
      <c r="AU20" s="61"/>
      <c r="AV20" s="61"/>
      <c r="AW20" s="61"/>
      <c r="AX20" s="61"/>
      <c r="AY20" s="61"/>
      <c r="AZ20" s="61"/>
      <c r="BA20" s="61"/>
      <c r="BB20" s="61"/>
    </row>
    <row r="21" spans="2:60" x14ac:dyDescent="0.25">
      <c r="B21" s="44" t="s">
        <v>3</v>
      </c>
      <c r="C21" s="45" t="s">
        <v>2</v>
      </c>
      <c r="D21" s="45" t="s">
        <v>4</v>
      </c>
      <c r="E21" s="45" t="s">
        <v>5</v>
      </c>
      <c r="F21" s="45" t="s">
        <v>6</v>
      </c>
      <c r="G21" s="45" t="s">
        <v>7</v>
      </c>
      <c r="H21" s="45" t="s">
        <v>8</v>
      </c>
      <c r="I21" s="45" t="s">
        <v>9</v>
      </c>
      <c r="J21" s="45" t="s">
        <v>10</v>
      </c>
      <c r="K21" s="45" t="s">
        <v>11</v>
      </c>
      <c r="L21" s="5"/>
      <c r="M21" s="13" t="s">
        <v>16</v>
      </c>
      <c r="N21" s="14"/>
      <c r="O21" s="14"/>
      <c r="P21" s="14"/>
      <c r="Q21" s="14"/>
      <c r="R21" s="14"/>
      <c r="S21" s="15"/>
      <c r="T21" s="5"/>
      <c r="U21" s="13" t="s">
        <v>21</v>
      </c>
      <c r="V21" s="14"/>
      <c r="W21" s="14"/>
      <c r="X21" s="14"/>
      <c r="Y21" s="14"/>
      <c r="Z21" s="14"/>
      <c r="AA21" s="15"/>
      <c r="AB21" s="5"/>
      <c r="AC21" s="13" t="s">
        <v>22</v>
      </c>
      <c r="AD21" s="14"/>
      <c r="AE21" s="14"/>
      <c r="AF21" s="14"/>
      <c r="AG21" s="14"/>
      <c r="AH21" s="14"/>
      <c r="AI21" s="15"/>
      <c r="AS21" s="60" t="s">
        <v>3</v>
      </c>
      <c r="AT21" s="60" t="s">
        <v>2</v>
      </c>
      <c r="AU21" s="60" t="s">
        <v>4</v>
      </c>
      <c r="AV21" s="60" t="s">
        <v>5</v>
      </c>
      <c r="AW21" s="60" t="s">
        <v>6</v>
      </c>
      <c r="AX21" s="60" t="s">
        <v>7</v>
      </c>
      <c r="AY21" s="60" t="s">
        <v>8</v>
      </c>
      <c r="AZ21" s="60" t="s">
        <v>9</v>
      </c>
      <c r="BA21" s="60" t="s">
        <v>10</v>
      </c>
      <c r="BB21" s="60" t="s">
        <v>11</v>
      </c>
    </row>
    <row r="22" spans="2:60" x14ac:dyDescent="0.25">
      <c r="B22" s="46">
        <v>1</v>
      </c>
      <c r="C22" s="47" t="str">
        <f>INDEX(Tabla52526[EQUIPO],MATCH(B22,BE22:BE25,0))</f>
        <v>ARGENTINA</v>
      </c>
      <c r="D22" s="48">
        <f>INDEX(Tabla52526[PTS],MATCH(B22,BE22:BE25,0))</f>
        <v>0</v>
      </c>
      <c r="E22" s="49">
        <f>INDEX(Tabla52526[PJ],MATCH(B22,BE22:BE25,0))</f>
        <v>0</v>
      </c>
      <c r="F22" s="49">
        <f>INDEX(Tabla52526[PG],MATCH(B22,BE22:BE25,0))</f>
        <v>0</v>
      </c>
      <c r="G22" s="49">
        <f>INDEX(Tabla52526[PE],MATCH(B22,BE22:BE25,0))</f>
        <v>0</v>
      </c>
      <c r="H22" s="49">
        <f>INDEX(Tabla52526[PP],MATCH(B22,BE22:BE25,0))</f>
        <v>0</v>
      </c>
      <c r="I22" s="49">
        <f>INDEX(Tabla52526[GF],MATCH(B22,BE22:BE25,0))</f>
        <v>0</v>
      </c>
      <c r="J22" s="49">
        <f>INDEX(Tabla52526[GC],MATCH(B22,BE22:BE25,0))</f>
        <v>0</v>
      </c>
      <c r="K22" s="49">
        <f>INDEX(Tabla52526[DIF],MATCH(B22,BE22:BE25,0))</f>
        <v>0</v>
      </c>
      <c r="M22" s="16" t="s">
        <v>20</v>
      </c>
      <c r="N22" s="17"/>
      <c r="O22" s="21"/>
      <c r="P22" s="17" t="s">
        <v>19</v>
      </c>
      <c r="Q22" s="17"/>
      <c r="R22" s="17"/>
      <c r="S22" s="21"/>
      <c r="U22" s="16" t="s">
        <v>20</v>
      </c>
      <c r="V22" s="17"/>
      <c r="W22" s="21"/>
      <c r="X22" s="17" t="s">
        <v>19</v>
      </c>
      <c r="Y22" s="17"/>
      <c r="Z22" s="17"/>
      <c r="AA22" s="21"/>
      <c r="AC22" s="16" t="s">
        <v>20</v>
      </c>
      <c r="AD22" s="17"/>
      <c r="AE22" s="21"/>
      <c r="AF22" s="17" t="s">
        <v>19</v>
      </c>
      <c r="AG22" s="17"/>
      <c r="AH22" s="17"/>
      <c r="AI22" s="21"/>
      <c r="AS22" s="60">
        <v>1</v>
      </c>
      <c r="AT22" s="62" t="s">
        <v>34</v>
      </c>
      <c r="AU22" s="63">
        <f>AW22*3+AX22</f>
        <v>0</v>
      </c>
      <c r="AV22" s="63">
        <f>AW22+AX22+AY22</f>
        <v>0</v>
      </c>
      <c r="AW22" s="63">
        <f>IF(O23&gt;Q23,1,0)+IF(W23&gt;Y23,1,0)+IF(AE23&gt;AG23,1,0)</f>
        <v>0</v>
      </c>
      <c r="AX22" s="63">
        <f>IF(O23=Q23,IF(ISBLANK(O23),0,1),0)+IF(W23=Y23,IF(ISBLANK(W23),0,1),0)+IF(AE23=AG23,IF(ISBLANK(AE23),0,1),0)</f>
        <v>0</v>
      </c>
      <c r="AY22" s="63">
        <f>IF(O23&lt;Q23,1,0)+IF(W23&lt;Y23,1,0)+IF(AE23&lt;AG23,1,0)</f>
        <v>0</v>
      </c>
      <c r="AZ22" s="63">
        <f>O23+W23+AE23</f>
        <v>0</v>
      </c>
      <c r="BA22" s="63">
        <f>Q23+Y23+AG23</f>
        <v>0</v>
      </c>
      <c r="BB22" s="63">
        <f>AZ22-BA22</f>
        <v>0</v>
      </c>
      <c r="BD22" s="1">
        <f>+Tabla52526[[#This Row],[PTS]]+ROW(BD22:BD25)/1000+COUNTIF(Tabla52526[DIF],"&lt;="&amp;Tabla52526[[#This Row],[DIF]])/1000+COUNTIF(Tabla52526[GF],"&lt;="&amp;Tabla52526[[#This Row],[GF]])/1000+COUNTIF(Tabla52526['#],"&gt;="&amp;Tabla52526[[#This Row],['#]])/10000</f>
        <v>3.04E-2</v>
      </c>
      <c r="BE22" s="1">
        <f>_xlfn.RANK.EQ(BD22,BD22:BD25)</f>
        <v>1</v>
      </c>
      <c r="BF22" s="1">
        <f>+COUNTIF(Tabla52526[DIF],"&lt;="&amp;Tabla52526[[#This Row],[DIF]])</f>
        <v>4</v>
      </c>
      <c r="BG22" s="1">
        <f>+COUNTIF(Tabla52526[GF],"&lt;="&amp;Tabla52526[[#This Row],[GF]])</f>
        <v>4</v>
      </c>
      <c r="BH22" s="1">
        <f>+COUNTIF(Tabla52526['#],"&lt;="&amp;Tabla52526[[#This Row],['#]])</f>
        <v>1</v>
      </c>
    </row>
    <row r="23" spans="2:60" x14ac:dyDescent="0.25">
      <c r="B23" s="46">
        <v>2</v>
      </c>
      <c r="C23" s="47" t="str">
        <f>INDEX(Tabla52526[EQUIPO],MATCH(B23,BE22:BE25,0))</f>
        <v>ARABIA SAUDITA</v>
      </c>
      <c r="D23" s="48">
        <f>INDEX(Tabla52526[PTS],MATCH(B23,BE22:BE25,0))</f>
        <v>0</v>
      </c>
      <c r="E23" s="49">
        <f>INDEX(Tabla52526[PJ],MATCH(B23,BE22:BE25,0))</f>
        <v>0</v>
      </c>
      <c r="F23" s="49">
        <f>INDEX(Tabla52526[PG],MATCH(B23,BE22:BE25,0))</f>
        <v>0</v>
      </c>
      <c r="G23" s="49">
        <f>INDEX(Tabla52526[PE],MATCH(B23,BE22:BE25,0))</f>
        <v>0</v>
      </c>
      <c r="H23" s="49">
        <f>INDEX(Tabla52526[PP],MATCH(B23,BE22:BE25,0))</f>
        <v>0</v>
      </c>
      <c r="I23" s="49">
        <f>INDEX(Tabla52526[GF],MATCH(B23,BE22:BE25,0))</f>
        <v>0</v>
      </c>
      <c r="J23" s="49">
        <f>INDEX(Tabla52526[GC],MATCH(B23,BE22:BE25,0))</f>
        <v>0</v>
      </c>
      <c r="K23" s="49">
        <f>INDEX(Tabla52526[DIF],MATCH(B23,BE22:BE25,0))</f>
        <v>0</v>
      </c>
      <c r="M23" s="26"/>
      <c r="N23" s="24" t="str">
        <f>AT22</f>
        <v>ARGENTINA</v>
      </c>
      <c r="O23" s="28"/>
      <c r="P23" s="29" t="s">
        <v>18</v>
      </c>
      <c r="Q23" s="30"/>
      <c r="R23" s="25" t="str">
        <f>Tabla52526[[#This Row],[EQUIPO]]</f>
        <v>ARABIA SAUDITA</v>
      </c>
      <c r="S23" s="23"/>
      <c r="U23" s="26"/>
      <c r="V23" s="24" t="str">
        <f>AT22</f>
        <v>ARGENTINA</v>
      </c>
      <c r="W23" s="28"/>
      <c r="X23" s="29" t="s">
        <v>18</v>
      </c>
      <c r="Y23" s="30"/>
      <c r="Z23" s="25" t="str">
        <f>AT24</f>
        <v>MÉXICO</v>
      </c>
      <c r="AA23" s="23"/>
      <c r="AC23" s="26"/>
      <c r="AD23" s="24" t="str">
        <f>AT22</f>
        <v>ARGENTINA</v>
      </c>
      <c r="AE23" s="28"/>
      <c r="AF23" s="29" t="s">
        <v>18</v>
      </c>
      <c r="AG23" s="30"/>
      <c r="AH23" s="25" t="str">
        <f>AT25</f>
        <v>POLONIA</v>
      </c>
      <c r="AI23" s="23"/>
      <c r="AS23" s="60">
        <v>2</v>
      </c>
      <c r="AT23" s="62" t="s">
        <v>35</v>
      </c>
      <c r="AU23" s="63">
        <f>AW23*3+AX23</f>
        <v>0</v>
      </c>
      <c r="AV23" s="63">
        <f>AW23+AX23+AY23</f>
        <v>0</v>
      </c>
      <c r="AW23" s="63">
        <f>IF(Q23&gt;O23,1,0)+IF(W25&gt;Y25,1,0)+IF(AE25&gt;AG25,1,0)</f>
        <v>0</v>
      </c>
      <c r="AX23" s="63">
        <f>IF(Q23=O23,IF(ISBLANK(Q23),0,1),0)+IF(W25=Y25,IF(ISBLANK(W25),0,1),0)+IF(AE25=AG25,IF(ISBLANK(AE25),0,1),0)</f>
        <v>0</v>
      </c>
      <c r="AY23" s="63">
        <f>IF(Q23&lt;O23,1,0)+IF(W25&lt;Y25,1,0)+IF(AE25&lt;AG25,1,0)</f>
        <v>0</v>
      </c>
      <c r="AZ23" s="63">
        <f>Q23+W25+AE25</f>
        <v>0</v>
      </c>
      <c r="BA23" s="63">
        <f>O23+Y25+AG25</f>
        <v>0</v>
      </c>
      <c r="BB23" s="63">
        <f>AZ23-BA23</f>
        <v>0</v>
      </c>
      <c r="BD23" s="1">
        <f>+Tabla52526[[#This Row],[PTS]]+ROW(BD22:BD25)/1000+COUNTIF(Tabla52526[DIF],"&lt;="&amp;Tabla52526[[#This Row],[DIF]])/1000+COUNTIF(Tabla52526[GF],"&lt;="&amp;Tabla52526[[#This Row],[GF]])/1000+COUNTIF(Tabla52526['#],"&gt;="&amp;Tabla52526[[#This Row],['#]])/10000</f>
        <v>3.0300000000000001E-2</v>
      </c>
      <c r="BE23" s="1">
        <f>_xlfn.RANK.EQ(BD23,BD22:BD25)</f>
        <v>2</v>
      </c>
      <c r="BF23" s="1">
        <f>+COUNTIF(Tabla52526[DIF],"&lt;="&amp;Tabla52526[[#This Row],[DIF]])</f>
        <v>4</v>
      </c>
      <c r="BG23" s="1">
        <f>+COUNTIF(Tabla52526[GF],"&lt;="&amp;Tabla52526[[#This Row],[GF]])</f>
        <v>4</v>
      </c>
      <c r="BH23" s="1">
        <f>+COUNTIF(Tabla52526['#],"&lt;="&amp;Tabla52526[[#This Row],['#]])</f>
        <v>2</v>
      </c>
    </row>
    <row r="24" spans="2:60" x14ac:dyDescent="0.25">
      <c r="B24" s="50">
        <v>3</v>
      </c>
      <c r="C24" s="51" t="str">
        <f>INDEX(Tabla52526[EQUIPO],MATCH(B24,BE22:BE25,0))</f>
        <v>MÉXICO</v>
      </c>
      <c r="D24" s="52">
        <f>INDEX(Tabla52526[PTS],MATCH(B24,BE22:BE25,0))</f>
        <v>0</v>
      </c>
      <c r="E24" s="53">
        <f>INDEX(Tabla52526[PJ],MATCH(B24,BE22:BE25,0))</f>
        <v>0</v>
      </c>
      <c r="F24" s="53">
        <f>INDEX(Tabla52526[PG],MATCH(B24,BE22:BE25,0))</f>
        <v>0</v>
      </c>
      <c r="G24" s="53">
        <f>INDEX(Tabla52526[PE],MATCH(B24,BE22:BE25,0))</f>
        <v>0</v>
      </c>
      <c r="H24" s="53">
        <f>INDEX(Tabla52526[PP],MATCH(B24,BE22:BE25,0))</f>
        <v>0</v>
      </c>
      <c r="I24" s="53">
        <f>INDEX(Tabla52526[GF],MATCH(B24,BE22:BE25,0))</f>
        <v>0</v>
      </c>
      <c r="J24" s="53">
        <f>INDEX(Tabla52526[GC],MATCH(B24,BE22:BE25,0))</f>
        <v>0</v>
      </c>
      <c r="K24" s="53">
        <f>INDEX(Tabla52526[DIF],MATCH(B24,BE22:BE25,0))</f>
        <v>0</v>
      </c>
      <c r="M24" s="19" t="s">
        <v>20</v>
      </c>
      <c r="N24" s="20"/>
      <c r="O24" s="22"/>
      <c r="P24" s="20" t="s">
        <v>19</v>
      </c>
      <c r="Q24" s="20"/>
      <c r="R24" s="20"/>
      <c r="S24" s="22"/>
      <c r="U24" s="19" t="s">
        <v>20</v>
      </c>
      <c r="V24" s="20"/>
      <c r="W24" s="22"/>
      <c r="X24" s="20" t="s">
        <v>19</v>
      </c>
      <c r="Y24" s="20"/>
      <c r="Z24" s="20"/>
      <c r="AA24" s="22"/>
      <c r="AC24" s="19" t="s">
        <v>20</v>
      </c>
      <c r="AD24" s="20"/>
      <c r="AE24" s="22"/>
      <c r="AF24" s="20" t="s">
        <v>19</v>
      </c>
      <c r="AG24" s="20"/>
      <c r="AH24" s="20"/>
      <c r="AI24" s="22"/>
      <c r="AS24" s="60">
        <v>3</v>
      </c>
      <c r="AT24" s="62" t="s">
        <v>36</v>
      </c>
      <c r="AU24" s="63">
        <f>AW24*3+AX24</f>
        <v>0</v>
      </c>
      <c r="AV24" s="63">
        <f>AW24+AX24+AY24</f>
        <v>0</v>
      </c>
      <c r="AW24" s="63">
        <f>IF(O25&gt;Q25,1,0)+IF(Y23&gt;W23,1,0)+IF(AG25&gt;AE25,1,0)</f>
        <v>0</v>
      </c>
      <c r="AX24" s="63">
        <f>IF(O25=Q25,IF(ISBLANK(O25),0,1),0)+IF(Y23=W23,IF(ISBLANK(Y23),0,1),0)+IF(AG25=AE25,IF(ISBLANK(AG25),0,1),0)</f>
        <v>0</v>
      </c>
      <c r="AY24" s="63">
        <f>IF(O25&lt;Q25,1,0)+IF(Y23&lt;W23,1,0)+IF(AG25&lt;AE25,1,0)</f>
        <v>0</v>
      </c>
      <c r="AZ24" s="63">
        <f>O25+Y23+AG25</f>
        <v>0</v>
      </c>
      <c r="BA24" s="63">
        <f>Q25+W23+AE25</f>
        <v>0</v>
      </c>
      <c r="BB24" s="63">
        <f>AZ24-BA24</f>
        <v>0</v>
      </c>
      <c r="BD24" s="1">
        <f>+Tabla52526[[#This Row],[PTS]]+ROW(BD22:BD25)/1000+COUNTIF(Tabla52526[DIF],"&lt;="&amp;Tabla52526[[#This Row],[DIF]])/1000+COUNTIF(Tabla52526[GF],"&lt;="&amp;Tabla52526[[#This Row],[GF]])/1000+COUNTIF(Tabla52526['#],"&gt;="&amp;Tabla52526[[#This Row],['#]])/10000</f>
        <v>3.0199999999999998E-2</v>
      </c>
      <c r="BE24" s="1">
        <f>_xlfn.RANK.EQ(BD24,BD22:BD25)</f>
        <v>3</v>
      </c>
      <c r="BF24" s="1">
        <f>+COUNTIF(Tabla52526[DIF],"&lt;="&amp;Tabla52526[[#This Row],[DIF]])</f>
        <v>4</v>
      </c>
      <c r="BG24" s="1">
        <f>+COUNTIF(Tabla52526[GF],"&lt;="&amp;Tabla52526[[#This Row],[GF]])</f>
        <v>4</v>
      </c>
      <c r="BH24" s="1">
        <f>+COUNTIF(Tabla52526['#],"&lt;="&amp;Tabla52526[[#This Row],['#]])</f>
        <v>3</v>
      </c>
    </row>
    <row r="25" spans="2:60" x14ac:dyDescent="0.25">
      <c r="B25" s="50">
        <v>4</v>
      </c>
      <c r="C25" s="51" t="str">
        <f>INDEX(Tabla52526[EQUIPO],MATCH(B25,BE22:BE25,0))</f>
        <v>POLONIA</v>
      </c>
      <c r="D25" s="52">
        <f>INDEX(Tabla52526[PTS],MATCH(B25,BE22:BE25,0))</f>
        <v>0</v>
      </c>
      <c r="E25" s="53">
        <f>INDEX(Tabla52526[PJ],MATCH(B25,BE22:BE25,0))</f>
        <v>0</v>
      </c>
      <c r="F25" s="53">
        <f>INDEX(Tabla52526[PG],MATCH(B25,BE22:BE25,0))</f>
        <v>0</v>
      </c>
      <c r="G25" s="53">
        <f>INDEX(Tabla52526[PE],MATCH(B25,BE22:BE25,0))</f>
        <v>0</v>
      </c>
      <c r="H25" s="53">
        <f>INDEX(Tabla52526[PP],MATCH(B25,BE22:BE25,0))</f>
        <v>0</v>
      </c>
      <c r="I25" s="53">
        <f>INDEX(Tabla52526[GF],MATCH(B25,BE22:BE25,0))</f>
        <v>0</v>
      </c>
      <c r="J25" s="53">
        <f>INDEX(Tabla52526[GC],MATCH(B25,BE22:BE25,0))</f>
        <v>0</v>
      </c>
      <c r="K25" s="53">
        <f>INDEX(Tabla52526[DIF],MATCH(B25,BE22:BE25,0))</f>
        <v>0</v>
      </c>
      <c r="M25" s="27"/>
      <c r="N25" s="11" t="str">
        <f>AT24</f>
        <v>MÉXICO</v>
      </c>
      <c r="O25" s="31"/>
      <c r="P25" s="32" t="s">
        <v>18</v>
      </c>
      <c r="Q25" s="33"/>
      <c r="R25" s="12" t="str">
        <f>Tabla52526[[#This Row],[EQUIPO]]</f>
        <v>POLONIA</v>
      </c>
      <c r="S25" s="18"/>
      <c r="U25" s="27"/>
      <c r="V25" s="11" t="str">
        <f>AT23</f>
        <v>ARABIA SAUDITA</v>
      </c>
      <c r="W25" s="31"/>
      <c r="X25" s="32" t="s">
        <v>18</v>
      </c>
      <c r="Y25" s="33"/>
      <c r="Z25" s="12" t="str">
        <f>Tabla52526[[#This Row],[EQUIPO]]</f>
        <v>POLONIA</v>
      </c>
      <c r="AA25" s="18"/>
      <c r="AC25" s="27"/>
      <c r="AD25" s="11" t="str">
        <f>AT23</f>
        <v>ARABIA SAUDITA</v>
      </c>
      <c r="AE25" s="31"/>
      <c r="AF25" s="32" t="s">
        <v>18</v>
      </c>
      <c r="AG25" s="33"/>
      <c r="AH25" s="12" t="str">
        <f>AT24</f>
        <v>MÉXICO</v>
      </c>
      <c r="AI25" s="18"/>
      <c r="AS25" s="60">
        <v>4</v>
      </c>
      <c r="AT25" s="62" t="s">
        <v>37</v>
      </c>
      <c r="AU25" s="63">
        <f>AW25*3+AX25</f>
        <v>0</v>
      </c>
      <c r="AV25" s="63">
        <f>AW25+AX25+AY25</f>
        <v>0</v>
      </c>
      <c r="AW25" s="63">
        <f>IF(Q25&gt;O25,1,0)+IF(Y25&gt;W25,1,0)+IF(AG23&gt;AE23,1,0)</f>
        <v>0</v>
      </c>
      <c r="AX25" s="63">
        <f>IF(Q25=O25,IF(ISBLANK(Q25),0,1),0)+IF(Y25=W25,IF(ISBLANK(Y25),0,1),0)+IF(AG23=AE23,IF(ISBLANK(AG23),0,1),0)</f>
        <v>0</v>
      </c>
      <c r="AY25" s="63">
        <f>IF(Q25&lt;O25,1,0)+IF(Y25&lt;W25,1,0)+IF(AG23&lt;AE23,1,0)</f>
        <v>0</v>
      </c>
      <c r="AZ25" s="63">
        <f>Q25+Y25+AG23</f>
        <v>0</v>
      </c>
      <c r="BA25" s="63">
        <f>O25+W25+AE23</f>
        <v>0</v>
      </c>
      <c r="BB25" s="63">
        <f>AZ25-BA25</f>
        <v>0</v>
      </c>
      <c r="BD25" s="1">
        <f>+Tabla52526[[#This Row],[PTS]]+ROW(BD22:BD25)/1000+COUNTIF(Tabla52526[DIF],"&lt;="&amp;Tabla52526[[#This Row],[DIF]])/1000+COUNTIF(Tabla52526[GF],"&lt;="&amp;Tabla52526[[#This Row],[GF]])/1000+COUNTIF(Tabla52526['#],"&gt;="&amp;Tabla52526[[#This Row],['#]])/10000</f>
        <v>3.0099999999999998E-2</v>
      </c>
      <c r="BE25" s="1">
        <f>_xlfn.RANK.EQ(BD25,BD22:BD25)</f>
        <v>4</v>
      </c>
      <c r="BF25" s="1">
        <f>+COUNTIF(Tabla52526[DIF],"&lt;="&amp;Tabla52526[[#This Row],[DIF]])</f>
        <v>4</v>
      </c>
      <c r="BG25" s="1">
        <f>+COUNTIF(Tabla52526[GF],"&lt;="&amp;Tabla52526[[#This Row],[GF]])</f>
        <v>4</v>
      </c>
      <c r="BH25" s="1">
        <f>+COUNTIF(Tabla52526['#],"&lt;="&amp;Tabla52526[[#This Row],['#]])</f>
        <v>4</v>
      </c>
    </row>
    <row r="26" spans="2:60" x14ac:dyDescent="0.25">
      <c r="AS26" s="61"/>
      <c r="AT26" s="61"/>
      <c r="AU26" s="61"/>
      <c r="AV26" s="61"/>
      <c r="AW26" s="61"/>
      <c r="AX26" s="61"/>
      <c r="AY26" s="61"/>
      <c r="AZ26" s="61"/>
      <c r="BA26" s="61"/>
      <c r="BB26" s="61"/>
    </row>
    <row r="27" spans="2:60" x14ac:dyDescent="0.25">
      <c r="B27" s="6" t="s">
        <v>25</v>
      </c>
      <c r="C27" s="7"/>
      <c r="D27" s="7"/>
      <c r="E27" s="7"/>
      <c r="F27" s="7"/>
      <c r="G27" s="7"/>
      <c r="H27" s="7"/>
      <c r="I27" s="7"/>
      <c r="J27" s="7"/>
      <c r="K27" s="8"/>
      <c r="M27" s="6" t="s">
        <v>17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8"/>
      <c r="AS27" s="61" t="s">
        <v>25</v>
      </c>
      <c r="AT27" s="61"/>
      <c r="AU27" s="61"/>
      <c r="AV27" s="61"/>
      <c r="AW27" s="61"/>
      <c r="AX27" s="61"/>
      <c r="AY27" s="61"/>
      <c r="AZ27" s="61"/>
      <c r="BA27" s="61"/>
      <c r="BB27" s="61"/>
    </row>
    <row r="28" spans="2:60" x14ac:dyDescent="0.25">
      <c r="B28" s="44" t="s">
        <v>3</v>
      </c>
      <c r="C28" s="45" t="s">
        <v>2</v>
      </c>
      <c r="D28" s="45" t="s">
        <v>4</v>
      </c>
      <c r="E28" s="45" t="s">
        <v>5</v>
      </c>
      <c r="F28" s="45" t="s">
        <v>6</v>
      </c>
      <c r="G28" s="45" t="s">
        <v>7</v>
      </c>
      <c r="H28" s="45" t="s">
        <v>8</v>
      </c>
      <c r="I28" s="45" t="s">
        <v>9</v>
      </c>
      <c r="J28" s="45" t="s">
        <v>10</v>
      </c>
      <c r="K28" s="45" t="s">
        <v>11</v>
      </c>
      <c r="L28" s="5"/>
      <c r="M28" s="13" t="s">
        <v>16</v>
      </c>
      <c r="N28" s="14"/>
      <c r="O28" s="14"/>
      <c r="P28" s="14"/>
      <c r="Q28" s="14"/>
      <c r="R28" s="14"/>
      <c r="S28" s="15"/>
      <c r="T28" s="5"/>
      <c r="U28" s="13" t="s">
        <v>21</v>
      </c>
      <c r="V28" s="14"/>
      <c r="W28" s="14"/>
      <c r="X28" s="14"/>
      <c r="Y28" s="14"/>
      <c r="Z28" s="14"/>
      <c r="AA28" s="15"/>
      <c r="AB28" s="5"/>
      <c r="AC28" s="13" t="s">
        <v>22</v>
      </c>
      <c r="AD28" s="14"/>
      <c r="AE28" s="14"/>
      <c r="AF28" s="14"/>
      <c r="AG28" s="14"/>
      <c r="AH28" s="14"/>
      <c r="AI28" s="15"/>
      <c r="AS28" s="60" t="s">
        <v>3</v>
      </c>
      <c r="AT28" s="60" t="s">
        <v>2</v>
      </c>
      <c r="AU28" s="60" t="s">
        <v>4</v>
      </c>
      <c r="AV28" s="60" t="s">
        <v>5</v>
      </c>
      <c r="AW28" s="60" t="s">
        <v>6</v>
      </c>
      <c r="AX28" s="60" t="s">
        <v>7</v>
      </c>
      <c r="AY28" s="60" t="s">
        <v>8</v>
      </c>
      <c r="AZ28" s="60" t="s">
        <v>9</v>
      </c>
      <c r="BA28" s="60" t="s">
        <v>10</v>
      </c>
      <c r="BB28" s="60" t="s">
        <v>11</v>
      </c>
    </row>
    <row r="29" spans="2:60" x14ac:dyDescent="0.25">
      <c r="B29" s="46">
        <v>1</v>
      </c>
      <c r="C29" s="47" t="str">
        <f>INDEX(Tabla5252627[EQUIPO],MATCH(B29,BE29:BE32,0))</f>
        <v>FRANCIA</v>
      </c>
      <c r="D29" s="48">
        <f>INDEX(Tabla5252627[PTS],MATCH(B29,BE29:BE32,0))</f>
        <v>0</v>
      </c>
      <c r="E29" s="49">
        <f>INDEX(Tabla5252627[PJ],MATCH(B29,BE29:BE32,0))</f>
        <v>0</v>
      </c>
      <c r="F29" s="49">
        <f>INDEX(Tabla5252627[PG],MATCH(B29,BE29:BE32,0))</f>
        <v>0</v>
      </c>
      <c r="G29" s="49">
        <f>INDEX(Tabla5252627[PE],MATCH(B29,BE29:BE32,0))</f>
        <v>0</v>
      </c>
      <c r="H29" s="49">
        <f>INDEX(Tabla5252627[PP],MATCH(B29,BE29:BE32,0))</f>
        <v>0</v>
      </c>
      <c r="I29" s="49">
        <f>INDEX(Tabla5252627[GF],MATCH(B29,BE29:BE32,0))</f>
        <v>0</v>
      </c>
      <c r="J29" s="49">
        <f>INDEX(Tabla5252627[GC],MATCH(B29,BE29:BE32,0))</f>
        <v>0</v>
      </c>
      <c r="K29" s="49">
        <f>INDEX(Tabla5252627[DIF],MATCH(B29,BE29:BE32,0))</f>
        <v>0</v>
      </c>
      <c r="M29" s="16" t="s">
        <v>20</v>
      </c>
      <c r="N29" s="17"/>
      <c r="O29" s="21"/>
      <c r="P29" s="17" t="s">
        <v>19</v>
      </c>
      <c r="Q29" s="17"/>
      <c r="R29" s="17"/>
      <c r="S29" s="21"/>
      <c r="U29" s="16" t="s">
        <v>20</v>
      </c>
      <c r="V29" s="17"/>
      <c r="W29" s="21"/>
      <c r="X29" s="17" t="s">
        <v>19</v>
      </c>
      <c r="Y29" s="17"/>
      <c r="Z29" s="17"/>
      <c r="AA29" s="21"/>
      <c r="AC29" s="16" t="s">
        <v>20</v>
      </c>
      <c r="AD29" s="17"/>
      <c r="AE29" s="21"/>
      <c r="AF29" s="17" t="s">
        <v>19</v>
      </c>
      <c r="AG29" s="17"/>
      <c r="AH29" s="17"/>
      <c r="AI29" s="21"/>
      <c r="AS29" s="60">
        <v>1</v>
      </c>
      <c r="AT29" s="62" t="s">
        <v>38</v>
      </c>
      <c r="AU29" s="63">
        <f>AW29*3+AX29</f>
        <v>0</v>
      </c>
      <c r="AV29" s="63">
        <f>AW29+AX29+AY29</f>
        <v>0</v>
      </c>
      <c r="AW29" s="63">
        <f>IF(O30&gt;Q30,1,0)+IF(W30&gt;Y30,1,0)+IF(AE30&gt;AG30,1,0)</f>
        <v>0</v>
      </c>
      <c r="AX29" s="63">
        <f>IF(O30=Q30,IF(ISBLANK(O30),0,1),0)+IF(W30=Y30,IF(ISBLANK(W30),0,1),0)+IF(AE30=AG30,IF(ISBLANK(AE30),0,1),0)</f>
        <v>0</v>
      </c>
      <c r="AY29" s="63">
        <f>IF(O30&lt;Q30,1,0)+IF(W30&lt;Y30,1,0)+IF(AE30&lt;AG30,1,0)</f>
        <v>0</v>
      </c>
      <c r="AZ29" s="63">
        <f>O30+W30+AE30</f>
        <v>0</v>
      </c>
      <c r="BA29" s="63">
        <f>Q30+Y30+AG30</f>
        <v>0</v>
      </c>
      <c r="BB29" s="63">
        <f>AZ29-BA29</f>
        <v>0</v>
      </c>
      <c r="BD29" s="1">
        <f>+Tabla5252627[[#This Row],[PTS]]+ROW(BD29:BD32)/1000+COUNTIF(Tabla5252627[DIF],"&lt;="&amp;Tabla5252627[[#This Row],[DIF]])/1000+COUNTIF(Tabla5252627[GF],"&lt;="&amp;Tabla5252627[[#This Row],[GF]])/1000+COUNTIF(Tabla5252627['#],"&gt;="&amp;Tabla5252627[[#This Row],['#]])/10000</f>
        <v>3.7400000000000003E-2</v>
      </c>
      <c r="BE29" s="1">
        <f>_xlfn.RANK.EQ(BD29,BD29:BD32)</f>
        <v>1</v>
      </c>
      <c r="BF29" s="1">
        <f>+COUNTIF(Tabla5252627[DIF],"&lt;="&amp;Tabla5252627[[#This Row],[DIF]])</f>
        <v>4</v>
      </c>
      <c r="BG29" s="1">
        <f>+COUNTIF(Tabla5252627[GF],"&lt;="&amp;Tabla5252627[[#This Row],[GF]])</f>
        <v>4</v>
      </c>
      <c r="BH29" s="1">
        <f>+COUNTIF(Tabla5252627['#],"&lt;="&amp;Tabla5252627[[#This Row],['#]])</f>
        <v>1</v>
      </c>
    </row>
    <row r="30" spans="2:60" x14ac:dyDescent="0.25">
      <c r="B30" s="46">
        <v>2</v>
      </c>
      <c r="C30" s="47" t="str">
        <f>INDEX(Tabla5252627[EQUIPO],MATCH(B30,BE29:BE32,0))</f>
        <v>PER/EAU/AUS</v>
      </c>
      <c r="D30" s="48">
        <f>INDEX(Tabla5252627[PTS],MATCH(B30,BE29:BE32,0))</f>
        <v>0</v>
      </c>
      <c r="E30" s="49">
        <f>INDEX(Tabla5252627[PJ],MATCH(B30,BE29:BE32,0))</f>
        <v>0</v>
      </c>
      <c r="F30" s="49">
        <f>INDEX(Tabla5252627[PG],MATCH(B30,BE29:BE32,0))</f>
        <v>0</v>
      </c>
      <c r="G30" s="49">
        <f>INDEX(Tabla5252627[PE],MATCH(B30,BE29:BE32,0))</f>
        <v>0</v>
      </c>
      <c r="H30" s="49">
        <f>INDEX(Tabla5252627[PP],MATCH(B30,BE29:BE32,0))</f>
        <v>0</v>
      </c>
      <c r="I30" s="49">
        <f>INDEX(Tabla5252627[GF],MATCH(B30,BE29:BE32,0))</f>
        <v>0</v>
      </c>
      <c r="J30" s="49">
        <f>INDEX(Tabla5252627[GC],MATCH(B30,BE29:BE32,0))</f>
        <v>0</v>
      </c>
      <c r="K30" s="49">
        <f>INDEX(Tabla5252627[DIF],MATCH(B30,BE29:BE32,0))</f>
        <v>0</v>
      </c>
      <c r="M30" s="26"/>
      <c r="N30" s="24" t="str">
        <f>AT29</f>
        <v>FRANCIA</v>
      </c>
      <c r="O30" s="28"/>
      <c r="P30" s="29" t="s">
        <v>18</v>
      </c>
      <c r="Q30" s="30"/>
      <c r="R30" s="25" t="str">
        <f>Tabla5252627[[#This Row],[EQUIPO]]</f>
        <v>PER/EAU/AUS</v>
      </c>
      <c r="S30" s="23"/>
      <c r="U30" s="26"/>
      <c r="V30" s="24" t="str">
        <f>AT29</f>
        <v>FRANCIA</v>
      </c>
      <c r="W30" s="28"/>
      <c r="X30" s="29" t="s">
        <v>18</v>
      </c>
      <c r="Y30" s="30"/>
      <c r="Z30" s="25" t="str">
        <f>AT31</f>
        <v>DINAMARCA</v>
      </c>
      <c r="AA30" s="23"/>
      <c r="AC30" s="26"/>
      <c r="AD30" s="24" t="str">
        <f>AT29</f>
        <v>FRANCIA</v>
      </c>
      <c r="AE30" s="28"/>
      <c r="AF30" s="29" t="s">
        <v>18</v>
      </c>
      <c r="AG30" s="30"/>
      <c r="AH30" s="25" t="str">
        <f>AT32</f>
        <v>TÚNEZ</v>
      </c>
      <c r="AI30" s="23"/>
      <c r="AS30" s="60">
        <v>2</v>
      </c>
      <c r="AT30" s="62" t="s">
        <v>41</v>
      </c>
      <c r="AU30" s="63">
        <f>AW30*3+AX30</f>
        <v>0</v>
      </c>
      <c r="AV30" s="63">
        <f>AW30+AX30+AY30</f>
        <v>0</v>
      </c>
      <c r="AW30" s="63">
        <f>IF(Q30&gt;O30,1,0)+IF(W32&gt;Y32,1,0)+IF(AE32&gt;AG32,1,0)</f>
        <v>0</v>
      </c>
      <c r="AX30" s="63">
        <f>IF(Q30=O30,IF(ISBLANK(Q30),0,1),0)+IF(W32=Y32,IF(ISBLANK(W32),0,1),0)+IF(AE32=AG32,IF(ISBLANK(AE32),0,1),0)</f>
        <v>0</v>
      </c>
      <c r="AY30" s="63">
        <f>IF(Q30&lt;O30,1,0)+IF(W32&lt;Y32,1,0)+IF(AE32&lt;AG32,1,0)</f>
        <v>0</v>
      </c>
      <c r="AZ30" s="63">
        <f>Q30+W32+AE32</f>
        <v>0</v>
      </c>
      <c r="BA30" s="63">
        <f>O30+Y32+AG32</f>
        <v>0</v>
      </c>
      <c r="BB30" s="63">
        <f>AZ30-BA30</f>
        <v>0</v>
      </c>
      <c r="BD30" s="1">
        <f>+Tabla5252627[[#This Row],[PTS]]+ROW(BD29:BD32)/1000+COUNTIF(Tabla5252627[DIF],"&lt;="&amp;Tabla5252627[[#This Row],[DIF]])/1000+COUNTIF(Tabla5252627[GF],"&lt;="&amp;Tabla5252627[[#This Row],[GF]])/1000+COUNTIF(Tabla5252627['#],"&gt;="&amp;Tabla5252627[[#This Row],['#]])/10000</f>
        <v>3.7300000000000007E-2</v>
      </c>
      <c r="BE30" s="1">
        <f>_xlfn.RANK.EQ(BD30,BD29:BD32)</f>
        <v>2</v>
      </c>
      <c r="BF30" s="1">
        <f>+COUNTIF(Tabla5252627[DIF],"&lt;="&amp;Tabla5252627[[#This Row],[DIF]])</f>
        <v>4</v>
      </c>
      <c r="BG30" s="1">
        <f>+COUNTIF(Tabla5252627[GF],"&lt;="&amp;Tabla5252627[[#This Row],[GF]])</f>
        <v>4</v>
      </c>
      <c r="BH30" s="1">
        <f>+COUNTIF(Tabla5252627['#],"&lt;="&amp;Tabla5252627[[#This Row],['#]])</f>
        <v>2</v>
      </c>
    </row>
    <row r="31" spans="2:60" x14ac:dyDescent="0.25">
      <c r="B31" s="50">
        <v>3</v>
      </c>
      <c r="C31" s="51" t="str">
        <f>INDEX(Tabla5252627[EQUIPO],MATCH(B31,BE29:BE32,0))</f>
        <v>DINAMARCA</v>
      </c>
      <c r="D31" s="52">
        <f>INDEX(Tabla5252627[PTS],MATCH(B31,BE29:BE32,0))</f>
        <v>0</v>
      </c>
      <c r="E31" s="53">
        <f>INDEX(Tabla5252627[PJ],MATCH(B31,BE29:BE32,0))</f>
        <v>0</v>
      </c>
      <c r="F31" s="53">
        <f>INDEX(Tabla5252627[PG],MATCH(B31,BE29:BE32,0))</f>
        <v>0</v>
      </c>
      <c r="G31" s="53">
        <f>INDEX(Tabla5252627[PE],MATCH(B31,BE29:BE32,0))</f>
        <v>0</v>
      </c>
      <c r="H31" s="53">
        <f>INDEX(Tabla5252627[PP],MATCH(B31,BE29:BE32,0))</f>
        <v>0</v>
      </c>
      <c r="I31" s="53">
        <f>INDEX(Tabla5252627[GF],MATCH(B31,BE29:BE32,0))</f>
        <v>0</v>
      </c>
      <c r="J31" s="53">
        <f>INDEX(Tabla5252627[GC],MATCH(B31,BE29:BE32,0))</f>
        <v>0</v>
      </c>
      <c r="K31" s="53">
        <f>INDEX(Tabla5252627[DIF],MATCH(B31,BE29:BE32,0))</f>
        <v>0</v>
      </c>
      <c r="M31" s="19" t="s">
        <v>20</v>
      </c>
      <c r="N31" s="20"/>
      <c r="O31" s="22"/>
      <c r="P31" s="20" t="s">
        <v>19</v>
      </c>
      <c r="Q31" s="20"/>
      <c r="R31" s="20"/>
      <c r="S31" s="22"/>
      <c r="U31" s="19" t="s">
        <v>20</v>
      </c>
      <c r="V31" s="20"/>
      <c r="W31" s="22"/>
      <c r="X31" s="20" t="s">
        <v>19</v>
      </c>
      <c r="Y31" s="20"/>
      <c r="Z31" s="20"/>
      <c r="AA31" s="22"/>
      <c r="AC31" s="19" t="s">
        <v>20</v>
      </c>
      <c r="AD31" s="20"/>
      <c r="AE31" s="22"/>
      <c r="AF31" s="20" t="s">
        <v>19</v>
      </c>
      <c r="AG31" s="20"/>
      <c r="AH31" s="20"/>
      <c r="AI31" s="22"/>
      <c r="AS31" s="60">
        <v>3</v>
      </c>
      <c r="AT31" s="62" t="s">
        <v>39</v>
      </c>
      <c r="AU31" s="63">
        <f>AW31*3+AX31</f>
        <v>0</v>
      </c>
      <c r="AV31" s="63">
        <f>AW31+AX31+AY31</f>
        <v>0</v>
      </c>
      <c r="AW31" s="63">
        <f>IF(O32&gt;Q32,1,0)+IF(Y30&gt;W30,1,0)+IF(AG32&gt;AE32,1,0)</f>
        <v>0</v>
      </c>
      <c r="AX31" s="63">
        <f>IF(O32=Q32,IF(ISBLANK(O32),0,1),0)+IF(Y30=W30,IF(ISBLANK(Y30),0,1),0)+IF(AG32=AE32,IF(ISBLANK(AG32),0,1),0)</f>
        <v>0</v>
      </c>
      <c r="AY31" s="63">
        <f>IF(O32&lt;Q32,1,0)+IF(Y30&lt;W30,1,0)+IF(AG32&lt;AE32,1,0)</f>
        <v>0</v>
      </c>
      <c r="AZ31" s="63">
        <f>O32+Y30+AG32</f>
        <v>0</v>
      </c>
      <c r="BA31" s="63">
        <f>Q32+W30+AE32</f>
        <v>0</v>
      </c>
      <c r="BB31" s="63">
        <f>AZ31-BA31</f>
        <v>0</v>
      </c>
      <c r="BD31" s="1">
        <f>+Tabla5252627[[#This Row],[PTS]]+ROW(BD29:BD32)/1000+COUNTIF(Tabla5252627[DIF],"&lt;="&amp;Tabla5252627[[#This Row],[DIF]])/1000+COUNTIF(Tabla5252627[GF],"&lt;="&amp;Tabla5252627[[#This Row],[GF]])/1000+COUNTIF(Tabla5252627['#],"&gt;="&amp;Tabla5252627[[#This Row],['#]])/10000</f>
        <v>3.7200000000000004E-2</v>
      </c>
      <c r="BE31" s="1">
        <f>_xlfn.RANK.EQ(BD31,BD29:BD32)</f>
        <v>3</v>
      </c>
      <c r="BF31" s="1">
        <f>+COUNTIF(Tabla5252627[DIF],"&lt;="&amp;Tabla5252627[[#This Row],[DIF]])</f>
        <v>4</v>
      </c>
      <c r="BG31" s="1">
        <f>+COUNTIF(Tabla5252627[GF],"&lt;="&amp;Tabla5252627[[#This Row],[GF]])</f>
        <v>4</v>
      </c>
      <c r="BH31" s="1">
        <f>+COUNTIF(Tabla5252627['#],"&lt;="&amp;Tabla5252627[[#This Row],['#]])</f>
        <v>3</v>
      </c>
    </row>
    <row r="32" spans="2:60" x14ac:dyDescent="0.25">
      <c r="B32" s="50">
        <v>4</v>
      </c>
      <c r="C32" s="51" t="str">
        <f>INDEX(Tabla5252627[EQUIPO],MATCH(B32,BE29:BE32,0))</f>
        <v>TÚNEZ</v>
      </c>
      <c r="D32" s="52">
        <f>INDEX(Tabla5252627[PTS],MATCH(B32,BE29:BE32,0))</f>
        <v>0</v>
      </c>
      <c r="E32" s="53">
        <f>INDEX(Tabla5252627[PJ],MATCH(B32,BE29:BE32,0))</f>
        <v>0</v>
      </c>
      <c r="F32" s="53">
        <f>INDEX(Tabla5252627[PG],MATCH(B32,BE29:BE32,0))</f>
        <v>0</v>
      </c>
      <c r="G32" s="53">
        <f>INDEX(Tabla5252627[PE],MATCH(B32,BE29:BE32,0))</f>
        <v>0</v>
      </c>
      <c r="H32" s="53">
        <f>INDEX(Tabla5252627[PP],MATCH(B32,BE29:BE32,0))</f>
        <v>0</v>
      </c>
      <c r="I32" s="53">
        <f>INDEX(Tabla5252627[GF],MATCH(B32,BE29:BE32,0))</f>
        <v>0</v>
      </c>
      <c r="J32" s="53">
        <f>INDEX(Tabla5252627[GC],MATCH(B32,BE29:BE32,0))</f>
        <v>0</v>
      </c>
      <c r="K32" s="53">
        <f>INDEX(Tabla5252627[DIF],MATCH(B32,BE29:BE32,0))</f>
        <v>0</v>
      </c>
      <c r="M32" s="27"/>
      <c r="N32" s="11" t="str">
        <f>AT31</f>
        <v>DINAMARCA</v>
      </c>
      <c r="O32" s="31"/>
      <c r="P32" s="32" t="s">
        <v>18</v>
      </c>
      <c r="Q32" s="33"/>
      <c r="R32" s="12" t="str">
        <f>Tabla5252627[[#This Row],[EQUIPO]]</f>
        <v>TÚNEZ</v>
      </c>
      <c r="S32" s="18"/>
      <c r="U32" s="27"/>
      <c r="V32" s="11" t="str">
        <f>AT30</f>
        <v>PER/EAU/AUS</v>
      </c>
      <c r="W32" s="31"/>
      <c r="X32" s="32" t="s">
        <v>18</v>
      </c>
      <c r="Y32" s="33"/>
      <c r="Z32" s="12" t="str">
        <f>Tabla5252627[[#This Row],[EQUIPO]]</f>
        <v>TÚNEZ</v>
      </c>
      <c r="AA32" s="18"/>
      <c r="AC32" s="27"/>
      <c r="AD32" s="11" t="str">
        <f>AT30</f>
        <v>PER/EAU/AUS</v>
      </c>
      <c r="AE32" s="31"/>
      <c r="AF32" s="32" t="s">
        <v>18</v>
      </c>
      <c r="AG32" s="33"/>
      <c r="AH32" s="12" t="str">
        <f>AT31</f>
        <v>DINAMARCA</v>
      </c>
      <c r="AI32" s="18"/>
      <c r="AS32" s="60">
        <v>4</v>
      </c>
      <c r="AT32" s="62" t="s">
        <v>40</v>
      </c>
      <c r="AU32" s="63">
        <f>AW32*3+AX32</f>
        <v>0</v>
      </c>
      <c r="AV32" s="63">
        <f>AW32+AX32+AY32</f>
        <v>0</v>
      </c>
      <c r="AW32" s="63">
        <f>IF(Q32&gt;O32,1,0)+IF(Y32&gt;W32,1,0)+IF(AG30&gt;AE30,1,0)</f>
        <v>0</v>
      </c>
      <c r="AX32" s="63">
        <f>IF(Q32=O32,IF(ISBLANK(Q32),0,1),0)+IF(Y32=W32,IF(ISBLANK(Y32),0,1),0)+IF(AG30=AE30,IF(ISBLANK(AG30),0,1),0)</f>
        <v>0</v>
      </c>
      <c r="AY32" s="63">
        <f>IF(Q32&lt;O32,1,0)+IF(Y32&lt;W32,1,0)+IF(AG30&lt;AE30,1,0)</f>
        <v>0</v>
      </c>
      <c r="AZ32" s="63">
        <f>Q32+Y32+AG30</f>
        <v>0</v>
      </c>
      <c r="BA32" s="63">
        <f>O32+W32+AE30</f>
        <v>0</v>
      </c>
      <c r="BB32" s="63">
        <f>AZ32-BA32</f>
        <v>0</v>
      </c>
      <c r="BD32" s="1">
        <f>+Tabla5252627[[#This Row],[PTS]]+ROW(BD29:BD32)/1000+COUNTIF(Tabla5252627[DIF],"&lt;="&amp;Tabla5252627[[#This Row],[DIF]])/1000+COUNTIF(Tabla5252627[GF],"&lt;="&amp;Tabla5252627[[#This Row],[GF]])/1000+COUNTIF(Tabla5252627['#],"&gt;="&amp;Tabla5252627[[#This Row],['#]])/10000</f>
        <v>3.7100000000000008E-2</v>
      </c>
      <c r="BE32" s="1">
        <f>_xlfn.RANK.EQ(BD32,BD29:BD32)</f>
        <v>4</v>
      </c>
      <c r="BF32" s="1">
        <f>+COUNTIF(Tabla5252627[DIF],"&lt;="&amp;Tabla5252627[[#This Row],[DIF]])</f>
        <v>4</v>
      </c>
      <c r="BG32" s="1">
        <f>+COUNTIF(Tabla5252627[GF],"&lt;="&amp;Tabla5252627[[#This Row],[GF]])</f>
        <v>4</v>
      </c>
      <c r="BH32" s="1">
        <f>+COUNTIF(Tabla5252627['#],"&lt;="&amp;Tabla5252627[[#This Row],['#]])</f>
        <v>4</v>
      </c>
    </row>
    <row r="33" spans="2:60" x14ac:dyDescent="0.25">
      <c r="AS33" s="61"/>
      <c r="AT33" s="61"/>
      <c r="AU33" s="61"/>
      <c r="AV33" s="61"/>
      <c r="AW33" s="61"/>
      <c r="AX33" s="61"/>
      <c r="AY33" s="61"/>
      <c r="AZ33" s="61"/>
      <c r="BA33" s="61"/>
      <c r="BB33" s="61"/>
    </row>
    <row r="34" spans="2:60" x14ac:dyDescent="0.25">
      <c r="B34" s="6" t="s">
        <v>26</v>
      </c>
      <c r="C34" s="7"/>
      <c r="D34" s="7"/>
      <c r="E34" s="7"/>
      <c r="F34" s="7"/>
      <c r="G34" s="7"/>
      <c r="H34" s="7"/>
      <c r="I34" s="7"/>
      <c r="J34" s="7"/>
      <c r="K34" s="8"/>
      <c r="M34" s="6" t="s">
        <v>17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8"/>
      <c r="AS34" s="61" t="s">
        <v>26</v>
      </c>
      <c r="AT34" s="61"/>
      <c r="AU34" s="61"/>
      <c r="AV34" s="61"/>
      <c r="AW34" s="61"/>
      <c r="AX34" s="61"/>
      <c r="AY34" s="61"/>
      <c r="AZ34" s="61"/>
      <c r="BA34" s="61"/>
      <c r="BB34" s="61"/>
    </row>
    <row r="35" spans="2:60" x14ac:dyDescent="0.25">
      <c r="B35" s="44" t="s">
        <v>3</v>
      </c>
      <c r="C35" s="45" t="s">
        <v>2</v>
      </c>
      <c r="D35" s="45" t="s">
        <v>4</v>
      </c>
      <c r="E35" s="45" t="s">
        <v>5</v>
      </c>
      <c r="F35" s="45" t="s">
        <v>6</v>
      </c>
      <c r="G35" s="45" t="s">
        <v>7</v>
      </c>
      <c r="H35" s="45" t="s">
        <v>8</v>
      </c>
      <c r="I35" s="45" t="s">
        <v>9</v>
      </c>
      <c r="J35" s="45" t="s">
        <v>10</v>
      </c>
      <c r="K35" s="45" t="s">
        <v>11</v>
      </c>
      <c r="L35" s="5"/>
      <c r="M35" s="13" t="s">
        <v>16</v>
      </c>
      <c r="N35" s="14"/>
      <c r="O35" s="14"/>
      <c r="P35" s="14"/>
      <c r="Q35" s="14"/>
      <c r="R35" s="14"/>
      <c r="S35" s="15"/>
      <c r="T35" s="5"/>
      <c r="U35" s="13" t="s">
        <v>21</v>
      </c>
      <c r="V35" s="14"/>
      <c r="W35" s="14"/>
      <c r="X35" s="14"/>
      <c r="Y35" s="14"/>
      <c r="Z35" s="14"/>
      <c r="AA35" s="15"/>
      <c r="AB35" s="5"/>
      <c r="AC35" s="13" t="s">
        <v>22</v>
      </c>
      <c r="AD35" s="14"/>
      <c r="AE35" s="14"/>
      <c r="AF35" s="14"/>
      <c r="AG35" s="14"/>
      <c r="AH35" s="14"/>
      <c r="AI35" s="15"/>
      <c r="AS35" s="60" t="s">
        <v>3</v>
      </c>
      <c r="AT35" s="60" t="s">
        <v>2</v>
      </c>
      <c r="AU35" s="60" t="s">
        <v>4</v>
      </c>
      <c r="AV35" s="60" t="s">
        <v>5</v>
      </c>
      <c r="AW35" s="60" t="s">
        <v>6</v>
      </c>
      <c r="AX35" s="60" t="s">
        <v>7</v>
      </c>
      <c r="AY35" s="60" t="s">
        <v>8</v>
      </c>
      <c r="AZ35" s="60" t="s">
        <v>9</v>
      </c>
      <c r="BA35" s="60" t="s">
        <v>10</v>
      </c>
      <c r="BB35" s="60" t="s">
        <v>11</v>
      </c>
    </row>
    <row r="36" spans="2:60" x14ac:dyDescent="0.25">
      <c r="B36" s="46">
        <v>1</v>
      </c>
      <c r="C36" s="47" t="str">
        <f>INDEX(Tabla5252628[EQUIPO],MATCH(B36,BE36:BE39,0))</f>
        <v>ESPAÑA</v>
      </c>
      <c r="D36" s="48">
        <f>INDEX(Tabla5252628[PTS],MATCH(B36,BE36:BE39,0))</f>
        <v>0</v>
      </c>
      <c r="E36" s="49">
        <f>INDEX(Tabla5252628[PJ],MATCH(B36,BE36:BE39,0))</f>
        <v>0</v>
      </c>
      <c r="F36" s="49">
        <f>INDEX(Tabla5252628[PG],MATCH(B36,BE36:BE39,0))</f>
        <v>0</v>
      </c>
      <c r="G36" s="49">
        <f>INDEX(Tabla5252628[PE],MATCH(B36,BE36:BE39,0))</f>
        <v>0</v>
      </c>
      <c r="H36" s="49">
        <f>INDEX(Tabla5252628[PP],MATCH(B36,BE36:BE39,0))</f>
        <v>0</v>
      </c>
      <c r="I36" s="49">
        <f>INDEX(Tabla5252628[GF],MATCH(B36,BE36:BE39,0))</f>
        <v>0</v>
      </c>
      <c r="J36" s="49">
        <f>INDEX(Tabla5252628[GC],MATCH(B36,BE36:BE39,0))</f>
        <v>0</v>
      </c>
      <c r="K36" s="49">
        <f>INDEX(Tabla5252628[DIF],MATCH(B36,BE36:BE39,0))</f>
        <v>0</v>
      </c>
      <c r="M36" s="16" t="s">
        <v>20</v>
      </c>
      <c r="N36" s="17"/>
      <c r="O36" s="21"/>
      <c r="P36" s="17" t="s">
        <v>19</v>
      </c>
      <c r="Q36" s="17"/>
      <c r="R36" s="17"/>
      <c r="S36" s="21"/>
      <c r="U36" s="16" t="s">
        <v>20</v>
      </c>
      <c r="V36" s="17"/>
      <c r="W36" s="21"/>
      <c r="X36" s="17" t="s">
        <v>19</v>
      </c>
      <c r="Y36" s="17"/>
      <c r="Z36" s="17"/>
      <c r="AA36" s="21"/>
      <c r="AC36" s="16" t="s">
        <v>20</v>
      </c>
      <c r="AD36" s="17"/>
      <c r="AE36" s="21"/>
      <c r="AF36" s="17" t="s">
        <v>19</v>
      </c>
      <c r="AG36" s="17"/>
      <c r="AH36" s="17"/>
      <c r="AI36" s="21"/>
      <c r="AS36" s="60">
        <v>1</v>
      </c>
      <c r="AT36" s="62" t="s">
        <v>42</v>
      </c>
      <c r="AU36" s="63">
        <f>AW36*3+AX36</f>
        <v>0</v>
      </c>
      <c r="AV36" s="63">
        <f>AW36+AX36+AY36</f>
        <v>0</v>
      </c>
      <c r="AW36" s="63">
        <f>IF(O37&gt;Q37,1,0)+IF(W37&gt;Y37,1,0)+IF(AE37&gt;AG37,1,0)</f>
        <v>0</v>
      </c>
      <c r="AX36" s="63">
        <f>IF(O37=Q37,IF(ISBLANK(O37),0,1),0)+IF(W37=Y37,IF(ISBLANK(W37),0,1),0)+IF(AE37=AG37,IF(ISBLANK(AE37),0,1),0)</f>
        <v>0</v>
      </c>
      <c r="AY36" s="63">
        <f>IF(O37&lt;Q37,1,0)+IF(W37&lt;Y37,1,0)+IF(AE37&lt;AG37,1,0)</f>
        <v>0</v>
      </c>
      <c r="AZ36" s="63">
        <f>O37+W37+AE37</f>
        <v>0</v>
      </c>
      <c r="BA36" s="63">
        <f>Q37+Y37+AG37</f>
        <v>0</v>
      </c>
      <c r="BB36" s="63">
        <f>AZ36-BA36</f>
        <v>0</v>
      </c>
      <c r="BD36" s="1">
        <f>+Tabla5252628[[#This Row],[PTS]]+ROW(BD36:BD39)/1000+COUNTIF(Tabla5252628[DIF],"&lt;="&amp;Tabla5252628[[#This Row],[DIF]])/1000+COUNTIF(Tabla5252628[GF],"&lt;="&amp;Tabla5252628[[#This Row],[GF]])/1000+COUNTIF(Tabla5252628['#],"&gt;="&amp;Tabla5252628[[#This Row],['#]])/10000</f>
        <v>4.4399999999999995E-2</v>
      </c>
      <c r="BE36" s="1">
        <f>_xlfn.RANK.EQ(BD36,BD36:BD39)</f>
        <v>1</v>
      </c>
      <c r="BF36" s="1">
        <f>+COUNTIF(Tabla5252628[DIF],"&lt;="&amp;Tabla5252628[[#This Row],[DIF]])</f>
        <v>4</v>
      </c>
      <c r="BG36" s="1">
        <f>+COUNTIF(Tabla5252628[GF],"&lt;="&amp;Tabla5252628[[#This Row],[GF]])</f>
        <v>4</v>
      </c>
      <c r="BH36" s="1">
        <f>+COUNTIF(Tabla5252628['#],"&lt;="&amp;Tabla5252628[[#This Row],['#]])</f>
        <v>1</v>
      </c>
    </row>
    <row r="37" spans="2:60" x14ac:dyDescent="0.25">
      <c r="B37" s="46">
        <v>2</v>
      </c>
      <c r="C37" s="47" t="str">
        <f>INDEX(Tabla5252628[EQUIPO],MATCH(B37,BE36:BE39,0))</f>
        <v>COSTA RICA / N. ZEL</v>
      </c>
      <c r="D37" s="48">
        <f>INDEX(Tabla5252628[PTS],MATCH(B37,BE36:BE39,0))</f>
        <v>0</v>
      </c>
      <c r="E37" s="49">
        <f>INDEX(Tabla5252628[PJ],MATCH(B37,BE36:BE39,0))</f>
        <v>0</v>
      </c>
      <c r="F37" s="49">
        <f>INDEX(Tabla5252628[PG],MATCH(B37,BE36:BE39,0))</f>
        <v>0</v>
      </c>
      <c r="G37" s="49">
        <f>INDEX(Tabla5252628[PE],MATCH(B37,BE36:BE39,0))</f>
        <v>0</v>
      </c>
      <c r="H37" s="49">
        <f>INDEX(Tabla5252628[PP],MATCH(B37,BE36:BE39,0))</f>
        <v>0</v>
      </c>
      <c r="I37" s="49">
        <f>INDEX(Tabla5252628[GF],MATCH(B37,BE36:BE39,0))</f>
        <v>0</v>
      </c>
      <c r="J37" s="49">
        <f>INDEX(Tabla5252628[GC],MATCH(B37,BE36:BE39,0))</f>
        <v>0</v>
      </c>
      <c r="K37" s="49">
        <f>INDEX(Tabla5252628[DIF],MATCH(B37,BE36:BE39,0))</f>
        <v>0</v>
      </c>
      <c r="M37" s="26"/>
      <c r="N37" s="24" t="str">
        <f>AT36</f>
        <v>ESPAÑA</v>
      </c>
      <c r="O37" s="28"/>
      <c r="P37" s="29" t="s">
        <v>18</v>
      </c>
      <c r="Q37" s="30"/>
      <c r="R37" s="25" t="str">
        <f>Tabla5252628[[#This Row],[EQUIPO]]</f>
        <v>COSTA RICA / N. ZEL</v>
      </c>
      <c r="S37" s="23"/>
      <c r="U37" s="26"/>
      <c r="V37" s="24" t="str">
        <f>AT36</f>
        <v>ESPAÑA</v>
      </c>
      <c r="W37" s="28"/>
      <c r="X37" s="29" t="s">
        <v>18</v>
      </c>
      <c r="Y37" s="30"/>
      <c r="Z37" s="25" t="str">
        <f>AT38</f>
        <v>ALEMANIA</v>
      </c>
      <c r="AA37" s="23"/>
      <c r="AC37" s="26"/>
      <c r="AD37" s="24" t="str">
        <f>AT36</f>
        <v>ESPAÑA</v>
      </c>
      <c r="AE37" s="28"/>
      <c r="AF37" s="29" t="s">
        <v>18</v>
      </c>
      <c r="AG37" s="30"/>
      <c r="AH37" s="25" t="str">
        <f>AT39</f>
        <v>JAPÓN</v>
      </c>
      <c r="AI37" s="23"/>
      <c r="AS37" s="60">
        <v>2</v>
      </c>
      <c r="AT37" s="62" t="s">
        <v>43</v>
      </c>
      <c r="AU37" s="63">
        <f>AW37*3+AX37</f>
        <v>0</v>
      </c>
      <c r="AV37" s="63">
        <f>AW37+AX37+AY37</f>
        <v>0</v>
      </c>
      <c r="AW37" s="63">
        <f>IF(Q37&gt;O37,1,0)+IF(W39&gt;Y39,1,0)+IF(AE39&gt;AG39,1,0)</f>
        <v>0</v>
      </c>
      <c r="AX37" s="63">
        <f>IF(Q37=O37,IF(ISBLANK(Q37),0,1),0)+IF(W39=Y39,IF(ISBLANK(W39),0,1),0)+IF(AE39=AG39,IF(ISBLANK(AE39),0,1),0)</f>
        <v>0</v>
      </c>
      <c r="AY37" s="63">
        <f>IF(Q37&lt;O37,1,0)+IF(W39&lt;Y39,1,0)+IF(AE39&lt;AG39,1,0)</f>
        <v>0</v>
      </c>
      <c r="AZ37" s="63">
        <f>Q37+W39+AE39</f>
        <v>0</v>
      </c>
      <c r="BA37" s="63">
        <f>O37+Y39+AG39</f>
        <v>0</v>
      </c>
      <c r="BB37" s="63">
        <f>AZ37-BA37</f>
        <v>0</v>
      </c>
      <c r="BD37" s="1">
        <f>+Tabla5252628[[#This Row],[PTS]]+ROW(BD36:BD39)/1000+COUNTIF(Tabla5252628[DIF],"&lt;="&amp;Tabla5252628[[#This Row],[DIF]])/1000+COUNTIF(Tabla5252628[GF],"&lt;="&amp;Tabla5252628[[#This Row],[GF]])/1000+COUNTIF(Tabla5252628['#],"&gt;="&amp;Tabla5252628[[#This Row],['#]])/10000</f>
        <v>4.4299999999999999E-2</v>
      </c>
      <c r="BE37" s="1">
        <f>_xlfn.RANK.EQ(BD37,BD36:BD39)</f>
        <v>2</v>
      </c>
      <c r="BF37" s="1">
        <f>+COUNTIF(Tabla5252628[DIF],"&lt;="&amp;Tabla5252628[[#This Row],[DIF]])</f>
        <v>4</v>
      </c>
      <c r="BG37" s="1">
        <f>+COUNTIF(Tabla5252628[GF],"&lt;="&amp;Tabla5252628[[#This Row],[GF]])</f>
        <v>4</v>
      </c>
      <c r="BH37" s="1">
        <f>+COUNTIF(Tabla5252628['#],"&lt;="&amp;Tabla5252628[[#This Row],['#]])</f>
        <v>2</v>
      </c>
    </row>
    <row r="38" spans="2:60" x14ac:dyDescent="0.25">
      <c r="B38" s="50">
        <v>3</v>
      </c>
      <c r="C38" s="51" t="str">
        <f>INDEX(Tabla5252628[EQUIPO],MATCH(B38,BE36:BE39,0))</f>
        <v>ALEMANIA</v>
      </c>
      <c r="D38" s="52">
        <f>INDEX(Tabla5252628[PTS],MATCH(B38,BE36:BE39,0))</f>
        <v>0</v>
      </c>
      <c r="E38" s="53">
        <f>INDEX(Tabla5252628[PJ],MATCH(B38,BE36:BE39,0))</f>
        <v>0</v>
      </c>
      <c r="F38" s="53">
        <f>INDEX(Tabla5252628[PG],MATCH(B38,BE36:BE39,0))</f>
        <v>0</v>
      </c>
      <c r="G38" s="53">
        <f>INDEX(Tabla5252628[PE],MATCH(B38,BE36:BE39,0))</f>
        <v>0</v>
      </c>
      <c r="H38" s="53">
        <f>INDEX(Tabla5252628[PP],MATCH(B38,BE36:BE39,0))</f>
        <v>0</v>
      </c>
      <c r="I38" s="53">
        <f>INDEX(Tabla5252628[GF],MATCH(B38,BE36:BE39,0))</f>
        <v>0</v>
      </c>
      <c r="J38" s="53">
        <f>INDEX(Tabla5252628[GC],MATCH(B38,BE36:BE39,0))</f>
        <v>0</v>
      </c>
      <c r="K38" s="53">
        <f>INDEX(Tabla5252628[DIF],MATCH(B38,BE36:BE39,0))</f>
        <v>0</v>
      </c>
      <c r="M38" s="19" t="s">
        <v>20</v>
      </c>
      <c r="N38" s="20"/>
      <c r="O38" s="22"/>
      <c r="P38" s="20" t="s">
        <v>19</v>
      </c>
      <c r="Q38" s="20"/>
      <c r="R38" s="20"/>
      <c r="S38" s="22"/>
      <c r="U38" s="19" t="s">
        <v>20</v>
      </c>
      <c r="V38" s="20"/>
      <c r="W38" s="22"/>
      <c r="X38" s="20" t="s">
        <v>19</v>
      </c>
      <c r="Y38" s="20"/>
      <c r="Z38" s="20"/>
      <c r="AA38" s="22"/>
      <c r="AC38" s="19" t="s">
        <v>20</v>
      </c>
      <c r="AD38" s="20"/>
      <c r="AE38" s="22"/>
      <c r="AF38" s="20" t="s">
        <v>19</v>
      </c>
      <c r="AG38" s="20"/>
      <c r="AH38" s="20"/>
      <c r="AI38" s="22"/>
      <c r="AS38" s="60">
        <v>3</v>
      </c>
      <c r="AT38" s="62" t="s">
        <v>44</v>
      </c>
      <c r="AU38" s="63">
        <f>AW38*3+AX38</f>
        <v>0</v>
      </c>
      <c r="AV38" s="63">
        <f>AW38+AX38+AY38</f>
        <v>0</v>
      </c>
      <c r="AW38" s="63">
        <f>IF(O39&gt;Q39,1,0)+IF(Y37&gt;W37,1,0)+IF(AG39&gt;AE39,1,0)</f>
        <v>0</v>
      </c>
      <c r="AX38" s="63">
        <f>IF(O39=Q39,IF(ISBLANK(O39),0,1),0)+IF(Y37=W37,IF(ISBLANK(Y37),0,1),0)+IF(AG39=AE39,IF(ISBLANK(AG39),0,1),0)</f>
        <v>0</v>
      </c>
      <c r="AY38" s="63">
        <f>IF(O39&lt;Q39,1,0)+IF(Y37&lt;W37,1,0)+IF(AG39&lt;AE39,1,0)</f>
        <v>0</v>
      </c>
      <c r="AZ38" s="63">
        <f>O39+Y37+AG39</f>
        <v>0</v>
      </c>
      <c r="BA38" s="63">
        <f>Q39+W37+AE39</f>
        <v>0</v>
      </c>
      <c r="BB38" s="63">
        <f>AZ38-BA38</f>
        <v>0</v>
      </c>
      <c r="BD38" s="1">
        <f>+Tabla5252628[[#This Row],[PTS]]+ROW(BD36:BD39)/1000+COUNTIF(Tabla5252628[DIF],"&lt;="&amp;Tabla5252628[[#This Row],[DIF]])/1000+COUNTIF(Tabla5252628[GF],"&lt;="&amp;Tabla5252628[[#This Row],[GF]])/1000+COUNTIF(Tabla5252628['#],"&gt;="&amp;Tabla5252628[[#This Row],['#]])/10000</f>
        <v>4.4199999999999996E-2</v>
      </c>
      <c r="BE38" s="1">
        <f>_xlfn.RANK.EQ(BD38,BD36:BD39)</f>
        <v>3</v>
      </c>
      <c r="BF38" s="1">
        <f>+COUNTIF(Tabla5252628[DIF],"&lt;="&amp;Tabla5252628[[#This Row],[DIF]])</f>
        <v>4</v>
      </c>
      <c r="BG38" s="1">
        <f>+COUNTIF(Tabla5252628[GF],"&lt;="&amp;Tabla5252628[[#This Row],[GF]])</f>
        <v>4</v>
      </c>
      <c r="BH38" s="1">
        <f>+COUNTIF(Tabla5252628['#],"&lt;="&amp;Tabla5252628[[#This Row],['#]])</f>
        <v>3</v>
      </c>
    </row>
    <row r="39" spans="2:60" x14ac:dyDescent="0.25">
      <c r="B39" s="50">
        <v>4</v>
      </c>
      <c r="C39" s="51" t="str">
        <f>INDEX(Tabla5252628[EQUIPO],MATCH(B39,BE36:BE39,0))</f>
        <v>JAPÓN</v>
      </c>
      <c r="D39" s="52">
        <f>INDEX(Tabla5252628[PTS],MATCH(B39,BE36:BE39,0))</f>
        <v>0</v>
      </c>
      <c r="E39" s="53">
        <f>INDEX(Tabla5252628[PJ],MATCH(B39,BE36:BE39,0))</f>
        <v>0</v>
      </c>
      <c r="F39" s="53">
        <f>INDEX(Tabla5252628[PG],MATCH(B39,BE36:BE39,0))</f>
        <v>0</v>
      </c>
      <c r="G39" s="53">
        <f>INDEX(Tabla5252628[PE],MATCH(B39,BE36:BE39,0))</f>
        <v>0</v>
      </c>
      <c r="H39" s="53">
        <f>INDEX(Tabla5252628[PP],MATCH(B39,BE36:BE39,0))</f>
        <v>0</v>
      </c>
      <c r="I39" s="53">
        <f>INDEX(Tabla5252628[GF],MATCH(B39,BE36:BE39,0))</f>
        <v>0</v>
      </c>
      <c r="J39" s="53">
        <f>INDEX(Tabla5252628[GC],MATCH(B39,BE36:BE39,0))</f>
        <v>0</v>
      </c>
      <c r="K39" s="53">
        <f>INDEX(Tabla5252628[DIF],MATCH(B39,BE36:BE39,0))</f>
        <v>0</v>
      </c>
      <c r="M39" s="27"/>
      <c r="N39" s="11" t="str">
        <f>AT38</f>
        <v>ALEMANIA</v>
      </c>
      <c r="O39" s="31"/>
      <c r="P39" s="32" t="s">
        <v>18</v>
      </c>
      <c r="Q39" s="33"/>
      <c r="R39" s="12" t="str">
        <f>Tabla5252628[[#This Row],[EQUIPO]]</f>
        <v>JAPÓN</v>
      </c>
      <c r="S39" s="18"/>
      <c r="U39" s="27"/>
      <c r="V39" s="11" t="str">
        <f>AT37</f>
        <v>COSTA RICA / N. ZEL</v>
      </c>
      <c r="W39" s="31"/>
      <c r="X39" s="32" t="s">
        <v>18</v>
      </c>
      <c r="Y39" s="33"/>
      <c r="Z39" s="12" t="str">
        <f>Tabla5252628[[#This Row],[EQUIPO]]</f>
        <v>JAPÓN</v>
      </c>
      <c r="AA39" s="18"/>
      <c r="AC39" s="27"/>
      <c r="AD39" s="11" t="str">
        <f>AT37</f>
        <v>COSTA RICA / N. ZEL</v>
      </c>
      <c r="AE39" s="31"/>
      <c r="AF39" s="32" t="s">
        <v>18</v>
      </c>
      <c r="AG39" s="33"/>
      <c r="AH39" s="12" t="str">
        <f>AT38</f>
        <v>ALEMANIA</v>
      </c>
      <c r="AI39" s="18"/>
      <c r="AS39" s="60">
        <v>4</v>
      </c>
      <c r="AT39" s="62" t="s">
        <v>45</v>
      </c>
      <c r="AU39" s="63">
        <f>AW39*3+AX39</f>
        <v>0</v>
      </c>
      <c r="AV39" s="63">
        <f>AW39+AX39+AY39</f>
        <v>0</v>
      </c>
      <c r="AW39" s="63">
        <f>IF(Q39&gt;O39,1,0)+IF(Y39&gt;W39,1,0)+IF(AG37&gt;AE37,1,0)</f>
        <v>0</v>
      </c>
      <c r="AX39" s="63">
        <f>IF(Q39=O39,IF(ISBLANK(Q39),0,1),0)+IF(Y39=W39,IF(ISBLANK(Y39),0,1),0)+IF(AG37=AE37,IF(ISBLANK(AG37),0,1),0)</f>
        <v>0</v>
      </c>
      <c r="AY39" s="63">
        <f>IF(Q39&lt;O39,1,0)+IF(Y39&lt;W39,1,0)+IF(AG37&lt;AE37,1,0)</f>
        <v>0</v>
      </c>
      <c r="AZ39" s="63">
        <f>Q39+Y39+AG37</f>
        <v>0</v>
      </c>
      <c r="BA39" s="63">
        <f>O39+W39+AE37</f>
        <v>0</v>
      </c>
      <c r="BB39" s="63">
        <f>AZ39-BA39</f>
        <v>0</v>
      </c>
      <c r="BD39" s="1">
        <f>+Tabla5252628[[#This Row],[PTS]]+ROW(BD36:BD39)/1000+COUNTIF(Tabla5252628[DIF],"&lt;="&amp;Tabla5252628[[#This Row],[DIF]])/1000+COUNTIF(Tabla5252628[GF],"&lt;="&amp;Tabla5252628[[#This Row],[GF]])/1000+COUNTIF(Tabla5252628['#],"&gt;="&amp;Tabla5252628[[#This Row],['#]])/10000</f>
        <v>4.41E-2</v>
      </c>
      <c r="BE39" s="1">
        <f>_xlfn.RANK.EQ(BD39,BD36:BD39)</f>
        <v>4</v>
      </c>
      <c r="BF39" s="1">
        <f>+COUNTIF(Tabla5252628[DIF],"&lt;="&amp;Tabla5252628[[#This Row],[DIF]])</f>
        <v>4</v>
      </c>
      <c r="BG39" s="1">
        <f>+COUNTIF(Tabla5252628[GF],"&lt;="&amp;Tabla5252628[[#This Row],[GF]])</f>
        <v>4</v>
      </c>
      <c r="BH39" s="1">
        <f>+COUNTIF(Tabla5252628['#],"&lt;="&amp;Tabla5252628[[#This Row],['#]])</f>
        <v>4</v>
      </c>
    </row>
    <row r="40" spans="2:60" x14ac:dyDescent="0.25">
      <c r="AS40" s="61"/>
      <c r="AT40" s="61"/>
      <c r="AU40" s="61"/>
      <c r="AV40" s="61"/>
      <c r="AW40" s="61"/>
      <c r="AX40" s="61"/>
      <c r="AY40" s="61"/>
      <c r="AZ40" s="61"/>
      <c r="BA40" s="61"/>
      <c r="BB40" s="61"/>
    </row>
    <row r="41" spans="2:60" x14ac:dyDescent="0.25">
      <c r="B41" s="6" t="s">
        <v>29</v>
      </c>
      <c r="C41" s="7"/>
      <c r="D41" s="7"/>
      <c r="E41" s="7"/>
      <c r="F41" s="7"/>
      <c r="G41" s="7"/>
      <c r="H41" s="7"/>
      <c r="I41" s="7"/>
      <c r="J41" s="7"/>
      <c r="K41" s="8"/>
      <c r="M41" s="6" t="s">
        <v>17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8"/>
      <c r="AS41" s="61" t="s">
        <v>29</v>
      </c>
      <c r="AT41" s="61"/>
      <c r="AU41" s="61"/>
      <c r="AV41" s="61"/>
      <c r="AW41" s="61"/>
      <c r="AX41" s="61"/>
      <c r="AY41" s="61"/>
      <c r="AZ41" s="61"/>
      <c r="BA41" s="61"/>
      <c r="BB41" s="61"/>
    </row>
    <row r="42" spans="2:60" x14ac:dyDescent="0.25">
      <c r="B42" s="44" t="s">
        <v>3</v>
      </c>
      <c r="C42" s="45" t="s">
        <v>2</v>
      </c>
      <c r="D42" s="45" t="s">
        <v>4</v>
      </c>
      <c r="E42" s="45" t="s">
        <v>5</v>
      </c>
      <c r="F42" s="45" t="s">
        <v>6</v>
      </c>
      <c r="G42" s="45" t="s">
        <v>7</v>
      </c>
      <c r="H42" s="45" t="s">
        <v>8</v>
      </c>
      <c r="I42" s="45" t="s">
        <v>9</v>
      </c>
      <c r="J42" s="45" t="s">
        <v>10</v>
      </c>
      <c r="K42" s="45" t="s">
        <v>11</v>
      </c>
      <c r="L42" s="5"/>
      <c r="M42" s="13" t="s">
        <v>16</v>
      </c>
      <c r="N42" s="14"/>
      <c r="O42" s="14"/>
      <c r="P42" s="14"/>
      <c r="Q42" s="14"/>
      <c r="R42" s="14"/>
      <c r="S42" s="15"/>
      <c r="T42" s="5"/>
      <c r="U42" s="13" t="s">
        <v>21</v>
      </c>
      <c r="V42" s="14"/>
      <c r="W42" s="14"/>
      <c r="X42" s="14"/>
      <c r="Y42" s="14"/>
      <c r="Z42" s="14"/>
      <c r="AA42" s="15"/>
      <c r="AB42" s="5"/>
      <c r="AC42" s="13" t="s">
        <v>22</v>
      </c>
      <c r="AD42" s="14"/>
      <c r="AE42" s="14"/>
      <c r="AF42" s="14"/>
      <c r="AG42" s="14"/>
      <c r="AH42" s="14"/>
      <c r="AI42" s="15"/>
      <c r="AS42" s="60" t="s">
        <v>3</v>
      </c>
      <c r="AT42" s="60" t="s">
        <v>2</v>
      </c>
      <c r="AU42" s="60" t="s">
        <v>4</v>
      </c>
      <c r="AV42" s="60" t="s">
        <v>5</v>
      </c>
      <c r="AW42" s="60" t="s">
        <v>6</v>
      </c>
      <c r="AX42" s="60" t="s">
        <v>7</v>
      </c>
      <c r="AY42" s="60" t="s">
        <v>8</v>
      </c>
      <c r="AZ42" s="60" t="s">
        <v>9</v>
      </c>
      <c r="BA42" s="60" t="s">
        <v>10</v>
      </c>
      <c r="BB42" s="60" t="s">
        <v>11</v>
      </c>
    </row>
    <row r="43" spans="2:60" x14ac:dyDescent="0.25">
      <c r="B43" s="46">
        <v>1</v>
      </c>
      <c r="C43" s="47" t="str">
        <f>INDEX(Tabla5252629[EQUIPO],MATCH(B43,BE43:BE46,0))</f>
        <v>BÉLGICA</v>
      </c>
      <c r="D43" s="48">
        <f>INDEX(Tabla5252629[PTS],MATCH(B43,BE43:BE46,0))</f>
        <v>0</v>
      </c>
      <c r="E43" s="49">
        <f>INDEX(Tabla5252629[PJ],MATCH(B43,BE43:BE46,0))</f>
        <v>0</v>
      </c>
      <c r="F43" s="49">
        <f>INDEX(Tabla5252629[PG],MATCH(B43,BE43:BE46,0))</f>
        <v>0</v>
      </c>
      <c r="G43" s="49">
        <f>INDEX(Tabla5252629[PE],MATCH(B43,BE43:BE46,0))</f>
        <v>0</v>
      </c>
      <c r="H43" s="49">
        <f>INDEX(Tabla5252629[PP],MATCH(B43,BE43:BE46,0))</f>
        <v>0</v>
      </c>
      <c r="I43" s="49">
        <f>INDEX(Tabla5252629[GF],MATCH(B43,BE43:BE46,0))</f>
        <v>0</v>
      </c>
      <c r="J43" s="49">
        <f>INDEX(Tabla5252629[GC],MATCH(B43,BE43:BE46,0))</f>
        <v>0</v>
      </c>
      <c r="K43" s="49">
        <f>INDEX(Tabla5252629[DIF],MATCH(B43,BE43:BE46,0))</f>
        <v>0</v>
      </c>
      <c r="M43" s="16" t="s">
        <v>20</v>
      </c>
      <c r="N43" s="17"/>
      <c r="O43" s="21"/>
      <c r="P43" s="17" t="s">
        <v>19</v>
      </c>
      <c r="Q43" s="17"/>
      <c r="R43" s="17"/>
      <c r="S43" s="21"/>
      <c r="U43" s="16" t="s">
        <v>20</v>
      </c>
      <c r="V43" s="17"/>
      <c r="W43" s="21"/>
      <c r="X43" s="17" t="s">
        <v>19</v>
      </c>
      <c r="Y43" s="17"/>
      <c r="Z43" s="17"/>
      <c r="AA43" s="21"/>
      <c r="AC43" s="16" t="s">
        <v>20</v>
      </c>
      <c r="AD43" s="17"/>
      <c r="AE43" s="21"/>
      <c r="AF43" s="17" t="s">
        <v>19</v>
      </c>
      <c r="AG43" s="17"/>
      <c r="AH43" s="17"/>
      <c r="AI43" s="21"/>
      <c r="AS43" s="60">
        <v>1</v>
      </c>
      <c r="AT43" s="62" t="s">
        <v>46</v>
      </c>
      <c r="AU43" s="63">
        <f>AW43*3+AX43</f>
        <v>0</v>
      </c>
      <c r="AV43" s="63">
        <f>AW43+AX43+AY43</f>
        <v>0</v>
      </c>
      <c r="AW43" s="63">
        <f>IF(O44&gt;Q44,1,0)+IF(W44&gt;Y44,1,0)+IF(AE44&gt;AG44,1,0)</f>
        <v>0</v>
      </c>
      <c r="AX43" s="63">
        <f>IF(O44=Q44,IF(ISBLANK(O44),0,1),0)+IF(W44=Y44,IF(ISBLANK(W44),0,1),0)+IF(AE44=AG44,IF(ISBLANK(AE44),0,1),0)</f>
        <v>0</v>
      </c>
      <c r="AY43" s="63">
        <f>IF(O44&lt;Q44,1,0)+IF(W44&lt;Y44,1,0)+IF(AE44&lt;AG44,1,0)</f>
        <v>0</v>
      </c>
      <c r="AZ43" s="63">
        <f>O44+W44+AE44</f>
        <v>0</v>
      </c>
      <c r="BA43" s="63">
        <f>Q44+Y44+AG44</f>
        <v>0</v>
      </c>
      <c r="BB43" s="63">
        <f>AZ43-BA43</f>
        <v>0</v>
      </c>
      <c r="BD43" s="1">
        <f>+Tabla5252629[[#This Row],[PTS]]+ROW(BD43:BD46)/1000+COUNTIF(Tabla5252629[DIF],"&lt;="&amp;Tabla5252629[[#This Row],[DIF]])/1000+COUNTIF(Tabla5252629[GF],"&lt;="&amp;Tabla5252629[[#This Row],[GF]])/1000+COUNTIF(Tabla5252629['#],"&gt;="&amp;Tabla5252629[[#This Row],['#]])/10000</f>
        <v>5.1400000000000001E-2</v>
      </c>
      <c r="BE43" s="1">
        <f>_xlfn.RANK.EQ(BD43,BD43:BD46)</f>
        <v>1</v>
      </c>
      <c r="BF43" s="1">
        <f>+COUNTIF(Tabla5252629[DIF],"&lt;="&amp;Tabla5252629[[#This Row],[DIF]])</f>
        <v>4</v>
      </c>
      <c r="BG43" s="1">
        <f>+COUNTIF(Tabla5252629[GF],"&lt;="&amp;Tabla5252629[[#This Row],[GF]])</f>
        <v>4</v>
      </c>
      <c r="BH43" s="1">
        <f>+COUNTIF(Tabla5252629['#],"&lt;="&amp;Tabla5252629[[#This Row],['#]])</f>
        <v>1</v>
      </c>
    </row>
    <row r="44" spans="2:60" x14ac:dyDescent="0.25">
      <c r="B44" s="46">
        <v>2</v>
      </c>
      <c r="C44" s="47" t="str">
        <f>INDEX(Tabla5252629[EQUIPO],MATCH(B44,BE43:BE46,0))</f>
        <v>CANADÁ</v>
      </c>
      <c r="D44" s="48">
        <f>INDEX(Tabla5252629[PTS],MATCH(B44,BE43:BE46,0))</f>
        <v>0</v>
      </c>
      <c r="E44" s="49">
        <f>INDEX(Tabla5252629[PJ],MATCH(B44,BE43:BE46,0))</f>
        <v>0</v>
      </c>
      <c r="F44" s="49">
        <f>INDEX(Tabla5252629[PG],MATCH(B44,BE43:BE46,0))</f>
        <v>0</v>
      </c>
      <c r="G44" s="49">
        <f>INDEX(Tabla5252629[PE],MATCH(B44,BE43:BE46,0))</f>
        <v>0</v>
      </c>
      <c r="H44" s="49">
        <f>INDEX(Tabla5252629[PP],MATCH(B44,BE43:BE46,0))</f>
        <v>0</v>
      </c>
      <c r="I44" s="49">
        <f>INDEX(Tabla5252629[GF],MATCH(B44,BE43:BE46,0))</f>
        <v>0</v>
      </c>
      <c r="J44" s="49">
        <f>INDEX(Tabla5252629[GC],MATCH(B44,BE43:BE46,0))</f>
        <v>0</v>
      </c>
      <c r="K44" s="49">
        <f>INDEX(Tabla5252629[DIF],MATCH(B44,BE43:BE46,0))</f>
        <v>0</v>
      </c>
      <c r="M44" s="26"/>
      <c r="N44" s="24" t="str">
        <f>AT43</f>
        <v>BÉLGICA</v>
      </c>
      <c r="O44" s="28"/>
      <c r="P44" s="29" t="s">
        <v>18</v>
      </c>
      <c r="Q44" s="30"/>
      <c r="R44" s="25" t="str">
        <f>Tabla5252629[[#This Row],[EQUIPO]]</f>
        <v>CANADÁ</v>
      </c>
      <c r="S44" s="23"/>
      <c r="U44" s="26"/>
      <c r="V44" s="24" t="str">
        <f>AT43</f>
        <v>BÉLGICA</v>
      </c>
      <c r="W44" s="28"/>
      <c r="X44" s="29" t="s">
        <v>18</v>
      </c>
      <c r="Y44" s="30"/>
      <c r="Z44" s="25" t="str">
        <f>AT45</f>
        <v>MARRUECOS</v>
      </c>
      <c r="AA44" s="23"/>
      <c r="AC44" s="26"/>
      <c r="AD44" s="24" t="str">
        <f>AT43</f>
        <v>BÉLGICA</v>
      </c>
      <c r="AE44" s="28"/>
      <c r="AF44" s="29" t="s">
        <v>18</v>
      </c>
      <c r="AG44" s="30"/>
      <c r="AH44" s="25" t="str">
        <f>AT46</f>
        <v>CROACIA</v>
      </c>
      <c r="AI44" s="23"/>
      <c r="AS44" s="60">
        <v>2</v>
      </c>
      <c r="AT44" s="62" t="s">
        <v>47</v>
      </c>
      <c r="AU44" s="63">
        <f>AW44*3+AX44</f>
        <v>0</v>
      </c>
      <c r="AV44" s="63">
        <f>AW44+AX44+AY44</f>
        <v>0</v>
      </c>
      <c r="AW44" s="63">
        <f>IF(Q44&gt;O44,1,0)+IF(W46&gt;Y46,1,0)+IF(AE46&gt;AG46,1,0)</f>
        <v>0</v>
      </c>
      <c r="AX44" s="63">
        <f>IF(Q44=O44,IF(ISBLANK(Q44),0,1),0)+IF(W46=Y46,IF(ISBLANK(W46),0,1),0)+IF(AE46=AG46,IF(ISBLANK(AE46),0,1),0)</f>
        <v>0</v>
      </c>
      <c r="AY44" s="63">
        <f>IF(Q44&lt;O44,1,0)+IF(W46&lt;Y46,1,0)+IF(AE46&lt;AG46,1,0)</f>
        <v>0</v>
      </c>
      <c r="AZ44" s="63">
        <f>Q44+W46+AE46</f>
        <v>0</v>
      </c>
      <c r="BA44" s="63">
        <f>O44+Y46+AG46</f>
        <v>0</v>
      </c>
      <c r="BB44" s="63">
        <f>AZ44-BA44</f>
        <v>0</v>
      </c>
      <c r="BD44" s="1">
        <f>+Tabla5252629[[#This Row],[PTS]]+ROW(BD43:BD46)/1000+COUNTIF(Tabla5252629[DIF],"&lt;="&amp;Tabla5252629[[#This Row],[DIF]])/1000+COUNTIF(Tabla5252629[GF],"&lt;="&amp;Tabla5252629[[#This Row],[GF]])/1000+COUNTIF(Tabla5252629['#],"&gt;="&amp;Tabla5252629[[#This Row],['#]])/10000</f>
        <v>5.1300000000000005E-2</v>
      </c>
      <c r="BE44" s="1">
        <f>_xlfn.RANK.EQ(BD44,BD43:BD46)</f>
        <v>2</v>
      </c>
      <c r="BF44" s="1">
        <f>+COUNTIF(Tabla5252629[DIF],"&lt;="&amp;Tabla5252629[[#This Row],[DIF]])</f>
        <v>4</v>
      </c>
      <c r="BG44" s="1">
        <f>+COUNTIF(Tabla5252629[GF],"&lt;="&amp;Tabla5252629[[#This Row],[GF]])</f>
        <v>4</v>
      </c>
      <c r="BH44" s="1">
        <f>+COUNTIF(Tabla5252629['#],"&lt;="&amp;Tabla5252629[[#This Row],['#]])</f>
        <v>2</v>
      </c>
    </row>
    <row r="45" spans="2:60" x14ac:dyDescent="0.25">
      <c r="B45" s="50">
        <v>3</v>
      </c>
      <c r="C45" s="51" t="str">
        <f>INDEX(Tabla5252629[EQUIPO],MATCH(B45,BE43:BE46,0))</f>
        <v>MARRUECOS</v>
      </c>
      <c r="D45" s="52">
        <f>INDEX(Tabla5252629[PTS],MATCH(B45,BE43:BE46,0))</f>
        <v>0</v>
      </c>
      <c r="E45" s="53">
        <f>INDEX(Tabla5252629[PJ],MATCH(B45,BE43:BE46,0))</f>
        <v>0</v>
      </c>
      <c r="F45" s="53">
        <f>INDEX(Tabla5252629[PG],MATCH(B45,BE43:BE46,0))</f>
        <v>0</v>
      </c>
      <c r="G45" s="53">
        <f>INDEX(Tabla5252629[PE],MATCH(B45,BE43:BE46,0))</f>
        <v>0</v>
      </c>
      <c r="H45" s="53">
        <f>INDEX(Tabla5252629[PP],MATCH(B45,BE43:BE46,0))</f>
        <v>0</v>
      </c>
      <c r="I45" s="53">
        <f>INDEX(Tabla5252629[GF],MATCH(B45,BE43:BE46,0))</f>
        <v>0</v>
      </c>
      <c r="J45" s="53">
        <f>INDEX(Tabla5252629[GC],MATCH(B45,BE43:BE46,0))</f>
        <v>0</v>
      </c>
      <c r="K45" s="53">
        <f>INDEX(Tabla5252629[DIF],MATCH(B45,BE43:BE46,0))</f>
        <v>0</v>
      </c>
      <c r="M45" s="19" t="s">
        <v>20</v>
      </c>
      <c r="N45" s="20"/>
      <c r="O45" s="22"/>
      <c r="P45" s="20" t="s">
        <v>19</v>
      </c>
      <c r="Q45" s="20"/>
      <c r="R45" s="20"/>
      <c r="S45" s="22"/>
      <c r="U45" s="19" t="s">
        <v>20</v>
      </c>
      <c r="V45" s="20"/>
      <c r="W45" s="22"/>
      <c r="X45" s="20" t="s">
        <v>19</v>
      </c>
      <c r="Y45" s="20"/>
      <c r="Z45" s="20"/>
      <c r="AA45" s="22"/>
      <c r="AC45" s="19" t="s">
        <v>20</v>
      </c>
      <c r="AD45" s="20"/>
      <c r="AE45" s="22"/>
      <c r="AF45" s="20" t="s">
        <v>19</v>
      </c>
      <c r="AG45" s="20"/>
      <c r="AH45" s="20"/>
      <c r="AI45" s="22"/>
      <c r="AS45" s="60">
        <v>3</v>
      </c>
      <c r="AT45" s="62" t="s">
        <v>48</v>
      </c>
      <c r="AU45" s="63">
        <f>AW45*3+AX45</f>
        <v>0</v>
      </c>
      <c r="AV45" s="63">
        <f>AW45+AX45+AY45</f>
        <v>0</v>
      </c>
      <c r="AW45" s="63">
        <f>IF(O46&gt;Q46,1,0)+IF(Y44&gt;W44,1,0)+IF(AG46&gt;AE46,1,0)</f>
        <v>0</v>
      </c>
      <c r="AX45" s="63">
        <f>IF(O46=Q46,IF(ISBLANK(O46),0,1),0)+IF(Y44=W44,IF(ISBLANK(Y44),0,1),0)+IF(AG46=AE46,IF(ISBLANK(AG46),0,1),0)</f>
        <v>0</v>
      </c>
      <c r="AY45" s="63">
        <f>IF(O46&lt;Q46,1,0)+IF(Y44&lt;W44,1,0)+IF(AG46&lt;AE46,1,0)</f>
        <v>0</v>
      </c>
      <c r="AZ45" s="63">
        <f>O46+Y44+AG46</f>
        <v>0</v>
      </c>
      <c r="BA45" s="63">
        <f>Q46+W44+AE46</f>
        <v>0</v>
      </c>
      <c r="BB45" s="63">
        <f>AZ45-BA45</f>
        <v>0</v>
      </c>
      <c r="BD45" s="1">
        <f>+Tabla5252629[[#This Row],[PTS]]+ROW(BD43:BD46)/1000+COUNTIF(Tabla5252629[DIF],"&lt;="&amp;Tabla5252629[[#This Row],[DIF]])/1000+COUNTIF(Tabla5252629[GF],"&lt;="&amp;Tabla5252629[[#This Row],[GF]])/1000+COUNTIF(Tabla5252629['#],"&gt;="&amp;Tabla5252629[[#This Row],['#]])/10000</f>
        <v>5.1200000000000002E-2</v>
      </c>
      <c r="BE45" s="1">
        <f>_xlfn.RANK.EQ(BD45,BD43:BD46)</f>
        <v>3</v>
      </c>
      <c r="BF45" s="1">
        <f>+COUNTIF(Tabla5252629[DIF],"&lt;="&amp;Tabla5252629[[#This Row],[DIF]])</f>
        <v>4</v>
      </c>
      <c r="BG45" s="1">
        <f>+COUNTIF(Tabla5252629[GF],"&lt;="&amp;Tabla5252629[[#This Row],[GF]])</f>
        <v>4</v>
      </c>
      <c r="BH45" s="1">
        <f>+COUNTIF(Tabla5252629['#],"&lt;="&amp;Tabla5252629[[#This Row],['#]])</f>
        <v>3</v>
      </c>
    </row>
    <row r="46" spans="2:60" x14ac:dyDescent="0.25">
      <c r="B46" s="50">
        <v>4</v>
      </c>
      <c r="C46" s="51" t="str">
        <f>INDEX(Tabla5252629[EQUIPO],MATCH(B46,BE43:BE46,0))</f>
        <v>CROACIA</v>
      </c>
      <c r="D46" s="52">
        <f>INDEX(Tabla5252629[PTS],MATCH(B46,BE43:BE46,0))</f>
        <v>0</v>
      </c>
      <c r="E46" s="53">
        <f>INDEX(Tabla5252629[PJ],MATCH(B46,BE43:BE46,0))</f>
        <v>0</v>
      </c>
      <c r="F46" s="53">
        <f>INDEX(Tabla5252629[PG],MATCH(B46,BE43:BE46,0))</f>
        <v>0</v>
      </c>
      <c r="G46" s="53">
        <f>INDEX(Tabla5252629[PE],MATCH(B46,BE43:BE46,0))</f>
        <v>0</v>
      </c>
      <c r="H46" s="53">
        <f>INDEX(Tabla5252629[PP],MATCH(B46,BE43:BE46,0))</f>
        <v>0</v>
      </c>
      <c r="I46" s="53">
        <f>INDEX(Tabla5252629[GF],MATCH(B46,BE43:BE46,0))</f>
        <v>0</v>
      </c>
      <c r="J46" s="53">
        <f>INDEX(Tabla5252629[GC],MATCH(B46,BE43:BE46,0))</f>
        <v>0</v>
      </c>
      <c r="K46" s="53">
        <f>INDEX(Tabla5252629[DIF],MATCH(B46,BE43:BE46,0))</f>
        <v>0</v>
      </c>
      <c r="M46" s="27"/>
      <c r="N46" s="11" t="str">
        <f>AT45</f>
        <v>MARRUECOS</v>
      </c>
      <c r="O46" s="31"/>
      <c r="P46" s="32" t="s">
        <v>18</v>
      </c>
      <c r="Q46" s="33"/>
      <c r="R46" s="12" t="str">
        <f>Tabla5252629[[#This Row],[EQUIPO]]</f>
        <v>CROACIA</v>
      </c>
      <c r="S46" s="18"/>
      <c r="U46" s="27"/>
      <c r="V46" s="11" t="str">
        <f>AT44</f>
        <v>CANADÁ</v>
      </c>
      <c r="W46" s="31"/>
      <c r="X46" s="32" t="s">
        <v>18</v>
      </c>
      <c r="Y46" s="33"/>
      <c r="Z46" s="12" t="str">
        <f>Tabla5252629[[#This Row],[EQUIPO]]</f>
        <v>CROACIA</v>
      </c>
      <c r="AA46" s="18"/>
      <c r="AC46" s="27"/>
      <c r="AD46" s="11" t="str">
        <f>AT44</f>
        <v>CANADÁ</v>
      </c>
      <c r="AE46" s="31"/>
      <c r="AF46" s="32" t="s">
        <v>18</v>
      </c>
      <c r="AG46" s="33"/>
      <c r="AH46" s="12" t="str">
        <f>AT45</f>
        <v>MARRUECOS</v>
      </c>
      <c r="AI46" s="18"/>
      <c r="AS46" s="60">
        <v>4</v>
      </c>
      <c r="AT46" s="62" t="s">
        <v>49</v>
      </c>
      <c r="AU46" s="63">
        <f>AW46*3+AX46</f>
        <v>0</v>
      </c>
      <c r="AV46" s="63">
        <f>AW46+AX46+AY46</f>
        <v>0</v>
      </c>
      <c r="AW46" s="63">
        <f>IF(Q46&gt;O46,1,0)+IF(Y46&gt;W46,1,0)+IF(AG44&gt;AE44,1,0)</f>
        <v>0</v>
      </c>
      <c r="AX46" s="63">
        <f>IF(Q46=O46,IF(ISBLANK(Q46),0,1),0)+IF(Y46=W46,IF(ISBLANK(Y46),0,1),0)+IF(AG44=AE44,IF(ISBLANK(AG44),0,1),0)</f>
        <v>0</v>
      </c>
      <c r="AY46" s="63">
        <f>IF(Q46&lt;O46,1,0)+IF(Y46&lt;W46,1,0)+IF(AG44&lt;AE44,1,0)</f>
        <v>0</v>
      </c>
      <c r="AZ46" s="63">
        <f>Q46+Y46+AG44</f>
        <v>0</v>
      </c>
      <c r="BA46" s="63">
        <f>O46+W46+AE44</f>
        <v>0</v>
      </c>
      <c r="BB46" s="63">
        <f>AZ46-BA46</f>
        <v>0</v>
      </c>
      <c r="BD46" s="1">
        <f>+Tabla5252629[[#This Row],[PTS]]+ROW(BD43:BD46)/1000+COUNTIF(Tabla5252629[DIF],"&lt;="&amp;Tabla5252629[[#This Row],[DIF]])/1000+COUNTIF(Tabla5252629[GF],"&lt;="&amp;Tabla5252629[[#This Row],[GF]])/1000+COUNTIF(Tabla5252629['#],"&gt;="&amp;Tabla5252629[[#This Row],['#]])/10000</f>
        <v>5.1100000000000007E-2</v>
      </c>
      <c r="BE46" s="1">
        <f>_xlfn.RANK.EQ(BD46,BD43:BD46)</f>
        <v>4</v>
      </c>
      <c r="BF46" s="1">
        <f>+COUNTIF(Tabla5252629[DIF],"&lt;="&amp;Tabla5252629[[#This Row],[DIF]])</f>
        <v>4</v>
      </c>
      <c r="BG46" s="1">
        <f>+COUNTIF(Tabla5252629[GF],"&lt;="&amp;Tabla5252629[[#This Row],[GF]])</f>
        <v>4</v>
      </c>
      <c r="BH46" s="1">
        <f>+COUNTIF(Tabla5252629['#],"&lt;="&amp;Tabla5252629[[#This Row],['#]])</f>
        <v>4</v>
      </c>
    </row>
    <row r="47" spans="2:60" x14ac:dyDescent="0.25">
      <c r="AS47" s="61"/>
      <c r="AT47" s="61"/>
      <c r="AU47" s="61"/>
      <c r="AV47" s="61"/>
      <c r="AW47" s="61"/>
      <c r="AX47" s="61"/>
      <c r="AY47" s="61"/>
      <c r="AZ47" s="61"/>
      <c r="BA47" s="61"/>
      <c r="BB47" s="61"/>
    </row>
    <row r="48" spans="2:60" x14ac:dyDescent="0.25">
      <c r="B48" s="6" t="s">
        <v>27</v>
      </c>
      <c r="C48" s="7"/>
      <c r="D48" s="7"/>
      <c r="E48" s="7"/>
      <c r="F48" s="7"/>
      <c r="G48" s="7"/>
      <c r="H48" s="7"/>
      <c r="I48" s="7"/>
      <c r="J48" s="7"/>
      <c r="K48" s="8"/>
      <c r="M48" s="6" t="s">
        <v>17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8"/>
      <c r="AS48" s="61" t="s">
        <v>27</v>
      </c>
      <c r="AT48" s="61"/>
      <c r="AU48" s="61"/>
      <c r="AV48" s="61"/>
      <c r="AW48" s="61"/>
      <c r="AX48" s="61"/>
      <c r="AY48" s="61"/>
      <c r="AZ48" s="61"/>
      <c r="BA48" s="61"/>
      <c r="BB48" s="61"/>
    </row>
    <row r="49" spans="2:60" x14ac:dyDescent="0.25">
      <c r="B49" s="44" t="s">
        <v>3</v>
      </c>
      <c r="C49" s="45" t="s">
        <v>2</v>
      </c>
      <c r="D49" s="45" t="s">
        <v>4</v>
      </c>
      <c r="E49" s="45" t="s">
        <v>5</v>
      </c>
      <c r="F49" s="45" t="s">
        <v>6</v>
      </c>
      <c r="G49" s="45" t="s">
        <v>7</v>
      </c>
      <c r="H49" s="45" t="s">
        <v>8</v>
      </c>
      <c r="I49" s="45" t="s">
        <v>9</v>
      </c>
      <c r="J49" s="45" t="s">
        <v>10</v>
      </c>
      <c r="K49" s="45" t="s">
        <v>11</v>
      </c>
      <c r="L49" s="5"/>
      <c r="M49" s="13" t="s">
        <v>16</v>
      </c>
      <c r="N49" s="14"/>
      <c r="O49" s="14"/>
      <c r="P49" s="14"/>
      <c r="Q49" s="14"/>
      <c r="R49" s="14"/>
      <c r="S49" s="15"/>
      <c r="T49" s="5"/>
      <c r="U49" s="13" t="s">
        <v>21</v>
      </c>
      <c r="V49" s="14"/>
      <c r="W49" s="14"/>
      <c r="X49" s="14"/>
      <c r="Y49" s="14"/>
      <c r="Z49" s="14"/>
      <c r="AA49" s="15"/>
      <c r="AB49" s="5"/>
      <c r="AC49" s="13" t="s">
        <v>22</v>
      </c>
      <c r="AD49" s="14"/>
      <c r="AE49" s="14"/>
      <c r="AF49" s="14"/>
      <c r="AG49" s="14"/>
      <c r="AH49" s="14"/>
      <c r="AI49" s="15"/>
      <c r="AS49" s="60" t="s">
        <v>3</v>
      </c>
      <c r="AT49" s="60" t="s">
        <v>2</v>
      </c>
      <c r="AU49" s="60" t="s">
        <v>4</v>
      </c>
      <c r="AV49" s="60" t="s">
        <v>5</v>
      </c>
      <c r="AW49" s="60" t="s">
        <v>6</v>
      </c>
      <c r="AX49" s="60" t="s">
        <v>7</v>
      </c>
      <c r="AY49" s="60" t="s">
        <v>8</v>
      </c>
      <c r="AZ49" s="60" t="s">
        <v>9</v>
      </c>
      <c r="BA49" s="60" t="s">
        <v>10</v>
      </c>
      <c r="BB49" s="60" t="s">
        <v>11</v>
      </c>
    </row>
    <row r="50" spans="2:60" x14ac:dyDescent="0.25">
      <c r="B50" s="46">
        <v>1</v>
      </c>
      <c r="C50" s="47" t="str">
        <f>INDEX(Tabla5252630[EQUIPO],MATCH(B50,BE50:BE53,0))</f>
        <v>BRASIL</v>
      </c>
      <c r="D50" s="48">
        <f>INDEX(Tabla5252630[PTS],MATCH(B50,BE50:BE53,0))</f>
        <v>0</v>
      </c>
      <c r="E50" s="49">
        <f>INDEX(Tabla5252630[PJ],MATCH(B50,BE50:BE53,0))</f>
        <v>0</v>
      </c>
      <c r="F50" s="49">
        <f>INDEX(Tabla5252630[PG],MATCH(B50,BE50:BE53,0))</f>
        <v>0</v>
      </c>
      <c r="G50" s="49">
        <f>INDEX(Tabla5252630[PE],MATCH(B50,BE50:BE53,0))</f>
        <v>0</v>
      </c>
      <c r="H50" s="49">
        <f>INDEX(Tabla5252630[PP],MATCH(B50,BE50:BE53,0))</f>
        <v>0</v>
      </c>
      <c r="I50" s="49">
        <f>INDEX(Tabla5252630[GF],MATCH(B50,BE50:BE53,0))</f>
        <v>0</v>
      </c>
      <c r="J50" s="49">
        <f>INDEX(Tabla5252630[GC],MATCH(B50,BE50:BE53,0))</f>
        <v>0</v>
      </c>
      <c r="K50" s="49">
        <f>INDEX(Tabla5252630[DIF],MATCH(B50,BE50:BE53,0))</f>
        <v>0</v>
      </c>
      <c r="M50" s="16" t="s">
        <v>20</v>
      </c>
      <c r="N50" s="17"/>
      <c r="O50" s="21"/>
      <c r="P50" s="17" t="s">
        <v>19</v>
      </c>
      <c r="Q50" s="17"/>
      <c r="R50" s="17"/>
      <c r="S50" s="21"/>
      <c r="U50" s="16" t="s">
        <v>20</v>
      </c>
      <c r="V50" s="17"/>
      <c r="W50" s="21"/>
      <c r="X50" s="17" t="s">
        <v>19</v>
      </c>
      <c r="Y50" s="17"/>
      <c r="Z50" s="17"/>
      <c r="AA50" s="21"/>
      <c r="AC50" s="16" t="s">
        <v>20</v>
      </c>
      <c r="AD50" s="17"/>
      <c r="AE50" s="21"/>
      <c r="AF50" s="17" t="s">
        <v>19</v>
      </c>
      <c r="AG50" s="17"/>
      <c r="AH50" s="17"/>
      <c r="AI50" s="21"/>
      <c r="AS50" s="60">
        <v>1</v>
      </c>
      <c r="AT50" s="62" t="s">
        <v>50</v>
      </c>
      <c r="AU50" s="63">
        <f>AW50*3+AX50</f>
        <v>0</v>
      </c>
      <c r="AV50" s="63">
        <f>AW50+AX50+AY50</f>
        <v>0</v>
      </c>
      <c r="AW50" s="63">
        <f>IF(O51&gt;Q51,1,0)+IF(W51&gt;Y51,1,0)+IF(AE51&gt;AG51,1,0)</f>
        <v>0</v>
      </c>
      <c r="AX50" s="63">
        <f>IF(O51=Q51,IF(ISBLANK(O51),0,1),0)+IF(W51=Y51,IF(ISBLANK(W51),0,1),0)+IF(AE51=AG51,IF(ISBLANK(AE51),0,1),0)</f>
        <v>0</v>
      </c>
      <c r="AY50" s="63">
        <f>IF(O51&lt;Q51,1,0)+IF(W51&lt;Y51,1,0)+IF(AE51&lt;AG51,1,0)</f>
        <v>0</v>
      </c>
      <c r="AZ50" s="63">
        <f>O51+W51+AE51</f>
        <v>0</v>
      </c>
      <c r="BA50" s="63">
        <f>Q51+Y51+AG51</f>
        <v>0</v>
      </c>
      <c r="BB50" s="63">
        <f>AZ50-BA50</f>
        <v>0</v>
      </c>
      <c r="BD50" s="1">
        <f>+Tabla5252630[[#This Row],[PTS]]+ROW(BD50:BD53)/1000+COUNTIF(Tabla5252630[DIF],"&lt;="&amp;Tabla5252630[[#This Row],[DIF]])/1000+COUNTIF(Tabla5252630[GF],"&lt;="&amp;Tabla5252630[[#This Row],[GF]])/1000+COUNTIF(Tabla5252630['#],"&gt;="&amp;Tabla5252630[[#This Row],['#]])/10000</f>
        <v>5.8400000000000007E-2</v>
      </c>
      <c r="BE50" s="1">
        <f>_xlfn.RANK.EQ(BD50,BD50:BD53)</f>
        <v>1</v>
      </c>
      <c r="BF50" s="1">
        <f>+COUNTIF(Tabla5252630[DIF],"&lt;="&amp;Tabla5252630[[#This Row],[DIF]])</f>
        <v>4</v>
      </c>
      <c r="BG50" s="1">
        <f>+COUNTIF(Tabla5252630[GF],"&lt;="&amp;Tabla5252630[[#This Row],[GF]])</f>
        <v>4</v>
      </c>
      <c r="BH50" s="1">
        <f>+COUNTIF(Tabla5252630['#],"&lt;="&amp;Tabla5252630[[#This Row],['#]])</f>
        <v>1</v>
      </c>
    </row>
    <row r="51" spans="2:60" x14ac:dyDescent="0.25">
      <c r="B51" s="46">
        <v>2</v>
      </c>
      <c r="C51" s="47" t="str">
        <f>INDEX(Tabla5252630[EQUIPO],MATCH(B51,BE50:BE53,0))</f>
        <v>SERBIA</v>
      </c>
      <c r="D51" s="48">
        <f>INDEX(Tabla5252630[PTS],MATCH(B51,BE50:BE53,0))</f>
        <v>0</v>
      </c>
      <c r="E51" s="49">
        <f>INDEX(Tabla5252630[PJ],MATCH(B51,BE50:BE53,0))</f>
        <v>0</v>
      </c>
      <c r="F51" s="49">
        <f>INDEX(Tabla5252630[PG],MATCH(B51,BE50:BE53,0))</f>
        <v>0</v>
      </c>
      <c r="G51" s="49">
        <f>INDEX(Tabla5252630[PE],MATCH(B51,BE50:BE53,0))</f>
        <v>0</v>
      </c>
      <c r="H51" s="49">
        <f>INDEX(Tabla5252630[PP],MATCH(B51,BE50:BE53,0))</f>
        <v>0</v>
      </c>
      <c r="I51" s="49">
        <f>INDEX(Tabla5252630[GF],MATCH(B51,BE50:BE53,0))</f>
        <v>0</v>
      </c>
      <c r="J51" s="49">
        <f>INDEX(Tabla5252630[GC],MATCH(B51,BE50:BE53,0))</f>
        <v>0</v>
      </c>
      <c r="K51" s="49">
        <f>INDEX(Tabla5252630[DIF],MATCH(B51,BE50:BE53,0))</f>
        <v>0</v>
      </c>
      <c r="M51" s="26"/>
      <c r="N51" s="24" t="str">
        <f>AT50</f>
        <v>BRASIL</v>
      </c>
      <c r="O51" s="28"/>
      <c r="P51" s="29" t="s">
        <v>18</v>
      </c>
      <c r="Q51" s="30"/>
      <c r="R51" s="25" t="str">
        <f>Tabla5252630[[#This Row],[EQUIPO]]</f>
        <v>SERBIA</v>
      </c>
      <c r="S51" s="23"/>
      <c r="U51" s="26"/>
      <c r="V51" s="24" t="str">
        <f>AT50</f>
        <v>BRASIL</v>
      </c>
      <c r="W51" s="28"/>
      <c r="X51" s="29" t="s">
        <v>18</v>
      </c>
      <c r="Y51" s="30"/>
      <c r="Z51" s="25" t="str">
        <f>AT52</f>
        <v>SUIZA</v>
      </c>
      <c r="AA51" s="23"/>
      <c r="AC51" s="26"/>
      <c r="AD51" s="24" t="str">
        <f>AT50</f>
        <v>BRASIL</v>
      </c>
      <c r="AE51" s="28"/>
      <c r="AF51" s="29" t="s">
        <v>18</v>
      </c>
      <c r="AG51" s="30"/>
      <c r="AH51" s="25" t="str">
        <f>AT53</f>
        <v>CAMERÚN</v>
      </c>
      <c r="AI51" s="23"/>
      <c r="AS51" s="60">
        <v>2</v>
      </c>
      <c r="AT51" s="62" t="s">
        <v>51</v>
      </c>
      <c r="AU51" s="63">
        <f>AW51*3+AX51</f>
        <v>0</v>
      </c>
      <c r="AV51" s="63">
        <f>AW51+AX51+AY51</f>
        <v>0</v>
      </c>
      <c r="AW51" s="63">
        <f>IF(Q51&gt;O51,1,0)+IF(W53&gt;Y53,1,0)+IF(AE53&gt;AG53,1,0)</f>
        <v>0</v>
      </c>
      <c r="AX51" s="63">
        <f>IF(Q51=O51,IF(ISBLANK(Q51),0,1),0)+IF(W53=Y53,IF(ISBLANK(W53),0,1),0)+IF(AE53=AG53,IF(ISBLANK(AE53),0,1),0)</f>
        <v>0</v>
      </c>
      <c r="AY51" s="63">
        <f>IF(Q51&lt;O51,1,0)+IF(W53&lt;Y53,1,0)+IF(AE53&lt;AG53,1,0)</f>
        <v>0</v>
      </c>
      <c r="AZ51" s="63">
        <f>Q51+W53+AE53</f>
        <v>0</v>
      </c>
      <c r="BA51" s="63">
        <f>O51+Y53+AG53</f>
        <v>0</v>
      </c>
      <c r="BB51" s="63">
        <f>AZ51-BA51</f>
        <v>0</v>
      </c>
      <c r="BD51" s="1">
        <f>+Tabla5252630[[#This Row],[PTS]]+ROW(BD50:BD53)/1000+COUNTIF(Tabla5252630[DIF],"&lt;="&amp;Tabla5252630[[#This Row],[DIF]])/1000+COUNTIF(Tabla5252630[GF],"&lt;="&amp;Tabla5252630[[#This Row],[GF]])/1000+COUNTIF(Tabla5252630['#],"&gt;="&amp;Tabla5252630[[#This Row],['#]])/10000</f>
        <v>5.8300000000000012E-2</v>
      </c>
      <c r="BE51" s="1">
        <f>_xlfn.RANK.EQ(BD51,BD50:BD53)</f>
        <v>2</v>
      </c>
      <c r="BF51" s="1">
        <f>+COUNTIF(Tabla5252630[DIF],"&lt;="&amp;Tabla5252630[[#This Row],[DIF]])</f>
        <v>4</v>
      </c>
      <c r="BG51" s="1">
        <f>+COUNTIF(Tabla5252630[GF],"&lt;="&amp;Tabla5252630[[#This Row],[GF]])</f>
        <v>4</v>
      </c>
      <c r="BH51" s="1">
        <f>+COUNTIF(Tabla5252630['#],"&lt;="&amp;Tabla5252630[[#This Row],['#]])</f>
        <v>2</v>
      </c>
    </row>
    <row r="52" spans="2:60" x14ac:dyDescent="0.25">
      <c r="B52" s="50">
        <v>3</v>
      </c>
      <c r="C52" s="51" t="str">
        <f>INDEX(Tabla5252630[EQUIPO],MATCH(B52,BE50:BE53,0))</f>
        <v>SUIZA</v>
      </c>
      <c r="D52" s="52">
        <f>INDEX(Tabla5252630[PTS],MATCH(B52,BE50:BE53,0))</f>
        <v>0</v>
      </c>
      <c r="E52" s="53">
        <f>INDEX(Tabla5252630[PJ],MATCH(B52,BE50:BE53,0))</f>
        <v>0</v>
      </c>
      <c r="F52" s="53">
        <f>INDEX(Tabla5252630[PG],MATCH(B52,BE50:BE53,0))</f>
        <v>0</v>
      </c>
      <c r="G52" s="53">
        <f>INDEX(Tabla5252630[PE],MATCH(B52,BE50:BE53,0))</f>
        <v>0</v>
      </c>
      <c r="H52" s="53">
        <f>INDEX(Tabla5252630[PP],MATCH(B52,BE50:BE53,0))</f>
        <v>0</v>
      </c>
      <c r="I52" s="53">
        <f>INDEX(Tabla5252630[GF],MATCH(B52,BE50:BE53,0))</f>
        <v>0</v>
      </c>
      <c r="J52" s="53">
        <f>INDEX(Tabla5252630[GC],MATCH(B52,BE50:BE53,0))</f>
        <v>0</v>
      </c>
      <c r="K52" s="53">
        <f>INDEX(Tabla5252630[DIF],MATCH(B52,BE50:BE53,0))</f>
        <v>0</v>
      </c>
      <c r="M52" s="19" t="s">
        <v>20</v>
      </c>
      <c r="N52" s="20"/>
      <c r="O52" s="22"/>
      <c r="P52" s="20" t="s">
        <v>19</v>
      </c>
      <c r="Q52" s="20"/>
      <c r="R52" s="20"/>
      <c r="S52" s="22"/>
      <c r="U52" s="19" t="s">
        <v>20</v>
      </c>
      <c r="V52" s="20"/>
      <c r="W52" s="22"/>
      <c r="X52" s="20" t="s">
        <v>19</v>
      </c>
      <c r="Y52" s="20"/>
      <c r="Z52" s="20"/>
      <c r="AA52" s="22"/>
      <c r="AC52" s="19" t="s">
        <v>20</v>
      </c>
      <c r="AD52" s="20"/>
      <c r="AE52" s="22"/>
      <c r="AF52" s="20" t="s">
        <v>19</v>
      </c>
      <c r="AG52" s="20"/>
      <c r="AH52" s="20"/>
      <c r="AI52" s="22"/>
      <c r="AS52" s="60">
        <v>3</v>
      </c>
      <c r="AT52" s="62" t="s">
        <v>52</v>
      </c>
      <c r="AU52" s="63">
        <f>AW52*3+AX52</f>
        <v>0</v>
      </c>
      <c r="AV52" s="63">
        <f>AW52+AX52+AY52</f>
        <v>0</v>
      </c>
      <c r="AW52" s="63">
        <f>IF(O53&gt;Q53,1,0)+IF(Y51&gt;W51,1,0)+IF(AG53&gt;AE53,1,0)</f>
        <v>0</v>
      </c>
      <c r="AX52" s="63">
        <f>IF(O53=Q53,IF(ISBLANK(O53),0,1),0)+IF(Y51=W51,IF(ISBLANK(Y51),0,1),0)+IF(AG53=AE53,IF(ISBLANK(AG53),0,1),0)</f>
        <v>0</v>
      </c>
      <c r="AY52" s="63">
        <f>IF(O53&lt;Q53,1,0)+IF(Y51&lt;W51,1,0)+IF(AG53&lt;AE53,1,0)</f>
        <v>0</v>
      </c>
      <c r="AZ52" s="63">
        <f>O53+Y51+AG53</f>
        <v>0</v>
      </c>
      <c r="BA52" s="63">
        <f>Q53+W51+AE53</f>
        <v>0</v>
      </c>
      <c r="BB52" s="63">
        <f>AZ52-BA52</f>
        <v>0</v>
      </c>
      <c r="BD52" s="1">
        <f>+Tabla5252630[[#This Row],[PTS]]+ROW(BD50:BD53)/1000+COUNTIF(Tabla5252630[DIF],"&lt;="&amp;Tabla5252630[[#This Row],[DIF]])/1000+COUNTIF(Tabla5252630[GF],"&lt;="&amp;Tabla5252630[[#This Row],[GF]])/1000+COUNTIF(Tabla5252630['#],"&gt;="&amp;Tabla5252630[[#This Row],['#]])/10000</f>
        <v>5.8200000000000009E-2</v>
      </c>
      <c r="BE52" s="1">
        <f>_xlfn.RANK.EQ(BD52,BD50:BD53)</f>
        <v>3</v>
      </c>
      <c r="BF52" s="1">
        <f>+COUNTIF(Tabla5252630[DIF],"&lt;="&amp;Tabla5252630[[#This Row],[DIF]])</f>
        <v>4</v>
      </c>
      <c r="BG52" s="1">
        <f>+COUNTIF(Tabla5252630[GF],"&lt;="&amp;Tabla5252630[[#This Row],[GF]])</f>
        <v>4</v>
      </c>
      <c r="BH52" s="1">
        <f>+COUNTIF(Tabla5252630['#],"&lt;="&amp;Tabla5252630[[#This Row],['#]])</f>
        <v>3</v>
      </c>
    </row>
    <row r="53" spans="2:60" x14ac:dyDescent="0.25">
      <c r="B53" s="50">
        <v>4</v>
      </c>
      <c r="C53" s="51" t="str">
        <f>INDEX(Tabla5252630[EQUIPO],MATCH(B53,BE50:BE53,0))</f>
        <v>CAMERÚN</v>
      </c>
      <c r="D53" s="52">
        <f>INDEX(Tabla5252630[PTS],MATCH(B53,BE50:BE53,0))</f>
        <v>0</v>
      </c>
      <c r="E53" s="53">
        <f>INDEX(Tabla5252630[PJ],MATCH(B53,BE50:BE53,0))</f>
        <v>0</v>
      </c>
      <c r="F53" s="53">
        <f>INDEX(Tabla5252630[PG],MATCH(B53,BE50:BE53,0))</f>
        <v>0</v>
      </c>
      <c r="G53" s="53">
        <f>INDEX(Tabla5252630[PE],MATCH(B53,BE50:BE53,0))</f>
        <v>0</v>
      </c>
      <c r="H53" s="53">
        <f>INDEX(Tabla5252630[PP],MATCH(B53,BE50:BE53,0))</f>
        <v>0</v>
      </c>
      <c r="I53" s="53">
        <f>INDEX(Tabla5252630[GF],MATCH(B53,BE50:BE53,0))</f>
        <v>0</v>
      </c>
      <c r="J53" s="53">
        <f>INDEX(Tabla5252630[GC],MATCH(B53,BE50:BE53,0))</f>
        <v>0</v>
      </c>
      <c r="K53" s="53">
        <f>INDEX(Tabla5252630[DIF],MATCH(B53,BE50:BE53,0))</f>
        <v>0</v>
      </c>
      <c r="M53" s="27"/>
      <c r="N53" s="11" t="str">
        <f>AT52</f>
        <v>SUIZA</v>
      </c>
      <c r="O53" s="31"/>
      <c r="P53" s="32" t="s">
        <v>18</v>
      </c>
      <c r="Q53" s="33"/>
      <c r="R53" s="12" t="str">
        <f>Tabla5252630[[#This Row],[EQUIPO]]</f>
        <v>CAMERÚN</v>
      </c>
      <c r="S53" s="18"/>
      <c r="U53" s="27"/>
      <c r="V53" s="11" t="str">
        <f>AT51</f>
        <v>SERBIA</v>
      </c>
      <c r="W53" s="31"/>
      <c r="X53" s="32" t="s">
        <v>18</v>
      </c>
      <c r="Y53" s="33"/>
      <c r="Z53" s="12" t="str">
        <f>Tabla5252630[[#This Row],[EQUIPO]]</f>
        <v>CAMERÚN</v>
      </c>
      <c r="AA53" s="18"/>
      <c r="AC53" s="27"/>
      <c r="AD53" s="11" t="str">
        <f>AT51</f>
        <v>SERBIA</v>
      </c>
      <c r="AE53" s="31"/>
      <c r="AF53" s="32" t="s">
        <v>18</v>
      </c>
      <c r="AG53" s="33"/>
      <c r="AH53" s="12" t="str">
        <f>AT52</f>
        <v>SUIZA</v>
      </c>
      <c r="AI53" s="18"/>
      <c r="AS53" s="60">
        <v>4</v>
      </c>
      <c r="AT53" s="62" t="s">
        <v>53</v>
      </c>
      <c r="AU53" s="63">
        <f>AW53*3+AX53</f>
        <v>0</v>
      </c>
      <c r="AV53" s="63">
        <f>AW53+AX53+AY53</f>
        <v>0</v>
      </c>
      <c r="AW53" s="63">
        <f>IF(Q53&gt;O53,1,0)+IF(Y53&gt;W53,1,0)+IF(AG51&gt;AE51,1,0)</f>
        <v>0</v>
      </c>
      <c r="AX53" s="63">
        <f>IF(Q53=O53,IF(ISBLANK(Q53),0,1),0)+IF(Y53=W53,IF(ISBLANK(Y53),0,1),0)+IF(AG51=AE51,IF(ISBLANK(AG51),0,1),0)</f>
        <v>0</v>
      </c>
      <c r="AY53" s="63">
        <f>IF(Q53&lt;O53,1,0)+IF(Y53&lt;W53,1,0)+IF(AG51&lt;AE51,1,0)</f>
        <v>0</v>
      </c>
      <c r="AZ53" s="63">
        <f>Q53+Y53+AG51</f>
        <v>0</v>
      </c>
      <c r="BA53" s="63">
        <f>O53+W53+AE51</f>
        <v>0</v>
      </c>
      <c r="BB53" s="63">
        <f>AZ53-BA53</f>
        <v>0</v>
      </c>
      <c r="BD53" s="1">
        <f>+Tabla5252630[[#This Row],[PTS]]+ROW(BD50:BD53)/1000+COUNTIF(Tabla5252630[DIF],"&lt;="&amp;Tabla5252630[[#This Row],[DIF]])/1000+COUNTIF(Tabla5252630[GF],"&lt;="&amp;Tabla5252630[[#This Row],[GF]])/1000+COUNTIF(Tabla5252630['#],"&gt;="&amp;Tabla5252630[[#This Row],['#]])/10000</f>
        <v>5.8100000000000013E-2</v>
      </c>
      <c r="BE53" s="1">
        <f>_xlfn.RANK.EQ(BD53,BD50:BD53)</f>
        <v>4</v>
      </c>
      <c r="BF53" s="1">
        <f>+COUNTIF(Tabla5252630[DIF],"&lt;="&amp;Tabla5252630[[#This Row],[DIF]])</f>
        <v>4</v>
      </c>
      <c r="BG53" s="1">
        <f>+COUNTIF(Tabla5252630[GF],"&lt;="&amp;Tabla5252630[[#This Row],[GF]])</f>
        <v>4</v>
      </c>
      <c r="BH53" s="1">
        <f>+COUNTIF(Tabla5252630['#],"&lt;="&amp;Tabla5252630[[#This Row],['#]])</f>
        <v>4</v>
      </c>
    </row>
    <row r="54" spans="2:60" x14ac:dyDescent="0.25">
      <c r="AS54" s="61"/>
      <c r="AT54" s="61"/>
      <c r="AU54" s="61"/>
      <c r="AV54" s="61"/>
      <c r="AW54" s="61"/>
      <c r="AX54" s="61"/>
      <c r="AY54" s="61"/>
      <c r="AZ54" s="61"/>
      <c r="BA54" s="61"/>
      <c r="BB54" s="61"/>
    </row>
    <row r="55" spans="2:60" x14ac:dyDescent="0.25">
      <c r="B55" s="6" t="s">
        <v>28</v>
      </c>
      <c r="C55" s="7"/>
      <c r="D55" s="7"/>
      <c r="E55" s="7"/>
      <c r="F55" s="7"/>
      <c r="G55" s="7"/>
      <c r="H55" s="7"/>
      <c r="I55" s="7"/>
      <c r="J55" s="7"/>
      <c r="K55" s="8"/>
      <c r="M55" s="6" t="s">
        <v>17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8"/>
      <c r="AS55" s="61" t="s">
        <v>28</v>
      </c>
      <c r="AT55" s="61"/>
      <c r="AU55" s="61"/>
      <c r="AV55" s="61"/>
      <c r="AW55" s="61"/>
      <c r="AX55" s="61"/>
      <c r="AY55" s="61"/>
      <c r="AZ55" s="61"/>
      <c r="BA55" s="61"/>
      <c r="BB55" s="61"/>
    </row>
    <row r="56" spans="2:60" x14ac:dyDescent="0.25">
      <c r="B56" s="44" t="s">
        <v>3</v>
      </c>
      <c r="C56" s="45" t="s">
        <v>2</v>
      </c>
      <c r="D56" s="45" t="s">
        <v>4</v>
      </c>
      <c r="E56" s="45" t="s">
        <v>5</v>
      </c>
      <c r="F56" s="45" t="s">
        <v>6</v>
      </c>
      <c r="G56" s="45" t="s">
        <v>7</v>
      </c>
      <c r="H56" s="45" t="s">
        <v>8</v>
      </c>
      <c r="I56" s="45" t="s">
        <v>9</v>
      </c>
      <c r="J56" s="45" t="s">
        <v>10</v>
      </c>
      <c r="K56" s="45" t="s">
        <v>11</v>
      </c>
      <c r="L56" s="5"/>
      <c r="M56" s="13" t="s">
        <v>16</v>
      </c>
      <c r="N56" s="14"/>
      <c r="O56" s="14"/>
      <c r="P56" s="14"/>
      <c r="Q56" s="14"/>
      <c r="R56" s="14"/>
      <c r="S56" s="15"/>
      <c r="T56" s="5"/>
      <c r="U56" s="13" t="s">
        <v>21</v>
      </c>
      <c r="V56" s="14"/>
      <c r="W56" s="14"/>
      <c r="X56" s="14"/>
      <c r="Y56" s="14"/>
      <c r="Z56" s="14"/>
      <c r="AA56" s="15"/>
      <c r="AB56" s="5"/>
      <c r="AC56" s="13" t="s">
        <v>22</v>
      </c>
      <c r="AD56" s="14"/>
      <c r="AE56" s="14"/>
      <c r="AF56" s="14"/>
      <c r="AG56" s="14"/>
      <c r="AH56" s="14"/>
      <c r="AI56" s="15"/>
      <c r="AS56" s="60" t="s">
        <v>3</v>
      </c>
      <c r="AT56" s="60" t="s">
        <v>2</v>
      </c>
      <c r="AU56" s="60" t="s">
        <v>4</v>
      </c>
      <c r="AV56" s="60" t="s">
        <v>5</v>
      </c>
      <c r="AW56" s="60" t="s">
        <v>6</v>
      </c>
      <c r="AX56" s="60" t="s">
        <v>7</v>
      </c>
      <c r="AY56" s="60" t="s">
        <v>8</v>
      </c>
      <c r="AZ56" s="60" t="s">
        <v>9</v>
      </c>
      <c r="BA56" s="60" t="s">
        <v>10</v>
      </c>
      <c r="BB56" s="60" t="s">
        <v>11</v>
      </c>
    </row>
    <row r="57" spans="2:60" x14ac:dyDescent="0.25">
      <c r="B57" s="46">
        <v>1</v>
      </c>
      <c r="C57" s="47" t="str">
        <f>INDEX(Tabla525263031[EQUIPO],MATCH(B57,BE57:BE60,0))</f>
        <v>PORTUGAL</v>
      </c>
      <c r="D57" s="48">
        <f>INDEX(Tabla525263031[PTS],MATCH(B57,BE57:BE60,0))</f>
        <v>0</v>
      </c>
      <c r="E57" s="49">
        <f>INDEX(Tabla525263031[PJ],MATCH(B57,BE57:BE60,0))</f>
        <v>0</v>
      </c>
      <c r="F57" s="49">
        <f>INDEX(Tabla525263031[PG],MATCH(B57,BE57:BE60,0))</f>
        <v>0</v>
      </c>
      <c r="G57" s="49">
        <f>INDEX(Tabla525263031[PE],MATCH(B57,BE57:BE60,0))</f>
        <v>0</v>
      </c>
      <c r="H57" s="49">
        <f>INDEX(Tabla525263031[PP],MATCH(B57,BE57:BE60,0))</f>
        <v>0</v>
      </c>
      <c r="I57" s="49">
        <f>INDEX(Tabla525263031[GF],MATCH(B57,BE57:BE60,0))</f>
        <v>0</v>
      </c>
      <c r="J57" s="49">
        <f>INDEX(Tabla525263031[GC],MATCH(B57,BE57:BE60,0))</f>
        <v>0</v>
      </c>
      <c r="K57" s="49">
        <f>INDEX(Tabla525263031[DIF],MATCH(B57,BE57:BE60,0))</f>
        <v>0</v>
      </c>
      <c r="M57" s="16" t="s">
        <v>20</v>
      </c>
      <c r="N57" s="17"/>
      <c r="O57" s="21"/>
      <c r="P57" s="17" t="s">
        <v>19</v>
      </c>
      <c r="Q57" s="17"/>
      <c r="R57" s="17"/>
      <c r="S57" s="21"/>
      <c r="U57" s="16" t="s">
        <v>20</v>
      </c>
      <c r="V57" s="17"/>
      <c r="W57" s="21"/>
      <c r="X57" s="17" t="s">
        <v>19</v>
      </c>
      <c r="Y57" s="17"/>
      <c r="Z57" s="17"/>
      <c r="AA57" s="21"/>
      <c r="AC57" s="16" t="s">
        <v>20</v>
      </c>
      <c r="AD57" s="17"/>
      <c r="AE57" s="21"/>
      <c r="AF57" s="17" t="s">
        <v>19</v>
      </c>
      <c r="AG57" s="17"/>
      <c r="AH57" s="17"/>
      <c r="AI57" s="21"/>
      <c r="AS57" s="60">
        <v>1</v>
      </c>
      <c r="AT57" s="62" t="s">
        <v>54</v>
      </c>
      <c r="AU57" s="63">
        <f>AW57*3+AX57</f>
        <v>0</v>
      </c>
      <c r="AV57" s="63">
        <f>AW57+AX57+AY57</f>
        <v>0</v>
      </c>
      <c r="AW57" s="63">
        <f>IF(O58&gt;Q58,1,0)+IF(W58&gt;Y58,1,0)+IF(AE58&gt;AG58,1,0)</f>
        <v>0</v>
      </c>
      <c r="AX57" s="63">
        <f>IF(O58=Q58,IF(ISBLANK(O58),0,1),0)+IF(W58=Y58,IF(ISBLANK(W58),0,1),0)+IF(AE58=AG58,IF(ISBLANK(AE58),0,1),0)</f>
        <v>0</v>
      </c>
      <c r="AY57" s="63">
        <f>IF(O58&lt;Q58,1,0)+IF(W58&lt;Y58,1,0)+IF(AE58&lt;AG58,1,0)</f>
        <v>0</v>
      </c>
      <c r="AZ57" s="63">
        <f>O58+W58+AE58</f>
        <v>0</v>
      </c>
      <c r="BA57" s="63">
        <f>Q58+Y58+AG58</f>
        <v>0</v>
      </c>
      <c r="BB57" s="63">
        <f>AZ57-BA57</f>
        <v>0</v>
      </c>
      <c r="BD57" s="1">
        <f>+Tabla525263031[[#This Row],[PTS]]+ROW(BD57:BD60)/1000+COUNTIF(Tabla525263031[DIF],"&lt;="&amp;Tabla525263031[[#This Row],[DIF]])/1000+COUNTIF(Tabla525263031[GF],"&lt;="&amp;Tabla525263031[[#This Row],[GF]])/1000+COUNTIF(Tabla525263031['#],"&gt;="&amp;Tabla525263031[[#This Row],['#]])/10000</f>
        <v>6.54E-2</v>
      </c>
      <c r="BE57" s="1">
        <f>_xlfn.RANK.EQ(BD57,BD57:BD60)</f>
        <v>1</v>
      </c>
      <c r="BF57" s="1">
        <f>+COUNTIF(Tabla525263031[DIF],"&lt;="&amp;Tabla525263031[[#This Row],[DIF]])</f>
        <v>4</v>
      </c>
      <c r="BG57" s="1">
        <f>+COUNTIF(Tabla525263031[GF],"&lt;="&amp;Tabla525263031[[#This Row],[GF]])</f>
        <v>4</v>
      </c>
      <c r="BH57" s="1">
        <f>+COUNTIF(Tabla525263031['#],"&lt;="&amp;Tabla525263031[[#This Row],['#]])</f>
        <v>1</v>
      </c>
    </row>
    <row r="58" spans="2:60" x14ac:dyDescent="0.25">
      <c r="B58" s="46">
        <v>2</v>
      </c>
      <c r="C58" s="47" t="str">
        <f>INDEX(Tabla525263031[EQUIPO],MATCH(B58,BE57:BE60,0))</f>
        <v>GHANA</v>
      </c>
      <c r="D58" s="48">
        <f>INDEX(Tabla525263031[PTS],MATCH(B58,BE57:BE60,0))</f>
        <v>0</v>
      </c>
      <c r="E58" s="49">
        <f>INDEX(Tabla525263031[PJ],MATCH(B58,BE57:BE60,0))</f>
        <v>0</v>
      </c>
      <c r="F58" s="49">
        <f>INDEX(Tabla525263031[PG],MATCH(B58,BE57:BE60,0))</f>
        <v>0</v>
      </c>
      <c r="G58" s="49">
        <f>INDEX(Tabla525263031[PE],MATCH(B58,BE57:BE60,0))</f>
        <v>0</v>
      </c>
      <c r="H58" s="49">
        <f>INDEX(Tabla525263031[PP],MATCH(B58,BE57:BE60,0))</f>
        <v>0</v>
      </c>
      <c r="I58" s="49">
        <f>INDEX(Tabla525263031[GF],MATCH(B58,BE57:BE60,0))</f>
        <v>0</v>
      </c>
      <c r="J58" s="49">
        <f>INDEX(Tabla525263031[GC],MATCH(B58,BE57:BE60,0))</f>
        <v>0</v>
      </c>
      <c r="K58" s="49">
        <f>INDEX(Tabla525263031[DIF],MATCH(B58,BE57:BE60,0))</f>
        <v>0</v>
      </c>
      <c r="M58" s="26"/>
      <c r="N58" s="24" t="str">
        <f>AT57</f>
        <v>PORTUGAL</v>
      </c>
      <c r="O58" s="28"/>
      <c r="P58" s="29" t="s">
        <v>18</v>
      </c>
      <c r="Q58" s="30"/>
      <c r="R58" s="25" t="str">
        <f>Tabla525263031[[#This Row],[EQUIPO]]</f>
        <v>GHANA</v>
      </c>
      <c r="S58" s="23"/>
      <c r="U58" s="26"/>
      <c r="V58" s="24" t="str">
        <f>AT57</f>
        <v>PORTUGAL</v>
      </c>
      <c r="W58" s="28"/>
      <c r="X58" s="29" t="s">
        <v>18</v>
      </c>
      <c r="Y58" s="30"/>
      <c r="Z58" s="25" t="str">
        <f>AT59</f>
        <v>URUGUAY</v>
      </c>
      <c r="AA58" s="23"/>
      <c r="AC58" s="26"/>
      <c r="AD58" s="24" t="str">
        <f>AT57</f>
        <v>PORTUGAL</v>
      </c>
      <c r="AE58" s="28"/>
      <c r="AF58" s="29" t="s">
        <v>18</v>
      </c>
      <c r="AG58" s="30"/>
      <c r="AH58" s="25" t="str">
        <f>AT60</f>
        <v>COREA DEL SUR</v>
      </c>
      <c r="AI58" s="23"/>
      <c r="AS58" s="60">
        <v>2</v>
      </c>
      <c r="AT58" s="62" t="s">
        <v>55</v>
      </c>
      <c r="AU58" s="63">
        <f>AW58*3+AX58</f>
        <v>0</v>
      </c>
      <c r="AV58" s="63">
        <f>AW58+AX58+AY58</f>
        <v>0</v>
      </c>
      <c r="AW58" s="63">
        <f>IF(Q58&gt;O58,1,0)+IF(W60&gt;Y60,1,0)+IF(AE60&gt;AG60,1,0)</f>
        <v>0</v>
      </c>
      <c r="AX58" s="63">
        <f>IF(Q58=O58,IF(ISBLANK(Q58),0,1),0)+IF(W60=Y60,IF(ISBLANK(W60),0,1),0)+IF(AE60=AG60,IF(ISBLANK(AE60),0,1),0)</f>
        <v>0</v>
      </c>
      <c r="AY58" s="63">
        <f>IF(Q58&lt;O58,1,0)+IF(W60&lt;Y60,1,0)+IF(AE60&lt;AG60,1,0)</f>
        <v>0</v>
      </c>
      <c r="AZ58" s="63">
        <f>Q58+W60+AE60</f>
        <v>0</v>
      </c>
      <c r="BA58" s="63">
        <f>O58+Y60+AG60</f>
        <v>0</v>
      </c>
      <c r="BB58" s="63">
        <f>AZ58-BA58</f>
        <v>0</v>
      </c>
      <c r="BD58" s="1">
        <f>+Tabla525263031[[#This Row],[PTS]]+ROW(BD57:BD60)/1000+COUNTIF(Tabla525263031[DIF],"&lt;="&amp;Tabla525263031[[#This Row],[DIF]])/1000+COUNTIF(Tabla525263031[GF],"&lt;="&amp;Tabla525263031[[#This Row],[GF]])/1000+COUNTIF(Tabla525263031['#],"&gt;="&amp;Tabla525263031[[#This Row],['#]])/10000</f>
        <v>6.5299999999999997E-2</v>
      </c>
      <c r="BE58" s="1">
        <f>_xlfn.RANK.EQ(BD58,BD57:BD60)</f>
        <v>2</v>
      </c>
      <c r="BF58" s="1">
        <f>+COUNTIF(Tabla525263031[DIF],"&lt;="&amp;Tabla525263031[[#This Row],[DIF]])</f>
        <v>4</v>
      </c>
      <c r="BG58" s="1">
        <f>+COUNTIF(Tabla525263031[GF],"&lt;="&amp;Tabla525263031[[#This Row],[GF]])</f>
        <v>4</v>
      </c>
      <c r="BH58" s="1">
        <f>+COUNTIF(Tabla525263031['#],"&lt;="&amp;Tabla525263031[[#This Row],['#]])</f>
        <v>2</v>
      </c>
    </row>
    <row r="59" spans="2:60" x14ac:dyDescent="0.25">
      <c r="B59" s="50">
        <v>3</v>
      </c>
      <c r="C59" s="51" t="str">
        <f>INDEX(Tabla525263031[EQUIPO],MATCH(B59,BE57:BE60,0))</f>
        <v>URUGUAY</v>
      </c>
      <c r="D59" s="52">
        <f>INDEX(Tabla525263031[PTS],MATCH(B59,BE57:BE60,0))</f>
        <v>0</v>
      </c>
      <c r="E59" s="53">
        <f>INDEX(Tabla525263031[PJ],MATCH(B59,BE57:BE60,0))</f>
        <v>0</v>
      </c>
      <c r="F59" s="53">
        <f>INDEX(Tabla525263031[PG],MATCH(B59,BE57:BE60,0))</f>
        <v>0</v>
      </c>
      <c r="G59" s="53">
        <f>INDEX(Tabla525263031[PE],MATCH(B59,BE57:BE60,0))</f>
        <v>0</v>
      </c>
      <c r="H59" s="53">
        <f>INDEX(Tabla525263031[PP],MATCH(B59,BE57:BE60,0))</f>
        <v>0</v>
      </c>
      <c r="I59" s="53">
        <f>INDEX(Tabla525263031[GF],MATCH(B59,BE57:BE60,0))</f>
        <v>0</v>
      </c>
      <c r="J59" s="53">
        <f>INDEX(Tabla525263031[GC],MATCH(B59,BE57:BE60,0))</f>
        <v>0</v>
      </c>
      <c r="K59" s="53">
        <f>INDEX(Tabla525263031[DIF],MATCH(B59,BE57:BE60,0))</f>
        <v>0</v>
      </c>
      <c r="M59" s="19" t="s">
        <v>20</v>
      </c>
      <c r="N59" s="20"/>
      <c r="O59" s="22"/>
      <c r="P59" s="20" t="s">
        <v>19</v>
      </c>
      <c r="Q59" s="20"/>
      <c r="R59" s="20"/>
      <c r="S59" s="22"/>
      <c r="U59" s="19" t="s">
        <v>20</v>
      </c>
      <c r="V59" s="20"/>
      <c r="W59" s="22"/>
      <c r="X59" s="20" t="s">
        <v>19</v>
      </c>
      <c r="Y59" s="20"/>
      <c r="Z59" s="20"/>
      <c r="AA59" s="22"/>
      <c r="AC59" s="19" t="s">
        <v>20</v>
      </c>
      <c r="AD59" s="20"/>
      <c r="AE59" s="22"/>
      <c r="AF59" s="20" t="s">
        <v>19</v>
      </c>
      <c r="AG59" s="20"/>
      <c r="AH59" s="20"/>
      <c r="AI59" s="22"/>
      <c r="AS59" s="60">
        <v>3</v>
      </c>
      <c r="AT59" s="62" t="s">
        <v>56</v>
      </c>
      <c r="AU59" s="63">
        <f>AW59*3+AX59</f>
        <v>0</v>
      </c>
      <c r="AV59" s="63">
        <f>AW59+AX59+AY59</f>
        <v>0</v>
      </c>
      <c r="AW59" s="63">
        <f>IF(O60&gt;Q60,1,0)+IF(Y58&gt;W58,1,0)+IF(AG60&gt;AE60,1,0)</f>
        <v>0</v>
      </c>
      <c r="AX59" s="63">
        <f>IF(O60=Q60,IF(ISBLANK(O60),0,1),0)+IF(Y58=W58,IF(ISBLANK(Y58),0,1),0)+IF(AG60=AE60,IF(ISBLANK(AG60),0,1),0)</f>
        <v>0</v>
      </c>
      <c r="AY59" s="63">
        <f>IF(O60&lt;Q60,1,0)+IF(Y58&lt;W58,1,0)+IF(AG60&lt;AE60,1,0)</f>
        <v>0</v>
      </c>
      <c r="AZ59" s="63">
        <f>O60+Y58+AG60</f>
        <v>0</v>
      </c>
      <c r="BA59" s="63">
        <f>Q60+W58+AE60</f>
        <v>0</v>
      </c>
      <c r="BB59" s="63">
        <f>AZ59-BA59</f>
        <v>0</v>
      </c>
      <c r="BD59" s="1">
        <f>+Tabla525263031[[#This Row],[PTS]]+ROW(BD57:BD60)/1000+COUNTIF(Tabla525263031[DIF],"&lt;="&amp;Tabla525263031[[#This Row],[DIF]])/1000+COUNTIF(Tabla525263031[GF],"&lt;="&amp;Tabla525263031[[#This Row],[GF]])/1000+COUNTIF(Tabla525263031['#],"&gt;="&amp;Tabla525263031[[#This Row],['#]])/10000</f>
        <v>6.5200000000000008E-2</v>
      </c>
      <c r="BE59" s="1">
        <f>_xlfn.RANK.EQ(BD59,BD57:BD60)</f>
        <v>3</v>
      </c>
      <c r="BF59" s="1">
        <f>+COUNTIF(Tabla525263031[DIF],"&lt;="&amp;Tabla525263031[[#This Row],[DIF]])</f>
        <v>4</v>
      </c>
      <c r="BG59" s="1">
        <f>+COUNTIF(Tabla525263031[GF],"&lt;="&amp;Tabla525263031[[#This Row],[GF]])</f>
        <v>4</v>
      </c>
      <c r="BH59" s="1">
        <f>+COUNTIF(Tabla525263031['#],"&lt;="&amp;Tabla525263031[[#This Row],['#]])</f>
        <v>3</v>
      </c>
    </row>
    <row r="60" spans="2:60" x14ac:dyDescent="0.25">
      <c r="B60" s="50">
        <v>4</v>
      </c>
      <c r="C60" s="51" t="str">
        <f>INDEX(Tabla525263031[EQUIPO],MATCH(B60,BE57:BE60,0))</f>
        <v>COREA DEL SUR</v>
      </c>
      <c r="D60" s="52">
        <f>INDEX(Tabla525263031[PTS],MATCH(B60,BE57:BE60,0))</f>
        <v>0</v>
      </c>
      <c r="E60" s="53">
        <f>INDEX(Tabla525263031[PJ],MATCH(B60,BE57:BE60,0))</f>
        <v>0</v>
      </c>
      <c r="F60" s="53">
        <f>INDEX(Tabla525263031[PG],MATCH(B60,BE57:BE60,0))</f>
        <v>0</v>
      </c>
      <c r="G60" s="53">
        <f>INDEX(Tabla525263031[PE],MATCH(B60,BE57:BE60,0))</f>
        <v>0</v>
      </c>
      <c r="H60" s="53">
        <f>INDEX(Tabla525263031[PP],MATCH(B60,BE57:BE60,0))</f>
        <v>0</v>
      </c>
      <c r="I60" s="53">
        <f>INDEX(Tabla525263031[GF],MATCH(B60,BE57:BE60,0))</f>
        <v>0</v>
      </c>
      <c r="J60" s="53">
        <f>INDEX(Tabla525263031[GC],MATCH(B60,BE57:BE60,0))</f>
        <v>0</v>
      </c>
      <c r="K60" s="53">
        <f>INDEX(Tabla525263031[DIF],MATCH(B60,BE57:BE60,0))</f>
        <v>0</v>
      </c>
      <c r="M60" s="27"/>
      <c r="N60" s="11" t="str">
        <f>AT59</f>
        <v>URUGUAY</v>
      </c>
      <c r="O60" s="31"/>
      <c r="P60" s="32" t="s">
        <v>18</v>
      </c>
      <c r="Q60" s="33"/>
      <c r="R60" s="12" t="str">
        <f>Tabla525263031[[#This Row],[EQUIPO]]</f>
        <v>COREA DEL SUR</v>
      </c>
      <c r="S60" s="18"/>
      <c r="U60" s="27"/>
      <c r="V60" s="11" t="str">
        <f>AT58</f>
        <v>GHANA</v>
      </c>
      <c r="W60" s="31"/>
      <c r="X60" s="32" t="s">
        <v>18</v>
      </c>
      <c r="Y60" s="33"/>
      <c r="Z60" s="12" t="str">
        <f>Tabla525263031[[#This Row],[EQUIPO]]</f>
        <v>COREA DEL SUR</v>
      </c>
      <c r="AA60" s="18"/>
      <c r="AC60" s="27"/>
      <c r="AD60" s="11" t="str">
        <f>AT58</f>
        <v>GHANA</v>
      </c>
      <c r="AE60" s="31"/>
      <c r="AF60" s="32" t="s">
        <v>18</v>
      </c>
      <c r="AG60" s="33"/>
      <c r="AH60" s="12" t="str">
        <f>AT59</f>
        <v>URUGUAY</v>
      </c>
      <c r="AI60" s="18"/>
      <c r="AS60" s="60">
        <v>4</v>
      </c>
      <c r="AT60" s="62" t="s">
        <v>57</v>
      </c>
      <c r="AU60" s="63">
        <f>AW60*3+AX60</f>
        <v>0</v>
      </c>
      <c r="AV60" s="63">
        <f>AW60+AX60+AY60</f>
        <v>0</v>
      </c>
      <c r="AW60" s="63">
        <f>IF(Q60&gt;O60,1,0)+IF(Y60&gt;W60,1,0)+IF(AG58&gt;AE58,1,0)</f>
        <v>0</v>
      </c>
      <c r="AX60" s="63">
        <f>IF(Q60=O60,IF(ISBLANK(Q60),0,1),0)+IF(Y60=W60,IF(ISBLANK(Y60),0,1),0)+IF(AG58=AE58,IF(ISBLANK(AG58),0,1),0)</f>
        <v>0</v>
      </c>
      <c r="AY60" s="63">
        <f>IF(Q60&lt;O60,1,0)+IF(Y60&lt;W60,1,0)+IF(AG58&lt;AE58,1,0)</f>
        <v>0</v>
      </c>
      <c r="AZ60" s="63">
        <f>Q60+Y60+AG58</f>
        <v>0</v>
      </c>
      <c r="BA60" s="63">
        <f>O60+W60+AE58</f>
        <v>0</v>
      </c>
      <c r="BB60" s="63">
        <f>AZ60-BA60</f>
        <v>0</v>
      </c>
      <c r="BD60" s="1">
        <f>+Tabla525263031[[#This Row],[PTS]]+ROW(BD57:BD60)/1000+COUNTIF(Tabla525263031[DIF],"&lt;="&amp;Tabla525263031[[#This Row],[DIF]])/1000+COUNTIF(Tabla525263031[GF],"&lt;="&amp;Tabla525263031[[#This Row],[GF]])/1000+COUNTIF(Tabla525263031['#],"&gt;="&amp;Tabla525263031[[#This Row],['#]])/10000</f>
        <v>6.5100000000000005E-2</v>
      </c>
      <c r="BE60" s="1">
        <f>_xlfn.RANK.EQ(BD60,BD57:BD60)</f>
        <v>4</v>
      </c>
      <c r="BF60" s="1">
        <f>+COUNTIF(Tabla525263031[DIF],"&lt;="&amp;Tabla525263031[[#This Row],[DIF]])</f>
        <v>4</v>
      </c>
      <c r="BG60" s="1">
        <f>+COUNTIF(Tabla525263031[GF],"&lt;="&amp;Tabla525263031[[#This Row],[GF]])</f>
        <v>4</v>
      </c>
      <c r="BH60" s="1">
        <f>+COUNTIF(Tabla525263031['#],"&lt;="&amp;Tabla525263031[[#This Row],['#]])</f>
        <v>4</v>
      </c>
    </row>
    <row r="62" spans="2:60" s="2" customFormat="1" ht="27.75" customHeight="1" x14ac:dyDescent="0.25">
      <c r="B62" s="4" t="s">
        <v>0</v>
      </c>
      <c r="V62" s="3"/>
      <c r="AS62" s="4"/>
    </row>
    <row r="63" spans="2:60" ht="3.95" customHeight="1" x14ac:dyDescent="0.25"/>
    <row r="64" spans="2:60" s="34" customFormat="1" x14ac:dyDescent="0.25">
      <c r="B64" s="35" t="s">
        <v>66</v>
      </c>
      <c r="M64" s="35" t="s">
        <v>60</v>
      </c>
    </row>
    <row r="65" spans="1:43" ht="3.95" customHeight="1" x14ac:dyDescent="0.25"/>
    <row r="66" spans="1:43" x14ac:dyDescent="0.25">
      <c r="A66" s="23"/>
      <c r="B66" s="39" t="s">
        <v>3</v>
      </c>
      <c r="C66" s="38" t="s">
        <v>67</v>
      </c>
      <c r="D66" s="37" t="s">
        <v>68</v>
      </c>
      <c r="E66" s="37"/>
      <c r="F66" s="37"/>
      <c r="G66" s="38"/>
      <c r="H66" s="39" t="s">
        <v>72</v>
      </c>
      <c r="I66" s="39" t="s">
        <v>71</v>
      </c>
      <c r="J66" s="39" t="s">
        <v>70</v>
      </c>
      <c r="K66" s="38" t="s">
        <v>69</v>
      </c>
      <c r="M66" s="13" t="s">
        <v>61</v>
      </c>
      <c r="N66" s="14"/>
      <c r="O66" s="14"/>
      <c r="P66" s="14"/>
      <c r="Q66" s="14"/>
      <c r="R66" s="14"/>
      <c r="S66" s="15"/>
      <c r="U66" s="13" t="s">
        <v>62</v>
      </c>
      <c r="V66" s="14"/>
      <c r="W66" s="14"/>
      <c r="X66" s="14"/>
      <c r="Y66" s="14"/>
      <c r="Z66" s="14"/>
      <c r="AA66" s="15"/>
      <c r="AC66" s="13" t="s">
        <v>63</v>
      </c>
      <c r="AD66" s="14"/>
      <c r="AE66" s="14"/>
      <c r="AF66" s="14"/>
      <c r="AG66" s="14"/>
      <c r="AH66" s="14"/>
      <c r="AI66" s="15"/>
      <c r="AK66" s="13" t="s">
        <v>64</v>
      </c>
      <c r="AL66" s="14"/>
      <c r="AM66" s="14"/>
      <c r="AN66" s="14"/>
      <c r="AO66" s="14"/>
      <c r="AP66" s="14"/>
      <c r="AQ66" s="15"/>
    </row>
    <row r="67" spans="1:43" x14ac:dyDescent="0.25">
      <c r="B67" s="11">
        <v>1</v>
      </c>
      <c r="C67" s="11"/>
      <c r="D67" s="10"/>
      <c r="E67" s="10"/>
      <c r="F67" s="10"/>
      <c r="G67" s="11"/>
      <c r="H67" s="12"/>
      <c r="I67" s="12"/>
      <c r="J67" s="12"/>
      <c r="K67" s="40">
        <f t="shared" ref="K67:K98" si="0">H67+I67+J67</f>
        <v>0</v>
      </c>
    </row>
    <row r="68" spans="1:43" x14ac:dyDescent="0.25">
      <c r="B68" s="12">
        <v>2</v>
      </c>
      <c r="C68" s="12"/>
      <c r="D68" s="9"/>
      <c r="E68" s="10"/>
      <c r="F68" s="10"/>
      <c r="G68" s="11"/>
      <c r="H68" s="12"/>
      <c r="I68" s="12"/>
      <c r="J68" s="12"/>
      <c r="K68" s="40">
        <f t="shared" si="0"/>
        <v>0</v>
      </c>
      <c r="M68" s="16" t="s">
        <v>20</v>
      </c>
      <c r="N68" s="17"/>
      <c r="O68" s="21"/>
      <c r="P68" s="17" t="s">
        <v>19</v>
      </c>
      <c r="Q68" s="17"/>
      <c r="R68" s="17"/>
      <c r="S68" s="42" t="s">
        <v>89</v>
      </c>
    </row>
    <row r="69" spans="1:43" x14ac:dyDescent="0.25">
      <c r="B69" s="11">
        <v>3</v>
      </c>
      <c r="C69" s="12"/>
      <c r="D69" s="9"/>
      <c r="E69" s="10"/>
      <c r="F69" s="10"/>
      <c r="G69" s="11"/>
      <c r="H69" s="12"/>
      <c r="I69" s="12"/>
      <c r="J69" s="12"/>
      <c r="K69" s="40">
        <f t="shared" si="0"/>
        <v>0</v>
      </c>
      <c r="M69" s="41" t="s">
        <v>73</v>
      </c>
      <c r="N69" s="11" t="str">
        <f>IF(E8=3,C8,"1° Grupo A")</f>
        <v>1° Grupo A</v>
      </c>
      <c r="O69" s="31"/>
      <c r="P69" s="32" t="s">
        <v>18</v>
      </c>
      <c r="Q69" s="33"/>
      <c r="R69" s="12" t="str">
        <f>IF(E16=3,C16,"2° Grupo B")</f>
        <v>2° Grupo B</v>
      </c>
      <c r="S69" s="18"/>
      <c r="T69" s="36"/>
      <c r="U69" s="16" t="s">
        <v>20</v>
      </c>
      <c r="V69" s="17"/>
      <c r="W69" s="21"/>
      <c r="X69" s="17" t="s">
        <v>19</v>
      </c>
      <c r="Y69" s="17"/>
      <c r="Z69" s="17"/>
      <c r="AA69" s="21" t="s">
        <v>97</v>
      </c>
    </row>
    <row r="70" spans="1:43" x14ac:dyDescent="0.25">
      <c r="B70" s="12">
        <v>4</v>
      </c>
      <c r="C70" s="12"/>
      <c r="D70" s="9"/>
      <c r="E70" s="10"/>
      <c r="F70" s="10"/>
      <c r="G70" s="11"/>
      <c r="H70" s="12"/>
      <c r="I70" s="12"/>
      <c r="J70" s="12"/>
      <c r="K70" s="40">
        <f t="shared" si="0"/>
        <v>0</v>
      </c>
      <c r="N70" s="55" t="str">
        <f>IF(ISBLANK(O69),"",IF(O69=Q69,"Definic. por penales:",""))</f>
        <v/>
      </c>
      <c r="O70" s="64"/>
      <c r="P70" s="64"/>
      <c r="Q70" s="64"/>
      <c r="T70" s="36"/>
      <c r="U70" s="41" t="s">
        <v>81</v>
      </c>
      <c r="V70" s="11" t="str">
        <f>IF(ISBLANK(O69),"Ganador E49",IF(O69=Q69,IF(ISBLANK(O70),"Definir partido",IF(O70&gt;Q70,N69,R69)),IF(O69&gt;Q69,N69,R69)))</f>
        <v>Ganador E49</v>
      </c>
      <c r="W70" s="31"/>
      <c r="X70" s="32" t="s">
        <v>18</v>
      </c>
      <c r="Y70" s="33"/>
      <c r="Z70" s="11" t="str">
        <f>IF(ISBLANK(O72),"Ganador E50",IF(O72=Q72,IF(ISBLANK(O73),"Definir partido",IF(O73&gt;Q73,N72,R72)),IF(O72&gt;Q72,N72,R72)))</f>
        <v>Ganador E50</v>
      </c>
      <c r="AA70" s="18"/>
      <c r="AB70" s="36"/>
    </row>
    <row r="71" spans="1:43" x14ac:dyDescent="0.25">
      <c r="B71" s="11">
        <v>5</v>
      </c>
      <c r="C71" s="12"/>
      <c r="D71" s="9"/>
      <c r="E71" s="10"/>
      <c r="F71" s="10"/>
      <c r="G71" s="11"/>
      <c r="H71" s="12"/>
      <c r="I71" s="12"/>
      <c r="J71" s="12"/>
      <c r="K71" s="40">
        <f t="shared" si="0"/>
        <v>0</v>
      </c>
      <c r="M71" s="16" t="s">
        <v>20</v>
      </c>
      <c r="N71" s="17"/>
      <c r="O71" s="21"/>
      <c r="P71" s="17" t="s">
        <v>19</v>
      </c>
      <c r="Q71" s="17"/>
      <c r="R71" s="17"/>
      <c r="S71" s="21" t="s">
        <v>90</v>
      </c>
      <c r="T71" s="36"/>
      <c r="V71" s="55" t="str">
        <f>IF(ISBLANK(W70),"",IF(W70=Y70,"Definic. por penales:",""))</f>
        <v/>
      </c>
      <c r="AB71" s="36"/>
    </row>
    <row r="72" spans="1:43" x14ac:dyDescent="0.25">
      <c r="B72" s="12">
        <v>6</v>
      </c>
      <c r="C72" s="12"/>
      <c r="D72" s="9"/>
      <c r="E72" s="10"/>
      <c r="F72" s="10"/>
      <c r="G72" s="11"/>
      <c r="H72" s="12"/>
      <c r="I72" s="12"/>
      <c r="J72" s="12"/>
      <c r="K72" s="40">
        <f t="shared" si="0"/>
        <v>0</v>
      </c>
      <c r="M72" s="41" t="s">
        <v>74</v>
      </c>
      <c r="N72" s="11" t="str">
        <f>IF(E22=3,C22,"1° Grupo C")</f>
        <v>1° Grupo C</v>
      </c>
      <c r="O72" s="31"/>
      <c r="P72" s="32" t="s">
        <v>18</v>
      </c>
      <c r="Q72" s="33"/>
      <c r="R72" s="12" t="str">
        <f>IF(E30=3,C30,"2° Grupo D")</f>
        <v>2° Grupo D</v>
      </c>
      <c r="S72" s="18"/>
      <c r="AB72" s="36"/>
      <c r="AC72" s="16" t="s">
        <v>20</v>
      </c>
      <c r="AD72" s="17"/>
      <c r="AE72" s="21"/>
      <c r="AF72" s="17" t="s">
        <v>19</v>
      </c>
      <c r="AG72" s="17"/>
      <c r="AH72" s="17"/>
      <c r="AI72" s="21" t="s">
        <v>101</v>
      </c>
    </row>
    <row r="73" spans="1:43" x14ac:dyDescent="0.25">
      <c r="B73" s="11">
        <v>7</v>
      </c>
      <c r="C73" s="12"/>
      <c r="D73" s="9"/>
      <c r="E73" s="10"/>
      <c r="F73" s="10"/>
      <c r="G73" s="11"/>
      <c r="H73" s="12"/>
      <c r="I73" s="12"/>
      <c r="J73" s="12"/>
      <c r="K73" s="40">
        <f t="shared" si="0"/>
        <v>0</v>
      </c>
      <c r="N73" s="55" t="str">
        <f>IF(ISBLANK(O72),"",IF(O72=Q72,"Definic. por penales:",""))</f>
        <v/>
      </c>
      <c r="O73" s="64"/>
      <c r="P73" s="64"/>
      <c r="Q73" s="64"/>
      <c r="AB73" s="36"/>
      <c r="AC73" s="41" t="s">
        <v>85</v>
      </c>
      <c r="AD73" s="11" t="str">
        <f>IF(ISBLANK(W70),"Ganador E57",IF(W70=Y70,IF(ISBLANK(W71),"Definir partido",IF(W71&gt;Y71,V70,Z70)),IF(W70&gt;Y70,V70,Z70)))</f>
        <v>Ganador E57</v>
      </c>
      <c r="AE73" s="31"/>
      <c r="AF73" s="32" t="s">
        <v>18</v>
      </c>
      <c r="AG73" s="33"/>
      <c r="AH73" s="11" t="str">
        <f>IF(ISBLANK(W76),"Ganador E58",IF(W76=Y76,IF(ISBLANK(W77),"Definir partido",IF(W77&gt;Y77,V76,Z76)),IF(W76&gt;Y76,V76,Z76)))</f>
        <v>Ganador E58</v>
      </c>
      <c r="AI73" s="18"/>
      <c r="AJ73" s="36"/>
    </row>
    <row r="74" spans="1:43" x14ac:dyDescent="0.25">
      <c r="B74" s="12">
        <v>8</v>
      </c>
      <c r="C74" s="12"/>
      <c r="D74" s="9"/>
      <c r="E74" s="10"/>
      <c r="F74" s="10"/>
      <c r="G74" s="11"/>
      <c r="H74" s="12"/>
      <c r="I74" s="12"/>
      <c r="J74" s="12"/>
      <c r="K74" s="40">
        <f t="shared" si="0"/>
        <v>0</v>
      </c>
      <c r="M74" s="16" t="s">
        <v>20</v>
      </c>
      <c r="N74" s="17"/>
      <c r="O74" s="21"/>
      <c r="P74" s="17" t="s">
        <v>19</v>
      </c>
      <c r="Q74" s="17"/>
      <c r="R74" s="17"/>
      <c r="S74" s="21" t="s">
        <v>93</v>
      </c>
      <c r="AB74" s="36"/>
      <c r="AD74" s="55" t="str">
        <f>IF(ISBLANK(AE73),"",IF(AE73=AG73,"Definic. por penales:",""))</f>
        <v/>
      </c>
      <c r="AJ74" s="36"/>
    </row>
    <row r="75" spans="1:43" x14ac:dyDescent="0.25">
      <c r="B75" s="11">
        <v>9</v>
      </c>
      <c r="C75" s="12"/>
      <c r="D75" s="9"/>
      <c r="E75" s="10"/>
      <c r="F75" s="10"/>
      <c r="G75" s="11"/>
      <c r="H75" s="12"/>
      <c r="I75" s="12"/>
      <c r="J75" s="12"/>
      <c r="K75" s="40">
        <f t="shared" si="0"/>
        <v>0</v>
      </c>
      <c r="M75" s="41" t="s">
        <v>77</v>
      </c>
      <c r="N75" s="11" t="str">
        <f>IF(E36=3,C36,"1° Grupo E")</f>
        <v>1° Grupo E</v>
      </c>
      <c r="O75" s="31"/>
      <c r="P75" s="32" t="s">
        <v>18</v>
      </c>
      <c r="Q75" s="33"/>
      <c r="R75" s="11" t="str">
        <f>IF(E44=3,C44,"2° Grupo F")</f>
        <v>2° Grupo F</v>
      </c>
      <c r="S75" s="18"/>
      <c r="T75" s="36"/>
      <c r="U75" s="16" t="s">
        <v>20</v>
      </c>
      <c r="V75" s="17"/>
      <c r="W75" s="21"/>
      <c r="X75" s="17" t="s">
        <v>19</v>
      </c>
      <c r="Y75" s="17"/>
      <c r="Z75" s="17"/>
      <c r="AA75" s="21" t="s">
        <v>98</v>
      </c>
      <c r="AB75" s="36"/>
      <c r="AJ75" s="36"/>
    </row>
    <row r="76" spans="1:43" x14ac:dyDescent="0.25">
      <c r="B76" s="12">
        <v>10</v>
      </c>
      <c r="C76" s="12"/>
      <c r="D76" s="9"/>
      <c r="E76" s="10"/>
      <c r="F76" s="10"/>
      <c r="G76" s="11"/>
      <c r="H76" s="12"/>
      <c r="I76" s="12"/>
      <c r="J76" s="12"/>
      <c r="K76" s="40">
        <f t="shared" si="0"/>
        <v>0</v>
      </c>
      <c r="N76" s="55" t="str">
        <f>IF(ISBLANK(O75),"",IF(O75=Q75,"Definic. por penales:",""))</f>
        <v/>
      </c>
      <c r="O76" s="64"/>
      <c r="P76" s="64"/>
      <c r="Q76" s="64"/>
      <c r="T76" s="36"/>
      <c r="U76" s="41" t="s">
        <v>82</v>
      </c>
      <c r="V76" s="11" t="str">
        <f>IF(ISBLANK(O75),"Ganador E53",IF(O75=Q75,IF(ISBLANK(O76),"Definir partido",IF(O76&gt;Q76,N75,R75)),IF(O75&gt;Q75,N75,R75)))</f>
        <v>Ganador E53</v>
      </c>
      <c r="W76" s="31"/>
      <c r="X76" s="32" t="s">
        <v>18</v>
      </c>
      <c r="Y76" s="33"/>
      <c r="Z76" s="11" t="str">
        <f>IF(ISBLANK(O78),"Ganador E54",IF(O78=Q78,IF(ISBLANK(O79),"Definir partido",IF(O79&gt;Q79,N78,R78)),IF(O78&gt;Q78,N78,R78)))</f>
        <v>Ganador E54</v>
      </c>
      <c r="AA76" s="18"/>
      <c r="AJ76" s="36"/>
    </row>
    <row r="77" spans="1:43" x14ac:dyDescent="0.25">
      <c r="B77" s="11">
        <v>11</v>
      </c>
      <c r="C77" s="12"/>
      <c r="D77" s="9"/>
      <c r="E77" s="10"/>
      <c r="F77" s="10"/>
      <c r="G77" s="11"/>
      <c r="H77" s="12"/>
      <c r="I77" s="12"/>
      <c r="J77" s="12"/>
      <c r="K77" s="40">
        <f t="shared" si="0"/>
        <v>0</v>
      </c>
      <c r="M77" s="16" t="s">
        <v>20</v>
      </c>
      <c r="N77" s="17"/>
      <c r="O77" s="21"/>
      <c r="P77" s="17" t="s">
        <v>19</v>
      </c>
      <c r="Q77" s="17"/>
      <c r="R77" s="17"/>
      <c r="S77" s="21" t="s">
        <v>94</v>
      </c>
      <c r="T77" s="36"/>
      <c r="AJ77" s="36"/>
    </row>
    <row r="78" spans="1:43" x14ac:dyDescent="0.25">
      <c r="B78" s="12">
        <v>12</v>
      </c>
      <c r="C78" s="12"/>
      <c r="D78" s="9"/>
      <c r="E78" s="10"/>
      <c r="F78" s="10"/>
      <c r="G78" s="11"/>
      <c r="H78" s="12"/>
      <c r="I78" s="12"/>
      <c r="J78" s="12"/>
      <c r="K78" s="40">
        <f t="shared" si="0"/>
        <v>0</v>
      </c>
      <c r="M78" s="41" t="s">
        <v>78</v>
      </c>
      <c r="N78" s="11" t="str">
        <f>IF(E50=3,C50,"1° Grupo G")</f>
        <v>1° Grupo G</v>
      </c>
      <c r="O78" s="31"/>
      <c r="P78" s="32" t="s">
        <v>18</v>
      </c>
      <c r="Q78" s="33"/>
      <c r="R78" s="11" t="str">
        <f>IF(E58=3,C58,"2° Grupo H")</f>
        <v>2° Grupo H</v>
      </c>
      <c r="S78" s="18"/>
      <c r="AJ78" s="36"/>
      <c r="AK78" s="16" t="s">
        <v>20</v>
      </c>
      <c r="AL78" s="17"/>
      <c r="AM78" s="21"/>
      <c r="AN78" s="17" t="s">
        <v>19</v>
      </c>
      <c r="AO78" s="17"/>
      <c r="AP78" s="17"/>
      <c r="AQ78" s="21" t="s">
        <v>104</v>
      </c>
    </row>
    <row r="79" spans="1:43" x14ac:dyDescent="0.25">
      <c r="B79" s="11">
        <v>13</v>
      </c>
      <c r="C79" s="12"/>
      <c r="D79" s="9"/>
      <c r="E79" s="10"/>
      <c r="F79" s="10"/>
      <c r="G79" s="11"/>
      <c r="H79" s="12"/>
      <c r="I79" s="12"/>
      <c r="J79" s="12"/>
      <c r="K79" s="40">
        <f t="shared" si="0"/>
        <v>0</v>
      </c>
      <c r="N79" s="55" t="str">
        <f>IF(ISBLANK(O78),"",IF(O78=Q78,"Definic. por penales:",""))</f>
        <v/>
      </c>
      <c r="O79" s="64"/>
      <c r="P79" s="64"/>
      <c r="Q79" s="64"/>
      <c r="AJ79" s="36"/>
      <c r="AK79" s="41" t="s">
        <v>88</v>
      </c>
      <c r="AL79" s="11" t="str">
        <f>IF(ISBLANK(AE73),"Ganador E61",IF(AE73=AG73,IF(ISBLANK(AE74),"Definir partido",IF(AE74&gt;AG74,AD73,AH73)),IF(AE73&gt;AG73,AD73,AH73)))</f>
        <v>Ganador E61</v>
      </c>
      <c r="AM79" s="31"/>
      <c r="AN79" s="32" t="s">
        <v>18</v>
      </c>
      <c r="AO79" s="33"/>
      <c r="AP79" s="11" t="str">
        <f>IF(ISBLANK(AE85),"Ganador E62",IF(AE85=AG85,IF(ISBLANK(AE86),"Definir partido",IF(AE86&gt;AG86,AD85,AH85)),IF(AE85&gt;AG85,AD85,AH85)))</f>
        <v>Ganador E62</v>
      </c>
      <c r="AQ79" s="18"/>
    </row>
    <row r="80" spans="1:43" x14ac:dyDescent="0.25">
      <c r="B80" s="12">
        <v>14</v>
      </c>
      <c r="C80" s="12"/>
      <c r="D80" s="9"/>
      <c r="E80" s="10"/>
      <c r="F80" s="10"/>
      <c r="G80" s="11"/>
      <c r="H80" s="12"/>
      <c r="I80" s="12"/>
      <c r="J80" s="12"/>
      <c r="K80" s="40">
        <f t="shared" si="0"/>
        <v>0</v>
      </c>
      <c r="M80" s="16" t="s">
        <v>20</v>
      </c>
      <c r="N80" s="17"/>
      <c r="O80" s="21"/>
      <c r="P80" s="17" t="s">
        <v>19</v>
      </c>
      <c r="Q80" s="17"/>
      <c r="R80" s="17"/>
      <c r="S80" s="21" t="s">
        <v>91</v>
      </c>
      <c r="AJ80" s="36"/>
      <c r="AL80" s="55" t="str">
        <f>IF(ISBLANK(AM79),"",IF(AM79=AO79,"Definic. por penales:",""))</f>
        <v/>
      </c>
    </row>
    <row r="81" spans="2:43" x14ac:dyDescent="0.25">
      <c r="B81" s="11">
        <v>15</v>
      </c>
      <c r="C81" s="12"/>
      <c r="D81" s="9"/>
      <c r="E81" s="10"/>
      <c r="F81" s="10"/>
      <c r="G81" s="11"/>
      <c r="H81" s="12"/>
      <c r="I81" s="12"/>
      <c r="J81" s="12"/>
      <c r="K81" s="40">
        <f t="shared" si="0"/>
        <v>0</v>
      </c>
      <c r="M81" s="41" t="s">
        <v>75</v>
      </c>
      <c r="N81" s="11" t="str">
        <f>IF(E15=3,C15,"1° Grupo B")</f>
        <v>1° Grupo B</v>
      </c>
      <c r="O81" s="31"/>
      <c r="P81" s="32" t="s">
        <v>18</v>
      </c>
      <c r="Q81" s="33"/>
      <c r="R81" s="11" t="str">
        <f>IF(E9=3,C9,"2° Grupo A")</f>
        <v>2° Grupo A</v>
      </c>
      <c r="S81" s="18"/>
      <c r="T81" s="36"/>
      <c r="U81" s="16" t="s">
        <v>20</v>
      </c>
      <c r="V81" s="17"/>
      <c r="W81" s="21"/>
      <c r="X81" s="17" t="s">
        <v>19</v>
      </c>
      <c r="Y81" s="17"/>
      <c r="Z81" s="17"/>
      <c r="AA81" s="21" t="s">
        <v>99</v>
      </c>
      <c r="AJ81" s="36"/>
    </row>
    <row r="82" spans="2:43" x14ac:dyDescent="0.25">
      <c r="B82" s="12">
        <v>16</v>
      </c>
      <c r="C82" s="12"/>
      <c r="D82" s="9"/>
      <c r="E82" s="10"/>
      <c r="F82" s="10"/>
      <c r="G82" s="11"/>
      <c r="H82" s="12"/>
      <c r="I82" s="12"/>
      <c r="J82" s="12"/>
      <c r="K82" s="40">
        <f t="shared" si="0"/>
        <v>0</v>
      </c>
      <c r="N82" s="55" t="str">
        <f>IF(ISBLANK(O81),"",IF(O81=Q81,"Definic. por penales:",""))</f>
        <v/>
      </c>
      <c r="O82" s="64"/>
      <c r="P82" s="64"/>
      <c r="Q82" s="64"/>
      <c r="T82" s="36"/>
      <c r="U82" s="41" t="s">
        <v>83</v>
      </c>
      <c r="V82" s="11" t="str">
        <f>IF(ISBLANK(O81),"Ganador E51",IF(O81=Q81,IF(ISBLANK(O82),"Definir partido",IF(O82&gt;Q82,N81,R81)),IF(O81&gt;Q81,N81,R81)))</f>
        <v>Ganador E51</v>
      </c>
      <c r="W82" s="31"/>
      <c r="X82" s="32" t="s">
        <v>18</v>
      </c>
      <c r="Y82" s="33"/>
      <c r="Z82" s="11" t="str">
        <f>IF(ISBLANK(O84),"Ganador E52",IF(O84=Q84,IF(ISBLANK(O85),"Definir partido",IF(O85&gt;Q85,N84,R84)),IF(O84&gt;Q84,N84,R84)))</f>
        <v>Ganador E52</v>
      </c>
      <c r="AA82" s="18"/>
      <c r="AB82" s="36"/>
      <c r="AJ82" s="36"/>
    </row>
    <row r="83" spans="2:43" x14ac:dyDescent="0.25">
      <c r="B83" s="11">
        <v>17</v>
      </c>
      <c r="C83" s="12"/>
      <c r="D83" s="9"/>
      <c r="E83" s="10"/>
      <c r="F83" s="10"/>
      <c r="G83" s="11"/>
      <c r="H83" s="12"/>
      <c r="I83" s="12"/>
      <c r="J83" s="12"/>
      <c r="K83" s="40">
        <f t="shared" si="0"/>
        <v>0</v>
      </c>
      <c r="M83" s="16" t="s">
        <v>20</v>
      </c>
      <c r="N83" s="17"/>
      <c r="O83" s="21"/>
      <c r="P83" s="17" t="s">
        <v>19</v>
      </c>
      <c r="Q83" s="17"/>
      <c r="R83" s="17"/>
      <c r="S83" s="21" t="s">
        <v>92</v>
      </c>
      <c r="T83" s="36"/>
      <c r="V83" s="55" t="str">
        <f>IF(ISBLANK(W82),"",IF(W82=Y82,"Definic. por penales:",""))</f>
        <v/>
      </c>
      <c r="AB83" s="36"/>
      <c r="AJ83" s="36"/>
    </row>
    <row r="84" spans="2:43" x14ac:dyDescent="0.25">
      <c r="B84" s="12">
        <v>18</v>
      </c>
      <c r="C84" s="12"/>
      <c r="D84" s="9"/>
      <c r="E84" s="10"/>
      <c r="F84" s="10"/>
      <c r="G84" s="11"/>
      <c r="H84" s="12"/>
      <c r="I84" s="12"/>
      <c r="J84" s="12"/>
      <c r="K84" s="40">
        <f t="shared" si="0"/>
        <v>0</v>
      </c>
      <c r="M84" s="41" t="s">
        <v>76</v>
      </c>
      <c r="N84" s="11" t="str">
        <f>IF(E29=3,C29,"1° Grupo D")</f>
        <v>1° Grupo D</v>
      </c>
      <c r="O84" s="31"/>
      <c r="P84" s="32" t="s">
        <v>18</v>
      </c>
      <c r="Q84" s="33"/>
      <c r="R84" s="12" t="str">
        <f>IF(E23=3,C23,"2° Grupo C")</f>
        <v>2° Grupo C</v>
      </c>
      <c r="S84" s="18"/>
      <c r="AB84" s="36"/>
      <c r="AC84" s="16" t="s">
        <v>20</v>
      </c>
      <c r="AD84" s="17"/>
      <c r="AE84" s="21"/>
      <c r="AF84" s="17" t="s">
        <v>19</v>
      </c>
      <c r="AG84" s="17"/>
      <c r="AH84" s="17"/>
      <c r="AI84" s="21" t="s">
        <v>102</v>
      </c>
      <c r="AJ84" s="36"/>
    </row>
    <row r="85" spans="2:43" x14ac:dyDescent="0.25">
      <c r="B85" s="11">
        <v>19</v>
      </c>
      <c r="C85" s="12"/>
      <c r="D85" s="9"/>
      <c r="E85" s="10"/>
      <c r="F85" s="10"/>
      <c r="G85" s="11"/>
      <c r="H85" s="12"/>
      <c r="I85" s="12"/>
      <c r="J85" s="12"/>
      <c r="K85" s="40">
        <f t="shared" si="0"/>
        <v>0</v>
      </c>
      <c r="N85" s="55" t="str">
        <f>IF(ISBLANK(O84),"",IF(O84=Q84,"Definic. por penales:",""))</f>
        <v/>
      </c>
      <c r="O85" s="64"/>
      <c r="P85" s="64"/>
      <c r="Q85" s="64"/>
      <c r="AB85" s="36"/>
      <c r="AC85" s="41" t="s">
        <v>86</v>
      </c>
      <c r="AD85" s="11" t="str">
        <f>IF(ISBLANK(W82),"Ganador E59",IF(W82=Y82,IF(ISBLANK(W83),"Definir partido",IF(W83&gt;Y83,V82,Z82)),IF(W82&gt;Y82,V82,Z82)))</f>
        <v>Ganador E59</v>
      </c>
      <c r="AE85" s="31"/>
      <c r="AF85" s="32" t="s">
        <v>18</v>
      </c>
      <c r="AG85" s="33"/>
      <c r="AH85" s="11" t="str">
        <f>IF(ISBLANK(W88),"Ganador E60",IF(W88=Y88,IF(ISBLANK(W89),"Definir partido",IF(W89&gt;Y89,V88,Z88)),IF(W88&gt;Y88,V88,Z88)))</f>
        <v>Ganador E60</v>
      </c>
      <c r="AI85" s="18"/>
    </row>
    <row r="86" spans="2:43" x14ac:dyDescent="0.25">
      <c r="B86" s="12">
        <v>20</v>
      </c>
      <c r="C86" s="12"/>
      <c r="D86" s="9"/>
      <c r="E86" s="10"/>
      <c r="F86" s="10"/>
      <c r="G86" s="11"/>
      <c r="H86" s="12"/>
      <c r="I86" s="12"/>
      <c r="J86" s="12"/>
      <c r="K86" s="40">
        <f t="shared" si="0"/>
        <v>0</v>
      </c>
      <c r="M86" s="16" t="s">
        <v>20</v>
      </c>
      <c r="N86" s="17"/>
      <c r="O86" s="21"/>
      <c r="P86" s="17" t="s">
        <v>19</v>
      </c>
      <c r="Q86" s="17"/>
      <c r="R86" s="17"/>
      <c r="S86" s="21" t="s">
        <v>95</v>
      </c>
      <c r="AB86" s="36"/>
      <c r="AD86" s="55" t="str">
        <f>IF(ISBLANK(AE85),"",IF(AE85=AG85,"Definic. por penales:",""))</f>
        <v/>
      </c>
    </row>
    <row r="87" spans="2:43" x14ac:dyDescent="0.25">
      <c r="B87" s="11">
        <v>21</v>
      </c>
      <c r="C87" s="12"/>
      <c r="D87" s="9"/>
      <c r="E87" s="10"/>
      <c r="F87" s="10"/>
      <c r="G87" s="11"/>
      <c r="H87" s="12"/>
      <c r="I87" s="12"/>
      <c r="J87" s="12"/>
      <c r="K87" s="40">
        <f t="shared" si="0"/>
        <v>0</v>
      </c>
      <c r="M87" s="41" t="s">
        <v>79</v>
      </c>
      <c r="N87" s="11" t="str">
        <f>IF(E43=3,C43,"1° Grupo F")</f>
        <v>1° Grupo F</v>
      </c>
      <c r="O87" s="31"/>
      <c r="P87" s="32" t="s">
        <v>18</v>
      </c>
      <c r="Q87" s="33"/>
      <c r="R87" s="11" t="str">
        <f>IF(E37=3,C37,"2° Grupo E")</f>
        <v>2° Grupo E</v>
      </c>
      <c r="S87" s="18"/>
      <c r="T87" s="36"/>
      <c r="U87" s="16" t="s">
        <v>20</v>
      </c>
      <c r="V87" s="17"/>
      <c r="W87" s="21"/>
      <c r="X87" s="17" t="s">
        <v>19</v>
      </c>
      <c r="Y87" s="17"/>
      <c r="Z87" s="17"/>
      <c r="AA87" s="21" t="s">
        <v>100</v>
      </c>
      <c r="AB87" s="36"/>
      <c r="AK87" s="13" t="s">
        <v>65</v>
      </c>
      <c r="AL87" s="14"/>
      <c r="AM87" s="14"/>
      <c r="AN87" s="14"/>
      <c r="AO87" s="14"/>
      <c r="AP87" s="14"/>
      <c r="AQ87" s="15"/>
    </row>
    <row r="88" spans="2:43" x14ac:dyDescent="0.25">
      <c r="B88" s="12">
        <v>22</v>
      </c>
      <c r="C88" s="12"/>
      <c r="D88" s="9"/>
      <c r="E88" s="10"/>
      <c r="F88" s="10"/>
      <c r="G88" s="11"/>
      <c r="H88" s="12"/>
      <c r="I88" s="12"/>
      <c r="J88" s="12"/>
      <c r="K88" s="40">
        <f t="shared" si="0"/>
        <v>0</v>
      </c>
      <c r="N88" s="55" t="str">
        <f>IF(ISBLANK(O87),"",IF(O87=Q87,"Definic. por penales:",""))</f>
        <v/>
      </c>
      <c r="O88" s="64"/>
      <c r="P88" s="64"/>
      <c r="Q88" s="64"/>
      <c r="T88" s="36"/>
      <c r="U88" s="41" t="s">
        <v>84</v>
      </c>
      <c r="V88" s="11" t="str">
        <f>IF(ISBLANK(O87),"Ganador E55",IF(O87=Q87,IF(ISBLANK(O88),"Definir partido",IF(O88&gt;Q88,N87,R87)),IF(O87&gt;Q87,N87,R87)))</f>
        <v>Ganador E55</v>
      </c>
      <c r="W88" s="31"/>
      <c r="X88" s="32" t="s">
        <v>18</v>
      </c>
      <c r="Y88" s="33"/>
      <c r="Z88" s="11" t="str">
        <f>IF(ISBLANK(O90),"Ganador E56",IF(O90=Q90,IF(ISBLANK(O91),"Definir partido",IF(O91&gt;Q91,N90,R90)),IF(O90&gt;Q90,N90,R90)))</f>
        <v>Ganador E56</v>
      </c>
      <c r="AA88" s="18"/>
    </row>
    <row r="89" spans="2:43" x14ac:dyDescent="0.25">
      <c r="B89" s="11">
        <v>23</v>
      </c>
      <c r="C89" s="12"/>
      <c r="D89" s="9"/>
      <c r="E89" s="10"/>
      <c r="F89" s="10"/>
      <c r="G89" s="11"/>
      <c r="H89" s="12"/>
      <c r="I89" s="12"/>
      <c r="J89" s="12"/>
      <c r="K89" s="40">
        <f t="shared" si="0"/>
        <v>0</v>
      </c>
      <c r="M89" s="16" t="s">
        <v>20</v>
      </c>
      <c r="N89" s="17"/>
      <c r="O89" s="21"/>
      <c r="P89" s="17" t="s">
        <v>19</v>
      </c>
      <c r="Q89" s="17"/>
      <c r="R89" s="17"/>
      <c r="S89" s="21" t="s">
        <v>96</v>
      </c>
      <c r="T89" s="36"/>
      <c r="V89" s="55" t="str">
        <f>IF(ISBLANK(W88),"",IF(W88=Y88,"Definic. por penales:",""))</f>
        <v/>
      </c>
      <c r="AK89" s="16" t="s">
        <v>20</v>
      </c>
      <c r="AL89" s="17"/>
      <c r="AM89" s="21"/>
      <c r="AN89" s="17" t="s">
        <v>19</v>
      </c>
      <c r="AO89" s="17"/>
      <c r="AP89" s="17"/>
      <c r="AQ89" s="21" t="s">
        <v>103</v>
      </c>
    </row>
    <row r="90" spans="2:43" x14ac:dyDescent="0.25">
      <c r="B90" s="12">
        <v>24</v>
      </c>
      <c r="C90" s="12"/>
      <c r="D90" s="9"/>
      <c r="E90" s="10"/>
      <c r="F90" s="10"/>
      <c r="G90" s="11"/>
      <c r="H90" s="12"/>
      <c r="I90" s="12"/>
      <c r="J90" s="12"/>
      <c r="K90" s="40">
        <f t="shared" si="0"/>
        <v>0</v>
      </c>
      <c r="M90" s="41" t="s">
        <v>80</v>
      </c>
      <c r="N90" s="11" t="str">
        <f>IF(E57=3,C57,"1° Grupo H")</f>
        <v>1° Grupo H</v>
      </c>
      <c r="O90" s="31"/>
      <c r="P90" s="32" t="s">
        <v>18</v>
      </c>
      <c r="Q90" s="33"/>
      <c r="R90" s="11" t="str">
        <f>IF(E51=3,C51,"2° Grupo G")</f>
        <v>2° Grupo G</v>
      </c>
      <c r="S90" s="18"/>
      <c r="AK90" s="41" t="s">
        <v>87</v>
      </c>
      <c r="AL90" s="11" t="str">
        <f>IF(ISBLANK(AE73),"Perdedor E61",IF(AE73=AG73,IF(ISBLANK(AE74),"Definir partido",IF(AE74&lt;AG74,AD73,AH73)),IF(AE73&lt;AG73,AD73,AH73)))</f>
        <v>Perdedor E61</v>
      </c>
      <c r="AM90" s="31"/>
      <c r="AN90" s="32" t="s">
        <v>18</v>
      </c>
      <c r="AO90" s="33"/>
      <c r="AP90" s="12" t="str">
        <f>IF(ISBLANK(AE85),"Perdedor E62",IF(AE85=AG85,IF(ISBLANK(AE86),"Definir partido",IF(AE86&lt;AG86,AD85,AH85)),IF(AE85&lt;AG85,AD85,AH85)))</f>
        <v>Perdedor E62</v>
      </c>
      <c r="AQ90" s="18"/>
    </row>
    <row r="91" spans="2:43" x14ac:dyDescent="0.25">
      <c r="B91" s="11">
        <v>25</v>
      </c>
      <c r="C91" s="12"/>
      <c r="D91" s="9"/>
      <c r="E91" s="10"/>
      <c r="F91" s="10"/>
      <c r="G91" s="11"/>
      <c r="H91" s="12"/>
      <c r="I91" s="12"/>
      <c r="J91" s="12"/>
      <c r="K91" s="40">
        <f t="shared" si="0"/>
        <v>0</v>
      </c>
      <c r="N91" s="55" t="str">
        <f>IF(ISBLANK(O90),"",IF(O90=Q90,"Definic. por penales:",""))</f>
        <v/>
      </c>
      <c r="O91" s="64"/>
      <c r="P91" s="64"/>
      <c r="Q91" s="64"/>
      <c r="AL91" s="55" t="str">
        <f>IF(ISBLANK(AM90),"",IF(AM90=AO90,"Definic. por penales:",""))</f>
        <v/>
      </c>
    </row>
    <row r="92" spans="2:43" x14ac:dyDescent="0.25">
      <c r="B92" s="12">
        <v>26</v>
      </c>
      <c r="C92" s="12"/>
      <c r="D92" s="9"/>
      <c r="E92" s="10"/>
      <c r="F92" s="10"/>
      <c r="G92" s="11"/>
      <c r="H92" s="12"/>
      <c r="I92" s="12"/>
      <c r="J92" s="12"/>
      <c r="K92" s="40">
        <f t="shared" si="0"/>
        <v>0</v>
      </c>
      <c r="M92" s="68" t="s">
        <v>116</v>
      </c>
      <c r="N92" s="66"/>
      <c r="O92" s="56"/>
      <c r="P92" s="56"/>
      <c r="Q92" s="56"/>
      <c r="R92" s="56"/>
      <c r="S92" s="58"/>
    </row>
    <row r="93" spans="2:43" x14ac:dyDescent="0.25">
      <c r="B93" s="11">
        <v>27</v>
      </c>
      <c r="C93" s="12"/>
      <c r="D93" s="9"/>
      <c r="E93" s="10"/>
      <c r="F93" s="10"/>
      <c r="G93" s="11"/>
      <c r="H93" s="12"/>
      <c r="I93" s="12"/>
      <c r="J93" s="12"/>
      <c r="K93" s="40">
        <f t="shared" si="0"/>
        <v>0</v>
      </c>
    </row>
    <row r="94" spans="2:43" x14ac:dyDescent="0.25">
      <c r="B94" s="12">
        <v>28</v>
      </c>
      <c r="C94" s="12"/>
      <c r="D94" s="9"/>
      <c r="E94" s="10"/>
      <c r="F94" s="10"/>
      <c r="G94" s="11"/>
      <c r="H94" s="12"/>
      <c r="I94" s="12"/>
      <c r="J94" s="12"/>
      <c r="K94" s="40">
        <f t="shared" si="0"/>
        <v>0</v>
      </c>
      <c r="M94" s="57" t="s">
        <v>105</v>
      </c>
      <c r="N94" s="56"/>
      <c r="O94" s="56"/>
      <c r="P94" s="56"/>
      <c r="Q94" s="56"/>
      <c r="R94" s="56"/>
      <c r="S94" s="58" t="s">
        <v>122</v>
      </c>
    </row>
    <row r="95" spans="2:43" x14ac:dyDescent="0.25">
      <c r="B95" s="11">
        <v>29</v>
      </c>
      <c r="C95" s="12"/>
      <c r="D95" s="9"/>
      <c r="E95" s="10"/>
      <c r="F95" s="10"/>
      <c r="G95" s="11"/>
      <c r="H95" s="12"/>
      <c r="I95" s="12"/>
      <c r="J95" s="12"/>
      <c r="K95" s="40">
        <f t="shared" si="0"/>
        <v>0</v>
      </c>
    </row>
    <row r="96" spans="2:43" x14ac:dyDescent="0.25">
      <c r="B96" s="12">
        <v>30</v>
      </c>
      <c r="C96" s="12"/>
      <c r="D96" s="9"/>
      <c r="E96" s="10"/>
      <c r="F96" s="10"/>
      <c r="G96" s="11"/>
      <c r="H96" s="12"/>
      <c r="I96" s="12"/>
      <c r="J96" s="12"/>
      <c r="K96" s="40">
        <f t="shared" si="0"/>
        <v>0</v>
      </c>
    </row>
    <row r="97" spans="2:18" x14ac:dyDescent="0.25">
      <c r="B97" s="11">
        <v>31</v>
      </c>
      <c r="C97" s="12"/>
      <c r="D97" s="9"/>
      <c r="E97" s="10"/>
      <c r="F97" s="10"/>
      <c r="G97" s="11"/>
      <c r="H97" s="12"/>
      <c r="I97" s="12"/>
      <c r="J97" s="12"/>
      <c r="K97" s="40">
        <f t="shared" si="0"/>
        <v>0</v>
      </c>
    </row>
    <row r="98" spans="2:18" x14ac:dyDescent="0.25">
      <c r="B98" s="12">
        <v>32</v>
      </c>
      <c r="C98" s="12"/>
      <c r="D98" s="9"/>
      <c r="E98" s="10"/>
      <c r="F98" s="10"/>
      <c r="G98" s="11"/>
      <c r="H98" s="12"/>
      <c r="I98" s="12"/>
      <c r="J98" s="12"/>
      <c r="K98" s="40">
        <f t="shared" si="0"/>
        <v>0</v>
      </c>
    </row>
    <row r="99" spans="2:18" x14ac:dyDescent="0.25">
      <c r="B99" s="11">
        <v>33</v>
      </c>
      <c r="C99" s="12"/>
      <c r="D99" s="9"/>
      <c r="E99" s="10"/>
      <c r="F99" s="10"/>
      <c r="G99" s="11"/>
      <c r="H99" s="12"/>
      <c r="I99" s="12"/>
      <c r="J99" s="12"/>
      <c r="K99" s="40">
        <f t="shared" ref="K99:K130" si="1">H99+I99+J99</f>
        <v>0</v>
      </c>
    </row>
    <row r="100" spans="2:18" x14ac:dyDescent="0.25">
      <c r="B100" s="12">
        <v>34</v>
      </c>
      <c r="C100" s="12"/>
      <c r="D100" s="9"/>
      <c r="E100" s="10"/>
      <c r="F100" s="10"/>
      <c r="G100" s="11"/>
      <c r="H100" s="12"/>
      <c r="I100" s="12"/>
      <c r="J100" s="12"/>
      <c r="K100" s="40">
        <f t="shared" si="1"/>
        <v>0</v>
      </c>
      <c r="R100" s="67"/>
    </row>
    <row r="101" spans="2:18" x14ac:dyDescent="0.25">
      <c r="B101" s="11">
        <v>35</v>
      </c>
      <c r="C101" s="12"/>
      <c r="D101" s="9"/>
      <c r="E101" s="10"/>
      <c r="F101" s="10"/>
      <c r="G101" s="11"/>
      <c r="H101" s="12"/>
      <c r="I101" s="12"/>
      <c r="J101" s="12"/>
      <c r="K101" s="40">
        <f t="shared" si="1"/>
        <v>0</v>
      </c>
    </row>
    <row r="102" spans="2:18" x14ac:dyDescent="0.25">
      <c r="B102" s="12">
        <v>36</v>
      </c>
      <c r="C102" s="12"/>
      <c r="D102" s="9"/>
      <c r="E102" s="10"/>
      <c r="F102" s="10"/>
      <c r="G102" s="11"/>
      <c r="H102" s="12"/>
      <c r="I102" s="12"/>
      <c r="J102" s="12"/>
      <c r="K102" s="40">
        <f t="shared" si="1"/>
        <v>0</v>
      </c>
    </row>
    <row r="103" spans="2:18" x14ac:dyDescent="0.25">
      <c r="B103" s="11">
        <v>37</v>
      </c>
      <c r="C103" s="12"/>
      <c r="D103" s="9"/>
      <c r="E103" s="10"/>
      <c r="F103" s="10"/>
      <c r="G103" s="11"/>
      <c r="H103" s="12"/>
      <c r="I103" s="12"/>
      <c r="J103" s="12"/>
      <c r="K103" s="40">
        <f t="shared" si="1"/>
        <v>0</v>
      </c>
    </row>
    <row r="104" spans="2:18" x14ac:dyDescent="0.25">
      <c r="B104" s="12">
        <v>38</v>
      </c>
      <c r="C104" s="12"/>
      <c r="D104" s="9"/>
      <c r="E104" s="10"/>
      <c r="F104" s="10"/>
      <c r="G104" s="11"/>
      <c r="H104" s="12"/>
      <c r="I104" s="12"/>
      <c r="J104" s="12"/>
      <c r="K104" s="40">
        <f t="shared" si="1"/>
        <v>0</v>
      </c>
    </row>
    <row r="105" spans="2:18" x14ac:dyDescent="0.25">
      <c r="B105" s="11">
        <v>39</v>
      </c>
      <c r="C105" s="12"/>
      <c r="D105" s="9"/>
      <c r="E105" s="10"/>
      <c r="F105" s="10"/>
      <c r="G105" s="11"/>
      <c r="H105" s="12"/>
      <c r="I105" s="12"/>
      <c r="J105" s="12"/>
      <c r="K105" s="40">
        <f t="shared" si="1"/>
        <v>0</v>
      </c>
    </row>
    <row r="106" spans="2:18" x14ac:dyDescent="0.25">
      <c r="B106" s="12">
        <v>40</v>
      </c>
      <c r="C106" s="12"/>
      <c r="D106" s="9"/>
      <c r="E106" s="10"/>
      <c r="F106" s="10"/>
      <c r="G106" s="11"/>
      <c r="H106" s="12"/>
      <c r="I106" s="12"/>
      <c r="J106" s="12"/>
      <c r="K106" s="40">
        <f t="shared" si="1"/>
        <v>0</v>
      </c>
    </row>
    <row r="107" spans="2:18" x14ac:dyDescent="0.25">
      <c r="B107" s="11">
        <v>41</v>
      </c>
      <c r="C107" s="12"/>
      <c r="D107" s="9"/>
      <c r="E107" s="10"/>
      <c r="F107" s="10"/>
      <c r="G107" s="11"/>
      <c r="H107" s="12"/>
      <c r="I107" s="12"/>
      <c r="J107" s="12"/>
      <c r="K107" s="40">
        <f t="shared" si="1"/>
        <v>0</v>
      </c>
    </row>
    <row r="108" spans="2:18" x14ac:dyDescent="0.25">
      <c r="B108" s="12">
        <v>42</v>
      </c>
      <c r="C108" s="12"/>
      <c r="D108" s="9"/>
      <c r="E108" s="10"/>
      <c r="F108" s="10"/>
      <c r="G108" s="11"/>
      <c r="H108" s="12"/>
      <c r="I108" s="12"/>
      <c r="J108" s="12"/>
      <c r="K108" s="40">
        <f t="shared" si="1"/>
        <v>0</v>
      </c>
    </row>
    <row r="109" spans="2:18" x14ac:dyDescent="0.25">
      <c r="B109" s="11">
        <v>43</v>
      </c>
      <c r="C109" s="12"/>
      <c r="D109" s="9"/>
      <c r="E109" s="10"/>
      <c r="F109" s="10"/>
      <c r="G109" s="11"/>
      <c r="H109" s="12"/>
      <c r="I109" s="12"/>
      <c r="J109" s="12"/>
      <c r="K109" s="40">
        <f t="shared" si="1"/>
        <v>0</v>
      </c>
    </row>
    <row r="110" spans="2:18" x14ac:dyDescent="0.25">
      <c r="B110" s="12">
        <v>44</v>
      </c>
      <c r="C110" s="12"/>
      <c r="D110" s="9"/>
      <c r="E110" s="10"/>
      <c r="F110" s="10"/>
      <c r="G110" s="11"/>
      <c r="H110" s="12"/>
      <c r="I110" s="12"/>
      <c r="J110" s="12"/>
      <c r="K110" s="40">
        <f t="shared" si="1"/>
        <v>0</v>
      </c>
    </row>
    <row r="111" spans="2:18" x14ac:dyDescent="0.25">
      <c r="B111" s="11">
        <v>45</v>
      </c>
      <c r="C111" s="12"/>
      <c r="D111" s="9"/>
      <c r="E111" s="10"/>
      <c r="F111" s="10"/>
      <c r="G111" s="11"/>
      <c r="H111" s="12"/>
      <c r="I111" s="12"/>
      <c r="J111" s="12"/>
      <c r="K111" s="40">
        <f t="shared" si="1"/>
        <v>0</v>
      </c>
    </row>
    <row r="112" spans="2:18" x14ac:dyDescent="0.25">
      <c r="B112" s="12">
        <v>46</v>
      </c>
      <c r="C112" s="12"/>
      <c r="D112" s="9"/>
      <c r="E112" s="10"/>
      <c r="F112" s="10"/>
      <c r="G112" s="11"/>
      <c r="H112" s="12"/>
      <c r="I112" s="12"/>
      <c r="J112" s="12"/>
      <c r="K112" s="40">
        <f t="shared" si="1"/>
        <v>0</v>
      </c>
    </row>
    <row r="113" spans="2:11" x14ac:dyDescent="0.25">
      <c r="B113" s="11">
        <v>47</v>
      </c>
      <c r="C113" s="12"/>
      <c r="D113" s="9"/>
      <c r="E113" s="10"/>
      <c r="F113" s="10"/>
      <c r="G113" s="11"/>
      <c r="H113" s="12"/>
      <c r="I113" s="12"/>
      <c r="J113" s="12"/>
      <c r="K113" s="40">
        <f t="shared" si="1"/>
        <v>0</v>
      </c>
    </row>
    <row r="114" spans="2:11" x14ac:dyDescent="0.25">
      <c r="B114" s="12">
        <v>48</v>
      </c>
      <c r="C114" s="12"/>
      <c r="D114" s="9"/>
      <c r="E114" s="10"/>
      <c r="F114" s="10"/>
      <c r="G114" s="11"/>
      <c r="H114" s="12"/>
      <c r="I114" s="12"/>
      <c r="J114" s="12"/>
      <c r="K114" s="40">
        <f t="shared" si="1"/>
        <v>0</v>
      </c>
    </row>
    <row r="115" spans="2:11" x14ac:dyDescent="0.25">
      <c r="B115" s="11">
        <v>49</v>
      </c>
      <c r="C115" s="12"/>
      <c r="D115" s="9"/>
      <c r="E115" s="10"/>
      <c r="F115" s="10"/>
      <c r="G115" s="11"/>
      <c r="H115" s="12"/>
      <c r="I115" s="12"/>
      <c r="J115" s="12"/>
      <c r="K115" s="40">
        <f t="shared" si="1"/>
        <v>0</v>
      </c>
    </row>
    <row r="116" spans="2:11" x14ac:dyDescent="0.25">
      <c r="B116" s="12">
        <v>50</v>
      </c>
      <c r="C116" s="12"/>
      <c r="D116" s="9"/>
      <c r="E116" s="10"/>
      <c r="F116" s="10"/>
      <c r="G116" s="11"/>
      <c r="H116" s="12"/>
      <c r="I116" s="12"/>
      <c r="J116" s="12"/>
      <c r="K116" s="40">
        <f t="shared" si="1"/>
        <v>0</v>
      </c>
    </row>
    <row r="117" spans="2:11" x14ac:dyDescent="0.25">
      <c r="B117" s="11">
        <v>51</v>
      </c>
      <c r="C117" s="12"/>
      <c r="D117" s="9"/>
      <c r="E117" s="10"/>
      <c r="F117" s="10"/>
      <c r="G117" s="11"/>
      <c r="H117" s="12"/>
      <c r="I117" s="12"/>
      <c r="J117" s="12"/>
      <c r="K117" s="40">
        <f t="shared" si="1"/>
        <v>0</v>
      </c>
    </row>
    <row r="118" spans="2:11" x14ac:dyDescent="0.25">
      <c r="B118" s="12">
        <v>52</v>
      </c>
      <c r="C118" s="12"/>
      <c r="D118" s="9"/>
      <c r="E118" s="10"/>
      <c r="F118" s="10"/>
      <c r="G118" s="11"/>
      <c r="H118" s="12"/>
      <c r="I118" s="12"/>
      <c r="J118" s="12"/>
      <c r="K118" s="40">
        <f t="shared" si="1"/>
        <v>0</v>
      </c>
    </row>
    <row r="119" spans="2:11" x14ac:dyDescent="0.25">
      <c r="B119" s="11">
        <v>53</v>
      </c>
      <c r="C119" s="12"/>
      <c r="D119" s="9"/>
      <c r="E119" s="10"/>
      <c r="F119" s="10"/>
      <c r="G119" s="11"/>
      <c r="H119" s="12"/>
      <c r="I119" s="12"/>
      <c r="J119" s="12"/>
      <c r="K119" s="40">
        <f t="shared" si="1"/>
        <v>0</v>
      </c>
    </row>
    <row r="120" spans="2:11" x14ac:dyDescent="0.25">
      <c r="B120" s="12">
        <v>54</v>
      </c>
      <c r="C120" s="12"/>
      <c r="D120" s="9"/>
      <c r="E120" s="10"/>
      <c r="F120" s="10"/>
      <c r="G120" s="11"/>
      <c r="H120" s="12"/>
      <c r="I120" s="12"/>
      <c r="J120" s="12"/>
      <c r="K120" s="40">
        <f t="shared" si="1"/>
        <v>0</v>
      </c>
    </row>
    <row r="121" spans="2:11" x14ac:dyDescent="0.25">
      <c r="B121" s="11">
        <v>55</v>
      </c>
      <c r="C121" s="12"/>
      <c r="D121" s="9"/>
      <c r="E121" s="10"/>
      <c r="F121" s="10"/>
      <c r="G121" s="11"/>
      <c r="H121" s="12"/>
      <c r="I121" s="12"/>
      <c r="J121" s="12"/>
      <c r="K121" s="40">
        <f t="shared" si="1"/>
        <v>0</v>
      </c>
    </row>
    <row r="122" spans="2:11" x14ac:dyDescent="0.25">
      <c r="B122" s="12">
        <v>56</v>
      </c>
      <c r="C122" s="12"/>
      <c r="D122" s="9"/>
      <c r="E122" s="10"/>
      <c r="F122" s="10"/>
      <c r="G122" s="11"/>
      <c r="H122" s="12"/>
      <c r="I122" s="12"/>
      <c r="J122" s="12"/>
      <c r="K122" s="40">
        <f t="shared" si="1"/>
        <v>0</v>
      </c>
    </row>
    <row r="123" spans="2:11" x14ac:dyDescent="0.25">
      <c r="B123" s="11">
        <v>57</v>
      </c>
      <c r="C123" s="12"/>
      <c r="D123" s="9"/>
      <c r="E123" s="10"/>
      <c r="F123" s="10"/>
      <c r="G123" s="11"/>
      <c r="H123" s="12"/>
      <c r="I123" s="12"/>
      <c r="J123" s="12"/>
      <c r="K123" s="40">
        <f t="shared" si="1"/>
        <v>0</v>
      </c>
    </row>
    <row r="124" spans="2:11" x14ac:dyDescent="0.25">
      <c r="B124" s="12">
        <v>58</v>
      </c>
      <c r="C124" s="12"/>
      <c r="D124" s="9"/>
      <c r="E124" s="10"/>
      <c r="F124" s="10"/>
      <c r="G124" s="11"/>
      <c r="H124" s="12"/>
      <c r="I124" s="12"/>
      <c r="J124" s="12"/>
      <c r="K124" s="40">
        <f t="shared" si="1"/>
        <v>0</v>
      </c>
    </row>
    <row r="125" spans="2:11" x14ac:dyDescent="0.25">
      <c r="B125" s="11">
        <v>59</v>
      </c>
      <c r="C125" s="12"/>
      <c r="D125" s="9"/>
      <c r="E125" s="10"/>
      <c r="F125" s="10"/>
      <c r="G125" s="11"/>
      <c r="H125" s="12"/>
      <c r="I125" s="12"/>
      <c r="J125" s="12"/>
      <c r="K125" s="40">
        <f t="shared" si="1"/>
        <v>0</v>
      </c>
    </row>
    <row r="126" spans="2:11" x14ac:dyDescent="0.25">
      <c r="B126" s="12">
        <v>60</v>
      </c>
      <c r="C126" s="12"/>
      <c r="D126" s="9"/>
      <c r="E126" s="10"/>
      <c r="F126" s="10"/>
      <c r="G126" s="11"/>
      <c r="H126" s="12"/>
      <c r="I126" s="12"/>
      <c r="J126" s="12"/>
      <c r="K126" s="40">
        <f t="shared" si="1"/>
        <v>0</v>
      </c>
    </row>
    <row r="127" spans="2:11" x14ac:dyDescent="0.25">
      <c r="B127" s="11">
        <v>61</v>
      </c>
      <c r="C127" s="12"/>
      <c r="D127" s="9"/>
      <c r="E127" s="10"/>
      <c r="F127" s="10"/>
      <c r="G127" s="11"/>
      <c r="H127" s="12"/>
      <c r="I127" s="12"/>
      <c r="J127" s="12"/>
      <c r="K127" s="40">
        <f t="shared" si="1"/>
        <v>0</v>
      </c>
    </row>
    <row r="128" spans="2:11" x14ac:dyDescent="0.25">
      <c r="B128" s="12">
        <v>62</v>
      </c>
      <c r="C128" s="12"/>
      <c r="D128" s="9"/>
      <c r="E128" s="10"/>
      <c r="F128" s="10"/>
      <c r="G128" s="11"/>
      <c r="H128" s="12"/>
      <c r="I128" s="12"/>
      <c r="J128" s="12"/>
      <c r="K128" s="40">
        <f t="shared" si="1"/>
        <v>0</v>
      </c>
    </row>
    <row r="129" spans="2:11" x14ac:dyDescent="0.25">
      <c r="B129" s="11">
        <v>63</v>
      </c>
      <c r="C129" s="12"/>
      <c r="D129" s="9"/>
      <c r="E129" s="10"/>
      <c r="F129" s="10"/>
      <c r="G129" s="11"/>
      <c r="H129" s="12"/>
      <c r="I129" s="12"/>
      <c r="J129" s="12"/>
      <c r="K129" s="40">
        <f t="shared" si="1"/>
        <v>0</v>
      </c>
    </row>
    <row r="130" spans="2:11" x14ac:dyDescent="0.25">
      <c r="B130" s="12">
        <v>64</v>
      </c>
      <c r="C130" s="12"/>
      <c r="D130" s="9"/>
      <c r="E130" s="10"/>
      <c r="F130" s="10"/>
      <c r="G130" s="11"/>
      <c r="H130" s="12"/>
      <c r="I130" s="12"/>
      <c r="J130" s="12"/>
      <c r="K130" s="40">
        <f t="shared" si="1"/>
        <v>0</v>
      </c>
    </row>
    <row r="131" spans="2:11" x14ac:dyDescent="0.25">
      <c r="B131" s="11">
        <v>65</v>
      </c>
      <c r="C131" s="12"/>
      <c r="D131" s="9"/>
      <c r="E131" s="10"/>
      <c r="F131" s="10"/>
      <c r="G131" s="11"/>
      <c r="H131" s="12"/>
      <c r="I131" s="12"/>
      <c r="J131" s="12"/>
      <c r="K131" s="40">
        <f t="shared" ref="K131:K146" si="2">H131+I131+J131</f>
        <v>0</v>
      </c>
    </row>
    <row r="132" spans="2:11" x14ac:dyDescent="0.25">
      <c r="B132" s="12">
        <v>66</v>
      </c>
      <c r="C132" s="12"/>
      <c r="D132" s="9"/>
      <c r="E132" s="10"/>
      <c r="F132" s="10"/>
      <c r="G132" s="11"/>
      <c r="H132" s="12"/>
      <c r="I132" s="12"/>
      <c r="J132" s="12"/>
      <c r="K132" s="40">
        <f t="shared" si="2"/>
        <v>0</v>
      </c>
    </row>
    <row r="133" spans="2:11" x14ac:dyDescent="0.25">
      <c r="B133" s="11">
        <v>67</v>
      </c>
      <c r="C133" s="12"/>
      <c r="D133" s="9"/>
      <c r="E133" s="10"/>
      <c r="F133" s="10"/>
      <c r="G133" s="11"/>
      <c r="H133" s="12"/>
      <c r="I133" s="12"/>
      <c r="J133" s="12"/>
      <c r="K133" s="40">
        <f t="shared" si="2"/>
        <v>0</v>
      </c>
    </row>
    <row r="134" spans="2:11" x14ac:dyDescent="0.25">
      <c r="B134" s="12">
        <v>68</v>
      </c>
      <c r="C134" s="12"/>
      <c r="D134" s="9"/>
      <c r="E134" s="10"/>
      <c r="F134" s="10"/>
      <c r="G134" s="11"/>
      <c r="H134" s="12"/>
      <c r="I134" s="12"/>
      <c r="J134" s="12"/>
      <c r="K134" s="40">
        <f t="shared" si="2"/>
        <v>0</v>
      </c>
    </row>
    <row r="135" spans="2:11" x14ac:dyDescent="0.25">
      <c r="B135" s="11">
        <v>69</v>
      </c>
      <c r="C135" s="12"/>
      <c r="D135" s="9"/>
      <c r="E135" s="10"/>
      <c r="F135" s="10"/>
      <c r="G135" s="11"/>
      <c r="H135" s="12"/>
      <c r="I135" s="12"/>
      <c r="J135" s="12"/>
      <c r="K135" s="40">
        <f t="shared" si="2"/>
        <v>0</v>
      </c>
    </row>
    <row r="136" spans="2:11" x14ac:dyDescent="0.25">
      <c r="B136" s="12">
        <v>70</v>
      </c>
      <c r="C136" s="12"/>
      <c r="D136" s="9"/>
      <c r="E136" s="10"/>
      <c r="F136" s="10"/>
      <c r="G136" s="11"/>
      <c r="H136" s="12"/>
      <c r="I136" s="12"/>
      <c r="J136" s="12"/>
      <c r="K136" s="40">
        <f t="shared" si="2"/>
        <v>0</v>
      </c>
    </row>
    <row r="137" spans="2:11" x14ac:dyDescent="0.25">
      <c r="B137" s="11">
        <v>71</v>
      </c>
      <c r="C137" s="12"/>
      <c r="D137" s="9"/>
      <c r="E137" s="10"/>
      <c r="F137" s="10"/>
      <c r="G137" s="11"/>
      <c r="H137" s="12"/>
      <c r="I137" s="12"/>
      <c r="J137" s="12"/>
      <c r="K137" s="40">
        <f t="shared" si="2"/>
        <v>0</v>
      </c>
    </row>
    <row r="138" spans="2:11" x14ac:dyDescent="0.25">
      <c r="B138" s="12">
        <v>72</v>
      </c>
      <c r="C138" s="12"/>
      <c r="D138" s="9"/>
      <c r="E138" s="10"/>
      <c r="F138" s="10"/>
      <c r="G138" s="11"/>
      <c r="H138" s="12"/>
      <c r="I138" s="12"/>
      <c r="J138" s="12"/>
      <c r="K138" s="40">
        <f t="shared" si="2"/>
        <v>0</v>
      </c>
    </row>
    <row r="139" spans="2:11" x14ac:dyDescent="0.25">
      <c r="B139" s="11">
        <v>73</v>
      </c>
      <c r="C139" s="12"/>
      <c r="D139" s="9"/>
      <c r="E139" s="10"/>
      <c r="F139" s="10"/>
      <c r="G139" s="11"/>
      <c r="H139" s="12"/>
      <c r="I139" s="12"/>
      <c r="J139" s="12"/>
      <c r="K139" s="40">
        <f t="shared" si="2"/>
        <v>0</v>
      </c>
    </row>
    <row r="140" spans="2:11" x14ac:dyDescent="0.25">
      <c r="B140" s="12">
        <v>74</v>
      </c>
      <c r="C140" s="12"/>
      <c r="D140" s="9"/>
      <c r="E140" s="10"/>
      <c r="F140" s="10"/>
      <c r="G140" s="11"/>
      <c r="H140" s="12"/>
      <c r="I140" s="12"/>
      <c r="J140" s="12"/>
      <c r="K140" s="40">
        <f t="shared" si="2"/>
        <v>0</v>
      </c>
    </row>
    <row r="141" spans="2:11" x14ac:dyDescent="0.25">
      <c r="B141" s="11">
        <v>75</v>
      </c>
      <c r="C141" s="12"/>
      <c r="D141" s="9"/>
      <c r="E141" s="10"/>
      <c r="F141" s="10"/>
      <c r="G141" s="11"/>
      <c r="H141" s="12"/>
      <c r="I141" s="12"/>
      <c r="J141" s="12"/>
      <c r="K141" s="40">
        <f t="shared" si="2"/>
        <v>0</v>
      </c>
    </row>
    <row r="142" spans="2:11" x14ac:dyDescent="0.25">
      <c r="B142" s="12">
        <v>76</v>
      </c>
      <c r="C142" s="12"/>
      <c r="D142" s="9"/>
      <c r="E142" s="10"/>
      <c r="F142" s="10"/>
      <c r="G142" s="11"/>
      <c r="H142" s="12"/>
      <c r="I142" s="12"/>
      <c r="J142" s="12"/>
      <c r="K142" s="40">
        <f t="shared" si="2"/>
        <v>0</v>
      </c>
    </row>
    <row r="143" spans="2:11" x14ac:dyDescent="0.25">
      <c r="B143" s="11">
        <v>77</v>
      </c>
      <c r="C143" s="12"/>
      <c r="D143" s="9"/>
      <c r="E143" s="10"/>
      <c r="F143" s="10"/>
      <c r="G143" s="11"/>
      <c r="H143" s="12"/>
      <c r="I143" s="12"/>
      <c r="J143" s="12"/>
      <c r="K143" s="40">
        <f t="shared" si="2"/>
        <v>0</v>
      </c>
    </row>
    <row r="144" spans="2:11" x14ac:dyDescent="0.25">
      <c r="B144" s="12">
        <v>78</v>
      </c>
      <c r="C144" s="12"/>
      <c r="D144" s="9"/>
      <c r="E144" s="10"/>
      <c r="F144" s="10"/>
      <c r="G144" s="11"/>
      <c r="H144" s="12"/>
      <c r="I144" s="12"/>
      <c r="J144" s="12"/>
      <c r="K144" s="40">
        <f t="shared" si="2"/>
        <v>0</v>
      </c>
    </row>
    <row r="145" spans="2:11" x14ac:dyDescent="0.25">
      <c r="B145" s="11">
        <v>79</v>
      </c>
      <c r="C145" s="12"/>
      <c r="D145" s="9"/>
      <c r="E145" s="10"/>
      <c r="F145" s="10"/>
      <c r="G145" s="11"/>
      <c r="H145" s="12"/>
      <c r="I145" s="12"/>
      <c r="J145" s="12"/>
      <c r="K145" s="40">
        <f t="shared" si="2"/>
        <v>0</v>
      </c>
    </row>
    <row r="146" spans="2:11" x14ac:dyDescent="0.25">
      <c r="B146" s="12">
        <v>80</v>
      </c>
      <c r="C146" s="12"/>
      <c r="D146" s="9"/>
      <c r="E146" s="10"/>
      <c r="F146" s="10"/>
      <c r="G146" s="11"/>
      <c r="H146" s="12"/>
      <c r="I146" s="12"/>
      <c r="J146" s="12"/>
      <c r="K146" s="40">
        <f t="shared" si="2"/>
        <v>0</v>
      </c>
    </row>
  </sheetData>
  <protectedRanges>
    <protectedRange algorithmName="SHA-512" hashValue="QJZpuJ3c2jD0mxLAuDHl/gPeQIFs3JEtNEuRU0m2g8gvRSRjdR5p6dWNRogUqZnQhtKz0BxEngx7FE4vGQGRqQ==" saltValue="aceWG6Qa8qwGkCK0rLPfTw==" spinCount="100000" sqref="B6:K60" name="Rango1" securityDescriptor="O:WDG:WDD:(D;;CC;;;WD)"/>
  </protectedRanges>
  <sortState xmlns:xlrd2="http://schemas.microsoft.com/office/spreadsheetml/2017/richdata2" ref="B67:K146">
    <sortCondition descending="1" ref="K67:K146"/>
  </sortState>
  <dataConsolidate/>
  <conditionalFormatting sqref="O70">
    <cfRule type="notContainsBlanks" dxfId="119" priority="17">
      <formula>LEN(TRIM(O70))&gt;0</formula>
    </cfRule>
  </conditionalFormatting>
  <conditionalFormatting sqref="Q70">
    <cfRule type="notContainsBlanks" dxfId="118" priority="15">
      <formula>LEN(TRIM(Q70))&gt;0</formula>
    </cfRule>
  </conditionalFormatting>
  <conditionalFormatting sqref="O73">
    <cfRule type="notContainsBlanks" dxfId="117" priority="14">
      <formula>LEN(TRIM(O73))&gt;0</formula>
    </cfRule>
  </conditionalFormatting>
  <conditionalFormatting sqref="Q73">
    <cfRule type="notContainsBlanks" dxfId="116" priority="13">
      <formula>LEN(TRIM(Q73))&gt;0</formula>
    </cfRule>
  </conditionalFormatting>
  <conditionalFormatting sqref="O76">
    <cfRule type="notContainsBlanks" dxfId="115" priority="12">
      <formula>LEN(TRIM(O76))&gt;0</formula>
    </cfRule>
  </conditionalFormatting>
  <conditionalFormatting sqref="Q76">
    <cfRule type="notContainsBlanks" dxfId="114" priority="11">
      <formula>LEN(TRIM(Q76))&gt;0</formula>
    </cfRule>
  </conditionalFormatting>
  <conditionalFormatting sqref="O79">
    <cfRule type="notContainsBlanks" dxfId="113" priority="10">
      <formula>LEN(TRIM(O79))&gt;0</formula>
    </cfRule>
  </conditionalFormatting>
  <conditionalFormatting sqref="Q79">
    <cfRule type="notContainsBlanks" dxfId="112" priority="9">
      <formula>LEN(TRIM(Q79))&gt;0</formula>
    </cfRule>
  </conditionalFormatting>
  <conditionalFormatting sqref="O82">
    <cfRule type="notContainsBlanks" dxfId="111" priority="8">
      <formula>LEN(TRIM(O82))&gt;0</formula>
    </cfRule>
  </conditionalFormatting>
  <conditionalFormatting sqref="Q82">
    <cfRule type="notContainsBlanks" dxfId="110" priority="7">
      <formula>LEN(TRIM(Q82))&gt;0</formula>
    </cfRule>
  </conditionalFormatting>
  <conditionalFormatting sqref="O85">
    <cfRule type="notContainsBlanks" dxfId="109" priority="6">
      <formula>LEN(TRIM(O85))&gt;0</formula>
    </cfRule>
  </conditionalFormatting>
  <conditionalFormatting sqref="Q85">
    <cfRule type="notContainsBlanks" dxfId="108" priority="5">
      <formula>LEN(TRIM(Q85))&gt;0</formula>
    </cfRule>
  </conditionalFormatting>
  <conditionalFormatting sqref="O88">
    <cfRule type="notContainsBlanks" dxfId="107" priority="4">
      <formula>LEN(TRIM(O88))&gt;0</formula>
    </cfRule>
  </conditionalFormatting>
  <conditionalFormatting sqref="Q88">
    <cfRule type="notContainsBlanks" dxfId="106" priority="3">
      <formula>LEN(TRIM(Q88))&gt;0</formula>
    </cfRule>
  </conditionalFormatting>
  <conditionalFormatting sqref="O91">
    <cfRule type="notContainsBlanks" dxfId="105" priority="2">
      <formula>LEN(TRIM(O91))&gt;0</formula>
    </cfRule>
  </conditionalFormatting>
  <conditionalFormatting sqref="Q91">
    <cfRule type="notContainsBlanks" dxfId="104" priority="1">
      <formula>LEN(TRIM(Q91))&gt;0</formula>
    </cfRule>
  </conditionalFormatting>
  <hyperlinks>
    <hyperlink ref="M92" location="Ejemplo!A1" display="En caso de definición por penales escribir debajo del resultado" xr:uid="{8AE7A48F-6987-4549-A27A-0FD285488B16}"/>
  </hyperlinks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27ED-98E9-4401-8FF4-FAA88211B0A9}">
  <dimension ref="A1:B6"/>
  <sheetViews>
    <sheetView workbookViewId="0">
      <selection activeCell="B6" sqref="B6"/>
    </sheetView>
  </sheetViews>
  <sheetFormatPr baseColWidth="10" defaultRowHeight="15" x14ac:dyDescent="0.25"/>
  <cols>
    <col min="2" max="2" width="100" customWidth="1"/>
  </cols>
  <sheetData>
    <row r="1" spans="1:2" x14ac:dyDescent="0.25">
      <c r="A1" s="59" t="s">
        <v>106</v>
      </c>
      <c r="B1" s="59" t="s">
        <v>107</v>
      </c>
    </row>
    <row r="2" spans="1:2" x14ac:dyDescent="0.25">
      <c r="A2" t="s">
        <v>108</v>
      </c>
      <c r="B2" t="s">
        <v>109</v>
      </c>
    </row>
    <row r="3" spans="1:2" x14ac:dyDescent="0.25">
      <c r="A3" t="s">
        <v>110</v>
      </c>
      <c r="B3" t="s">
        <v>115</v>
      </c>
    </row>
    <row r="4" spans="1:2" x14ac:dyDescent="0.25">
      <c r="A4" t="s">
        <v>111</v>
      </c>
      <c r="B4" t="s">
        <v>114</v>
      </c>
    </row>
    <row r="5" spans="1:2" x14ac:dyDescent="0.25">
      <c r="A5" t="s">
        <v>112</v>
      </c>
      <c r="B5" t="s">
        <v>113</v>
      </c>
    </row>
    <row r="6" spans="1:2" x14ac:dyDescent="0.25">
      <c r="A6" t="s">
        <v>120</v>
      </c>
      <c r="B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2D8E-8D70-415C-B9E7-E572735313C1}">
  <dimension ref="B2:J6"/>
  <sheetViews>
    <sheetView workbookViewId="0"/>
  </sheetViews>
  <sheetFormatPr baseColWidth="10" defaultRowHeight="15" x14ac:dyDescent="0.25"/>
  <cols>
    <col min="5" max="5" width="5.7109375" customWidth="1"/>
    <col min="7" max="7" width="5.7109375" customWidth="1"/>
  </cols>
  <sheetData>
    <row r="2" spans="2:10" x14ac:dyDescent="0.25">
      <c r="B2" s="1"/>
      <c r="C2" s="1"/>
      <c r="D2" s="1"/>
      <c r="E2" s="1"/>
      <c r="F2" s="1"/>
      <c r="G2" s="1"/>
      <c r="H2" s="1"/>
      <c r="I2" s="1"/>
      <c r="J2" s="1"/>
    </row>
    <row r="3" spans="2:10" x14ac:dyDescent="0.25">
      <c r="B3" s="1"/>
      <c r="C3" s="16" t="s">
        <v>20</v>
      </c>
      <c r="D3" s="17"/>
      <c r="E3" s="21"/>
      <c r="F3" s="17" t="s">
        <v>19</v>
      </c>
      <c r="G3" s="17"/>
      <c r="H3" s="17"/>
      <c r="I3" s="42"/>
      <c r="J3" s="1"/>
    </row>
    <row r="4" spans="2:10" x14ac:dyDescent="0.25">
      <c r="B4" s="1"/>
      <c r="C4" s="41"/>
      <c r="D4" s="11" t="s">
        <v>117</v>
      </c>
      <c r="E4" s="31">
        <v>1</v>
      </c>
      <c r="F4" s="32" t="s">
        <v>18</v>
      </c>
      <c r="G4" s="33">
        <v>1</v>
      </c>
      <c r="H4" s="12" t="s">
        <v>118</v>
      </c>
      <c r="I4" s="18"/>
      <c r="J4" s="1"/>
    </row>
    <row r="5" spans="2:10" x14ac:dyDescent="0.25">
      <c r="B5" s="1"/>
      <c r="C5" s="1"/>
      <c r="D5" s="1"/>
      <c r="E5" s="65">
        <v>3</v>
      </c>
      <c r="F5" s="64"/>
      <c r="G5" s="65">
        <v>4</v>
      </c>
      <c r="H5" s="1"/>
      <c r="I5" s="1"/>
      <c r="J5" s="1"/>
    </row>
    <row r="6" spans="2:10" x14ac:dyDescent="0.25">
      <c r="B6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7828B3-A417-4030-A806-C7DB21B3FC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FIXTURE</vt:lpstr>
      <vt:lpstr>Datos de actualizaciones</vt:lpstr>
      <vt:lpstr>Ejemplo</vt:lpstr>
      <vt:lpstr>GRUPOA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JAVIER</cp:lastModifiedBy>
  <dcterms:created xsi:type="dcterms:W3CDTF">2022-04-01T17:48:10Z</dcterms:created>
  <dcterms:modified xsi:type="dcterms:W3CDTF">2022-09-05T12:46:41Z</dcterms:modified>
</cp:coreProperties>
</file>