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pgadev\usrp3\top\n3xx\dboards\mg\doc\"/>
    </mc:Choice>
  </mc:AlternateContent>
  <bookViews>
    <workbookView xWindow="0" yWindow="0" windowWidth="28800" windowHeight="11610" firstSheet="1" activeTab="3"/>
  </bookViews>
  <sheets>
    <sheet name="SYSREF Transmit (not used)" sheetId="1" state="hidden" r:id="rId1"/>
    <sheet name="Coverage Gaps!" sheetId="2" r:id="rId2"/>
    <sheet name="SYREF to Mykonos" sheetId="3" r:id="rId3"/>
    <sheet name="SYREF to FPGA" sheetId="4" r:id="rId4"/>
    <sheet name="PL SPI at CPLD" sheetId="5" r:id="rId5"/>
    <sheet name="PL SPI at FPGA" sheetId="6" r:id="rId6"/>
    <sheet name="PS SPI at CPLD" sheetId="7" r:id="rId7"/>
    <sheet name="PS SPI at FPGA" sheetId="8" r:id="rId8"/>
  </sheets>
  <calcPr calcId="171027"/>
</workbook>
</file>

<file path=xl/calcChain.xml><?xml version="1.0" encoding="utf-8"?>
<calcChain xmlns="http://schemas.openxmlformats.org/spreadsheetml/2006/main">
  <c r="B29" i="4" l="1"/>
  <c r="C29" i="4" s="1"/>
  <c r="C30" i="4" s="1"/>
  <c r="B7" i="3"/>
  <c r="B8" i="3"/>
  <c r="B44" i="8"/>
  <c r="C44" i="8" s="1"/>
  <c r="C45" i="8" s="1"/>
  <c r="B42" i="8"/>
  <c r="B41" i="8"/>
  <c r="B37" i="8"/>
  <c r="B34" i="8"/>
  <c r="C34" i="8" s="1"/>
  <c r="B28" i="8"/>
  <c r="B27" i="8"/>
  <c r="C27" i="8" s="1"/>
  <c r="C28" i="8" s="1"/>
  <c r="C29" i="8" s="1"/>
  <c r="B25" i="8"/>
  <c r="B20" i="8"/>
  <c r="B17" i="8"/>
  <c r="B16" i="8"/>
  <c r="C16" i="8" s="1"/>
  <c r="C17" i="8" s="1"/>
  <c r="L6" i="8"/>
  <c r="G6" i="8"/>
  <c r="I6" i="8" s="1"/>
  <c r="B6" i="8"/>
  <c r="L5" i="8"/>
  <c r="H5" i="8"/>
  <c r="G5" i="8"/>
  <c r="I5" i="8" s="1"/>
  <c r="B23" i="8" s="1"/>
  <c r="B5" i="8"/>
  <c r="H4" i="8"/>
  <c r="G4" i="8"/>
  <c r="I4" i="8" s="1"/>
  <c r="D4" i="8"/>
  <c r="B4" i="8"/>
  <c r="I3" i="8"/>
  <c r="B18" i="8" s="1"/>
  <c r="G3" i="8"/>
  <c r="H3" i="8" s="1"/>
  <c r="B35" i="8" s="1"/>
  <c r="B42" i="7"/>
  <c r="C39" i="7"/>
  <c r="B33" i="7"/>
  <c r="B26" i="7"/>
  <c r="B17" i="7"/>
  <c r="B8" i="7"/>
  <c r="B7" i="7"/>
  <c r="I6" i="7"/>
  <c r="H6" i="7"/>
  <c r="G6" i="7"/>
  <c r="G5" i="7"/>
  <c r="I5" i="7" s="1"/>
  <c r="B18" i="7" s="1"/>
  <c r="B5" i="7"/>
  <c r="B32" i="7" s="1"/>
  <c r="C32" i="7" s="1"/>
  <c r="C33" i="7" s="1"/>
  <c r="G4" i="7"/>
  <c r="I4" i="7" s="1"/>
  <c r="B4" i="7"/>
  <c r="B6" i="7" s="1"/>
  <c r="I3" i="7"/>
  <c r="B40" i="7" s="1"/>
  <c r="C40" i="7" s="1"/>
  <c r="C41" i="7" s="1"/>
  <c r="C42" i="7" s="1"/>
  <c r="C43" i="7" s="1"/>
  <c r="H3" i="7"/>
  <c r="G3" i="7"/>
  <c r="C42" i="6"/>
  <c r="C43" i="6" s="1"/>
  <c r="B39" i="6"/>
  <c r="B37" i="6"/>
  <c r="B35" i="6"/>
  <c r="C32" i="6"/>
  <c r="B22" i="6"/>
  <c r="B20" i="6"/>
  <c r="B16" i="6"/>
  <c r="C16" i="6" s="1"/>
  <c r="C17" i="6" s="1"/>
  <c r="B10" i="6"/>
  <c r="I6" i="6"/>
  <c r="H6" i="6"/>
  <c r="G6" i="6"/>
  <c r="G5" i="6"/>
  <c r="I5" i="6" s="1"/>
  <c r="B23" i="6" s="1"/>
  <c r="I4" i="6"/>
  <c r="H4" i="6"/>
  <c r="G4" i="6"/>
  <c r="D4" i="6"/>
  <c r="B4" i="6" s="1"/>
  <c r="B6" i="6" s="1"/>
  <c r="B26" i="6" s="1"/>
  <c r="C26" i="6" s="1"/>
  <c r="C27" i="6" s="1"/>
  <c r="G3" i="6"/>
  <c r="H3" i="6" s="1"/>
  <c r="B33" i="6" s="1"/>
  <c r="C33" i="6" s="1"/>
  <c r="C34" i="6" s="1"/>
  <c r="C35" i="6" s="1"/>
  <c r="B37" i="5"/>
  <c r="C35" i="5"/>
  <c r="B30" i="5"/>
  <c r="B23" i="5"/>
  <c r="B16" i="5"/>
  <c r="I6" i="5"/>
  <c r="H6" i="5"/>
  <c r="G6" i="5"/>
  <c r="B6" i="5"/>
  <c r="G5" i="5"/>
  <c r="H5" i="5" s="1"/>
  <c r="B31" i="5" s="1"/>
  <c r="B5" i="5"/>
  <c r="B15" i="5" s="1"/>
  <c r="C15" i="5" s="1"/>
  <c r="C16" i="5" s="1"/>
  <c r="G4" i="5"/>
  <c r="I4" i="5" s="1"/>
  <c r="B4" i="5"/>
  <c r="D4" i="5" s="1"/>
  <c r="I3" i="5"/>
  <c r="H3" i="5"/>
  <c r="G3" i="5"/>
  <c r="B37" i="4"/>
  <c r="C35" i="4"/>
  <c r="B35" i="4"/>
  <c r="B30" i="4"/>
  <c r="B23" i="4"/>
  <c r="B16" i="4"/>
  <c r="B8" i="4"/>
  <c r="I6" i="4"/>
  <c r="G6" i="4"/>
  <c r="H6" i="4" s="1"/>
  <c r="G5" i="4"/>
  <c r="I5" i="4" s="1"/>
  <c r="B17" i="4" s="1"/>
  <c r="I4" i="4"/>
  <c r="G4" i="4"/>
  <c r="H4" i="4" s="1"/>
  <c r="B4" i="4"/>
  <c r="B6" i="4" s="1"/>
  <c r="I3" i="4"/>
  <c r="B36" i="4" s="1"/>
  <c r="H3" i="4"/>
  <c r="G3" i="4"/>
  <c r="B39" i="3"/>
  <c r="B38" i="3"/>
  <c r="C36" i="3"/>
  <c r="C37" i="3" s="1"/>
  <c r="C38" i="3" s="1"/>
  <c r="C39" i="3" s="1"/>
  <c r="C40" i="3" s="1"/>
  <c r="B36" i="3"/>
  <c r="B32" i="3"/>
  <c r="B31" i="3"/>
  <c r="B24" i="3"/>
  <c r="B23" i="3"/>
  <c r="B22" i="3"/>
  <c r="B17" i="3"/>
  <c r="B16" i="3"/>
  <c r="B6" i="3"/>
  <c r="B21" i="3" s="1"/>
  <c r="C21" i="3" s="1"/>
  <c r="C22" i="3" s="1"/>
  <c r="C23" i="3" s="1"/>
  <c r="C24" i="3" s="1"/>
  <c r="C25" i="3" s="1"/>
  <c r="I4" i="3"/>
  <c r="B37" i="3" s="1"/>
  <c r="H4" i="3"/>
  <c r="B4" i="3"/>
  <c r="I3" i="3"/>
  <c r="H3" i="3"/>
  <c r="B47" i="1"/>
  <c r="B46" i="1"/>
  <c r="B44" i="1"/>
  <c r="C43" i="1"/>
  <c r="C44" i="1" s="1"/>
  <c r="B43" i="1"/>
  <c r="B35" i="1"/>
  <c r="B34" i="1"/>
  <c r="C34" i="1" s="1"/>
  <c r="C35" i="1" s="1"/>
  <c r="B28" i="1"/>
  <c r="B27" i="1"/>
  <c r="B26" i="1"/>
  <c r="B25" i="1"/>
  <c r="B24" i="1"/>
  <c r="C24" i="1" s="1"/>
  <c r="C25" i="1" s="1"/>
  <c r="C26" i="1" s="1"/>
  <c r="C27" i="1" s="1"/>
  <c r="C28" i="1" s="1"/>
  <c r="C29" i="1" s="1"/>
  <c r="B16" i="1"/>
  <c r="C15" i="1"/>
  <c r="C16" i="1" s="1"/>
  <c r="B15" i="1"/>
  <c r="B8" i="1"/>
  <c r="G7" i="1"/>
  <c r="H7" i="1" s="1"/>
  <c r="L6" i="1"/>
  <c r="G6" i="1"/>
  <c r="I6" i="1" s="1"/>
  <c r="B6" i="1"/>
  <c r="L5" i="1" s="1"/>
  <c r="G5" i="1"/>
  <c r="H5" i="1" s="1"/>
  <c r="G4" i="1"/>
  <c r="I4" i="1" s="1"/>
  <c r="I3" i="1"/>
  <c r="B45" i="1" s="1"/>
  <c r="H3" i="1"/>
  <c r="B15" i="4" l="1"/>
  <c r="C15" i="4" s="1"/>
  <c r="C16" i="4" s="1"/>
  <c r="C17" i="4" s="1"/>
  <c r="C18" i="4" s="1"/>
  <c r="B15" i="3"/>
  <c r="C15" i="3" s="1"/>
  <c r="B30" i="3"/>
  <c r="C30" i="3" s="1"/>
  <c r="C31" i="3" s="1"/>
  <c r="C32" i="3" s="1"/>
  <c r="C33" i="3" s="1"/>
  <c r="C41" i="3" s="1"/>
  <c r="L6" i="3" s="1"/>
  <c r="C16" i="3"/>
  <c r="C17" i="3" s="1"/>
  <c r="C18" i="3" s="1"/>
  <c r="C26" i="3" s="1"/>
  <c r="L5" i="3" s="1"/>
  <c r="B24" i="7"/>
  <c r="C45" i="1"/>
  <c r="C46" i="1" s="1"/>
  <c r="C47" i="1" s="1"/>
  <c r="C48" i="1" s="1"/>
  <c r="C17" i="5"/>
  <c r="C18" i="5" s="1"/>
  <c r="B23" i="7"/>
  <c r="C23" i="7" s="1"/>
  <c r="C24" i="7" s="1"/>
  <c r="C25" i="7" s="1"/>
  <c r="C26" i="7" s="1"/>
  <c r="C27" i="7" s="1"/>
  <c r="C28" i="7" s="1"/>
  <c r="L7" i="7" s="1"/>
  <c r="C36" i="4"/>
  <c r="C37" i="4" s="1"/>
  <c r="C38" i="4" s="1"/>
  <c r="C35" i="8"/>
  <c r="C36" i="8" s="1"/>
  <c r="C37" i="8" s="1"/>
  <c r="C39" i="8" s="1"/>
  <c r="C40" i="8" s="1"/>
  <c r="C41" i="8" s="1"/>
  <c r="C42" i="8" s="1"/>
  <c r="C43" i="8" s="1"/>
  <c r="C46" i="8" s="1"/>
  <c r="L8" i="8" s="1"/>
  <c r="B22" i="4"/>
  <c r="C37" i="6"/>
  <c r="C18" i="8"/>
  <c r="C19" i="8" s="1"/>
  <c r="C20" i="8" s="1"/>
  <c r="C22" i="8" s="1"/>
  <c r="C23" i="8" s="1"/>
  <c r="C24" i="8" s="1"/>
  <c r="C25" i="8" s="1"/>
  <c r="C26" i="8" s="1"/>
  <c r="C30" i="8" s="1"/>
  <c r="L7" i="8" s="1"/>
  <c r="B21" i="4"/>
  <c r="C21" i="4" s="1"/>
  <c r="C22" i="4" s="1"/>
  <c r="C23" i="4" s="1"/>
  <c r="C24" i="4" s="1"/>
  <c r="B36" i="5"/>
  <c r="C36" i="5" s="1"/>
  <c r="C37" i="5" s="1"/>
  <c r="C38" i="5" s="1"/>
  <c r="C18" i="6"/>
  <c r="C19" i="6" s="1"/>
  <c r="C20" i="6" s="1"/>
  <c r="C22" i="6" s="1"/>
  <c r="C23" i="6" s="1"/>
  <c r="C24" i="6" s="1"/>
  <c r="C25" i="6" s="1"/>
  <c r="H5" i="6"/>
  <c r="B38" i="6" s="1"/>
  <c r="I5" i="1"/>
  <c r="B17" i="1" s="1"/>
  <c r="C17" i="1" s="1"/>
  <c r="C19" i="1" s="1"/>
  <c r="C20" i="1" s="1"/>
  <c r="C21" i="1" s="1"/>
  <c r="C30" i="1" s="1"/>
  <c r="L7" i="1" s="1"/>
  <c r="I5" i="5"/>
  <c r="B17" i="5" s="1"/>
  <c r="B21" i="5"/>
  <c r="C21" i="5" s="1"/>
  <c r="B29" i="5"/>
  <c r="C29" i="5" s="1"/>
  <c r="C30" i="5" s="1"/>
  <c r="C31" i="5" s="1"/>
  <c r="C32" i="5" s="1"/>
  <c r="I3" i="6"/>
  <c r="B18" i="6" s="1"/>
  <c r="I7" i="1"/>
  <c r="B20" i="1" s="1"/>
  <c r="D4" i="7"/>
  <c r="H4" i="5"/>
  <c r="B22" i="5" s="1"/>
  <c r="H4" i="7"/>
  <c r="B16" i="7"/>
  <c r="C16" i="7" s="1"/>
  <c r="C17" i="7" s="1"/>
  <c r="C18" i="7" s="1"/>
  <c r="C19" i="7" s="1"/>
  <c r="C20" i="7" s="1"/>
  <c r="H6" i="8"/>
  <c r="B40" i="8" s="1"/>
  <c r="H4" i="1"/>
  <c r="B36" i="1" s="1"/>
  <c r="C36" i="1" s="1"/>
  <c r="C38" i="1" s="1"/>
  <c r="C39" i="1" s="1"/>
  <c r="C40" i="1" s="1"/>
  <c r="C49" i="1" s="1"/>
  <c r="L8" i="1" s="1"/>
  <c r="H6" i="1"/>
  <c r="B39" i="1" s="1"/>
  <c r="H5" i="4"/>
  <c r="B31" i="4" s="1"/>
  <c r="C31" i="4" s="1"/>
  <c r="C32" i="4" s="1"/>
  <c r="C39" i="4" s="1"/>
  <c r="H5" i="7"/>
  <c r="B34" i="7" s="1"/>
  <c r="C34" i="7" s="1"/>
  <c r="C35" i="7" s="1"/>
  <c r="C36" i="7" s="1"/>
  <c r="C44" i="7" s="1"/>
  <c r="C25" i="4" l="1"/>
  <c r="L7" i="4" s="1"/>
  <c r="L5" i="6"/>
  <c r="C28" i="6"/>
  <c r="L7" i="6" s="1"/>
  <c r="L6" i="4"/>
  <c r="L8" i="4"/>
  <c r="L8" i="7"/>
  <c r="L6" i="7"/>
  <c r="C39" i="5"/>
  <c r="C22" i="5"/>
  <c r="C23" i="5" s="1"/>
  <c r="C24" i="5" s="1"/>
  <c r="C25" i="5" s="1"/>
  <c r="C38" i="6"/>
  <c r="C39" i="6" s="1"/>
  <c r="C40" i="6" s="1"/>
  <c r="C41" i="6" s="1"/>
  <c r="L5" i="7"/>
  <c r="L5" i="4" l="1"/>
  <c r="L7" i="5"/>
  <c r="L5" i="5"/>
  <c r="L8" i="5"/>
  <c r="L6" i="5"/>
  <c r="C44" i="6"/>
  <c r="L8" i="6" s="1"/>
  <c r="L6" i="6"/>
</calcChain>
</file>

<file path=xl/sharedStrings.xml><?xml version="1.0" encoding="utf-8"?>
<sst xmlns="http://schemas.openxmlformats.org/spreadsheetml/2006/main" count="647" uniqueCount="178">
  <si>
    <t>SPI timing through the CPLD for passthrough interfaces</t>
  </si>
  <si>
    <t>System Delays / Constraints</t>
  </si>
  <si>
    <t>Trace Constants</t>
  </si>
  <si>
    <t>Trace Delay Min</t>
  </si>
  <si>
    <t>Myk Setup</t>
  </si>
  <si>
    <t>ns</t>
  </si>
  <si>
    <t>ps/inch</t>
  </si>
  <si>
    <t>length (mils)</t>
  </si>
  <si>
    <t>delay min (ns)</t>
  </si>
  <si>
    <t>delay max (ns)</t>
  </si>
  <si>
    <t>Myk Hold</t>
  </si>
  <si>
    <t>Trace Delay Max</t>
  </si>
  <si>
    <t>LMK - Myk</t>
  </si>
  <si>
    <t>SYSREF to Myk</t>
  </si>
  <si>
    <t>Clock Period</t>
  </si>
  <si>
    <t>LMK - FPGA DB A</t>
  </si>
  <si>
    <t>worst case for n310</t>
  </si>
  <si>
    <t>DEVCLK to Myk</t>
  </si>
  <si>
    <t>Summary</t>
  </si>
  <si>
    <t>SYSREF Launch Edge @ LMK</t>
  </si>
  <si>
    <t>launch on RE</t>
  </si>
  <si>
    <t>Setup Slack</t>
  </si>
  <si>
    <t>LMK - FPGA DB B</t>
  </si>
  <si>
    <t>SYSREF Capture Edge @ Myk</t>
  </si>
  <si>
    <t>Output Delay (max)</t>
  </si>
  <si>
    <t>latch on RE</t>
  </si>
  <si>
    <t>Mykonos Timing</t>
  </si>
  <si>
    <t>Hold Slack</t>
  </si>
  <si>
    <t>Myk Clock Period</t>
  </si>
  <si>
    <t>LMK SYSREF Setup</t>
  </si>
  <si>
    <t>base value - datasheet</t>
  </si>
  <si>
    <t>Mykonos Setup</t>
  </si>
  <si>
    <t>LMK Output Skew</t>
  </si>
  <si>
    <t>SYSREF: DB A - Myk</t>
  </si>
  <si>
    <t>datasheet * 20</t>
  </si>
  <si>
    <t>Mykonos Hold</t>
  </si>
  <si>
    <t>LMK Digital SYSREF Delay</t>
  </si>
  <si>
    <t>Output Delay (min)</t>
  </si>
  <si>
    <t>SYSREF Launch Edge @ FPGA</t>
  </si>
  <si>
    <t>SYSREF: DB B - Myk</t>
  </si>
  <si>
    <t>Clock Uncertainty</t>
  </si>
  <si>
    <t>duty cycle distortion, jitter, etc</t>
  </si>
  <si>
    <t>setup (fast capture clock, slow data)</t>
  </si>
  <si>
    <t>SYSREF: DB A - FPGA</t>
  </si>
  <si>
    <t>Data Path (max/slow)</t>
  </si>
  <si>
    <t>incr</t>
  </si>
  <si>
    <t>path</t>
  </si>
  <si>
    <t>comment</t>
  </si>
  <si>
    <t>lmk clock - SYSREF skew</t>
  </si>
  <si>
    <t>Input Delay (max)</t>
  </si>
  <si>
    <t>educated guess</t>
  </si>
  <si>
    <t>There are actually 2 constraints needed: DBA / Myk, DBB / Myk.</t>
  </si>
  <si>
    <t>Source Clock Path (max)</t>
  </si>
  <si>
    <t>Taking the worst-case paths across all DBs, I use those to form one constraint that can rule them all.</t>
  </si>
  <si>
    <t>sample clock rising edge</t>
  </si>
  <si>
    <t>give these min/max numbers to vivado, and see what it says</t>
  </si>
  <si>
    <t>SYSREF Capture Edge @ FPGA</t>
  </si>
  <si>
    <t>base + output skew</t>
  </si>
  <si>
    <t>There is one set of numbers for max and min, but two constraints since we have the DBA and DBB clocks.</t>
  </si>
  <si>
    <t>SYSREF: DB B - FPGA</t>
  </si>
  <si>
    <t>lmk output skew</t>
  </si>
  <si>
    <t>lmk SYSREF digital delay</t>
  </si>
  <si>
    <t>Input Delay (min)</t>
  </si>
  <si>
    <t>Vivado passes both paths nicely with the one constraint, allowing me to get away with this foolishness.</t>
  </si>
  <si>
    <t>lmk to myk SYREF trace (max)</t>
  </si>
  <si>
    <t>lmk to fpga trace (max)</t>
  </si>
  <si>
    <t>Arrival Time</t>
  </si>
  <si>
    <t>max of all DBs</t>
  </si>
  <si>
    <t>^ unknown at this time</t>
  </si>
  <si>
    <t>Data Path (max)</t>
  </si>
  <si>
    <t>fpga clock-to-out (max)</t>
  </si>
  <si>
    <t>it's OK for these numbers not to be positive, since Vivado handles all the timing internal to the part</t>
  </si>
  <si>
    <t>output delay max -ish</t>
  </si>
  <si>
    <t>fpga to myk trace (max)</t>
  </si>
  <si>
    <t>instead the important thing is, given the input delay min/max, for Vivado to meet timing on these paths</t>
  </si>
  <si>
    <t>LMK Digital Delay</t>
  </si>
  <si>
    <t>Destination Clock Path (min/fst)</t>
  </si>
  <si>
    <t>n/a since both shift together</t>
  </si>
  <si>
    <t>Destination Clock Path (min)</t>
  </si>
  <si>
    <t>sample clock falling edge</t>
  </si>
  <si>
    <t>analyze to next edge</t>
  </si>
  <si>
    <t>lmk to myk DEVCLK trace (min)</t>
  </si>
  <si>
    <t>clock uncertainty</t>
  </si>
  <si>
    <t>lmk to myk trace (min)</t>
  </si>
  <si>
    <t>mykonos setup</t>
  </si>
  <si>
    <t>Required Time</t>
  </si>
  <si>
    <t>myk setup</t>
  </si>
  <si>
    <t>Required - Arrival Time</t>
  </si>
  <si>
    <t>hold (slow capture clock, fast data)</t>
  </si>
  <si>
    <t>Slack</t>
  </si>
  <si>
    <t>Data Path (min)</t>
  </si>
  <si>
    <t>lmk to fpga trace (min)</t>
  </si>
  <si>
    <t>base - output skew</t>
  </si>
  <si>
    <t>Source Clock Path (min)</t>
  </si>
  <si>
    <t>lmk to myk SYSREF trace (min)</t>
  </si>
  <si>
    <t>Destination Clock Path (max)</t>
  </si>
  <si>
    <t>analyze to same edge</t>
  </si>
  <si>
    <t>lmk to myk DEVCLK trace (max)</t>
  </si>
  <si>
    <t>min of all DBs</t>
  </si>
  <si>
    <t>fpga clock-to-out (min)</t>
  </si>
  <si>
    <t>output delay min -ish</t>
  </si>
  <si>
    <t>mykonos hold</t>
  </si>
  <si>
    <t>fpga to myk trace (min)</t>
  </si>
  <si>
    <t>Arrival - Required</t>
  </si>
  <si>
    <t>lmk to myk trace (max)</t>
  </si>
  <si>
    <t>myk hold</t>
  </si>
  <si>
    <t>A Clock - FPGA to CPLD</t>
  </si>
  <si>
    <t>B Clock - FPGA to CPLD</t>
  </si>
  <si>
    <t>CPLD MOSI Summary</t>
  </si>
  <si>
    <t>Data Launch Edge @ FPGA</t>
  </si>
  <si>
    <t>launch on FE</t>
  </si>
  <si>
    <t>A Data - FPGA to CPLD</t>
  </si>
  <si>
    <t>give these min/max numbers to timequest, and see what it says</t>
  </si>
  <si>
    <t>Data Capture Edge @ CPLD</t>
  </si>
  <si>
    <t>B Data - FPGA to CPLD</t>
  </si>
  <si>
    <t>-clock_fall is required on both of these to identify the driving edge as the falling edge</t>
  </si>
  <si>
    <t>FPGA Output Spec Min</t>
  </si>
  <si>
    <t>fpga constraint</t>
  </si>
  <si>
    <t>FPGA Output Spec Max</t>
  </si>
  <si>
    <t>no buffers present in these paths!</t>
  </si>
  <si>
    <t>FPGA MISO Summary</t>
  </si>
  <si>
    <t>Data Launch Edge @ CPLD</t>
  </si>
  <si>
    <t>A Data - CPLD to FPGA</t>
  </si>
  <si>
    <t>sdi launch edge</t>
  </si>
  <si>
    <t>fpga clock - sdi skew</t>
  </si>
  <si>
    <t>give these min/max numbers to Vivado, and see what it says</t>
  </si>
  <si>
    <t>fpga to cpld sdi trace (max)</t>
  </si>
  <si>
    <t>Data Capture Edge @ FPGA</t>
  </si>
  <si>
    <t>B Data - CPLD to FPGA</t>
  </si>
  <si>
    <t xml:space="preserve"> </t>
  </si>
  <si>
    <t>sdi capture edge</t>
  </si>
  <si>
    <t>fpga to cpld clk trace (min)</t>
  </si>
  <si>
    <t>CPLD Output Delay Min</t>
  </si>
  <si>
    <t>CPLD constraint</t>
  </si>
  <si>
    <t>CPLD Output Delay Max</t>
  </si>
  <si>
    <t>Note: we overconstrain the FPGA and tell Vivado that our clock divider is 50 for the SPI ports, even though it's actually equal to the sample clock rate (to produce a 1 MHz clock)</t>
  </si>
  <si>
    <t>Note: the yellow highlighted section above shows the rate that Vivado thinks we're running at--which still produces a good deal of slack!</t>
  </si>
  <si>
    <t>Clock Path to CPLD (max/slow)</t>
  </si>
  <si>
    <t>sdo launch edge</t>
  </si>
  <si>
    <t>fpga to cpld sdi trace (min)</t>
  </si>
  <si>
    <t>fpga output delay (max)</t>
  </si>
  <si>
    <t>none</t>
  </si>
  <si>
    <t>fpga to cpld clk trace (max)</t>
  </si>
  <si>
    <t>buffer delay (max)</t>
  </si>
  <si>
    <t>no buffer!</t>
  </si>
  <si>
    <t>Data Path to PS (max/slow)</t>
  </si>
  <si>
    <t>cpld clock to sdo out (max)</t>
  </si>
  <si>
    <t>cpld sdo to fpga trace (max)</t>
  </si>
  <si>
    <t>latch edge</t>
  </si>
  <si>
    <t>half period to get back</t>
  </si>
  <si>
    <t>Clock Path to CPLD (min/fast)</t>
  </si>
  <si>
    <t>fpga output delay (min)</t>
  </si>
  <si>
    <t>buffer delay (min)</t>
  </si>
  <si>
    <t>cpld clock to sdo out (min)</t>
  </si>
  <si>
    <t>cpld sdo to fpga trace (min)</t>
  </si>
  <si>
    <t>FPGA Input Delay Min</t>
  </si>
  <si>
    <t>fpga input delay (min)</t>
  </si>
  <si>
    <t>FPGA Input Delay Max</t>
  </si>
  <si>
    <t>Note: the FPGA paths were pre-constrained for max and min delay, which is the best possible method with interfacing to the PS SPI controller</t>
  </si>
  <si>
    <t>up to 20 MHz possible on writes!</t>
  </si>
  <si>
    <t>Arrival - Required Time</t>
  </si>
  <si>
    <t>fpga+spi master</t>
  </si>
  <si>
    <t>SN74LV1T34</t>
  </si>
  <si>
    <t>SN74LV4T125</t>
  </si>
  <si>
    <t>CPLD MISO Summary</t>
  </si>
  <si>
    <t>PS Setup/Hold Requirements</t>
  </si>
  <si>
    <t>Setup</t>
  </si>
  <si>
    <t>Hold</t>
  </si>
  <si>
    <t>FPGA constraint</t>
  </si>
  <si>
    <t>CPLD constraint to modify!</t>
  </si>
  <si>
    <t>fpga input delay (max)</t>
  </si>
  <si>
    <t>setup at PS</t>
  </si>
  <si>
    <t>minus the setup req</t>
  </si>
  <si>
    <t>hold at PS</t>
  </si>
  <si>
    <t>base value from datasheet</t>
  </si>
  <si>
    <t>seems to be the buffer delay</t>
  </si>
  <si>
    <t>the LVDS to LVPECL skew seems enormous here… it's in the green highlighted box above. This is measured on one board at room temp</t>
  </si>
  <si>
    <t>the important thing to note is the 2.6 ns balances setup/hold nicely--which is what the board-level results are showing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</si>
</sst>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strike/>
      <sz val="10"/>
      <name val="Arial"/>
    </font>
    <font>
      <b/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/>
    <xf numFmtId="164" fontId="1" fillId="3" borderId="4" xfId="0" applyNumberFormat="1" applyFont="1" applyFill="1" applyBorder="1" applyAlignment="1"/>
    <xf numFmtId="0" fontId="3" fillId="3" borderId="4" xfId="0" applyFont="1" applyFill="1" applyBorder="1" applyAlignment="1"/>
    <xf numFmtId="0" fontId="1" fillId="3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164" fontId="1" fillId="0" borderId="0" xfId="0" applyNumberFormat="1" applyFont="1" applyAlignment="1"/>
    <xf numFmtId="164" fontId="1" fillId="6" borderId="4" xfId="0" applyNumberFormat="1" applyFont="1" applyFill="1" applyBorder="1"/>
    <xf numFmtId="164" fontId="1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164" fontId="1" fillId="7" borderId="0" xfId="0" applyNumberFormat="1" applyFont="1" applyFill="1" applyAlignment="1"/>
    <xf numFmtId="164" fontId="2" fillId="0" borderId="0" xfId="0" applyNumberFormat="1" applyFont="1"/>
    <xf numFmtId="0" fontId="2" fillId="0" borderId="0" xfId="0" applyFont="1" applyAlignment="1"/>
    <xf numFmtId="0" fontId="1" fillId="5" borderId="0" xfId="0" applyFont="1" applyFill="1"/>
    <xf numFmtId="0" fontId="3" fillId="5" borderId="0" xfId="0" applyFont="1" applyFill="1" applyAlignment="1"/>
    <xf numFmtId="0" fontId="1" fillId="0" borderId="0" xfId="0" applyFont="1" applyAlignment="1">
      <alignment horizontal="left"/>
    </xf>
    <xf numFmtId="0" fontId="2" fillId="0" borderId="7" xfId="0" applyFont="1" applyBorder="1" applyAlignment="1"/>
    <xf numFmtId="164" fontId="1" fillId="6" borderId="8" xfId="0" applyNumberFormat="1" applyFont="1" applyFill="1" applyBorder="1"/>
    <xf numFmtId="0" fontId="2" fillId="9" borderId="4" xfId="0" applyFont="1" applyFill="1" applyBorder="1" applyAlignment="1"/>
    <xf numFmtId="164" fontId="1" fillId="9" borderId="4" xfId="0" applyNumberFormat="1" applyFont="1" applyFill="1" applyBorder="1" applyAlignment="1"/>
    <xf numFmtId="164" fontId="1" fillId="0" borderId="8" xfId="0" applyNumberFormat="1" applyFont="1" applyBorder="1"/>
    <xf numFmtId="0" fontId="3" fillId="9" borderId="4" xfId="0" applyFont="1" applyFill="1" applyBorder="1" applyAlignment="1"/>
    <xf numFmtId="0" fontId="2" fillId="0" borderId="9" xfId="0" applyFont="1" applyBorder="1" applyAlignment="1"/>
    <xf numFmtId="0" fontId="1" fillId="9" borderId="0" xfId="0" applyFont="1" applyFill="1" applyAlignment="1">
      <alignment horizontal="left"/>
    </xf>
    <xf numFmtId="164" fontId="1" fillId="0" borderId="10" xfId="0" applyNumberFormat="1" applyFont="1" applyBorder="1"/>
    <xf numFmtId="164" fontId="1" fillId="9" borderId="4" xfId="0" applyNumberFormat="1" applyFont="1" applyFill="1" applyBorder="1"/>
    <xf numFmtId="164" fontId="1" fillId="10" borderId="0" xfId="0" applyNumberFormat="1" applyFont="1" applyFill="1" applyAlignment="1"/>
    <xf numFmtId="0" fontId="1" fillId="10" borderId="0" xfId="0" applyFont="1" applyFill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8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/>
  </cellXfs>
  <cellStyles count="1">
    <cellStyle name="Normal" xfId="0" builtinId="0"/>
  </cellStyles>
  <dxfs count="4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2.png"/><Relationship Id="rId4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Relationship Id="rId4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22</xdr:row>
      <xdr:rowOff>66675</xdr:rowOff>
    </xdr:from>
    <xdr:to>
      <xdr:col>12</xdr:col>
      <xdr:colOff>200025</xdr:colOff>
      <xdr:row>36</xdr:row>
      <xdr:rowOff>9525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38800" cy="27432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15</xdr:row>
      <xdr:rowOff>66675</xdr:rowOff>
    </xdr:from>
    <xdr:to>
      <xdr:col>12</xdr:col>
      <xdr:colOff>704850</xdr:colOff>
      <xdr:row>30</xdr:row>
      <xdr:rowOff>57150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477000" cy="29908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15</xdr:row>
      <xdr:rowOff>114300</xdr:rowOff>
    </xdr:from>
    <xdr:to>
      <xdr:col>12</xdr:col>
      <xdr:colOff>314325</xdr:colOff>
      <xdr:row>29</xdr:row>
      <xdr:rowOff>171450</xdr:rowOff>
    </xdr:to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38850" cy="285750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12</xdr:row>
      <xdr:rowOff>9525</xdr:rowOff>
    </xdr:from>
    <xdr:to>
      <xdr:col>9</xdr:col>
      <xdr:colOff>104775</xdr:colOff>
      <xdr:row>20</xdr:row>
      <xdr:rowOff>152400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781425" cy="174307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247650</xdr:colOff>
      <xdr:row>12</xdr:row>
      <xdr:rowOff>47625</xdr:rowOff>
    </xdr:from>
    <xdr:to>
      <xdr:col>12</xdr:col>
      <xdr:colOff>3762375</xdr:colOff>
      <xdr:row>21</xdr:row>
      <xdr:rowOff>180975</xdr:rowOff>
    </xdr:to>
    <xdr:pic>
      <xdr:nvPicPr>
        <xdr:cNvPr id="3" name="image6.jp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5676900" cy="193357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1095375</xdr:colOff>
      <xdr:row>23</xdr:row>
      <xdr:rowOff>152400</xdr:rowOff>
    </xdr:from>
    <xdr:to>
      <xdr:col>12</xdr:col>
      <xdr:colOff>952500</xdr:colOff>
      <xdr:row>35</xdr:row>
      <xdr:rowOff>142875</xdr:rowOff>
    </xdr:to>
    <xdr:pic>
      <xdr:nvPicPr>
        <xdr:cNvPr id="4" name="image4.jpg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53200" cy="2390775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1228725</xdr:colOff>
      <xdr:row>25</xdr:row>
      <xdr:rowOff>114300</xdr:rowOff>
    </xdr:from>
    <xdr:to>
      <xdr:col>14</xdr:col>
      <xdr:colOff>85725</xdr:colOff>
      <xdr:row>39</xdr:row>
      <xdr:rowOff>95250</xdr:rowOff>
    </xdr:to>
    <xdr:pic>
      <xdr:nvPicPr>
        <xdr:cNvPr id="5" name="image5.jp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629275" cy="278130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14</xdr:row>
      <xdr:rowOff>152400</xdr:rowOff>
    </xdr:from>
    <xdr:to>
      <xdr:col>13</xdr:col>
      <xdr:colOff>85725</xdr:colOff>
      <xdr:row>25</xdr:row>
      <xdr:rowOff>171450</xdr:rowOff>
    </xdr:to>
    <xdr:pic>
      <xdr:nvPicPr>
        <xdr:cNvPr id="2" name="image6.jp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524625" cy="221932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1095375</xdr:colOff>
      <xdr:row>28</xdr:row>
      <xdr:rowOff>152400</xdr:rowOff>
    </xdr:from>
    <xdr:to>
      <xdr:col>12</xdr:col>
      <xdr:colOff>952500</xdr:colOff>
      <xdr:row>40</xdr:row>
      <xdr:rowOff>142875</xdr:rowOff>
    </xdr:to>
    <xdr:pic>
      <xdr:nvPicPr>
        <xdr:cNvPr id="3" name="image4.jpg" title="Imag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553200" cy="2390775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1228725</xdr:colOff>
      <xdr:row>28</xdr:row>
      <xdr:rowOff>114300</xdr:rowOff>
    </xdr:from>
    <xdr:to>
      <xdr:col>14</xdr:col>
      <xdr:colOff>85725</xdr:colOff>
      <xdr:row>42</xdr:row>
      <xdr:rowOff>95250</xdr:rowOff>
    </xdr:to>
    <xdr:pic>
      <xdr:nvPicPr>
        <xdr:cNvPr id="4" name="image5.jpg" title="Imag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629275" cy="27813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390525</xdr:colOff>
      <xdr:row>12</xdr:row>
      <xdr:rowOff>180975</xdr:rowOff>
    </xdr:from>
    <xdr:to>
      <xdr:col>11</xdr:col>
      <xdr:colOff>123825</xdr:colOff>
      <xdr:row>26</xdr:row>
      <xdr:rowOff>38100</xdr:rowOff>
    </xdr:to>
    <xdr:pic>
      <xdr:nvPicPr>
        <xdr:cNvPr id="5" name="image7.jpg" title="Imag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467350" cy="26574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7"/>
  <sheetViews>
    <sheetView workbookViewId="0">
      <pane ySplit="11" topLeftCell="A12" activePane="bottomLeft" state="frozen"/>
      <selection pane="bottomLeft" activeCell="A13" sqref="B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4.710937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4</v>
      </c>
      <c r="B2" s="4">
        <v>2.5</v>
      </c>
      <c r="C2" s="5" t="s">
        <v>5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10</v>
      </c>
      <c r="B3" s="4">
        <v>-1.5</v>
      </c>
      <c r="C3" s="5" t="s">
        <v>5</v>
      </c>
      <c r="F3" s="3" t="s">
        <v>12</v>
      </c>
      <c r="G3" s="7">
        <v>2160</v>
      </c>
      <c r="H3" s="8">
        <f t="shared" ref="H3:H7" si="0">G3/1000*$B$4</f>
        <v>0.34560000000000002</v>
      </c>
      <c r="I3" s="8">
        <f t="shared" ref="I3:I7" si="1">G3/1000*$B$5</f>
        <v>0.36720000000000003</v>
      </c>
    </row>
    <row r="4" spans="1:24" ht="15.75" customHeight="1" x14ac:dyDescent="0.2">
      <c r="A4" s="3" t="s">
        <v>3</v>
      </c>
      <c r="B4" s="4">
        <v>0.16</v>
      </c>
      <c r="C4" s="5" t="s">
        <v>6</v>
      </c>
      <c r="F4" s="3" t="s">
        <v>15</v>
      </c>
      <c r="G4" s="10">
        <f>121+1091+2877</f>
        <v>4089</v>
      </c>
      <c r="H4" s="8">
        <f t="shared" si="0"/>
        <v>0.65424000000000004</v>
      </c>
      <c r="I4" s="8">
        <f t="shared" si="1"/>
        <v>0.69513000000000014</v>
      </c>
      <c r="K4" s="42" t="s">
        <v>18</v>
      </c>
      <c r="L4" s="44"/>
    </row>
    <row r="5" spans="1:24" ht="15.75" customHeight="1" x14ac:dyDescent="0.2">
      <c r="A5" s="3" t="s">
        <v>11</v>
      </c>
      <c r="B5" s="4">
        <v>0.17</v>
      </c>
      <c r="C5" s="5" t="s">
        <v>6</v>
      </c>
      <c r="F5" s="3" t="s">
        <v>22</v>
      </c>
      <c r="G5" s="10">
        <f>121+1091+3293</f>
        <v>4505</v>
      </c>
      <c r="H5" s="8">
        <f t="shared" si="0"/>
        <v>0.7208</v>
      </c>
      <c r="I5" s="8">
        <f t="shared" si="1"/>
        <v>0.76585000000000003</v>
      </c>
      <c r="K5" s="3" t="s">
        <v>24</v>
      </c>
      <c r="L5" s="9">
        <f>B6-B19</f>
        <v>5.010416666666667</v>
      </c>
    </row>
    <row r="6" spans="1:24" ht="15.75" customHeight="1" x14ac:dyDescent="0.2">
      <c r="A6" s="3" t="s">
        <v>28</v>
      </c>
      <c r="B6" s="9">
        <f>1/153600000*1000000000</f>
        <v>6.510416666666667</v>
      </c>
      <c r="C6" s="5" t="s">
        <v>5</v>
      </c>
      <c r="F6" s="3" t="s">
        <v>33</v>
      </c>
      <c r="G6" s="10">
        <f>1179+1030+1000+2971</f>
        <v>6180</v>
      </c>
      <c r="H6" s="8">
        <f t="shared" si="0"/>
        <v>0.98880000000000001</v>
      </c>
      <c r="I6" s="8">
        <f t="shared" si="1"/>
        <v>1.0506</v>
      </c>
      <c r="K6" s="3" t="s">
        <v>37</v>
      </c>
      <c r="L6" s="9">
        <f>-B38</f>
        <v>0.5</v>
      </c>
    </row>
    <row r="7" spans="1:24" ht="15.75" customHeight="1" x14ac:dyDescent="0.2">
      <c r="A7" s="3" t="s">
        <v>38</v>
      </c>
      <c r="B7" s="11">
        <v>0</v>
      </c>
      <c r="C7" s="5" t="s">
        <v>5</v>
      </c>
      <c r="D7" s="1" t="s">
        <v>20</v>
      </c>
      <c r="F7" s="3" t="s">
        <v>39</v>
      </c>
      <c r="G7" s="10">
        <f>1179+1030+1000+2049</f>
        <v>5258</v>
      </c>
      <c r="H7" s="8">
        <f t="shared" si="0"/>
        <v>0.84128000000000003</v>
      </c>
      <c r="I7" s="8">
        <f t="shared" si="1"/>
        <v>0.8938600000000001</v>
      </c>
      <c r="K7" s="3" t="s">
        <v>21</v>
      </c>
      <c r="L7" s="9">
        <f>C30</f>
        <v>0.63956666666666706</v>
      </c>
    </row>
    <row r="8" spans="1:24" ht="15.75" customHeight="1" x14ac:dyDescent="0.2">
      <c r="A8" s="3" t="s">
        <v>23</v>
      </c>
      <c r="B8" s="9">
        <f>B6</f>
        <v>6.510416666666667</v>
      </c>
      <c r="C8" s="5" t="s">
        <v>5</v>
      </c>
      <c r="D8" s="1" t="s">
        <v>25</v>
      </c>
      <c r="K8" s="3" t="s">
        <v>27</v>
      </c>
      <c r="L8" s="9">
        <f>C49</f>
        <v>1.7283200000000001</v>
      </c>
    </row>
    <row r="9" spans="1:24" ht="15.75" customHeight="1" x14ac:dyDescent="0.2">
      <c r="A9" s="3" t="s">
        <v>32</v>
      </c>
      <c r="B9" s="4">
        <v>0.1</v>
      </c>
      <c r="C9" s="5" t="s">
        <v>5</v>
      </c>
      <c r="D9" s="1" t="s">
        <v>50</v>
      </c>
    </row>
    <row r="10" spans="1:24" ht="15.75" customHeight="1" x14ac:dyDescent="0.2">
      <c r="A10" s="3" t="s">
        <v>40</v>
      </c>
      <c r="B10" s="4">
        <v>0.2</v>
      </c>
      <c r="C10" s="5" t="s">
        <v>5</v>
      </c>
      <c r="D10" s="1" t="s">
        <v>41</v>
      </c>
    </row>
    <row r="11" spans="1:24" ht="15.75" customHeight="1" x14ac:dyDescent="0.2">
      <c r="A11" s="2"/>
    </row>
    <row r="13" spans="1:24" ht="15.75" customHeight="1" x14ac:dyDescent="0.2">
      <c r="A13" s="40" t="s">
        <v>42</v>
      </c>
      <c r="B13" s="41"/>
      <c r="C13" s="41"/>
      <c r="D13" s="41"/>
      <c r="F13" s="1" t="s">
        <v>51</v>
      </c>
    </row>
    <row r="14" spans="1:24" ht="15.75" customHeight="1" x14ac:dyDescent="0.2">
      <c r="A14" s="15" t="s">
        <v>52</v>
      </c>
      <c r="B14" s="16" t="s">
        <v>45</v>
      </c>
      <c r="C14" s="16" t="s">
        <v>46</v>
      </c>
      <c r="D14" s="16" t="s">
        <v>47</v>
      </c>
      <c r="F14" s="1" t="s">
        <v>53</v>
      </c>
    </row>
    <row r="15" spans="1:24" ht="15.75" customHeight="1" x14ac:dyDescent="0.2">
      <c r="A15" s="1" t="s">
        <v>54</v>
      </c>
      <c r="B15" s="17">
        <f>$B$7</f>
        <v>0</v>
      </c>
      <c r="C15" s="19">
        <f>B15</f>
        <v>0</v>
      </c>
      <c r="F15" s="1" t="s">
        <v>58</v>
      </c>
    </row>
    <row r="16" spans="1:24" ht="15.75" customHeight="1" x14ac:dyDescent="0.2">
      <c r="A16" s="1" t="s">
        <v>60</v>
      </c>
      <c r="B16" s="17">
        <f>+$B$9</f>
        <v>0.1</v>
      </c>
      <c r="C16" s="19">
        <f t="shared" ref="C16:C17" si="2">C15+B16</f>
        <v>0.1</v>
      </c>
      <c r="F16" s="20" t="s">
        <v>63</v>
      </c>
    </row>
    <row r="17" spans="1:6" ht="15.75" customHeight="1" x14ac:dyDescent="0.2">
      <c r="A17" s="1" t="s">
        <v>65</v>
      </c>
      <c r="B17" s="19">
        <f>MAX(I4:I5)</f>
        <v>0.76585000000000003</v>
      </c>
      <c r="C17" s="19">
        <f t="shared" si="2"/>
        <v>0.86585000000000001</v>
      </c>
      <c r="D17" s="1" t="s">
        <v>67</v>
      </c>
      <c r="F17" s="1" t="s">
        <v>68</v>
      </c>
    </row>
    <row r="18" spans="1:6" ht="15.75" customHeight="1" x14ac:dyDescent="0.2">
      <c r="A18" s="15" t="s">
        <v>69</v>
      </c>
      <c r="B18" s="16" t="s">
        <v>45</v>
      </c>
      <c r="C18" s="16" t="s">
        <v>46</v>
      </c>
      <c r="D18" s="16" t="s">
        <v>47</v>
      </c>
    </row>
    <row r="19" spans="1:6" ht="15.75" customHeight="1" x14ac:dyDescent="0.2">
      <c r="A19" s="1" t="s">
        <v>70</v>
      </c>
      <c r="B19" s="22">
        <v>1.5</v>
      </c>
      <c r="C19" s="19">
        <f>B19+C17</f>
        <v>2.36585</v>
      </c>
      <c r="D19" s="1" t="s">
        <v>72</v>
      </c>
    </row>
    <row r="20" spans="1:6" ht="15.75" customHeight="1" x14ac:dyDescent="0.2">
      <c r="A20" s="1" t="s">
        <v>73</v>
      </c>
      <c r="B20" s="19">
        <f>MAX(I6:I7)</f>
        <v>1.0506</v>
      </c>
      <c r="C20" s="19">
        <f>C19+B20</f>
        <v>3.4164500000000002</v>
      </c>
      <c r="D20" s="1" t="s">
        <v>67</v>
      </c>
    </row>
    <row r="21" spans="1:6" ht="15.75" customHeight="1" x14ac:dyDescent="0.2">
      <c r="A21" s="21" t="s">
        <v>66</v>
      </c>
      <c r="B21" s="19"/>
      <c r="C21" s="23">
        <f>C20</f>
        <v>3.4164500000000002</v>
      </c>
    </row>
    <row r="22" spans="1:6" ht="15.75" customHeight="1" x14ac:dyDescent="0.2">
      <c r="A22" s="24"/>
      <c r="B22" s="1"/>
      <c r="C22" s="1"/>
    </row>
    <row r="23" spans="1:6" ht="15.75" customHeight="1" x14ac:dyDescent="0.2">
      <c r="A23" s="15" t="s">
        <v>78</v>
      </c>
      <c r="B23" s="16" t="s">
        <v>45</v>
      </c>
      <c r="C23" s="16" t="s">
        <v>46</v>
      </c>
      <c r="D23" s="16" t="s">
        <v>47</v>
      </c>
    </row>
    <row r="24" spans="1:6" ht="15.75" customHeight="1" x14ac:dyDescent="0.2">
      <c r="A24" s="1" t="s">
        <v>79</v>
      </c>
      <c r="B24" s="17">
        <f>$B$8</f>
        <v>6.510416666666667</v>
      </c>
      <c r="C24" s="19">
        <f>B24</f>
        <v>6.510416666666667</v>
      </c>
    </row>
    <row r="25" spans="1:6" ht="15.75" customHeight="1" x14ac:dyDescent="0.2">
      <c r="A25" s="1" t="s">
        <v>60</v>
      </c>
      <c r="B25" s="17">
        <f>-$B$9</f>
        <v>-0.1</v>
      </c>
      <c r="C25" s="19">
        <f t="shared" ref="C25:C29" si="3">C24+B25</f>
        <v>6.4104166666666673</v>
      </c>
    </row>
    <row r="26" spans="1:6" ht="15.75" customHeight="1" x14ac:dyDescent="0.2">
      <c r="A26" s="1" t="s">
        <v>83</v>
      </c>
      <c r="B26">
        <f>H3</f>
        <v>0.34560000000000002</v>
      </c>
      <c r="C26" s="19">
        <f t="shared" si="3"/>
        <v>6.7560166666666674</v>
      </c>
      <c r="D26" s="1"/>
    </row>
    <row r="27" spans="1:6" ht="15.75" customHeight="1" x14ac:dyDescent="0.2">
      <c r="A27" s="1" t="s">
        <v>82</v>
      </c>
      <c r="B27">
        <f>-$B$10</f>
        <v>-0.2</v>
      </c>
      <c r="C27" s="19">
        <f t="shared" si="3"/>
        <v>6.5560166666666673</v>
      </c>
    </row>
    <row r="28" spans="1:6" ht="15.75" customHeight="1" x14ac:dyDescent="0.2">
      <c r="A28" s="1" t="s">
        <v>86</v>
      </c>
      <c r="B28">
        <f>-$B$2</f>
        <v>-2.5</v>
      </c>
      <c r="C28" s="19">
        <f t="shared" si="3"/>
        <v>4.0560166666666673</v>
      </c>
    </row>
    <row r="29" spans="1:6" ht="15.75" customHeight="1" x14ac:dyDescent="0.2">
      <c r="A29" s="21" t="s">
        <v>85</v>
      </c>
      <c r="B29" s="2"/>
      <c r="C29" s="23">
        <f t="shared" si="3"/>
        <v>4.0560166666666673</v>
      </c>
    </row>
    <row r="30" spans="1:6" ht="15.75" customHeight="1" x14ac:dyDescent="0.2">
      <c r="A30" s="15" t="s">
        <v>89</v>
      </c>
      <c r="B30" s="25"/>
      <c r="C30" s="23">
        <f>C29-C21</f>
        <v>0.63956666666666706</v>
      </c>
      <c r="D30" s="26" t="s">
        <v>87</v>
      </c>
    </row>
    <row r="31" spans="1:6" ht="15.75" customHeight="1" x14ac:dyDescent="0.2">
      <c r="A31" s="2"/>
    </row>
    <row r="32" spans="1:6" ht="15.75" customHeight="1" x14ac:dyDescent="0.2">
      <c r="A32" s="45" t="s">
        <v>88</v>
      </c>
      <c r="B32" s="41"/>
      <c r="C32" s="41"/>
      <c r="D32" s="41"/>
    </row>
    <row r="33" spans="1:6" ht="15.75" customHeight="1" x14ac:dyDescent="0.2">
      <c r="A33" s="15" t="s">
        <v>93</v>
      </c>
      <c r="B33" s="16" t="s">
        <v>45</v>
      </c>
      <c r="C33" s="16" t="s">
        <v>46</v>
      </c>
      <c r="D33" s="16" t="s">
        <v>47</v>
      </c>
    </row>
    <row r="34" spans="1:6" ht="15.75" customHeight="1" x14ac:dyDescent="0.2">
      <c r="A34" s="1" t="s">
        <v>79</v>
      </c>
      <c r="B34" s="17">
        <f>$B$7</f>
        <v>0</v>
      </c>
      <c r="C34" s="19">
        <f>B34</f>
        <v>0</v>
      </c>
    </row>
    <row r="35" spans="1:6" ht="15.75" customHeight="1" x14ac:dyDescent="0.2">
      <c r="A35" s="1" t="s">
        <v>60</v>
      </c>
      <c r="B35" s="17">
        <f>-$B$9</f>
        <v>-0.1</v>
      </c>
      <c r="C35" s="19">
        <f t="shared" ref="C35:C36" si="4">C34+B35</f>
        <v>-0.1</v>
      </c>
      <c r="F35" s="1"/>
    </row>
    <row r="36" spans="1:6" ht="15.75" customHeight="1" x14ac:dyDescent="0.2">
      <c r="A36" s="1" t="s">
        <v>91</v>
      </c>
      <c r="B36" s="19">
        <f>MIN(H4:H5)</f>
        <v>0.65424000000000004</v>
      </c>
      <c r="C36" s="19">
        <f t="shared" si="4"/>
        <v>0.55424000000000007</v>
      </c>
      <c r="D36" s="1" t="s">
        <v>98</v>
      </c>
    </row>
    <row r="37" spans="1:6" ht="15.75" customHeight="1" x14ac:dyDescent="0.2">
      <c r="A37" s="15" t="s">
        <v>90</v>
      </c>
      <c r="B37" s="16" t="s">
        <v>45</v>
      </c>
      <c r="C37" s="16" t="s">
        <v>46</v>
      </c>
      <c r="D37" s="16" t="s">
        <v>47</v>
      </c>
    </row>
    <row r="38" spans="1:6" ht="15.75" customHeight="1" x14ac:dyDescent="0.2">
      <c r="A38" s="1" t="s">
        <v>99</v>
      </c>
      <c r="B38" s="22">
        <v>-0.5</v>
      </c>
      <c r="C38" s="19">
        <f>B38+C36</f>
        <v>5.4240000000000066E-2</v>
      </c>
      <c r="D38" s="1" t="s">
        <v>100</v>
      </c>
    </row>
    <row r="39" spans="1:6" ht="15.75" customHeight="1" x14ac:dyDescent="0.2">
      <c r="A39" s="1" t="s">
        <v>102</v>
      </c>
      <c r="B39" s="19">
        <f>MIN(H6:H7)</f>
        <v>0.84128000000000003</v>
      </c>
      <c r="C39" s="19">
        <f>C38+B39</f>
        <v>0.89552000000000009</v>
      </c>
      <c r="D39" s="1" t="s">
        <v>98</v>
      </c>
    </row>
    <row r="40" spans="1:6" ht="15.75" customHeight="1" x14ac:dyDescent="0.2">
      <c r="A40" s="21" t="s">
        <v>66</v>
      </c>
      <c r="B40" s="19"/>
      <c r="C40" s="23">
        <f>C39</f>
        <v>0.89552000000000009</v>
      </c>
    </row>
    <row r="41" spans="1:6" ht="15.75" customHeight="1" x14ac:dyDescent="0.2">
      <c r="A41" s="24"/>
      <c r="B41" s="1"/>
      <c r="C41" s="1"/>
    </row>
    <row r="42" spans="1:6" ht="15.75" customHeight="1" x14ac:dyDescent="0.2">
      <c r="A42" s="15" t="s">
        <v>95</v>
      </c>
      <c r="B42" s="16" t="s">
        <v>45</v>
      </c>
      <c r="C42" s="16" t="s">
        <v>46</v>
      </c>
      <c r="D42" s="16" t="s">
        <v>47</v>
      </c>
    </row>
    <row r="43" spans="1:6" ht="15.75" customHeight="1" x14ac:dyDescent="0.2">
      <c r="A43" s="1" t="s">
        <v>79</v>
      </c>
      <c r="B43" s="17">
        <f>$B$7</f>
        <v>0</v>
      </c>
      <c r="C43" s="19">
        <f>B43</f>
        <v>0</v>
      </c>
    </row>
    <row r="44" spans="1:6" ht="15.75" customHeight="1" x14ac:dyDescent="0.2">
      <c r="A44" s="1" t="s">
        <v>60</v>
      </c>
      <c r="B44" s="17">
        <f>$B$9</f>
        <v>0.1</v>
      </c>
      <c r="C44" s="19">
        <f t="shared" ref="C44:C48" si="5">C43+B44</f>
        <v>0.1</v>
      </c>
    </row>
    <row r="45" spans="1:6" ht="15.75" customHeight="1" x14ac:dyDescent="0.2">
      <c r="A45" s="1" t="s">
        <v>104</v>
      </c>
      <c r="B45" s="19">
        <f>I3</f>
        <v>0.36720000000000003</v>
      </c>
      <c r="C45" s="19">
        <f t="shared" si="5"/>
        <v>0.46720000000000006</v>
      </c>
      <c r="D45" s="1"/>
    </row>
    <row r="46" spans="1:6" ht="15.75" customHeight="1" x14ac:dyDescent="0.2">
      <c r="A46" s="1" t="s">
        <v>82</v>
      </c>
      <c r="B46">
        <f>$B$10</f>
        <v>0.2</v>
      </c>
      <c r="C46" s="19">
        <f t="shared" si="5"/>
        <v>0.66720000000000002</v>
      </c>
    </row>
    <row r="47" spans="1:6" ht="15.75" customHeight="1" x14ac:dyDescent="0.2">
      <c r="A47" s="1" t="s">
        <v>105</v>
      </c>
      <c r="B47">
        <f>$B$3</f>
        <v>-1.5</v>
      </c>
      <c r="C47" s="19">
        <f t="shared" si="5"/>
        <v>-0.83279999999999998</v>
      </c>
    </row>
    <row r="48" spans="1:6" ht="12.75" x14ac:dyDescent="0.2">
      <c r="A48" s="21" t="s">
        <v>85</v>
      </c>
      <c r="B48" s="2"/>
      <c r="C48" s="23">
        <f t="shared" si="5"/>
        <v>-0.83279999999999998</v>
      </c>
    </row>
    <row r="49" spans="1:4" ht="12.75" x14ac:dyDescent="0.2">
      <c r="A49" s="15" t="s">
        <v>89</v>
      </c>
      <c r="B49" s="25"/>
      <c r="C49" s="23">
        <f>C40-C48</f>
        <v>1.7283200000000001</v>
      </c>
      <c r="D49" s="26" t="s">
        <v>103</v>
      </c>
    </row>
    <row r="50" spans="1:4" ht="12.75" x14ac:dyDescent="0.2">
      <c r="A50" s="2"/>
    </row>
    <row r="51" spans="1:4" ht="12.75" x14ac:dyDescent="0.2">
      <c r="A51" s="2"/>
    </row>
    <row r="52" spans="1:4" ht="12.75" x14ac:dyDescent="0.2">
      <c r="A52" s="2"/>
    </row>
    <row r="53" spans="1:4" ht="12.75" x14ac:dyDescent="0.2">
      <c r="A53" s="2"/>
    </row>
    <row r="54" spans="1:4" ht="12.75" x14ac:dyDescent="0.2">
      <c r="A54" s="2"/>
    </row>
    <row r="55" spans="1:4" ht="12.75" x14ac:dyDescent="0.2">
      <c r="A55" s="2"/>
    </row>
    <row r="56" spans="1:4" ht="12.75" x14ac:dyDescent="0.2">
      <c r="A56" s="2"/>
    </row>
    <row r="57" spans="1:4" ht="12.75" x14ac:dyDescent="0.2">
      <c r="A57" s="2"/>
    </row>
    <row r="58" spans="1:4" ht="12.75" x14ac:dyDescent="0.2">
      <c r="A58" s="2"/>
    </row>
    <row r="59" spans="1:4" ht="12.75" x14ac:dyDescent="0.2">
      <c r="A59" s="2"/>
    </row>
    <row r="60" spans="1:4" ht="12.75" x14ac:dyDescent="0.2">
      <c r="A60" s="2"/>
    </row>
    <row r="61" spans="1:4" ht="12.75" x14ac:dyDescent="0.2">
      <c r="A61" s="2"/>
    </row>
    <row r="62" spans="1:4" ht="12.75" x14ac:dyDescent="0.2">
      <c r="A62" s="2"/>
    </row>
    <row r="63" spans="1:4" ht="12.75" x14ac:dyDescent="0.2">
      <c r="A63" s="2"/>
    </row>
    <row r="64" spans="1:4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</sheetData>
  <mergeCells count="5">
    <mergeCell ref="A13:D13"/>
    <mergeCell ref="F1:I1"/>
    <mergeCell ref="A1:C1"/>
    <mergeCell ref="A32:D32"/>
    <mergeCell ref="K4:L4"/>
  </mergeCells>
  <conditionalFormatting sqref="C30 C49">
    <cfRule type="cellIs" dxfId="41" priority="1" operator="greaterThan">
      <formula>0</formula>
    </cfRule>
  </conditionalFormatting>
  <conditionalFormatting sqref="C30 C49">
    <cfRule type="cellIs" dxfId="40" priority="2" operator="lessThanOrEqual">
      <formula>0</formula>
    </cfRule>
  </conditionalFormatting>
  <conditionalFormatting sqref="L7">
    <cfRule type="cellIs" dxfId="39" priority="3" operator="greaterThan">
      <formula>0</formula>
    </cfRule>
  </conditionalFormatting>
  <conditionalFormatting sqref="L7">
    <cfRule type="cellIs" dxfId="38" priority="4" operator="lessThanOrEqual">
      <formula>0</formula>
    </cfRule>
  </conditionalFormatting>
  <conditionalFormatting sqref="L8">
    <cfRule type="cellIs" dxfId="37" priority="5" operator="greaterThan">
      <formula>0</formula>
    </cfRule>
  </conditionalFormatting>
  <conditionalFormatting sqref="L8">
    <cfRule type="cellIs" dxfId="36" priority="6" operator="less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9"/>
  <sheetViews>
    <sheetView workbookViewId="0">
      <pane ySplit="11" topLeftCell="A12" activePane="bottomLeft" state="frozen"/>
      <selection pane="bottomLeft" activeCell="F13" sqref="F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4.710937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13</v>
      </c>
      <c r="G3" s="7">
        <v>1222</v>
      </c>
      <c r="H3" s="8">
        <f t="shared" ref="H3:H4" si="0">G3/1000*$B$2</f>
        <v>0.19552</v>
      </c>
      <c r="I3" s="8">
        <f t="shared" ref="I3:I4" si="1">G3/1000*$B$3</f>
        <v>0.20774000000000001</v>
      </c>
    </row>
    <row r="4" spans="1:24" ht="15.75" customHeight="1" x14ac:dyDescent="0.2">
      <c r="A4" s="3" t="s">
        <v>14</v>
      </c>
      <c r="B4" s="9">
        <f>1/125000000*1000000000</f>
        <v>8</v>
      </c>
      <c r="C4" s="5" t="s">
        <v>5</v>
      </c>
      <c r="D4" s="1" t="s">
        <v>16</v>
      </c>
      <c r="F4" s="3" t="s">
        <v>17</v>
      </c>
      <c r="G4" s="7">
        <v>1335</v>
      </c>
      <c r="H4" s="8">
        <f t="shared" si="0"/>
        <v>0.21360000000000001</v>
      </c>
      <c r="I4" s="8">
        <f t="shared" si="1"/>
        <v>0.22695000000000001</v>
      </c>
      <c r="K4" s="42" t="s">
        <v>18</v>
      </c>
      <c r="L4" s="44"/>
    </row>
    <row r="5" spans="1:24" ht="15.75" customHeight="1" x14ac:dyDescent="0.2">
      <c r="A5" s="3" t="s">
        <v>19</v>
      </c>
      <c r="B5" s="11">
        <v>0</v>
      </c>
      <c r="C5" s="5" t="s">
        <v>5</v>
      </c>
      <c r="D5" s="1" t="s">
        <v>20</v>
      </c>
      <c r="K5" s="3" t="s">
        <v>21</v>
      </c>
      <c r="L5" s="9">
        <f>C26</f>
        <v>2.8858600000000005</v>
      </c>
    </row>
    <row r="6" spans="1:24" ht="15.75" customHeight="1" x14ac:dyDescent="0.2">
      <c r="A6" s="3" t="s">
        <v>23</v>
      </c>
      <c r="B6" s="11">
        <f>B4</f>
        <v>8</v>
      </c>
      <c r="C6" s="5" t="s">
        <v>5</v>
      </c>
      <c r="D6" s="1" t="s">
        <v>25</v>
      </c>
      <c r="F6" s="42" t="s">
        <v>26</v>
      </c>
      <c r="G6" s="43"/>
      <c r="H6" s="44"/>
      <c r="K6" s="3" t="s">
        <v>27</v>
      </c>
      <c r="L6" s="9">
        <f>C41</f>
        <v>2.6885699999999999</v>
      </c>
    </row>
    <row r="7" spans="1:24" ht="15.75" customHeight="1" x14ac:dyDescent="0.2">
      <c r="A7" s="3" t="s">
        <v>29</v>
      </c>
      <c r="B7" s="11">
        <f>-0.08 - 0.6</f>
        <v>-0.67999999999999994</v>
      </c>
      <c r="C7" s="5" t="s">
        <v>5</v>
      </c>
      <c r="D7" s="1" t="s">
        <v>174</v>
      </c>
      <c r="F7" s="3" t="s">
        <v>31</v>
      </c>
      <c r="G7" s="4">
        <v>2.5</v>
      </c>
      <c r="H7" s="5" t="s">
        <v>5</v>
      </c>
    </row>
    <row r="8" spans="1:24" ht="15.75" customHeight="1" x14ac:dyDescent="0.2">
      <c r="A8" s="3" t="s">
        <v>32</v>
      </c>
      <c r="B8" s="11">
        <f>0.025*20</f>
        <v>0.5</v>
      </c>
      <c r="C8" s="5" t="s">
        <v>5</v>
      </c>
      <c r="D8" s="1" t="s">
        <v>34</v>
      </c>
      <c r="F8" s="3" t="s">
        <v>35</v>
      </c>
      <c r="G8" s="4">
        <v>-1.5</v>
      </c>
      <c r="H8" s="5" t="s">
        <v>5</v>
      </c>
    </row>
    <row r="9" spans="1:24" ht="15.75" customHeight="1" x14ac:dyDescent="0.2">
      <c r="A9" s="3" t="s">
        <v>36</v>
      </c>
      <c r="B9" s="12">
        <v>2.6</v>
      </c>
      <c r="C9" s="13" t="s">
        <v>5</v>
      </c>
      <c r="D9" s="14" t="s">
        <v>175</v>
      </c>
      <c r="E9" s="1"/>
    </row>
    <row r="10" spans="1:24" ht="15.75" customHeight="1" x14ac:dyDescent="0.2">
      <c r="A10" s="3" t="s">
        <v>40</v>
      </c>
      <c r="B10" s="11">
        <v>0.2</v>
      </c>
      <c r="C10" s="5" t="s">
        <v>5</v>
      </c>
      <c r="D10" s="1" t="s">
        <v>41</v>
      </c>
      <c r="E10" s="1"/>
      <c r="F10" s="1"/>
    </row>
    <row r="11" spans="1:24" ht="15.75" customHeight="1" x14ac:dyDescent="0.2">
      <c r="A11" s="2"/>
      <c r="F11" s="1"/>
    </row>
    <row r="12" spans="1:24" ht="15.75" customHeight="1" x14ac:dyDescent="0.2">
      <c r="F12" s="1"/>
    </row>
    <row r="13" spans="1:24" ht="15.75" customHeight="1" x14ac:dyDescent="0.2">
      <c r="A13" s="40" t="s">
        <v>42</v>
      </c>
      <c r="B13" s="41"/>
      <c r="C13" s="41"/>
      <c r="D13" s="41"/>
      <c r="F13" s="1"/>
    </row>
    <row r="14" spans="1:24" ht="15.75" customHeight="1" x14ac:dyDescent="0.2">
      <c r="A14" s="15" t="s">
        <v>44</v>
      </c>
      <c r="B14" s="16" t="s">
        <v>45</v>
      </c>
      <c r="C14" s="16" t="s">
        <v>46</v>
      </c>
      <c r="D14" s="16" t="s">
        <v>47</v>
      </c>
      <c r="F14" s="1" t="s">
        <v>176</v>
      </c>
    </row>
    <row r="15" spans="1:24" ht="15.75" customHeight="1" x14ac:dyDescent="0.2">
      <c r="A15" s="1" t="s">
        <v>48</v>
      </c>
      <c r="B15" s="17">
        <f>B7+B8</f>
        <v>-0.17999999999999994</v>
      </c>
      <c r="C15" s="19">
        <f>B15</f>
        <v>-0.17999999999999994</v>
      </c>
      <c r="D15" s="1" t="s">
        <v>57</v>
      </c>
      <c r="F15" t="s">
        <v>177</v>
      </c>
    </row>
    <row r="16" spans="1:24" ht="15.75" customHeight="1" x14ac:dyDescent="0.2">
      <c r="A16" s="1" t="s">
        <v>61</v>
      </c>
      <c r="B16" s="17">
        <f>B9</f>
        <v>2.6</v>
      </c>
      <c r="C16" s="19">
        <f t="shared" ref="C16:C17" si="2">C15+B16</f>
        <v>2.42</v>
      </c>
      <c r="D16" s="1"/>
    </row>
    <row r="17" spans="1:6" ht="15.75" customHeight="1" x14ac:dyDescent="0.2">
      <c r="A17" s="1" t="s">
        <v>64</v>
      </c>
      <c r="B17" s="19">
        <f>I3</f>
        <v>0.20774000000000001</v>
      </c>
      <c r="C17" s="19">
        <f t="shared" si="2"/>
        <v>2.6277399999999997</v>
      </c>
      <c r="D17" s="1"/>
    </row>
    <row r="18" spans="1:6" ht="15.75" customHeight="1" x14ac:dyDescent="0.2">
      <c r="A18" s="21" t="s">
        <v>66</v>
      </c>
      <c r="B18" s="19"/>
      <c r="C18" s="23">
        <f>C17</f>
        <v>2.6277399999999997</v>
      </c>
    </row>
    <row r="19" spans="1:6" ht="15.75" customHeight="1" x14ac:dyDescent="0.2">
      <c r="A19" s="24"/>
      <c r="B19" s="1"/>
      <c r="C19" s="1"/>
    </row>
    <row r="20" spans="1:6" ht="15.75" customHeight="1" x14ac:dyDescent="0.2">
      <c r="A20" s="15" t="s">
        <v>76</v>
      </c>
      <c r="B20" s="16" t="s">
        <v>45</v>
      </c>
      <c r="C20" s="16" t="s">
        <v>46</v>
      </c>
      <c r="D20" s="16" t="s">
        <v>47</v>
      </c>
    </row>
    <row r="21" spans="1:6" ht="15.75" customHeight="1" x14ac:dyDescent="0.2">
      <c r="A21" s="1" t="s">
        <v>54</v>
      </c>
      <c r="B21" s="17">
        <f>B6</f>
        <v>8</v>
      </c>
      <c r="C21" s="19">
        <f>B21</f>
        <v>8</v>
      </c>
      <c r="D21" s="1" t="s">
        <v>80</v>
      </c>
    </row>
    <row r="22" spans="1:6" ht="15.75" customHeight="1" x14ac:dyDescent="0.2">
      <c r="A22" s="1" t="s">
        <v>81</v>
      </c>
      <c r="B22" s="19">
        <f>H4</f>
        <v>0.21360000000000001</v>
      </c>
      <c r="C22" s="19">
        <f t="shared" ref="C22:C24" si="3">C21+B22</f>
        <v>8.2135999999999996</v>
      </c>
      <c r="D22" s="1"/>
    </row>
    <row r="23" spans="1:6" ht="15.75" customHeight="1" x14ac:dyDescent="0.2">
      <c r="A23" s="1" t="s">
        <v>82</v>
      </c>
      <c r="B23" s="19">
        <f>-$B$10</f>
        <v>-0.2</v>
      </c>
      <c r="C23" s="19">
        <f t="shared" si="3"/>
        <v>8.0136000000000003</v>
      </c>
    </row>
    <row r="24" spans="1:6" ht="15.75" customHeight="1" x14ac:dyDescent="0.2">
      <c r="A24" s="1" t="s">
        <v>84</v>
      </c>
      <c r="B24" s="19">
        <f>-G7</f>
        <v>-2.5</v>
      </c>
      <c r="C24" s="19">
        <f t="shared" si="3"/>
        <v>5.5136000000000003</v>
      </c>
    </row>
    <row r="25" spans="1:6" ht="15.75" customHeight="1" x14ac:dyDescent="0.2">
      <c r="A25" s="21" t="s">
        <v>85</v>
      </c>
      <c r="B25" s="2"/>
      <c r="C25" s="23">
        <f>C24</f>
        <v>5.5136000000000003</v>
      </c>
    </row>
    <row r="26" spans="1:6" ht="15.75" customHeight="1" x14ac:dyDescent="0.2">
      <c r="A26" s="15" t="s">
        <v>21</v>
      </c>
      <c r="B26" s="25"/>
      <c r="C26" s="23">
        <f>C25-C18</f>
        <v>2.8858600000000005</v>
      </c>
      <c r="D26" s="26" t="s">
        <v>87</v>
      </c>
    </row>
    <row r="27" spans="1:6" ht="15.75" customHeight="1" x14ac:dyDescent="0.2">
      <c r="A27" s="2"/>
      <c r="F27" s="1"/>
    </row>
    <row r="28" spans="1:6" ht="15.75" customHeight="1" x14ac:dyDescent="0.2">
      <c r="A28" s="45" t="s">
        <v>88</v>
      </c>
      <c r="B28" s="41"/>
      <c r="C28" s="41"/>
      <c r="D28" s="41"/>
    </row>
    <row r="29" spans="1:6" ht="15.75" customHeight="1" x14ac:dyDescent="0.2">
      <c r="A29" s="15" t="s">
        <v>90</v>
      </c>
      <c r="B29" s="16" t="s">
        <v>45</v>
      </c>
      <c r="C29" s="16" t="s">
        <v>46</v>
      </c>
      <c r="D29" s="16" t="s">
        <v>47</v>
      </c>
    </row>
    <row r="30" spans="1:6" ht="15.75" customHeight="1" x14ac:dyDescent="0.2">
      <c r="A30" s="1" t="s">
        <v>48</v>
      </c>
      <c r="B30" s="17">
        <f>B7+-B8</f>
        <v>-1.18</v>
      </c>
      <c r="C30" s="19">
        <f>B30</f>
        <v>-1.18</v>
      </c>
      <c r="D30" s="1" t="s">
        <v>92</v>
      </c>
    </row>
    <row r="31" spans="1:6" ht="15.75" customHeight="1" x14ac:dyDescent="0.2">
      <c r="A31" s="1" t="s">
        <v>61</v>
      </c>
      <c r="B31" s="17">
        <f>B9</f>
        <v>2.6</v>
      </c>
      <c r="C31" s="19">
        <f t="shared" ref="C31:C32" si="4">C30+B31</f>
        <v>1.4200000000000002</v>
      </c>
      <c r="D31" s="1"/>
    </row>
    <row r="32" spans="1:6" ht="15.75" customHeight="1" x14ac:dyDescent="0.2">
      <c r="A32" s="1" t="s">
        <v>94</v>
      </c>
      <c r="B32" s="19">
        <f>H3</f>
        <v>0.19552</v>
      </c>
      <c r="C32" s="19">
        <f t="shared" si="4"/>
        <v>1.6155200000000001</v>
      </c>
      <c r="D32" s="1"/>
    </row>
    <row r="33" spans="1:4" ht="15.75" customHeight="1" x14ac:dyDescent="0.2">
      <c r="A33" s="21" t="s">
        <v>66</v>
      </c>
      <c r="B33" s="19"/>
      <c r="C33" s="23">
        <f>C32</f>
        <v>1.6155200000000001</v>
      </c>
    </row>
    <row r="34" spans="1:4" ht="15.75" customHeight="1" x14ac:dyDescent="0.2">
      <c r="A34" s="24"/>
      <c r="B34" s="1"/>
      <c r="C34" s="1"/>
    </row>
    <row r="35" spans="1:4" ht="15.75" customHeight="1" x14ac:dyDescent="0.2">
      <c r="A35" s="15" t="s">
        <v>95</v>
      </c>
      <c r="B35" s="16" t="s">
        <v>45</v>
      </c>
      <c r="C35" s="16" t="s">
        <v>46</v>
      </c>
      <c r="D35" s="16" t="s">
        <v>47</v>
      </c>
    </row>
    <row r="36" spans="1:4" ht="15.75" customHeight="1" x14ac:dyDescent="0.2">
      <c r="A36" s="1" t="s">
        <v>54</v>
      </c>
      <c r="B36" s="17">
        <f>$B$5</f>
        <v>0</v>
      </c>
      <c r="C36" s="19">
        <f>B36</f>
        <v>0</v>
      </c>
      <c r="D36" s="1" t="s">
        <v>96</v>
      </c>
    </row>
    <row r="37" spans="1:4" ht="15.75" customHeight="1" x14ac:dyDescent="0.2">
      <c r="A37" s="1" t="s">
        <v>97</v>
      </c>
      <c r="B37" s="19">
        <f>I4</f>
        <v>0.22695000000000001</v>
      </c>
      <c r="C37" s="19">
        <f t="shared" ref="C37:C39" si="5">C36+B37</f>
        <v>0.22695000000000001</v>
      </c>
      <c r="D37" s="1"/>
    </row>
    <row r="38" spans="1:4" ht="15.75" customHeight="1" x14ac:dyDescent="0.2">
      <c r="A38" s="1" t="s">
        <v>82</v>
      </c>
      <c r="B38" s="19">
        <f>$B$10</f>
        <v>0.2</v>
      </c>
      <c r="C38" s="19">
        <f t="shared" si="5"/>
        <v>0.42695000000000005</v>
      </c>
    </row>
    <row r="39" spans="1:4" ht="15.75" customHeight="1" x14ac:dyDescent="0.2">
      <c r="A39" s="1" t="s">
        <v>101</v>
      </c>
      <c r="B39" s="19">
        <f>G8</f>
        <v>-1.5</v>
      </c>
      <c r="C39" s="19">
        <f t="shared" si="5"/>
        <v>-1.0730499999999998</v>
      </c>
    </row>
    <row r="40" spans="1:4" ht="15.75" customHeight="1" x14ac:dyDescent="0.2">
      <c r="A40" s="21" t="s">
        <v>85</v>
      </c>
      <c r="B40" s="2"/>
      <c r="C40" s="23">
        <f>C39</f>
        <v>-1.0730499999999998</v>
      </c>
    </row>
    <row r="41" spans="1:4" ht="15.75" customHeight="1" x14ac:dyDescent="0.2">
      <c r="A41" s="15" t="s">
        <v>27</v>
      </c>
      <c r="B41" s="25"/>
      <c r="C41" s="23">
        <f>C33-C40</f>
        <v>2.6885699999999999</v>
      </c>
      <c r="D41" s="26" t="s">
        <v>103</v>
      </c>
    </row>
    <row r="42" spans="1:4" ht="15.75" customHeight="1" x14ac:dyDescent="0.2">
      <c r="A42" s="2"/>
    </row>
    <row r="43" spans="1:4" ht="15.75" customHeight="1" x14ac:dyDescent="0.2">
      <c r="A43" s="2"/>
    </row>
    <row r="44" spans="1:4" ht="15.75" customHeight="1" x14ac:dyDescent="0.2">
      <c r="A44" s="2"/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</sheetData>
  <mergeCells count="6">
    <mergeCell ref="A13:D13"/>
    <mergeCell ref="F1:I1"/>
    <mergeCell ref="A1:C1"/>
    <mergeCell ref="K4:L4"/>
    <mergeCell ref="A28:D28"/>
    <mergeCell ref="F6:H6"/>
  </mergeCells>
  <conditionalFormatting sqref="C26 C41">
    <cfRule type="cellIs" dxfId="35" priority="1" operator="greaterThan">
      <formula>0</formula>
    </cfRule>
  </conditionalFormatting>
  <conditionalFormatting sqref="C26 C41">
    <cfRule type="cellIs" dxfId="34" priority="2" operator="lessThanOrEqual">
      <formula>0</formula>
    </cfRule>
  </conditionalFormatting>
  <conditionalFormatting sqref="L5">
    <cfRule type="cellIs" dxfId="33" priority="3" operator="greaterThan">
      <formula>0</formula>
    </cfRule>
  </conditionalFormatting>
  <conditionalFormatting sqref="L5">
    <cfRule type="cellIs" dxfId="32" priority="4" operator="lessThanOrEqual">
      <formula>0</formula>
    </cfRule>
  </conditionalFormatting>
  <conditionalFormatting sqref="L6">
    <cfRule type="cellIs" dxfId="31" priority="5" operator="greaterThan">
      <formula>0</formula>
    </cfRule>
  </conditionalFormatting>
  <conditionalFormatting sqref="L6">
    <cfRule type="cellIs" dxfId="30" priority="6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7"/>
  <sheetViews>
    <sheetView tabSelected="1" workbookViewId="0">
      <pane ySplit="11" topLeftCell="A12" activePane="bottomLeft" state="frozen"/>
      <selection pane="bottomLeft" activeCell="M12" sqref="M11:M12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15</v>
      </c>
      <c r="G3" s="10">
        <f>121+1091+2877</f>
        <v>4089</v>
      </c>
      <c r="H3" s="8">
        <f t="shared" ref="H3:H6" si="0">G3/1000*$B$2</f>
        <v>0.65424000000000004</v>
      </c>
      <c r="I3" s="8">
        <f t="shared" ref="I3:I6" si="1">G3/1000*$B$3</f>
        <v>0.69513000000000014</v>
      </c>
    </row>
    <row r="4" spans="1:24" ht="15.75" customHeight="1" x14ac:dyDescent="0.2">
      <c r="A4" s="3" t="s">
        <v>14</v>
      </c>
      <c r="B4" s="9">
        <f>1/153600000*1000000000</f>
        <v>6.510416666666667</v>
      </c>
      <c r="C4" s="5" t="s">
        <v>5</v>
      </c>
      <c r="D4" s="1" t="s">
        <v>16</v>
      </c>
      <c r="F4" s="3" t="s">
        <v>22</v>
      </c>
      <c r="G4" s="10">
        <f>121+1091+3293</f>
        <v>4505</v>
      </c>
      <c r="H4" s="8">
        <f t="shared" si="0"/>
        <v>0.7208</v>
      </c>
      <c r="I4" s="8">
        <f t="shared" si="1"/>
        <v>0.76585000000000003</v>
      </c>
      <c r="K4" s="42" t="s">
        <v>18</v>
      </c>
      <c r="L4" s="44"/>
    </row>
    <row r="5" spans="1:24" ht="15.75" customHeight="1" x14ac:dyDescent="0.2">
      <c r="A5" s="3" t="s">
        <v>19</v>
      </c>
      <c r="B5" s="11">
        <v>0</v>
      </c>
      <c r="C5" s="5" t="s">
        <v>5</v>
      </c>
      <c r="D5" s="1" t="s">
        <v>20</v>
      </c>
      <c r="F5" s="3" t="s">
        <v>43</v>
      </c>
      <c r="G5" s="10">
        <f>1030+2971</f>
        <v>4001</v>
      </c>
      <c r="H5" s="8">
        <f t="shared" si="0"/>
        <v>0.64016000000000006</v>
      </c>
      <c r="I5" s="8">
        <f t="shared" si="1"/>
        <v>0.68017000000000005</v>
      </c>
      <c r="K5" s="3" t="s">
        <v>49</v>
      </c>
      <c r="L5" s="18">
        <f>B6-C25</f>
        <v>0.64593000000000078</v>
      </c>
      <c r="M5" s="1" t="s">
        <v>55</v>
      </c>
    </row>
    <row r="6" spans="1:24" ht="15.75" customHeight="1" x14ac:dyDescent="0.2">
      <c r="A6" s="3" t="s">
        <v>56</v>
      </c>
      <c r="B6" s="9">
        <f>B4</f>
        <v>6.510416666666667</v>
      </c>
      <c r="C6" s="5" t="s">
        <v>5</v>
      </c>
      <c r="D6" s="1" t="s">
        <v>25</v>
      </c>
      <c r="F6" s="3" t="s">
        <v>59</v>
      </c>
      <c r="G6" s="10">
        <f>1030+2049</f>
        <v>3079</v>
      </c>
      <c r="H6" s="8">
        <f t="shared" si="0"/>
        <v>0.49264000000000002</v>
      </c>
      <c r="I6" s="8">
        <f t="shared" si="1"/>
        <v>0.52343000000000006</v>
      </c>
      <c r="K6" s="3" t="s">
        <v>62</v>
      </c>
      <c r="L6" s="18">
        <f>C39</f>
        <v>-0.90569</v>
      </c>
    </row>
    <row r="7" spans="1:24" ht="15.75" customHeight="1" x14ac:dyDescent="0.2">
      <c r="A7" s="3" t="s">
        <v>29</v>
      </c>
      <c r="B7" s="11">
        <v>-0.08</v>
      </c>
      <c r="C7" s="5" t="s">
        <v>5</v>
      </c>
      <c r="D7" s="1" t="s">
        <v>30</v>
      </c>
      <c r="K7" s="3" t="s">
        <v>21</v>
      </c>
      <c r="L7" s="9">
        <f>C25</f>
        <v>5.8644866666666662</v>
      </c>
      <c r="M7" s="1" t="s">
        <v>71</v>
      </c>
    </row>
    <row r="8" spans="1:24" ht="15.75" customHeight="1" x14ac:dyDescent="0.2">
      <c r="A8" s="3" t="s">
        <v>32</v>
      </c>
      <c r="B8" s="11">
        <f>0.025*20</f>
        <v>0.5</v>
      </c>
      <c r="C8" s="5" t="s">
        <v>5</v>
      </c>
      <c r="D8" s="1" t="s">
        <v>34</v>
      </c>
      <c r="K8" s="3" t="s">
        <v>27</v>
      </c>
      <c r="L8" s="9">
        <f>C39</f>
        <v>-0.90569</v>
      </c>
      <c r="M8" s="1" t="s">
        <v>74</v>
      </c>
    </row>
    <row r="9" spans="1:24" ht="15.75" customHeight="1" x14ac:dyDescent="0.2">
      <c r="A9" s="3" t="s">
        <v>75</v>
      </c>
      <c r="B9" s="11">
        <v>0</v>
      </c>
      <c r="C9" s="5" t="s">
        <v>5</v>
      </c>
      <c r="D9" s="1" t="s">
        <v>77</v>
      </c>
      <c r="E9" s="1"/>
    </row>
    <row r="10" spans="1:24" ht="15.75" customHeight="1" x14ac:dyDescent="0.2">
      <c r="A10" s="3" t="s">
        <v>40</v>
      </c>
      <c r="B10" s="11">
        <v>0.2</v>
      </c>
      <c r="C10" s="5" t="s">
        <v>5</v>
      </c>
      <c r="D10" s="1" t="s">
        <v>41</v>
      </c>
      <c r="E10" s="1"/>
    </row>
    <row r="11" spans="1:24" ht="15.75" customHeight="1" x14ac:dyDescent="0.2">
      <c r="A11" s="2"/>
    </row>
    <row r="13" spans="1:24" ht="15.75" customHeight="1" x14ac:dyDescent="0.2">
      <c r="A13" s="40" t="s">
        <v>42</v>
      </c>
      <c r="B13" s="41"/>
      <c r="C13" s="41"/>
      <c r="D13" s="41"/>
      <c r="F13" s="1" t="s">
        <v>51</v>
      </c>
    </row>
    <row r="14" spans="1:24" ht="15.75" customHeight="1" x14ac:dyDescent="0.2">
      <c r="A14" s="15" t="s">
        <v>44</v>
      </c>
      <c r="B14" s="16" t="s">
        <v>45</v>
      </c>
      <c r="C14" s="16" t="s">
        <v>46</v>
      </c>
      <c r="D14" s="16" t="s">
        <v>47</v>
      </c>
      <c r="F14" s="1" t="s">
        <v>53</v>
      </c>
    </row>
    <row r="15" spans="1:24" ht="15.75" customHeight="1" x14ac:dyDescent="0.2">
      <c r="A15" s="1" t="s">
        <v>48</v>
      </c>
      <c r="B15" s="17">
        <f>B7+B8</f>
        <v>0.42</v>
      </c>
      <c r="C15" s="19">
        <f>B15</f>
        <v>0.42</v>
      </c>
      <c r="D15" s="1" t="s">
        <v>57</v>
      </c>
      <c r="F15" s="1" t="s">
        <v>58</v>
      </c>
    </row>
    <row r="16" spans="1:24" ht="15.75" customHeight="1" x14ac:dyDescent="0.2">
      <c r="A16" s="1" t="s">
        <v>61</v>
      </c>
      <c r="B16" s="17">
        <f>B9</f>
        <v>0</v>
      </c>
      <c r="C16" s="19">
        <f t="shared" ref="C16:C17" si="2">C15+B16</f>
        <v>0.42</v>
      </c>
      <c r="D16" s="1"/>
      <c r="F16" s="1" t="s">
        <v>63</v>
      </c>
    </row>
    <row r="17" spans="1:6" ht="15.75" customHeight="1" x14ac:dyDescent="0.2">
      <c r="A17" s="1" t="s">
        <v>65</v>
      </c>
      <c r="B17" s="19">
        <f>MAX(I5:I6)</f>
        <v>0.68017000000000005</v>
      </c>
      <c r="C17" s="19">
        <f t="shared" si="2"/>
        <v>1.1001700000000001</v>
      </c>
      <c r="D17" s="1" t="s">
        <v>67</v>
      </c>
      <c r="F17" s="1"/>
    </row>
    <row r="18" spans="1:6" ht="15.75" customHeight="1" x14ac:dyDescent="0.2">
      <c r="A18" s="21" t="s">
        <v>66</v>
      </c>
      <c r="B18" s="19"/>
      <c r="C18" s="23">
        <f>C17</f>
        <v>1.1001700000000001</v>
      </c>
    </row>
    <row r="19" spans="1:6" ht="15.75" customHeight="1" x14ac:dyDescent="0.2">
      <c r="A19" s="24"/>
      <c r="B19" s="1"/>
      <c r="C19" s="1"/>
    </row>
    <row r="20" spans="1:6" ht="15.75" customHeight="1" x14ac:dyDescent="0.2">
      <c r="A20" s="15" t="s">
        <v>76</v>
      </c>
      <c r="B20" s="16" t="s">
        <v>45</v>
      </c>
      <c r="C20" s="16" t="s">
        <v>46</v>
      </c>
      <c r="D20" s="16" t="s">
        <v>47</v>
      </c>
    </row>
    <row r="21" spans="1:6" ht="15.75" customHeight="1" x14ac:dyDescent="0.2">
      <c r="A21" s="1" t="s">
        <v>54</v>
      </c>
      <c r="B21" s="17">
        <f>B6</f>
        <v>6.510416666666667</v>
      </c>
      <c r="C21" s="19">
        <f>B21</f>
        <v>6.510416666666667</v>
      </c>
    </row>
    <row r="22" spans="1:6" ht="15.75" customHeight="1" x14ac:dyDescent="0.2">
      <c r="A22" s="1" t="s">
        <v>91</v>
      </c>
      <c r="B22" s="19">
        <f>MIN(H3:H4)</f>
        <v>0.65424000000000004</v>
      </c>
      <c r="C22" s="19">
        <f t="shared" ref="C22:C23" si="3">C21+B22</f>
        <v>7.1646566666666667</v>
      </c>
      <c r="D22" s="1"/>
    </row>
    <row r="23" spans="1:6" ht="15.75" customHeight="1" x14ac:dyDescent="0.2">
      <c r="A23" s="1" t="s">
        <v>82</v>
      </c>
      <c r="B23" s="19">
        <f>-$B$10</f>
        <v>-0.2</v>
      </c>
      <c r="C23" s="19">
        <f t="shared" si="3"/>
        <v>6.9646566666666665</v>
      </c>
    </row>
    <row r="24" spans="1:6" ht="15.75" customHeight="1" x14ac:dyDescent="0.2">
      <c r="A24" s="21" t="s">
        <v>85</v>
      </c>
      <c r="B24" s="2"/>
      <c r="C24" s="23">
        <f>C23</f>
        <v>6.9646566666666665</v>
      </c>
    </row>
    <row r="25" spans="1:6" ht="15.75" customHeight="1" x14ac:dyDescent="0.2">
      <c r="A25" s="15" t="s">
        <v>21</v>
      </c>
      <c r="B25" s="25"/>
      <c r="C25" s="23">
        <f>C24-C18</f>
        <v>5.8644866666666662</v>
      </c>
      <c r="D25" s="26" t="s">
        <v>87</v>
      </c>
    </row>
    <row r="26" spans="1:6" ht="15.75" customHeight="1" x14ac:dyDescent="0.2">
      <c r="A26" s="2"/>
    </row>
    <row r="27" spans="1:6" ht="15.75" customHeight="1" x14ac:dyDescent="0.2">
      <c r="A27" s="45" t="s">
        <v>88</v>
      </c>
      <c r="B27" s="41"/>
      <c r="C27" s="41"/>
      <c r="D27" s="41"/>
    </row>
    <row r="28" spans="1:6" ht="15.75" customHeight="1" x14ac:dyDescent="0.2">
      <c r="A28" s="15" t="s">
        <v>90</v>
      </c>
      <c r="B28" s="16" t="s">
        <v>45</v>
      </c>
      <c r="C28" s="16" t="s">
        <v>46</v>
      </c>
      <c r="D28" s="16" t="s">
        <v>47</v>
      </c>
    </row>
    <row r="29" spans="1:6" ht="15.75" customHeight="1" x14ac:dyDescent="0.2">
      <c r="A29" s="1" t="s">
        <v>48</v>
      </c>
      <c r="B29" s="17">
        <f>B7+-B8</f>
        <v>-0.57999999999999996</v>
      </c>
      <c r="C29" s="19">
        <f>B29</f>
        <v>-0.57999999999999996</v>
      </c>
      <c r="D29" s="1" t="s">
        <v>92</v>
      </c>
      <c r="F29" s="1"/>
    </row>
    <row r="30" spans="1:6" ht="15.75" customHeight="1" x14ac:dyDescent="0.2">
      <c r="A30" s="1" t="s">
        <v>61</v>
      </c>
      <c r="B30" s="17">
        <f>B9</f>
        <v>0</v>
      </c>
      <c r="C30" s="19">
        <f t="shared" ref="C30:C31" si="4">C29+B30</f>
        <v>-0.57999999999999996</v>
      </c>
      <c r="D30" s="1"/>
    </row>
    <row r="31" spans="1:6" ht="15.75" customHeight="1" x14ac:dyDescent="0.2">
      <c r="A31" s="1" t="s">
        <v>91</v>
      </c>
      <c r="B31" s="19">
        <f>MAX(H5:H6)</f>
        <v>0.64016000000000006</v>
      </c>
      <c r="C31" s="19">
        <f t="shared" si="4"/>
        <v>6.0160000000000102E-2</v>
      </c>
      <c r="D31" s="1" t="s">
        <v>67</v>
      </c>
    </row>
    <row r="32" spans="1:6" ht="15.75" customHeight="1" x14ac:dyDescent="0.2">
      <c r="A32" s="21" t="s">
        <v>66</v>
      </c>
      <c r="B32" s="19"/>
      <c r="C32" s="23">
        <f>C31</f>
        <v>6.0160000000000102E-2</v>
      </c>
    </row>
    <row r="33" spans="1:4" ht="15.75" customHeight="1" x14ac:dyDescent="0.2">
      <c r="A33" s="24"/>
      <c r="B33" s="1"/>
      <c r="C33" s="1"/>
    </row>
    <row r="34" spans="1:4" ht="15.75" customHeight="1" x14ac:dyDescent="0.2">
      <c r="A34" s="15" t="s">
        <v>95</v>
      </c>
      <c r="B34" s="16" t="s">
        <v>45</v>
      </c>
      <c r="C34" s="16" t="s">
        <v>46</v>
      </c>
      <c r="D34" s="16" t="s">
        <v>47</v>
      </c>
    </row>
    <row r="35" spans="1:4" ht="15.75" customHeight="1" x14ac:dyDescent="0.2">
      <c r="A35" s="1" t="s">
        <v>54</v>
      </c>
      <c r="B35" s="17">
        <f>$B$5</f>
        <v>0</v>
      </c>
      <c r="C35" s="19">
        <f>B35</f>
        <v>0</v>
      </c>
    </row>
    <row r="36" spans="1:4" ht="15.75" customHeight="1" x14ac:dyDescent="0.2">
      <c r="A36" s="1" t="s">
        <v>65</v>
      </c>
      <c r="B36" s="19">
        <f>MAX(I3:I4)</f>
        <v>0.76585000000000003</v>
      </c>
      <c r="C36" s="19">
        <f t="shared" ref="C36:C37" si="5">C35+B36</f>
        <v>0.76585000000000003</v>
      </c>
      <c r="D36" s="1"/>
    </row>
    <row r="37" spans="1:4" ht="15.75" customHeight="1" x14ac:dyDescent="0.2">
      <c r="A37" s="1" t="s">
        <v>82</v>
      </c>
      <c r="B37" s="19">
        <f>$B$10</f>
        <v>0.2</v>
      </c>
      <c r="C37" s="19">
        <f t="shared" si="5"/>
        <v>0.9658500000000001</v>
      </c>
    </row>
    <row r="38" spans="1:4" ht="15.75" customHeight="1" x14ac:dyDescent="0.2">
      <c r="A38" s="21" t="s">
        <v>85</v>
      </c>
      <c r="B38" s="2"/>
      <c r="C38" s="23">
        <f>C37</f>
        <v>0.9658500000000001</v>
      </c>
    </row>
    <row r="39" spans="1:4" ht="15.75" customHeight="1" x14ac:dyDescent="0.2">
      <c r="A39" s="15" t="s">
        <v>27</v>
      </c>
      <c r="B39" s="25"/>
      <c r="C39" s="23">
        <f>C32-C38</f>
        <v>-0.90569</v>
      </c>
      <c r="D39" s="26" t="s">
        <v>103</v>
      </c>
    </row>
    <row r="40" spans="1:4" ht="15.75" customHeight="1" x14ac:dyDescent="0.2">
      <c r="A40" s="2"/>
    </row>
    <row r="41" spans="1:4" ht="15.75" customHeight="1" x14ac:dyDescent="0.2">
      <c r="A41" s="2"/>
    </row>
    <row r="42" spans="1:4" ht="15.75" customHeight="1" x14ac:dyDescent="0.2">
      <c r="A42" s="2"/>
    </row>
    <row r="43" spans="1:4" ht="15.75" customHeight="1" x14ac:dyDescent="0.2">
      <c r="A43" s="2"/>
    </row>
    <row r="44" spans="1:4" ht="15.75" customHeight="1" x14ac:dyDescent="0.2">
      <c r="A44" s="2"/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</sheetData>
  <mergeCells count="5">
    <mergeCell ref="A13:D13"/>
    <mergeCell ref="F1:I1"/>
    <mergeCell ref="A1:C1"/>
    <mergeCell ref="K4:L4"/>
    <mergeCell ref="A27:D27"/>
  </mergeCells>
  <conditionalFormatting sqref="C25 C39">
    <cfRule type="cellIs" dxfId="29" priority="1" operator="greaterThan">
      <formula>0</formula>
    </cfRule>
  </conditionalFormatting>
  <conditionalFormatting sqref="C25 C39">
    <cfRule type="cellIs" dxfId="28" priority="2" operator="lessThanOrEqual">
      <formula>0</formula>
    </cfRule>
  </conditionalFormatting>
  <conditionalFormatting sqref="L7">
    <cfRule type="cellIs" dxfId="27" priority="3" operator="greaterThan">
      <formula>0</formula>
    </cfRule>
  </conditionalFormatting>
  <conditionalFormatting sqref="L7">
    <cfRule type="cellIs" dxfId="26" priority="4" operator="lessThanOrEqual">
      <formula>0</formula>
    </cfRule>
  </conditionalFormatting>
  <conditionalFormatting sqref="L8">
    <cfRule type="cellIs" dxfId="25" priority="5" operator="greaterThan">
      <formula>0</formula>
    </cfRule>
  </conditionalFormatting>
  <conditionalFormatting sqref="L8">
    <cfRule type="cellIs" dxfId="24" priority="6" operator="lessThanOr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7"/>
  <sheetViews>
    <sheetView workbookViewId="0">
      <pane ySplit="11" topLeftCell="A12" activePane="bottomLeft" state="frozen"/>
      <selection pane="bottomLeft" activeCell="B13" sqref="B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7.14062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106</v>
      </c>
      <c r="G3" s="10">
        <f>2767+4550</f>
        <v>7317</v>
      </c>
      <c r="H3" s="8">
        <f t="shared" ref="H3:H6" si="0">G3/1000*$B$2</f>
        <v>1.17072</v>
      </c>
      <c r="I3" s="8">
        <f t="shared" ref="I3:I6" si="1">G3/1000*$B$3</f>
        <v>1.2438900000000002</v>
      </c>
    </row>
    <row r="4" spans="1:24" ht="15.75" customHeight="1" x14ac:dyDescent="0.2">
      <c r="A4" s="3" t="s">
        <v>14</v>
      </c>
      <c r="B4" s="9">
        <f>1/5000000*1000000000</f>
        <v>200</v>
      </c>
      <c r="C4" s="5" t="s">
        <v>5</v>
      </c>
      <c r="D4" s="27">
        <f>1000/B4</f>
        <v>5</v>
      </c>
      <c r="F4" s="3" t="s">
        <v>107</v>
      </c>
      <c r="G4" s="10">
        <f>3805+4550</f>
        <v>8355</v>
      </c>
      <c r="H4" s="8">
        <f t="shared" si="0"/>
        <v>1.3368</v>
      </c>
      <c r="I4" s="8">
        <f t="shared" si="1"/>
        <v>1.4203500000000002</v>
      </c>
      <c r="K4" s="46" t="s">
        <v>108</v>
      </c>
      <c r="L4" s="47"/>
    </row>
    <row r="5" spans="1:24" ht="15.75" customHeight="1" x14ac:dyDescent="0.2">
      <c r="A5" s="3" t="s">
        <v>109</v>
      </c>
      <c r="B5" s="11">
        <f>B4/2</f>
        <v>100</v>
      </c>
      <c r="C5" s="5" t="s">
        <v>5</v>
      </c>
      <c r="D5" s="1" t="s">
        <v>110</v>
      </c>
      <c r="F5" s="3" t="s">
        <v>111</v>
      </c>
      <c r="G5" s="10">
        <f>3105+4657</f>
        <v>7762</v>
      </c>
      <c r="H5" s="8">
        <f t="shared" si="0"/>
        <v>1.2419199999999999</v>
      </c>
      <c r="I5" s="8">
        <f t="shared" si="1"/>
        <v>1.3195399999999999</v>
      </c>
      <c r="K5" s="28" t="s">
        <v>49</v>
      </c>
      <c r="L5" s="29">
        <f>B6/2-C25</f>
        <v>10.44453</v>
      </c>
      <c r="M5" s="1" t="s">
        <v>112</v>
      </c>
    </row>
    <row r="6" spans="1:24" ht="15.75" customHeight="1" x14ac:dyDescent="0.2">
      <c r="A6" s="3" t="s">
        <v>113</v>
      </c>
      <c r="B6" s="9">
        <f>B4</f>
        <v>200</v>
      </c>
      <c r="C6" s="5" t="s">
        <v>5</v>
      </c>
      <c r="D6" s="1" t="s">
        <v>25</v>
      </c>
      <c r="F6" s="3" t="s">
        <v>114</v>
      </c>
      <c r="G6" s="10">
        <f>3668+4657</f>
        <v>8325</v>
      </c>
      <c r="H6" s="8">
        <f t="shared" si="0"/>
        <v>1.3319999999999999</v>
      </c>
      <c r="I6" s="8">
        <f t="shared" si="1"/>
        <v>1.4152499999999999</v>
      </c>
      <c r="K6" s="28" t="s">
        <v>62</v>
      </c>
      <c r="L6" s="29">
        <f>-(B6/2-C39)</f>
        <v>-10.378430000000009</v>
      </c>
      <c r="M6" s="1" t="s">
        <v>115</v>
      </c>
    </row>
    <row r="7" spans="1:24" ht="15.75" customHeight="1" x14ac:dyDescent="0.2">
      <c r="A7" s="3" t="s">
        <v>116</v>
      </c>
      <c r="B7" s="11">
        <v>-10</v>
      </c>
      <c r="C7" s="5" t="s">
        <v>5</v>
      </c>
      <c r="D7" s="1" t="s">
        <v>117</v>
      </c>
      <c r="K7" s="28" t="s">
        <v>21</v>
      </c>
      <c r="L7" s="32">
        <f>C25</f>
        <v>89.55547</v>
      </c>
      <c r="M7" s="1"/>
    </row>
    <row r="8" spans="1:24" ht="15.75" customHeight="1" x14ac:dyDescent="0.2">
      <c r="A8" s="3" t="s">
        <v>118</v>
      </c>
      <c r="B8" s="11">
        <v>10</v>
      </c>
      <c r="C8" s="5" t="s">
        <v>5</v>
      </c>
      <c r="D8" s="1" t="s">
        <v>117</v>
      </c>
      <c r="F8" s="1" t="s">
        <v>119</v>
      </c>
      <c r="K8" s="34" t="s">
        <v>27</v>
      </c>
      <c r="L8" s="36">
        <f>C39</f>
        <v>89.621569999999991</v>
      </c>
      <c r="M8" s="1"/>
    </row>
    <row r="9" spans="1:24" ht="15.75" customHeight="1" x14ac:dyDescent="0.2">
      <c r="A9" s="3"/>
      <c r="B9" s="11">
        <v>0</v>
      </c>
      <c r="C9" s="5" t="s">
        <v>5</v>
      </c>
      <c r="D9" s="1"/>
      <c r="E9" s="1"/>
    </row>
    <row r="10" spans="1:24" ht="15.75" customHeight="1" x14ac:dyDescent="0.2">
      <c r="A10" s="3" t="s">
        <v>40</v>
      </c>
      <c r="B10" s="11">
        <v>0.2</v>
      </c>
      <c r="C10" s="5" t="s">
        <v>5</v>
      </c>
      <c r="D10" s="1" t="s">
        <v>41</v>
      </c>
      <c r="E10" s="1"/>
    </row>
    <row r="11" spans="1:24" ht="15.75" customHeight="1" x14ac:dyDescent="0.2">
      <c r="A11" s="2"/>
    </row>
    <row r="13" spans="1:24" ht="15.75" customHeight="1" x14ac:dyDescent="0.2">
      <c r="A13" s="40" t="s">
        <v>42</v>
      </c>
      <c r="B13" s="41"/>
      <c r="C13" s="41"/>
      <c r="D13" s="41"/>
      <c r="F13" s="1"/>
    </row>
    <row r="14" spans="1:24" ht="15.75" customHeight="1" x14ac:dyDescent="0.2">
      <c r="A14" s="15" t="s">
        <v>44</v>
      </c>
      <c r="B14" s="16" t="s">
        <v>45</v>
      </c>
      <c r="C14" s="16" t="s">
        <v>46</v>
      </c>
      <c r="D14" s="16" t="s">
        <v>47</v>
      </c>
      <c r="F14" s="1"/>
    </row>
    <row r="15" spans="1:24" ht="15.75" customHeight="1" x14ac:dyDescent="0.2">
      <c r="A15" s="1" t="s">
        <v>123</v>
      </c>
      <c r="B15" s="17">
        <f>B5</f>
        <v>100</v>
      </c>
      <c r="C15" s="19">
        <f>B15</f>
        <v>100</v>
      </c>
      <c r="D15" s="1"/>
      <c r="F15" s="1"/>
    </row>
    <row r="16" spans="1:24" ht="15.75" customHeight="1" x14ac:dyDescent="0.2">
      <c r="A16" s="1" t="s">
        <v>124</v>
      </c>
      <c r="B16" s="17">
        <f>B8</f>
        <v>10</v>
      </c>
      <c r="C16" s="19">
        <f t="shared" ref="C16:C17" si="2">C15+B16</f>
        <v>110</v>
      </c>
      <c r="D16" s="1"/>
      <c r="F16" s="1"/>
    </row>
    <row r="17" spans="1:8" ht="15.75" customHeight="1" x14ac:dyDescent="0.2">
      <c r="A17" s="1" t="s">
        <v>126</v>
      </c>
      <c r="B17" s="19">
        <f>MAX(I5:I6)</f>
        <v>1.4152499999999999</v>
      </c>
      <c r="C17" s="19">
        <f t="shared" si="2"/>
        <v>111.41525</v>
      </c>
      <c r="D17" s="1"/>
    </row>
    <row r="18" spans="1:8" ht="15.75" customHeight="1" x14ac:dyDescent="0.2">
      <c r="A18" s="21" t="s">
        <v>66</v>
      </c>
      <c r="B18" s="19"/>
      <c r="C18" s="23">
        <f>C17</f>
        <v>111.41525</v>
      </c>
      <c r="H18" s="1" t="s">
        <v>129</v>
      </c>
    </row>
    <row r="19" spans="1:8" ht="15.75" customHeight="1" x14ac:dyDescent="0.2">
      <c r="A19" s="24"/>
      <c r="B19" s="1"/>
      <c r="C19" s="1"/>
    </row>
    <row r="20" spans="1:8" ht="15.75" customHeight="1" x14ac:dyDescent="0.2">
      <c r="A20" s="15" t="s">
        <v>76</v>
      </c>
      <c r="B20" s="16" t="s">
        <v>45</v>
      </c>
      <c r="C20" s="16" t="s">
        <v>46</v>
      </c>
      <c r="D20" s="16" t="s">
        <v>47</v>
      </c>
    </row>
    <row r="21" spans="1:8" ht="15.75" customHeight="1" x14ac:dyDescent="0.2">
      <c r="A21" s="1" t="s">
        <v>130</v>
      </c>
      <c r="B21" s="17">
        <f>B6</f>
        <v>200</v>
      </c>
      <c r="C21" s="19">
        <f>B21</f>
        <v>200</v>
      </c>
    </row>
    <row r="22" spans="1:8" ht="15.75" customHeight="1" x14ac:dyDescent="0.2">
      <c r="A22" s="1" t="s">
        <v>131</v>
      </c>
      <c r="B22" s="19">
        <f>MIN(H3:H4)</f>
        <v>1.17072</v>
      </c>
      <c r="C22" s="19">
        <f t="shared" ref="C22:C23" si="3">C21+B22</f>
        <v>201.17071999999999</v>
      </c>
      <c r="D22" s="1"/>
    </row>
    <row r="23" spans="1:8" ht="15.75" customHeight="1" x14ac:dyDescent="0.2">
      <c r="A23" s="1" t="s">
        <v>82</v>
      </c>
      <c r="B23" s="19">
        <f>-$B$10</f>
        <v>-0.2</v>
      </c>
      <c r="C23" s="19">
        <f t="shared" si="3"/>
        <v>200.97072</v>
      </c>
    </row>
    <row r="24" spans="1:8" ht="15.75" customHeight="1" x14ac:dyDescent="0.2">
      <c r="A24" s="21" t="s">
        <v>85</v>
      </c>
      <c r="B24" s="2"/>
      <c r="C24" s="23">
        <f>C23</f>
        <v>200.97072</v>
      </c>
    </row>
    <row r="25" spans="1:8" ht="15.75" customHeight="1" x14ac:dyDescent="0.2">
      <c r="A25" s="15" t="s">
        <v>21</v>
      </c>
      <c r="B25" s="25"/>
      <c r="C25" s="23">
        <f>C24-C18</f>
        <v>89.55547</v>
      </c>
      <c r="D25" s="26" t="s">
        <v>87</v>
      </c>
    </row>
    <row r="26" spans="1:8" ht="15.75" customHeight="1" x14ac:dyDescent="0.2">
      <c r="A26" s="2"/>
    </row>
    <row r="27" spans="1:8" ht="15.75" customHeight="1" x14ac:dyDescent="0.2">
      <c r="A27" s="45" t="s">
        <v>88</v>
      </c>
      <c r="B27" s="41"/>
      <c r="C27" s="41"/>
      <c r="D27" s="41"/>
    </row>
    <row r="28" spans="1:8" ht="15.75" customHeight="1" x14ac:dyDescent="0.2">
      <c r="A28" s="15" t="s">
        <v>90</v>
      </c>
      <c r="B28" s="16" t="s">
        <v>45</v>
      </c>
      <c r="C28" s="16" t="s">
        <v>46</v>
      </c>
      <c r="D28" s="16" t="s">
        <v>47</v>
      </c>
    </row>
    <row r="29" spans="1:8" ht="15.75" customHeight="1" x14ac:dyDescent="0.2">
      <c r="A29" s="1" t="s">
        <v>123</v>
      </c>
      <c r="B29" s="17">
        <f>B5</f>
        <v>100</v>
      </c>
      <c r="C29" s="19">
        <f>B29</f>
        <v>100</v>
      </c>
      <c r="D29" s="1"/>
      <c r="F29" s="1"/>
    </row>
    <row r="30" spans="1:8" ht="15.75" customHeight="1" x14ac:dyDescent="0.2">
      <c r="A30" s="1" t="s">
        <v>124</v>
      </c>
      <c r="B30" s="17">
        <f>B7</f>
        <v>-10</v>
      </c>
      <c r="C30" s="19">
        <f t="shared" ref="C30:C31" si="4">C29+B30</f>
        <v>90</v>
      </c>
      <c r="D30" s="1"/>
    </row>
    <row r="31" spans="1:8" ht="15.75" customHeight="1" x14ac:dyDescent="0.2">
      <c r="A31" s="1" t="s">
        <v>139</v>
      </c>
      <c r="B31" s="19">
        <f>MIN(H5:H6)</f>
        <v>1.2419199999999999</v>
      </c>
      <c r="C31" s="19">
        <f t="shared" si="4"/>
        <v>91.241919999999993</v>
      </c>
      <c r="D31" s="1"/>
    </row>
    <row r="32" spans="1:8" ht="15.75" customHeight="1" x14ac:dyDescent="0.2">
      <c r="A32" s="21" t="s">
        <v>66</v>
      </c>
      <c r="B32" s="19"/>
      <c r="C32" s="23">
        <f>C31</f>
        <v>91.241919999999993</v>
      </c>
    </row>
    <row r="33" spans="1:4" ht="15.75" customHeight="1" x14ac:dyDescent="0.2">
      <c r="A33" s="24"/>
      <c r="B33" s="1"/>
      <c r="C33" s="1"/>
    </row>
    <row r="34" spans="1:4" ht="15.75" customHeight="1" x14ac:dyDescent="0.2">
      <c r="A34" s="15" t="s">
        <v>95</v>
      </c>
      <c r="B34" s="16" t="s">
        <v>45</v>
      </c>
      <c r="C34" s="16" t="s">
        <v>46</v>
      </c>
      <c r="D34" s="16" t="s">
        <v>47</v>
      </c>
    </row>
    <row r="35" spans="1:4" ht="15.75" customHeight="1" x14ac:dyDescent="0.2">
      <c r="A35" s="1" t="s">
        <v>130</v>
      </c>
      <c r="B35" s="17">
        <v>0</v>
      </c>
      <c r="C35" s="19">
        <f>B35</f>
        <v>0</v>
      </c>
    </row>
    <row r="36" spans="1:4" ht="15.75" customHeight="1" x14ac:dyDescent="0.2">
      <c r="A36" s="1" t="s">
        <v>142</v>
      </c>
      <c r="B36" s="19">
        <f>MAX(I3:I4)</f>
        <v>1.4203500000000002</v>
      </c>
      <c r="C36" s="19">
        <f t="shared" ref="C36:C37" si="5">C35+B36</f>
        <v>1.4203500000000002</v>
      </c>
      <c r="D36" s="1"/>
    </row>
    <row r="37" spans="1:4" ht="15.75" customHeight="1" x14ac:dyDescent="0.2">
      <c r="A37" s="1" t="s">
        <v>82</v>
      </c>
      <c r="B37" s="19">
        <f>$B$10</f>
        <v>0.2</v>
      </c>
      <c r="C37" s="19">
        <f t="shared" si="5"/>
        <v>1.6203500000000002</v>
      </c>
    </row>
    <row r="38" spans="1:4" ht="15.75" customHeight="1" x14ac:dyDescent="0.2">
      <c r="A38" s="21" t="s">
        <v>85</v>
      </c>
      <c r="B38" s="2"/>
      <c r="C38" s="23">
        <f>C37</f>
        <v>1.6203500000000002</v>
      </c>
    </row>
    <row r="39" spans="1:4" ht="15.75" customHeight="1" x14ac:dyDescent="0.2">
      <c r="A39" s="15" t="s">
        <v>27</v>
      </c>
      <c r="B39" s="25"/>
      <c r="C39" s="23">
        <f>C32-C38</f>
        <v>89.621569999999991</v>
      </c>
      <c r="D39" s="26" t="s">
        <v>103</v>
      </c>
    </row>
    <row r="40" spans="1:4" ht="15.75" customHeight="1" x14ac:dyDescent="0.2">
      <c r="A40" s="2"/>
    </row>
    <row r="41" spans="1:4" ht="15.75" customHeight="1" x14ac:dyDescent="0.2">
      <c r="A41" s="2"/>
    </row>
    <row r="42" spans="1:4" ht="15.75" customHeight="1" x14ac:dyDescent="0.2">
      <c r="A42" s="2"/>
    </row>
    <row r="43" spans="1:4" ht="15.75" customHeight="1" x14ac:dyDescent="0.2">
      <c r="A43" s="2"/>
    </row>
    <row r="44" spans="1:4" ht="15.75" customHeight="1" x14ac:dyDescent="0.2">
      <c r="A44" s="2"/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</sheetData>
  <mergeCells count="5">
    <mergeCell ref="A13:D13"/>
    <mergeCell ref="F1:I1"/>
    <mergeCell ref="A1:C1"/>
    <mergeCell ref="K4:L4"/>
    <mergeCell ref="A27:D27"/>
  </mergeCells>
  <conditionalFormatting sqref="C25 C39">
    <cfRule type="cellIs" dxfId="23" priority="1" operator="greaterThan">
      <formula>0</formula>
    </cfRule>
  </conditionalFormatting>
  <conditionalFormatting sqref="C25 C39">
    <cfRule type="cellIs" dxfId="22" priority="2" operator="lessThanOrEqual">
      <formula>0</formula>
    </cfRule>
  </conditionalFormatting>
  <conditionalFormatting sqref="L7">
    <cfRule type="cellIs" dxfId="21" priority="3" operator="greaterThan">
      <formula>0</formula>
    </cfRule>
  </conditionalFormatting>
  <conditionalFormatting sqref="L7">
    <cfRule type="cellIs" dxfId="20" priority="4" operator="lessThanOrEqual">
      <formula>0</formula>
    </cfRule>
  </conditionalFormatting>
  <conditionalFormatting sqref="L8">
    <cfRule type="cellIs" dxfId="19" priority="5" operator="greaterThan">
      <formula>0</formula>
    </cfRule>
  </conditionalFormatting>
  <conditionalFormatting sqref="L8">
    <cfRule type="cellIs" dxfId="18" priority="6" operator="lessThanOr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workbookViewId="0">
      <pane ySplit="12" topLeftCell="A13" activePane="bottomLeft" state="frozen"/>
      <selection pane="bottomLeft" activeCell="B14" sqref="B14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7.14062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106</v>
      </c>
      <c r="G3" s="10">
        <f>2767+4550</f>
        <v>7317</v>
      </c>
      <c r="H3" s="8">
        <f t="shared" ref="H3:H6" si="0">G3/1000*$B$2</f>
        <v>1.17072</v>
      </c>
      <c r="I3" s="8">
        <f t="shared" ref="I3:I6" si="1">G3/1000*$B$3</f>
        <v>1.2438900000000002</v>
      </c>
    </row>
    <row r="4" spans="1:24" ht="15.75" customHeight="1" x14ac:dyDescent="0.2">
      <c r="A4" s="30" t="s">
        <v>14</v>
      </c>
      <c r="B4" s="31">
        <f>1/D4/1000000*1000000000</f>
        <v>325.52083333333331</v>
      </c>
      <c r="C4" s="33" t="s">
        <v>5</v>
      </c>
      <c r="D4" s="35">
        <f>153.6/50</f>
        <v>3.0720000000000001</v>
      </c>
      <c r="F4" s="3" t="s">
        <v>107</v>
      </c>
      <c r="G4" s="10">
        <f>3805+4550</f>
        <v>8355</v>
      </c>
      <c r="H4" s="8">
        <f t="shared" si="0"/>
        <v>1.3368</v>
      </c>
      <c r="I4" s="8">
        <f t="shared" si="1"/>
        <v>1.4203500000000002</v>
      </c>
      <c r="K4" s="46" t="s">
        <v>120</v>
      </c>
      <c r="L4" s="47"/>
    </row>
    <row r="5" spans="1:24" ht="15.75" customHeight="1" x14ac:dyDescent="0.2">
      <c r="A5" s="3" t="s">
        <v>121</v>
      </c>
      <c r="B5" s="11">
        <v>0</v>
      </c>
      <c r="C5" s="5" t="s">
        <v>5</v>
      </c>
      <c r="D5" s="1" t="s">
        <v>110</v>
      </c>
      <c r="F5" s="3" t="s">
        <v>122</v>
      </c>
      <c r="G5" s="10">
        <f>1709+3254+2833</f>
        <v>7796</v>
      </c>
      <c r="H5" s="8">
        <f t="shared" si="0"/>
        <v>1.24736</v>
      </c>
      <c r="I5" s="8">
        <f t="shared" si="1"/>
        <v>1.3253200000000001</v>
      </c>
      <c r="K5" s="28" t="s">
        <v>49</v>
      </c>
      <c r="L5" s="29">
        <f>C25</f>
        <v>68.041380000000004</v>
      </c>
      <c r="M5" s="1" t="s">
        <v>125</v>
      </c>
    </row>
    <row r="6" spans="1:24" ht="15.75" customHeight="1" x14ac:dyDescent="0.2">
      <c r="A6" s="3" t="s">
        <v>127</v>
      </c>
      <c r="B6" s="9">
        <f>B4/2</f>
        <v>162.76041666666666</v>
      </c>
      <c r="C6" s="5" t="s">
        <v>5</v>
      </c>
      <c r="D6" s="1" t="s">
        <v>25</v>
      </c>
      <c r="F6" s="3" t="s">
        <v>128</v>
      </c>
      <c r="G6" s="10">
        <f>1709+3254+3396</f>
        <v>8359</v>
      </c>
      <c r="H6" s="8">
        <f t="shared" si="0"/>
        <v>1.33744</v>
      </c>
      <c r="I6" s="8">
        <f t="shared" si="1"/>
        <v>1.42103</v>
      </c>
      <c r="K6" s="28" t="s">
        <v>62</v>
      </c>
      <c r="L6" s="29">
        <f>C41</f>
        <v>12.21808</v>
      </c>
      <c r="M6" s="1"/>
    </row>
    <row r="7" spans="1:24" ht="15.75" customHeight="1" x14ac:dyDescent="0.2">
      <c r="A7" s="3"/>
      <c r="B7" s="11"/>
      <c r="C7" s="5"/>
      <c r="D7" s="1"/>
      <c r="K7" s="28" t="s">
        <v>21</v>
      </c>
      <c r="L7" s="32">
        <f>C28</f>
        <v>94.719036666666653</v>
      </c>
      <c r="M7" s="1"/>
    </row>
    <row r="8" spans="1:24" ht="15.75" customHeight="1" x14ac:dyDescent="0.2">
      <c r="A8" s="3"/>
      <c r="B8" s="11"/>
      <c r="C8" s="5"/>
      <c r="D8" s="1"/>
      <c r="K8" s="34" t="s">
        <v>27</v>
      </c>
      <c r="L8" s="36">
        <f>C44</f>
        <v>12.21808</v>
      </c>
      <c r="M8" s="1"/>
    </row>
    <row r="9" spans="1:24" ht="15.75" customHeight="1" x14ac:dyDescent="0.2">
      <c r="A9" s="3" t="s">
        <v>132</v>
      </c>
      <c r="B9" s="11">
        <v>10</v>
      </c>
      <c r="C9" s="5" t="s">
        <v>5</v>
      </c>
      <c r="D9" s="1" t="s">
        <v>133</v>
      </c>
      <c r="E9" s="1"/>
    </row>
    <row r="10" spans="1:24" ht="15.75" customHeight="1" x14ac:dyDescent="0.2">
      <c r="A10" s="3" t="s">
        <v>134</v>
      </c>
      <c r="B10" s="11">
        <f>100-35</f>
        <v>65</v>
      </c>
      <c r="C10" s="5" t="s">
        <v>5</v>
      </c>
      <c r="D10" s="1" t="s">
        <v>133</v>
      </c>
      <c r="E10" s="1"/>
      <c r="F10" s="1" t="s">
        <v>135</v>
      </c>
    </row>
    <row r="11" spans="1:24" ht="15.75" customHeight="1" x14ac:dyDescent="0.2">
      <c r="A11" s="3" t="s">
        <v>40</v>
      </c>
      <c r="B11" s="11">
        <v>0.2</v>
      </c>
      <c r="C11" s="5" t="s">
        <v>5</v>
      </c>
      <c r="D11" s="1" t="s">
        <v>41</v>
      </c>
      <c r="E11" s="1"/>
      <c r="F11" s="1" t="s">
        <v>136</v>
      </c>
    </row>
    <row r="12" spans="1:24" ht="15.75" customHeight="1" x14ac:dyDescent="0.2">
      <c r="A12" s="2"/>
    </row>
    <row r="14" spans="1:24" ht="15.75" customHeight="1" x14ac:dyDescent="0.2">
      <c r="A14" s="40" t="s">
        <v>42</v>
      </c>
      <c r="B14" s="41"/>
      <c r="C14" s="41"/>
      <c r="D14" s="41"/>
    </row>
    <row r="15" spans="1:24" ht="15.75" customHeight="1" x14ac:dyDescent="0.2">
      <c r="A15" s="15" t="s">
        <v>137</v>
      </c>
      <c r="B15" s="16" t="s">
        <v>45</v>
      </c>
      <c r="C15" s="16" t="s">
        <v>46</v>
      </c>
      <c r="D15" s="16" t="s">
        <v>47</v>
      </c>
    </row>
    <row r="16" spans="1:24" ht="15.75" customHeight="1" x14ac:dyDescent="0.2">
      <c r="A16" s="1" t="s">
        <v>138</v>
      </c>
      <c r="B16" s="17">
        <f>B5</f>
        <v>0</v>
      </c>
      <c r="C16" s="19">
        <f>B16</f>
        <v>0</v>
      </c>
    </row>
    <row r="17" spans="1:8" ht="15.75" customHeight="1" x14ac:dyDescent="0.2">
      <c r="A17" s="1" t="s">
        <v>140</v>
      </c>
      <c r="B17" s="17">
        <v>0</v>
      </c>
      <c r="C17" s="19">
        <f t="shared" ref="C17:C20" si="2">C16+B17</f>
        <v>0</v>
      </c>
      <c r="D17" s="1" t="s">
        <v>141</v>
      </c>
    </row>
    <row r="18" spans="1:8" ht="15.75" customHeight="1" x14ac:dyDescent="0.2">
      <c r="A18" s="1" t="s">
        <v>142</v>
      </c>
      <c r="B18" s="19">
        <f>MAX(I3:I4)</f>
        <v>1.4203500000000002</v>
      </c>
      <c r="C18" s="19">
        <f t="shared" si="2"/>
        <v>1.4203500000000002</v>
      </c>
      <c r="D18" s="1"/>
      <c r="F18" s="1"/>
    </row>
    <row r="19" spans="1:8" ht="15.75" customHeight="1" x14ac:dyDescent="0.2">
      <c r="A19" s="1" t="s">
        <v>143</v>
      </c>
      <c r="B19" s="17">
        <v>0</v>
      </c>
      <c r="C19" s="19">
        <f t="shared" si="2"/>
        <v>1.4203500000000002</v>
      </c>
      <c r="D19" s="1" t="s">
        <v>144</v>
      </c>
      <c r="F19" s="1"/>
    </row>
    <row r="20" spans="1:8" ht="15.75" customHeight="1" x14ac:dyDescent="0.2">
      <c r="A20" s="1" t="s">
        <v>82</v>
      </c>
      <c r="B20" s="19">
        <f>$B$11</f>
        <v>0.2</v>
      </c>
      <c r="C20" s="19">
        <f t="shared" si="2"/>
        <v>1.6203500000000002</v>
      </c>
      <c r="F20" s="1"/>
    </row>
    <row r="21" spans="1:8" ht="15.75" customHeight="1" x14ac:dyDescent="0.2">
      <c r="A21" s="15" t="s">
        <v>145</v>
      </c>
      <c r="B21" s="16" t="s">
        <v>45</v>
      </c>
      <c r="C21" s="16" t="s">
        <v>46</v>
      </c>
      <c r="D21" s="16" t="s">
        <v>47</v>
      </c>
      <c r="F21" s="1"/>
    </row>
    <row r="22" spans="1:8" ht="15.75" customHeight="1" x14ac:dyDescent="0.2">
      <c r="A22" s="1" t="s">
        <v>146</v>
      </c>
      <c r="B22" s="17">
        <f>B10</f>
        <v>65</v>
      </c>
      <c r="C22" s="19">
        <f>B22+C20</f>
        <v>66.620350000000002</v>
      </c>
      <c r="D22" s="1" t="s">
        <v>133</v>
      </c>
      <c r="F22" s="1"/>
    </row>
    <row r="23" spans="1:8" ht="15.75" customHeight="1" x14ac:dyDescent="0.2">
      <c r="A23" s="1" t="s">
        <v>147</v>
      </c>
      <c r="B23" s="17">
        <f>MAX(I5:I6)</f>
        <v>1.42103</v>
      </c>
      <c r="C23" s="19">
        <f t="shared" ref="C23:C24" si="3">C22+B23</f>
        <v>68.041380000000004</v>
      </c>
      <c r="D23" s="1"/>
      <c r="H23" s="1" t="s">
        <v>129</v>
      </c>
    </row>
    <row r="24" spans="1:8" ht="15.75" customHeight="1" x14ac:dyDescent="0.2">
      <c r="A24" s="1" t="s">
        <v>143</v>
      </c>
      <c r="B24" s="17">
        <v>0</v>
      </c>
      <c r="C24" s="19">
        <f t="shared" si="3"/>
        <v>68.041380000000004</v>
      </c>
      <c r="D24" s="1" t="s">
        <v>144</v>
      </c>
    </row>
    <row r="25" spans="1:8" ht="15.75" customHeight="1" x14ac:dyDescent="0.2">
      <c r="A25" s="21" t="s">
        <v>66</v>
      </c>
      <c r="B25" s="19"/>
      <c r="C25" s="23">
        <f>C24</f>
        <v>68.041380000000004</v>
      </c>
    </row>
    <row r="26" spans="1:8" ht="15.75" customHeight="1" x14ac:dyDescent="0.2">
      <c r="A26" s="1" t="s">
        <v>148</v>
      </c>
      <c r="B26" s="19">
        <f>B6</f>
        <v>162.76041666666666</v>
      </c>
      <c r="C26" s="19">
        <f>B26</f>
        <v>162.76041666666666</v>
      </c>
      <c r="D26" s="1" t="s">
        <v>149</v>
      </c>
    </row>
    <row r="27" spans="1:8" ht="15.75" customHeight="1" x14ac:dyDescent="0.2">
      <c r="A27" s="21" t="s">
        <v>85</v>
      </c>
      <c r="B27" s="2"/>
      <c r="C27" s="23">
        <f>C26</f>
        <v>162.76041666666666</v>
      </c>
    </row>
    <row r="28" spans="1:8" ht="15.75" customHeight="1" x14ac:dyDescent="0.2">
      <c r="A28" s="15" t="s">
        <v>21</v>
      </c>
      <c r="B28" s="25"/>
      <c r="C28" s="23">
        <f>C27-C25</f>
        <v>94.719036666666653</v>
      </c>
      <c r="D28" s="26" t="s">
        <v>87</v>
      </c>
    </row>
    <row r="29" spans="1:8" ht="15.75" customHeight="1" x14ac:dyDescent="0.2">
      <c r="A29" s="2"/>
    </row>
    <row r="30" spans="1:8" ht="15.75" customHeight="1" x14ac:dyDescent="0.2">
      <c r="A30" s="45" t="s">
        <v>88</v>
      </c>
      <c r="B30" s="41"/>
      <c r="C30" s="41"/>
      <c r="D30" s="41"/>
    </row>
    <row r="31" spans="1:8" ht="15.75" customHeight="1" x14ac:dyDescent="0.2">
      <c r="A31" s="15" t="s">
        <v>150</v>
      </c>
      <c r="B31" s="16" t="s">
        <v>45</v>
      </c>
      <c r="C31" s="16" t="s">
        <v>46</v>
      </c>
      <c r="D31" s="16" t="s">
        <v>47</v>
      </c>
    </row>
    <row r="32" spans="1:8" ht="15.75" customHeight="1" x14ac:dyDescent="0.2">
      <c r="A32" s="1" t="s">
        <v>151</v>
      </c>
      <c r="B32" s="17">
        <v>0</v>
      </c>
      <c r="C32" s="19">
        <f>B32</f>
        <v>0</v>
      </c>
      <c r="D32" s="1" t="s">
        <v>141</v>
      </c>
    </row>
    <row r="33" spans="1:4" ht="15.75" customHeight="1" x14ac:dyDescent="0.2">
      <c r="A33" s="1" t="s">
        <v>131</v>
      </c>
      <c r="B33" s="19">
        <f>MIN(H3:H4)</f>
        <v>1.17072</v>
      </c>
      <c r="C33" s="19">
        <f t="shared" ref="C33:C35" si="4">C32+B33</f>
        <v>1.17072</v>
      </c>
      <c r="D33" s="1"/>
    </row>
    <row r="34" spans="1:4" ht="15.75" customHeight="1" x14ac:dyDescent="0.2">
      <c r="A34" s="1" t="s">
        <v>152</v>
      </c>
      <c r="B34" s="17">
        <v>0</v>
      </c>
      <c r="C34" s="19">
        <f t="shared" si="4"/>
        <v>1.17072</v>
      </c>
      <c r="D34" s="1" t="s">
        <v>144</v>
      </c>
    </row>
    <row r="35" spans="1:4" ht="15.75" customHeight="1" x14ac:dyDescent="0.2">
      <c r="A35" s="1" t="s">
        <v>82</v>
      </c>
      <c r="B35" s="19">
        <f>-$B$11</f>
        <v>-0.2</v>
      </c>
      <c r="C35" s="19">
        <f t="shared" si="4"/>
        <v>0.97072000000000003</v>
      </c>
    </row>
    <row r="36" spans="1:4" ht="15.75" customHeight="1" x14ac:dyDescent="0.2">
      <c r="A36" s="15" t="s">
        <v>145</v>
      </c>
      <c r="B36" s="16" t="s">
        <v>45</v>
      </c>
      <c r="C36" s="16" t="s">
        <v>46</v>
      </c>
      <c r="D36" s="16" t="s">
        <v>47</v>
      </c>
    </row>
    <row r="37" spans="1:4" ht="15.75" customHeight="1" x14ac:dyDescent="0.2">
      <c r="A37" s="1" t="s">
        <v>153</v>
      </c>
      <c r="B37" s="17">
        <f>B9</f>
        <v>10</v>
      </c>
      <c r="C37" s="19">
        <f>B37+C35</f>
        <v>10.97072</v>
      </c>
      <c r="D37" s="1" t="s">
        <v>133</v>
      </c>
    </row>
    <row r="38" spans="1:4" ht="15.75" customHeight="1" x14ac:dyDescent="0.2">
      <c r="A38" s="1" t="s">
        <v>154</v>
      </c>
      <c r="B38" s="17">
        <f>MIN(H5:H6)</f>
        <v>1.24736</v>
      </c>
      <c r="C38" s="19">
        <f t="shared" ref="C38:C39" si="5">C37+B38</f>
        <v>12.21808</v>
      </c>
      <c r="D38" s="1"/>
    </row>
    <row r="39" spans="1:4" ht="15.75" customHeight="1" x14ac:dyDescent="0.2">
      <c r="A39" s="1" t="s">
        <v>152</v>
      </c>
      <c r="B39" s="17">
        <f>0</f>
        <v>0</v>
      </c>
      <c r="C39" s="19">
        <f t="shared" si="5"/>
        <v>12.21808</v>
      </c>
      <c r="D39" s="1" t="s">
        <v>144</v>
      </c>
    </row>
    <row r="40" spans="1:4" ht="15.75" customHeight="1" x14ac:dyDescent="0.2">
      <c r="A40" s="1" t="s">
        <v>156</v>
      </c>
      <c r="B40" s="17">
        <v>0</v>
      </c>
      <c r="C40" s="19">
        <f>B40+C39</f>
        <v>12.21808</v>
      </c>
      <c r="D40" s="1"/>
    </row>
    <row r="41" spans="1:4" ht="15.75" customHeight="1" x14ac:dyDescent="0.2">
      <c r="A41" s="21" t="s">
        <v>66</v>
      </c>
      <c r="B41" s="19"/>
      <c r="C41" s="23">
        <f>C40</f>
        <v>12.21808</v>
      </c>
    </row>
    <row r="42" spans="1:4" ht="15.75" customHeight="1" x14ac:dyDescent="0.2">
      <c r="A42" s="1" t="s">
        <v>148</v>
      </c>
      <c r="B42" s="17">
        <v>0</v>
      </c>
      <c r="C42" s="17">
        <f>B42</f>
        <v>0</v>
      </c>
    </row>
    <row r="43" spans="1:4" ht="15.75" customHeight="1" x14ac:dyDescent="0.2">
      <c r="A43" s="21" t="s">
        <v>85</v>
      </c>
      <c r="B43" s="2"/>
      <c r="C43" s="23">
        <f>C42</f>
        <v>0</v>
      </c>
    </row>
    <row r="44" spans="1:4" ht="15.75" customHeight="1" x14ac:dyDescent="0.2">
      <c r="A44" s="15" t="s">
        <v>21</v>
      </c>
      <c r="B44" s="25"/>
      <c r="C44" s="23">
        <f>C41-C43</f>
        <v>12.21808</v>
      </c>
      <c r="D44" s="26" t="s">
        <v>160</v>
      </c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5.75" customHeight="1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</sheetData>
  <mergeCells count="5">
    <mergeCell ref="F1:I1"/>
    <mergeCell ref="A1:C1"/>
    <mergeCell ref="K4:L4"/>
    <mergeCell ref="A30:D30"/>
    <mergeCell ref="A14:D14"/>
  </mergeCells>
  <conditionalFormatting sqref="C28 C44">
    <cfRule type="cellIs" dxfId="17" priority="1" operator="greaterThan">
      <formula>0</formula>
    </cfRule>
  </conditionalFormatting>
  <conditionalFormatting sqref="C28 C44">
    <cfRule type="cellIs" dxfId="16" priority="2" operator="lessThanOrEqual">
      <formula>0</formula>
    </cfRule>
  </conditionalFormatting>
  <conditionalFormatting sqref="L7">
    <cfRule type="cellIs" dxfId="15" priority="3" operator="greaterThan">
      <formula>0</formula>
    </cfRule>
  </conditionalFormatting>
  <conditionalFormatting sqref="L7">
    <cfRule type="cellIs" dxfId="14" priority="4" operator="lessThanOrEqual">
      <formula>0</formula>
    </cfRule>
  </conditionalFormatting>
  <conditionalFormatting sqref="L8">
    <cfRule type="cellIs" dxfId="13" priority="5" operator="greaterThan">
      <formula>0</formula>
    </cfRule>
  </conditionalFormatting>
  <conditionalFormatting sqref="L8">
    <cfRule type="cellIs" dxfId="12" priority="6" operator="less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2"/>
  <sheetViews>
    <sheetView workbookViewId="0">
      <pane ySplit="12" topLeftCell="A13" activePane="bottomLeft" state="frozen"/>
      <selection pane="bottomLeft" activeCell="B14" sqref="B14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7.14062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106</v>
      </c>
      <c r="G3" s="10">
        <f>2669+1199+4345</f>
        <v>8213</v>
      </c>
      <c r="H3" s="8">
        <f t="shared" ref="H3:H6" si="0">G3/1000*$B$2</f>
        <v>1.3140799999999999</v>
      </c>
      <c r="I3" s="8">
        <f t="shared" ref="I3:I6" si="1">G3/1000*$B$3</f>
        <v>1.39621</v>
      </c>
    </row>
    <row r="4" spans="1:24" ht="15.75" customHeight="1" x14ac:dyDescent="0.2">
      <c r="A4" s="30" t="s">
        <v>14</v>
      </c>
      <c r="B4" s="37">
        <f>1/20000000*1000000000</f>
        <v>50</v>
      </c>
      <c r="C4" s="33" t="s">
        <v>5</v>
      </c>
      <c r="D4" s="35">
        <f>1000/B4</f>
        <v>20</v>
      </c>
      <c r="F4" s="3" t="s">
        <v>107</v>
      </c>
      <c r="G4" s="10">
        <f>1877+1199+4345</f>
        <v>7421</v>
      </c>
      <c r="H4" s="8">
        <f t="shared" si="0"/>
        <v>1.18736</v>
      </c>
      <c r="I4" s="8">
        <f t="shared" si="1"/>
        <v>1.2615700000000001</v>
      </c>
      <c r="K4" s="46" t="s">
        <v>108</v>
      </c>
      <c r="L4" s="47"/>
    </row>
    <row r="5" spans="1:24" ht="15.75" customHeight="1" x14ac:dyDescent="0.2">
      <c r="A5" s="3" t="s">
        <v>109</v>
      </c>
      <c r="B5" s="11">
        <f>B4/2</f>
        <v>25</v>
      </c>
      <c r="C5" s="5" t="s">
        <v>5</v>
      </c>
      <c r="D5" s="1" t="s">
        <v>110</v>
      </c>
      <c r="F5" s="3" t="s">
        <v>111</v>
      </c>
      <c r="G5" s="10">
        <f>3005+531+4641</f>
        <v>8177</v>
      </c>
      <c r="H5" s="8">
        <f t="shared" si="0"/>
        <v>1.3083199999999999</v>
      </c>
      <c r="I5" s="8">
        <f t="shared" si="1"/>
        <v>1.39009</v>
      </c>
      <c r="K5" s="28" t="s">
        <v>49</v>
      </c>
      <c r="L5" s="29">
        <f>B6/2-C28</f>
        <v>22.302730000000004</v>
      </c>
      <c r="M5" s="1" t="s">
        <v>112</v>
      </c>
    </row>
    <row r="6" spans="1:24" ht="15.75" customHeight="1" x14ac:dyDescent="0.2">
      <c r="A6" s="3" t="s">
        <v>113</v>
      </c>
      <c r="B6" s="9">
        <f>B4</f>
        <v>50</v>
      </c>
      <c r="C6" s="5" t="s">
        <v>5</v>
      </c>
      <c r="D6" s="1" t="s">
        <v>25</v>
      </c>
      <c r="F6" s="3" t="s">
        <v>114</v>
      </c>
      <c r="G6" s="10">
        <f>2183+531+4641</f>
        <v>7355</v>
      </c>
      <c r="H6" s="8">
        <f t="shared" si="0"/>
        <v>1.1768000000000001</v>
      </c>
      <c r="I6" s="8">
        <f t="shared" si="1"/>
        <v>1.2503500000000001</v>
      </c>
      <c r="K6" s="28" t="s">
        <v>62</v>
      </c>
      <c r="L6" s="29">
        <f>-(B6/2-C44)</f>
        <v>-19.019410000000001</v>
      </c>
      <c r="M6" s="1" t="s">
        <v>115</v>
      </c>
    </row>
    <row r="7" spans="1:24" ht="15.75" customHeight="1" x14ac:dyDescent="0.2">
      <c r="A7" s="3" t="s">
        <v>116</v>
      </c>
      <c r="B7" s="11">
        <f>3-12</f>
        <v>-9</v>
      </c>
      <c r="C7" s="5" t="s">
        <v>5</v>
      </c>
      <c r="D7" s="1" t="s">
        <v>117</v>
      </c>
      <c r="K7" s="28" t="s">
        <v>21</v>
      </c>
      <c r="L7" s="32">
        <f>C28</f>
        <v>2.6972699999999961</v>
      </c>
      <c r="M7" s="1"/>
    </row>
    <row r="8" spans="1:24" ht="15.75" customHeight="1" x14ac:dyDescent="0.2">
      <c r="A8" s="3" t="s">
        <v>118</v>
      </c>
      <c r="B8" s="11">
        <f>12-3</f>
        <v>9</v>
      </c>
      <c r="C8" s="5" t="s">
        <v>5</v>
      </c>
      <c r="D8" s="1" t="s">
        <v>117</v>
      </c>
      <c r="F8" s="1"/>
      <c r="K8" s="34" t="s">
        <v>27</v>
      </c>
      <c r="L8" s="36">
        <f>C44</f>
        <v>5.9805900000000012</v>
      </c>
      <c r="M8" s="1"/>
    </row>
    <row r="9" spans="1:24" ht="15.75" customHeight="1" x14ac:dyDescent="0.2">
      <c r="A9" s="3" t="s">
        <v>155</v>
      </c>
      <c r="B9" s="11">
        <v>3</v>
      </c>
      <c r="C9" s="5" t="s">
        <v>5</v>
      </c>
      <c r="D9" s="1" t="s">
        <v>117</v>
      </c>
      <c r="E9" s="1"/>
    </row>
    <row r="10" spans="1:24" ht="15.75" customHeight="1" x14ac:dyDescent="0.2">
      <c r="A10" s="3" t="s">
        <v>157</v>
      </c>
      <c r="B10" s="11">
        <v>10</v>
      </c>
      <c r="C10" s="5" t="s">
        <v>5</v>
      </c>
      <c r="D10" s="1" t="s">
        <v>117</v>
      </c>
      <c r="E10" s="1"/>
      <c r="F10" s="1" t="s">
        <v>158</v>
      </c>
    </row>
    <row r="11" spans="1:24" ht="15.75" customHeight="1" x14ac:dyDescent="0.2">
      <c r="A11" s="3" t="s">
        <v>40</v>
      </c>
      <c r="B11" s="11">
        <v>0.2</v>
      </c>
      <c r="C11" s="5" t="s">
        <v>5</v>
      </c>
      <c r="D11" s="1" t="s">
        <v>41</v>
      </c>
      <c r="E11" s="1"/>
      <c r="F11" s="1" t="s">
        <v>159</v>
      </c>
    </row>
    <row r="12" spans="1:24" ht="15.75" customHeight="1" x14ac:dyDescent="0.2">
      <c r="A12" s="2"/>
    </row>
    <row r="14" spans="1:24" ht="15.75" customHeight="1" x14ac:dyDescent="0.2">
      <c r="A14" s="40" t="s">
        <v>42</v>
      </c>
      <c r="B14" s="41"/>
      <c r="C14" s="41"/>
      <c r="D14" s="41"/>
      <c r="F14" s="1"/>
    </row>
    <row r="15" spans="1:24" ht="15.75" customHeight="1" x14ac:dyDescent="0.2">
      <c r="A15" s="15" t="s">
        <v>44</v>
      </c>
      <c r="B15" s="16" t="s">
        <v>45</v>
      </c>
      <c r="C15" s="16" t="s">
        <v>46</v>
      </c>
      <c r="D15" s="16" t="s">
        <v>47</v>
      </c>
      <c r="F15" s="1"/>
    </row>
    <row r="16" spans="1:24" ht="15.75" customHeight="1" x14ac:dyDescent="0.2">
      <c r="A16" s="1" t="s">
        <v>123</v>
      </c>
      <c r="B16" s="17">
        <f>B5</f>
        <v>25</v>
      </c>
      <c r="C16" s="19">
        <f>B16</f>
        <v>25</v>
      </c>
      <c r="D16" s="1"/>
      <c r="F16" s="1"/>
    </row>
    <row r="17" spans="1:8" ht="15.75" customHeight="1" x14ac:dyDescent="0.2">
      <c r="A17" s="1" t="s">
        <v>124</v>
      </c>
      <c r="B17" s="17">
        <f>B8+3.9</f>
        <v>12.9</v>
      </c>
      <c r="C17" s="19">
        <f t="shared" ref="C17:C19" si="2">C16+B17</f>
        <v>37.9</v>
      </c>
      <c r="D17" s="1" t="s">
        <v>161</v>
      </c>
      <c r="F17" s="1"/>
    </row>
    <row r="18" spans="1:8" ht="15.75" customHeight="1" x14ac:dyDescent="0.2">
      <c r="A18" s="1" t="s">
        <v>126</v>
      </c>
      <c r="B18" s="19">
        <f>MAX(I5:I6)</f>
        <v>1.39009</v>
      </c>
      <c r="C18" s="19">
        <f t="shared" si="2"/>
        <v>39.290089999999999</v>
      </c>
      <c r="D18" s="1"/>
    </row>
    <row r="19" spans="1:8" ht="15.75" customHeight="1" x14ac:dyDescent="0.2">
      <c r="A19" s="1" t="s">
        <v>143</v>
      </c>
      <c r="B19" s="17">
        <v>9</v>
      </c>
      <c r="C19" s="19">
        <f t="shared" si="2"/>
        <v>48.290089999999999</v>
      </c>
      <c r="D19" s="1" t="s">
        <v>162</v>
      </c>
      <c r="H19" s="1"/>
    </row>
    <row r="20" spans="1:8" ht="15.75" customHeight="1" x14ac:dyDescent="0.2">
      <c r="A20" s="21" t="s">
        <v>66</v>
      </c>
      <c r="B20" s="19"/>
      <c r="C20" s="23">
        <f>C19</f>
        <v>48.290089999999999</v>
      </c>
      <c r="H20" s="1" t="s">
        <v>129</v>
      </c>
    </row>
    <row r="21" spans="1:8" ht="15.75" customHeight="1" x14ac:dyDescent="0.2">
      <c r="A21" s="24"/>
      <c r="B21" s="1"/>
      <c r="C21" s="1"/>
    </row>
    <row r="22" spans="1:8" ht="15.75" customHeight="1" x14ac:dyDescent="0.2">
      <c r="A22" s="15" t="s">
        <v>76</v>
      </c>
      <c r="B22" s="16" t="s">
        <v>45</v>
      </c>
      <c r="C22" s="16" t="s">
        <v>46</v>
      </c>
      <c r="D22" s="16" t="s">
        <v>47</v>
      </c>
    </row>
    <row r="23" spans="1:8" ht="15.75" customHeight="1" x14ac:dyDescent="0.2">
      <c r="A23" s="1" t="s">
        <v>130</v>
      </c>
      <c r="B23" s="17">
        <f>B6</f>
        <v>50</v>
      </c>
      <c r="C23" s="19">
        <f>B23</f>
        <v>50</v>
      </c>
    </row>
    <row r="24" spans="1:8" ht="15.75" customHeight="1" x14ac:dyDescent="0.2">
      <c r="A24" s="1" t="s">
        <v>131</v>
      </c>
      <c r="B24" s="19">
        <f>MIN(H3:H4)</f>
        <v>1.18736</v>
      </c>
      <c r="C24" s="19">
        <f t="shared" ref="C24:C26" si="3">C23+B24</f>
        <v>51.187359999999998</v>
      </c>
      <c r="D24" s="1"/>
    </row>
    <row r="25" spans="1:8" ht="15.75" customHeight="1" x14ac:dyDescent="0.2">
      <c r="A25" s="1" t="s">
        <v>152</v>
      </c>
      <c r="B25" s="17">
        <v>0</v>
      </c>
      <c r="C25" s="19">
        <f t="shared" si="3"/>
        <v>51.187359999999998</v>
      </c>
    </row>
    <row r="26" spans="1:8" ht="15.75" customHeight="1" x14ac:dyDescent="0.2">
      <c r="A26" s="1" t="s">
        <v>82</v>
      </c>
      <c r="B26" s="19">
        <f>-$B$11</f>
        <v>-0.2</v>
      </c>
      <c r="C26" s="19">
        <f t="shared" si="3"/>
        <v>50.987359999999995</v>
      </c>
      <c r="D26" s="1" t="s">
        <v>163</v>
      </c>
    </row>
    <row r="27" spans="1:8" ht="15.75" customHeight="1" x14ac:dyDescent="0.2">
      <c r="A27" s="21" t="s">
        <v>85</v>
      </c>
      <c r="B27" s="2"/>
      <c r="C27" s="23">
        <f>C26</f>
        <v>50.987359999999995</v>
      </c>
    </row>
    <row r="28" spans="1:8" ht="15.75" customHeight="1" x14ac:dyDescent="0.2">
      <c r="A28" s="15" t="s">
        <v>21</v>
      </c>
      <c r="B28" s="25"/>
      <c r="C28" s="23">
        <f>C27-C20</f>
        <v>2.6972699999999961</v>
      </c>
      <c r="D28" s="26" t="s">
        <v>87</v>
      </c>
    </row>
    <row r="29" spans="1:8" ht="15.75" customHeight="1" x14ac:dyDescent="0.2">
      <c r="A29" s="2"/>
    </row>
    <row r="30" spans="1:8" ht="15.75" customHeight="1" x14ac:dyDescent="0.2">
      <c r="A30" s="45" t="s">
        <v>88</v>
      </c>
      <c r="B30" s="41"/>
      <c r="C30" s="41"/>
      <c r="D30" s="41"/>
    </row>
    <row r="31" spans="1:8" ht="15.75" customHeight="1" x14ac:dyDescent="0.2">
      <c r="A31" s="15" t="s">
        <v>90</v>
      </c>
      <c r="B31" s="16" t="s">
        <v>45</v>
      </c>
      <c r="C31" s="16" t="s">
        <v>46</v>
      </c>
      <c r="D31" s="16" t="s">
        <v>47</v>
      </c>
    </row>
    <row r="32" spans="1:8" ht="15.75" customHeight="1" x14ac:dyDescent="0.2">
      <c r="A32" s="1" t="s">
        <v>123</v>
      </c>
      <c r="B32" s="17">
        <f>B5</f>
        <v>25</v>
      </c>
      <c r="C32" s="19">
        <f>B32</f>
        <v>25</v>
      </c>
      <c r="D32" s="1"/>
      <c r="F32" s="1"/>
    </row>
    <row r="33" spans="1:4" ht="15.75" customHeight="1" x14ac:dyDescent="0.2">
      <c r="A33" s="1" t="s">
        <v>124</v>
      </c>
      <c r="B33" s="17">
        <f>B7+-3.1</f>
        <v>-12.1</v>
      </c>
      <c r="C33" s="19">
        <f t="shared" ref="C33:C35" si="4">C32+B33</f>
        <v>12.9</v>
      </c>
      <c r="D33" s="1" t="s">
        <v>161</v>
      </c>
    </row>
    <row r="34" spans="1:4" ht="15.75" customHeight="1" x14ac:dyDescent="0.2">
      <c r="A34" s="1" t="s">
        <v>139</v>
      </c>
      <c r="B34" s="19">
        <f>MIN(H5:H6)</f>
        <v>1.1768000000000001</v>
      </c>
      <c r="C34" s="19">
        <f t="shared" si="4"/>
        <v>14.0768</v>
      </c>
      <c r="D34" s="1"/>
    </row>
    <row r="35" spans="1:4" ht="15.75" customHeight="1" x14ac:dyDescent="0.2">
      <c r="A35" s="1" t="s">
        <v>152</v>
      </c>
      <c r="B35" s="17">
        <v>0</v>
      </c>
      <c r="C35" s="19">
        <f t="shared" si="4"/>
        <v>14.0768</v>
      </c>
      <c r="D35" s="1" t="s">
        <v>162</v>
      </c>
    </row>
    <row r="36" spans="1:4" ht="15.75" customHeight="1" x14ac:dyDescent="0.2">
      <c r="A36" s="21" t="s">
        <v>66</v>
      </c>
      <c r="B36" s="19"/>
      <c r="C36" s="23">
        <f>C35</f>
        <v>14.0768</v>
      </c>
    </row>
    <row r="37" spans="1:4" ht="15.75" customHeight="1" x14ac:dyDescent="0.2">
      <c r="A37" s="24"/>
      <c r="B37" s="1"/>
      <c r="C37" s="1"/>
    </row>
    <row r="38" spans="1:4" ht="15.75" customHeight="1" x14ac:dyDescent="0.2">
      <c r="A38" s="15" t="s">
        <v>95</v>
      </c>
      <c r="B38" s="16" t="s">
        <v>45</v>
      </c>
      <c r="C38" s="16" t="s">
        <v>46</v>
      </c>
      <c r="D38" s="16" t="s">
        <v>47</v>
      </c>
    </row>
    <row r="39" spans="1:4" ht="15.75" customHeight="1" x14ac:dyDescent="0.2">
      <c r="A39" s="1" t="s">
        <v>130</v>
      </c>
      <c r="B39" s="17">
        <v>0</v>
      </c>
      <c r="C39" s="19">
        <f>B39</f>
        <v>0</v>
      </c>
    </row>
    <row r="40" spans="1:4" ht="15.75" customHeight="1" x14ac:dyDescent="0.2">
      <c r="A40" s="1" t="s">
        <v>142</v>
      </c>
      <c r="B40" s="19">
        <f>MAX(I3:I4)</f>
        <v>1.39621</v>
      </c>
      <c r="C40" s="19">
        <f t="shared" ref="C40:C42" si="5">C39+B40</f>
        <v>1.39621</v>
      </c>
      <c r="D40" s="1"/>
    </row>
    <row r="41" spans="1:4" ht="15.75" customHeight="1" x14ac:dyDescent="0.2">
      <c r="A41" s="1" t="s">
        <v>143</v>
      </c>
      <c r="B41" s="17">
        <v>6.5</v>
      </c>
      <c r="C41" s="19">
        <f t="shared" si="5"/>
        <v>7.89621</v>
      </c>
      <c r="D41" s="1" t="s">
        <v>163</v>
      </c>
    </row>
    <row r="42" spans="1:4" ht="15.75" customHeight="1" x14ac:dyDescent="0.2">
      <c r="A42" s="1" t="s">
        <v>82</v>
      </c>
      <c r="B42" s="19">
        <f>$B$11</f>
        <v>0.2</v>
      </c>
      <c r="C42" s="19">
        <f t="shared" si="5"/>
        <v>8.0962099999999992</v>
      </c>
    </row>
    <row r="43" spans="1:4" ht="15.75" customHeight="1" x14ac:dyDescent="0.2">
      <c r="A43" s="21" t="s">
        <v>85</v>
      </c>
      <c r="B43" s="2"/>
      <c r="C43" s="23">
        <f>C42</f>
        <v>8.0962099999999992</v>
      </c>
    </row>
    <row r="44" spans="1:4" ht="15.75" customHeight="1" x14ac:dyDescent="0.2">
      <c r="A44" s="15" t="s">
        <v>27</v>
      </c>
      <c r="B44" s="25"/>
      <c r="C44" s="23">
        <f>C36-C43</f>
        <v>5.9805900000000012</v>
      </c>
      <c r="D44" s="26" t="s">
        <v>103</v>
      </c>
    </row>
    <row r="45" spans="1:4" ht="15.75" customHeight="1" x14ac:dyDescent="0.2">
      <c r="A45" s="2"/>
    </row>
    <row r="46" spans="1:4" ht="15.75" customHeight="1" x14ac:dyDescent="0.2">
      <c r="A46" s="2"/>
    </row>
    <row r="47" spans="1:4" ht="15.75" customHeight="1" x14ac:dyDescent="0.2">
      <c r="A47" s="2"/>
    </row>
    <row r="48" spans="1:4" ht="15.75" customHeight="1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</sheetData>
  <mergeCells count="5">
    <mergeCell ref="A14:D14"/>
    <mergeCell ref="F1:I1"/>
    <mergeCell ref="A1:C1"/>
    <mergeCell ref="K4:L4"/>
    <mergeCell ref="A30:D30"/>
  </mergeCells>
  <conditionalFormatting sqref="C28 C44">
    <cfRule type="cellIs" dxfId="11" priority="1" operator="greaterThan">
      <formula>0</formula>
    </cfRule>
  </conditionalFormatting>
  <conditionalFormatting sqref="C28 C44">
    <cfRule type="cellIs" dxfId="10" priority="2" operator="lessThanOrEqual">
      <formula>0</formula>
    </cfRule>
  </conditionalFormatting>
  <conditionalFormatting sqref="L7">
    <cfRule type="cellIs" dxfId="9" priority="3" operator="greaterThan">
      <formula>0</formula>
    </cfRule>
  </conditionalFormatting>
  <conditionalFormatting sqref="L7">
    <cfRule type="cellIs" dxfId="8" priority="4" operator="lessThanOrEqual">
      <formula>0</formula>
    </cfRule>
  </conditionalFormatting>
  <conditionalFormatting sqref="L8">
    <cfRule type="cellIs" dxfId="7" priority="5" operator="greaterThan">
      <formula>0</formula>
    </cfRule>
  </conditionalFormatting>
  <conditionalFormatting sqref="L8">
    <cfRule type="cellIs" dxfId="6" priority="6" operator="lessThanOr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2"/>
  <sheetViews>
    <sheetView workbookViewId="0">
      <pane ySplit="12" topLeftCell="A13" activePane="bottomLeft" state="frozen"/>
      <selection pane="bottomLeft" activeCell="B14" sqref="B14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3.4257812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7.140625" customWidth="1"/>
  </cols>
  <sheetData>
    <row r="1" spans="1:24" ht="15.75" customHeight="1" x14ac:dyDescent="0.2">
      <c r="A1" s="42" t="s">
        <v>1</v>
      </c>
      <c r="B1" s="43"/>
      <c r="C1" s="44"/>
      <c r="D1" s="2"/>
      <c r="E1" s="2"/>
      <c r="F1" s="42" t="s">
        <v>2</v>
      </c>
      <c r="G1" s="43"/>
      <c r="H1" s="43"/>
      <c r="I1" s="44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3" t="s">
        <v>3</v>
      </c>
      <c r="B2" s="4">
        <v>0.16</v>
      </c>
      <c r="C2" s="5" t="s">
        <v>6</v>
      </c>
      <c r="F2" s="6"/>
      <c r="G2" s="3" t="s">
        <v>7</v>
      </c>
      <c r="H2" s="3" t="s">
        <v>8</v>
      </c>
      <c r="I2" s="3" t="s">
        <v>9</v>
      </c>
    </row>
    <row r="3" spans="1:24" ht="15.75" customHeight="1" x14ac:dyDescent="0.2">
      <c r="A3" s="3" t="s">
        <v>11</v>
      </c>
      <c r="B3" s="4">
        <v>0.17</v>
      </c>
      <c r="C3" s="5" t="s">
        <v>6</v>
      </c>
      <c r="F3" s="3" t="s">
        <v>106</v>
      </c>
      <c r="G3" s="10">
        <f>2669+1199+4345</f>
        <v>8213</v>
      </c>
      <c r="H3" s="8">
        <f t="shared" ref="H3:H6" si="0">G3/1000*$B$2</f>
        <v>1.3140799999999999</v>
      </c>
      <c r="I3" s="8">
        <f t="shared" ref="I3:I6" si="1">G3/1000*$B$3</f>
        <v>1.39621</v>
      </c>
    </row>
    <row r="4" spans="1:24" ht="15.75" customHeight="1" x14ac:dyDescent="0.2">
      <c r="A4" s="30" t="s">
        <v>14</v>
      </c>
      <c r="B4" s="37">
        <f>1/4000000*1000000000</f>
        <v>250</v>
      </c>
      <c r="C4" s="33" t="s">
        <v>5</v>
      </c>
      <c r="D4" s="35">
        <f>1000/B4</f>
        <v>4</v>
      </c>
      <c r="F4" s="3" t="s">
        <v>107</v>
      </c>
      <c r="G4" s="10">
        <f>1877+1199+4345</f>
        <v>7421</v>
      </c>
      <c r="H4" s="8">
        <f t="shared" si="0"/>
        <v>1.18736</v>
      </c>
      <c r="I4" s="8">
        <f t="shared" si="1"/>
        <v>1.2615700000000001</v>
      </c>
      <c r="K4" s="46" t="s">
        <v>164</v>
      </c>
      <c r="L4" s="47"/>
    </row>
    <row r="5" spans="1:24" ht="15.75" customHeight="1" x14ac:dyDescent="0.2">
      <c r="A5" s="3" t="s">
        <v>121</v>
      </c>
      <c r="B5" s="11">
        <f>B4/2</f>
        <v>125</v>
      </c>
      <c r="C5" s="5" t="s">
        <v>5</v>
      </c>
      <c r="D5" s="1" t="s">
        <v>110</v>
      </c>
      <c r="F5" s="3" t="s">
        <v>122</v>
      </c>
      <c r="G5" s="10">
        <f>427+4571+2944</f>
        <v>7942</v>
      </c>
      <c r="H5" s="8">
        <f t="shared" si="0"/>
        <v>1.2707200000000001</v>
      </c>
      <c r="I5" s="8">
        <f t="shared" si="1"/>
        <v>1.3501400000000001</v>
      </c>
      <c r="K5" s="28" t="s">
        <v>24</v>
      </c>
      <c r="L5" s="29">
        <f>(B4/2)-B22</f>
        <v>60</v>
      </c>
      <c r="M5" s="1" t="s">
        <v>112</v>
      </c>
    </row>
    <row r="6" spans="1:24" ht="15.75" customHeight="1" x14ac:dyDescent="0.2">
      <c r="A6" s="3" t="s">
        <v>127</v>
      </c>
      <c r="B6" s="9">
        <f>B4</f>
        <v>250</v>
      </c>
      <c r="C6" s="5" t="s">
        <v>5</v>
      </c>
      <c r="D6" s="1" t="s">
        <v>25</v>
      </c>
      <c r="F6" s="3" t="s">
        <v>128</v>
      </c>
      <c r="G6" s="10">
        <f>427+4571+2187</f>
        <v>7185</v>
      </c>
      <c r="H6" s="8">
        <f t="shared" si="0"/>
        <v>1.1496</v>
      </c>
      <c r="I6" s="8">
        <f t="shared" si="1"/>
        <v>1.2214499999999999</v>
      </c>
      <c r="K6" s="28" t="s">
        <v>37</v>
      </c>
      <c r="L6" s="29">
        <f>-B39</f>
        <v>-10</v>
      </c>
      <c r="M6" s="1"/>
    </row>
    <row r="7" spans="1:24" ht="15.75" customHeight="1" x14ac:dyDescent="0.2">
      <c r="A7" s="3" t="s">
        <v>116</v>
      </c>
      <c r="B7" s="11">
        <v>3</v>
      </c>
      <c r="C7" s="5" t="s">
        <v>5</v>
      </c>
      <c r="D7" s="1" t="s">
        <v>117</v>
      </c>
      <c r="K7" s="28" t="s">
        <v>21</v>
      </c>
      <c r="L7" s="32">
        <f>C30</f>
        <v>11.053650000000005</v>
      </c>
      <c r="M7" s="1"/>
    </row>
    <row r="8" spans="1:24" ht="15.75" customHeight="1" x14ac:dyDescent="0.2">
      <c r="A8" s="3" t="s">
        <v>118</v>
      </c>
      <c r="B8" s="11">
        <v>12</v>
      </c>
      <c r="C8" s="5" t="s">
        <v>5</v>
      </c>
      <c r="D8" s="1" t="s">
        <v>117</v>
      </c>
      <c r="F8" s="42" t="s">
        <v>165</v>
      </c>
      <c r="G8" s="43"/>
      <c r="H8" s="44"/>
      <c r="K8" s="34" t="s">
        <v>27</v>
      </c>
      <c r="L8" s="36">
        <f>C46</f>
        <v>9.9369599999999991</v>
      </c>
      <c r="M8" s="1"/>
    </row>
    <row r="9" spans="1:24" ht="15.75" customHeight="1" x14ac:dyDescent="0.2">
      <c r="A9" s="3" t="s">
        <v>155</v>
      </c>
      <c r="B9" s="11">
        <v>3</v>
      </c>
      <c r="C9" s="5" t="s">
        <v>5</v>
      </c>
      <c r="D9" s="1" t="s">
        <v>117</v>
      </c>
      <c r="E9" s="1"/>
      <c r="F9" s="3" t="s">
        <v>166</v>
      </c>
      <c r="G9" s="11">
        <v>2</v>
      </c>
      <c r="H9" s="5" t="s">
        <v>5</v>
      </c>
    </row>
    <row r="10" spans="1:24" ht="15.75" customHeight="1" x14ac:dyDescent="0.2">
      <c r="A10" s="3" t="s">
        <v>157</v>
      </c>
      <c r="B10" s="11">
        <v>10</v>
      </c>
      <c r="C10" s="5" t="s">
        <v>5</v>
      </c>
      <c r="D10" s="1" t="s">
        <v>117</v>
      </c>
      <c r="E10" s="1"/>
      <c r="F10" s="3" t="s">
        <v>167</v>
      </c>
      <c r="G10" s="11">
        <v>8.1999999999999993</v>
      </c>
      <c r="H10" s="5" t="s">
        <v>5</v>
      </c>
    </row>
    <row r="11" spans="1:24" ht="15.75" customHeight="1" x14ac:dyDescent="0.2">
      <c r="A11" s="3" t="s">
        <v>40</v>
      </c>
      <c r="B11" s="11">
        <v>0.2</v>
      </c>
      <c r="C11" s="5" t="s">
        <v>5</v>
      </c>
      <c r="D11" s="1" t="s">
        <v>41</v>
      </c>
      <c r="E11" s="1"/>
    </row>
    <row r="12" spans="1:24" ht="15.75" customHeight="1" x14ac:dyDescent="0.2">
      <c r="A12" s="2"/>
    </row>
    <row r="14" spans="1:24" ht="15.75" customHeight="1" x14ac:dyDescent="0.2">
      <c r="A14" s="40" t="s">
        <v>42</v>
      </c>
      <c r="B14" s="41"/>
      <c r="C14" s="41"/>
      <c r="D14" s="41"/>
      <c r="F14" s="1"/>
    </row>
    <row r="15" spans="1:24" ht="15.75" customHeight="1" x14ac:dyDescent="0.2">
      <c r="A15" s="15" t="s">
        <v>137</v>
      </c>
      <c r="B15" s="16" t="s">
        <v>45</v>
      </c>
      <c r="C15" s="16" t="s">
        <v>46</v>
      </c>
      <c r="D15" s="16" t="s">
        <v>47</v>
      </c>
    </row>
    <row r="16" spans="1:24" ht="15.75" customHeight="1" x14ac:dyDescent="0.2">
      <c r="A16" s="1" t="s">
        <v>138</v>
      </c>
      <c r="B16" s="17">
        <f>B5</f>
        <v>125</v>
      </c>
      <c r="C16" s="19">
        <f>B16</f>
        <v>125</v>
      </c>
    </row>
    <row r="17" spans="1:8" ht="15.75" customHeight="1" x14ac:dyDescent="0.2">
      <c r="A17" s="1" t="s">
        <v>140</v>
      </c>
      <c r="B17" s="19">
        <f>B8</f>
        <v>12</v>
      </c>
      <c r="C17" s="19">
        <f t="shared" ref="C17:C20" si="2">C16+B17</f>
        <v>137</v>
      </c>
      <c r="D17" s="1" t="s">
        <v>168</v>
      </c>
    </row>
    <row r="18" spans="1:8" ht="15.75" customHeight="1" x14ac:dyDescent="0.2">
      <c r="A18" s="1" t="s">
        <v>142</v>
      </c>
      <c r="B18" s="19">
        <f>MAX(I3:I4)</f>
        <v>1.39621</v>
      </c>
      <c r="C18" s="19">
        <f t="shared" si="2"/>
        <v>138.39621</v>
      </c>
      <c r="D18" s="1"/>
    </row>
    <row r="19" spans="1:8" ht="15.75" customHeight="1" x14ac:dyDescent="0.2">
      <c r="A19" s="1" t="s">
        <v>143</v>
      </c>
      <c r="B19" s="17">
        <v>6.5</v>
      </c>
      <c r="C19" s="19">
        <f t="shared" si="2"/>
        <v>144.89621</v>
      </c>
      <c r="D19" s="1" t="s">
        <v>163</v>
      </c>
    </row>
    <row r="20" spans="1:8" ht="15.75" customHeight="1" x14ac:dyDescent="0.2">
      <c r="A20" s="1" t="s">
        <v>82</v>
      </c>
      <c r="B20" s="19">
        <f>$B$11</f>
        <v>0.2</v>
      </c>
      <c r="C20" s="19">
        <f t="shared" si="2"/>
        <v>145.09620999999999</v>
      </c>
    </row>
    <row r="21" spans="1:8" ht="15.75" customHeight="1" x14ac:dyDescent="0.2">
      <c r="A21" s="15" t="s">
        <v>145</v>
      </c>
      <c r="B21" s="16" t="s">
        <v>45</v>
      </c>
      <c r="C21" s="16" t="s">
        <v>46</v>
      </c>
      <c r="D21" s="16" t="s">
        <v>47</v>
      </c>
      <c r="F21" s="1"/>
    </row>
    <row r="22" spans="1:8" ht="15.75" customHeight="1" x14ac:dyDescent="0.2">
      <c r="A22" s="1" t="s">
        <v>146</v>
      </c>
      <c r="B22" s="38">
        <v>65</v>
      </c>
      <c r="C22" s="19">
        <f>B22+C20</f>
        <v>210.09620999999999</v>
      </c>
      <c r="D22" s="39" t="s">
        <v>169</v>
      </c>
      <c r="F22" s="1"/>
    </row>
    <row r="23" spans="1:8" ht="15.75" customHeight="1" x14ac:dyDescent="0.2">
      <c r="A23" s="1" t="s">
        <v>147</v>
      </c>
      <c r="B23" s="17">
        <f>MAX(I5:I6)</f>
        <v>1.3501400000000001</v>
      </c>
      <c r="C23" s="19">
        <f t="shared" ref="C23:C24" si="3">C22+B23</f>
        <v>211.44635</v>
      </c>
      <c r="D23" s="1"/>
      <c r="F23" s="1"/>
    </row>
    <row r="24" spans="1:8" ht="15.75" customHeight="1" x14ac:dyDescent="0.2">
      <c r="A24" s="1" t="s">
        <v>143</v>
      </c>
      <c r="B24" s="17">
        <v>15.5</v>
      </c>
      <c r="C24" s="19">
        <f t="shared" si="3"/>
        <v>226.94635</v>
      </c>
      <c r="D24" s="1" t="s">
        <v>162</v>
      </c>
      <c r="F24" s="1"/>
    </row>
    <row r="25" spans="1:8" ht="15.75" customHeight="1" x14ac:dyDescent="0.2">
      <c r="A25" s="1" t="s">
        <v>170</v>
      </c>
      <c r="B25" s="17">
        <f>B10</f>
        <v>10</v>
      </c>
      <c r="C25" s="19">
        <f>B25+C24</f>
        <v>236.94635</v>
      </c>
      <c r="D25" s="1" t="s">
        <v>168</v>
      </c>
      <c r="F25" s="1"/>
    </row>
    <row r="26" spans="1:8" ht="15.75" customHeight="1" x14ac:dyDescent="0.2">
      <c r="A26" s="21" t="s">
        <v>66</v>
      </c>
      <c r="B26" s="19"/>
      <c r="C26" s="23">
        <f>C25</f>
        <v>236.94635</v>
      </c>
      <c r="H26" s="1" t="s">
        <v>129</v>
      </c>
    </row>
    <row r="27" spans="1:8" ht="15.75" customHeight="1" x14ac:dyDescent="0.2">
      <c r="A27" s="1" t="s">
        <v>148</v>
      </c>
      <c r="B27" s="19">
        <f>B6</f>
        <v>250</v>
      </c>
      <c r="C27" s="19">
        <f>B27</f>
        <v>250</v>
      </c>
      <c r="D27" s="1" t="s">
        <v>149</v>
      </c>
    </row>
    <row r="28" spans="1:8" ht="15.75" customHeight="1" x14ac:dyDescent="0.2">
      <c r="A28" s="1" t="s">
        <v>171</v>
      </c>
      <c r="B28" s="17">
        <f>-G9</f>
        <v>-2</v>
      </c>
      <c r="C28" s="17">
        <f>C27+B28</f>
        <v>248</v>
      </c>
      <c r="D28" s="1" t="s">
        <v>172</v>
      </c>
    </row>
    <row r="29" spans="1:8" ht="15.75" customHeight="1" x14ac:dyDescent="0.2">
      <c r="A29" s="21" t="s">
        <v>85</v>
      </c>
      <c r="B29" s="2"/>
      <c r="C29" s="23">
        <f>C28</f>
        <v>248</v>
      </c>
    </row>
    <row r="30" spans="1:8" ht="15.75" customHeight="1" x14ac:dyDescent="0.2">
      <c r="A30" s="15" t="s">
        <v>21</v>
      </c>
      <c r="B30" s="25"/>
      <c r="C30" s="23">
        <f>C29-C26</f>
        <v>11.053650000000005</v>
      </c>
      <c r="D30" s="26" t="s">
        <v>87</v>
      </c>
    </row>
    <row r="31" spans="1:8" ht="15.75" customHeight="1" x14ac:dyDescent="0.2">
      <c r="A31" s="2"/>
    </row>
    <row r="32" spans="1:8" ht="15.75" customHeight="1" x14ac:dyDescent="0.2">
      <c r="A32" s="45" t="s">
        <v>88</v>
      </c>
      <c r="B32" s="41"/>
      <c r="C32" s="41"/>
      <c r="D32" s="41"/>
    </row>
    <row r="33" spans="1:4" ht="15.75" customHeight="1" x14ac:dyDescent="0.2">
      <c r="A33" s="15" t="s">
        <v>150</v>
      </c>
      <c r="B33" s="16" t="s">
        <v>45</v>
      </c>
      <c r="C33" s="16" t="s">
        <v>46</v>
      </c>
      <c r="D33" s="16" t="s">
        <v>47</v>
      </c>
    </row>
    <row r="34" spans="1:4" ht="15.75" customHeight="1" x14ac:dyDescent="0.2">
      <c r="A34" s="1" t="s">
        <v>151</v>
      </c>
      <c r="B34" s="19">
        <f>B9</f>
        <v>3</v>
      </c>
      <c r="C34" s="19">
        <f>B34</f>
        <v>3</v>
      </c>
      <c r="D34" s="1" t="s">
        <v>168</v>
      </c>
    </row>
    <row r="35" spans="1:4" ht="15.75" customHeight="1" x14ac:dyDescent="0.2">
      <c r="A35" s="1" t="s">
        <v>131</v>
      </c>
      <c r="B35" s="19">
        <f>MIN(H3:H4)</f>
        <v>1.18736</v>
      </c>
      <c r="C35" s="19">
        <f t="shared" ref="C35:C37" si="4">C34+B35</f>
        <v>4.18736</v>
      </c>
      <c r="D35" s="1"/>
    </row>
    <row r="36" spans="1:4" ht="15.75" customHeight="1" x14ac:dyDescent="0.2">
      <c r="A36" s="1" t="s">
        <v>152</v>
      </c>
      <c r="B36" s="17">
        <v>0</v>
      </c>
      <c r="C36" s="19">
        <f t="shared" si="4"/>
        <v>4.18736</v>
      </c>
      <c r="D36" s="1" t="s">
        <v>163</v>
      </c>
    </row>
    <row r="37" spans="1:4" ht="15.75" customHeight="1" x14ac:dyDescent="0.2">
      <c r="A37" s="1" t="s">
        <v>82</v>
      </c>
      <c r="B37" s="19">
        <f>-$B$11</f>
        <v>-0.2</v>
      </c>
      <c r="C37" s="19">
        <f t="shared" si="4"/>
        <v>3.9873599999999998</v>
      </c>
    </row>
    <row r="38" spans="1:4" ht="15.75" customHeight="1" x14ac:dyDescent="0.2">
      <c r="A38" s="15" t="s">
        <v>145</v>
      </c>
      <c r="B38" s="16" t="s">
        <v>45</v>
      </c>
      <c r="C38" s="16" t="s">
        <v>46</v>
      </c>
      <c r="D38" s="16" t="s">
        <v>47</v>
      </c>
    </row>
    <row r="39" spans="1:4" ht="15.75" customHeight="1" x14ac:dyDescent="0.2">
      <c r="A39" s="1" t="s">
        <v>153</v>
      </c>
      <c r="B39" s="38">
        <v>10</v>
      </c>
      <c r="C39" s="19">
        <f>B39+C37</f>
        <v>13.987359999999999</v>
      </c>
      <c r="D39" s="39" t="s">
        <v>169</v>
      </c>
    </row>
    <row r="40" spans="1:4" ht="15.75" customHeight="1" x14ac:dyDescent="0.2">
      <c r="A40" s="1" t="s">
        <v>154</v>
      </c>
      <c r="B40" s="17">
        <f>MIN(H5:H6)</f>
        <v>1.1496</v>
      </c>
      <c r="C40" s="19">
        <f t="shared" ref="C40:C41" si="5">C39+B40</f>
        <v>15.136959999999998</v>
      </c>
      <c r="D40" s="1"/>
    </row>
    <row r="41" spans="1:4" ht="15.75" customHeight="1" x14ac:dyDescent="0.2">
      <c r="A41" s="1" t="s">
        <v>152</v>
      </c>
      <c r="B41" s="17">
        <f>0</f>
        <v>0</v>
      </c>
      <c r="C41" s="19">
        <f t="shared" si="5"/>
        <v>15.136959999999998</v>
      </c>
      <c r="D41" s="1" t="s">
        <v>162</v>
      </c>
    </row>
    <row r="42" spans="1:4" ht="15.75" customHeight="1" x14ac:dyDescent="0.2">
      <c r="A42" s="1" t="s">
        <v>156</v>
      </c>
      <c r="B42" s="17">
        <f>B9</f>
        <v>3</v>
      </c>
      <c r="C42" s="19">
        <f>B42+C41</f>
        <v>18.136959999999998</v>
      </c>
      <c r="D42" s="1" t="s">
        <v>168</v>
      </c>
    </row>
    <row r="43" spans="1:4" ht="15.75" customHeight="1" x14ac:dyDescent="0.2">
      <c r="A43" s="21" t="s">
        <v>66</v>
      </c>
      <c r="B43" s="19"/>
      <c r="C43" s="23">
        <f>C42</f>
        <v>18.136959999999998</v>
      </c>
    </row>
    <row r="44" spans="1:4" ht="15.75" customHeight="1" x14ac:dyDescent="0.2">
      <c r="A44" s="1" t="s">
        <v>173</v>
      </c>
      <c r="B44" s="17">
        <f>G10</f>
        <v>8.1999999999999993</v>
      </c>
      <c r="C44" s="17">
        <f>B44</f>
        <v>8.1999999999999993</v>
      </c>
    </row>
    <row r="45" spans="1:4" ht="15.75" customHeight="1" x14ac:dyDescent="0.2">
      <c r="A45" s="21" t="s">
        <v>85</v>
      </c>
      <c r="B45" s="2"/>
      <c r="C45" s="23">
        <f>C44</f>
        <v>8.1999999999999993</v>
      </c>
    </row>
    <row r="46" spans="1:4" ht="15.75" customHeight="1" x14ac:dyDescent="0.2">
      <c r="A46" s="15" t="s">
        <v>21</v>
      </c>
      <c r="B46" s="25"/>
      <c r="C46" s="23">
        <f>C43-C45</f>
        <v>9.9369599999999991</v>
      </c>
      <c r="D46" s="26" t="s">
        <v>160</v>
      </c>
    </row>
    <row r="47" spans="1:4" ht="15.75" customHeight="1" x14ac:dyDescent="0.2">
      <c r="A47" s="2"/>
    </row>
    <row r="48" spans="1:4" ht="15.75" customHeight="1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</sheetData>
  <mergeCells count="6">
    <mergeCell ref="A14:D14"/>
    <mergeCell ref="F1:I1"/>
    <mergeCell ref="A1:C1"/>
    <mergeCell ref="K4:L4"/>
    <mergeCell ref="A32:D32"/>
    <mergeCell ref="F8:H8"/>
  </mergeCells>
  <conditionalFormatting sqref="C30 C46">
    <cfRule type="cellIs" dxfId="5" priority="1" operator="greaterThan">
      <formula>0</formula>
    </cfRule>
  </conditionalFormatting>
  <conditionalFormatting sqref="C30 C46">
    <cfRule type="cellIs" dxfId="4" priority="2" operator="lessThanOrEqual">
      <formula>0</formula>
    </cfRule>
  </conditionalFormatting>
  <conditionalFormatting sqref="L7">
    <cfRule type="cellIs" dxfId="3" priority="3" operator="greaterThan">
      <formula>0</formula>
    </cfRule>
  </conditionalFormatting>
  <conditionalFormatting sqref="L7">
    <cfRule type="cellIs" dxfId="2" priority="4" operator="lessThanOrEqual">
      <formula>0</formula>
    </cfRule>
  </conditionalFormatting>
  <conditionalFormatting sqref="L8">
    <cfRule type="cellIs" dxfId="1" priority="5" operator="greaterThan">
      <formula>0</formula>
    </cfRule>
  </conditionalFormatting>
  <conditionalFormatting sqref="L8">
    <cfRule type="cellIs" dxfId="0" priority="6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SYSREF Transmit (not used)</vt:lpstr>
      <vt:lpstr>Coverage Gaps!</vt:lpstr>
      <vt:lpstr>SYREF to Mykonos</vt:lpstr>
      <vt:lpstr>SYREF to FPGA</vt:lpstr>
      <vt:lpstr>PL SPI at CPLD</vt:lpstr>
      <vt:lpstr>PL SPI at FPGA</vt:lpstr>
      <vt:lpstr>PS SPI at CPLD</vt:lpstr>
      <vt:lpstr>PS SPI at FPGA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Jepson</cp:lastModifiedBy>
  <dcterms:modified xsi:type="dcterms:W3CDTF">2017-12-20T14:54:18Z</dcterms:modified>
</cp:coreProperties>
</file>