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JUZB\Documents\GitHub\CK3-Battle\"/>
    </mc:Choice>
  </mc:AlternateContent>
  <bookViews>
    <workbookView xWindow="-105" yWindow="-105" windowWidth="21795" windowHeight="12975" activeTab="1"/>
  </bookViews>
  <sheets>
    <sheet name="地形相关的建筑" sheetId="1" r:id="rId1"/>
    <sheet name="兵士额外关联加成" sheetId="19" r:id="rId2"/>
    <sheet name="兵士关于时代的建筑和勋号加成" sheetId="18" r:id="rId3"/>
    <sheet name="有驻扎加成的兵士军团标准战斗力排序（部落时代）" sheetId="17" r:id="rId4"/>
    <sheet name="有驻扎加成的兵士军团标准战斗力排序（中世纪早期）" sheetId="20" r:id="rId5"/>
    <sheet name="有驻扎加成的兵士军团标准战斗力排序（中世纪盛世）" sheetId="21" r:id="rId6"/>
    <sheet name="有驻扎加成的兵士军团标准战斗力排序（中世纪晚期） " sheetId="22" r:id="rId7"/>
    <sheet name="战斗模拟" sheetId="9" r:id="rId8"/>
    <sheet name="计算混合部队标准战斗力" sheetId="12" r:id="rId9"/>
    <sheet name="兵士性价比排序（相对于招募费）" sheetId="11" r:id="rId10"/>
    <sheet name="兵士的规模上限×标准战斗力排序（部落时代）" sheetId="14" r:id="rId11"/>
    <sheet name="兵士的规模上限×标准战斗力排序（中世纪早期）" sheetId="15" r:id="rId12"/>
  </sheets>
  <definedNames>
    <definedName name="_xlnm._FilterDatabase" localSheetId="10" hidden="1">'兵士的规模上限×标准战斗力排序（部落时代）'!$A$3:$AB$54</definedName>
    <definedName name="_xlnm._FilterDatabase" localSheetId="11" hidden="1">'兵士的规模上限×标准战斗力排序（中世纪早期）'!$A$3:$AB$54</definedName>
    <definedName name="_xlnm._FilterDatabase" localSheetId="9" hidden="1">'兵士性价比排序（相对于招募费）'!$A$3:$U$3</definedName>
    <definedName name="_xlnm._FilterDatabase" localSheetId="0" hidden="1">地形相关的建筑!$A$1:$S$23</definedName>
    <definedName name="_xlnm._FilterDatabase" localSheetId="3" hidden="1">'有驻扎加成的兵士军团标准战斗力排序（部落时代）'!$A$3:$AL$54</definedName>
    <definedName name="_xlnm._FilterDatabase" localSheetId="5" hidden="1">'有驻扎加成的兵士军团标准战斗力排序（中世纪盛世）'!$A$3:$AV$54</definedName>
    <definedName name="_xlnm._FilterDatabase" localSheetId="6" hidden="1">'有驻扎加成的兵士军团标准战斗力排序（中世纪晚期） '!$A$3:$AV$54</definedName>
    <definedName name="_xlnm._FilterDatabase" localSheetId="4" hidden="1">'有驻扎加成的兵士军团标准战斗力排序（中世纪早期）'!$A$3:$AL$54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9" i="11" l="1"/>
  <c r="K39" i="11" s="1"/>
  <c r="J39" i="11"/>
  <c r="I27" i="11"/>
  <c r="K27" i="11" s="1"/>
  <c r="M27" i="11" s="1"/>
  <c r="J27" i="11"/>
  <c r="I8" i="11"/>
  <c r="K8" i="11" s="1"/>
  <c r="M8" i="11" s="1"/>
  <c r="J8" i="11"/>
  <c r="I47" i="11"/>
  <c r="K47" i="11" s="1"/>
  <c r="L47" i="11" s="1"/>
  <c r="J47" i="11"/>
  <c r="L27" i="11" l="1"/>
  <c r="M39" i="11"/>
  <c r="L39" i="11"/>
  <c r="M47" i="11"/>
  <c r="L8" i="11"/>
  <c r="M7" i="22"/>
  <c r="M48" i="22"/>
  <c r="M16" i="22"/>
  <c r="M12" i="22"/>
  <c r="AL54" i="22"/>
  <c r="AL5" i="22"/>
  <c r="AL6" i="22"/>
  <c r="AL9" i="22"/>
  <c r="AL10" i="22"/>
  <c r="AL7" i="22"/>
  <c r="AL12" i="22"/>
  <c r="AL13" i="22"/>
  <c r="AL8" i="22"/>
  <c r="AL17" i="22"/>
  <c r="AL11" i="22"/>
  <c r="AL14" i="22"/>
  <c r="AL16" i="22"/>
  <c r="AL15" i="22"/>
  <c r="AL20" i="22"/>
  <c r="AL19" i="22"/>
  <c r="AL18" i="22"/>
  <c r="AL23" i="22"/>
  <c r="AL21" i="22"/>
  <c r="AL29" i="22"/>
  <c r="AL25" i="22"/>
  <c r="AL22" i="22"/>
  <c r="AL24" i="22"/>
  <c r="AL26" i="22"/>
  <c r="AL27" i="22"/>
  <c r="AL28" i="22"/>
  <c r="AL30" i="22"/>
  <c r="AL31" i="22"/>
  <c r="AL32" i="22"/>
  <c r="AL36" i="22"/>
  <c r="AL33" i="22"/>
  <c r="AL34" i="22"/>
  <c r="AL35" i="22"/>
  <c r="AL38" i="22"/>
  <c r="AL39" i="22"/>
  <c r="AL37" i="22"/>
  <c r="AL40" i="22"/>
  <c r="AL41" i="22"/>
  <c r="AL42" i="22"/>
  <c r="AL43" i="22"/>
  <c r="AL44" i="22"/>
  <c r="AL45" i="22"/>
  <c r="AL46" i="22"/>
  <c r="AL47" i="22"/>
  <c r="AL48" i="22"/>
  <c r="AL50" i="22"/>
  <c r="AL49" i="22"/>
  <c r="AL51" i="22"/>
  <c r="AL52" i="22"/>
  <c r="AL53" i="22"/>
  <c r="AL4" i="22"/>
  <c r="Y54" i="22"/>
  <c r="W54" i="22"/>
  <c r="U54" i="22"/>
  <c r="S54" i="22"/>
  <c r="O54" i="22"/>
  <c r="M54" i="22"/>
  <c r="K54" i="22"/>
  <c r="I54" i="22"/>
  <c r="AD54" i="22" s="1"/>
  <c r="AM53" i="22"/>
  <c r="Y53" i="22"/>
  <c r="W53" i="22"/>
  <c r="U53" i="22"/>
  <c r="S53" i="22"/>
  <c r="O53" i="22"/>
  <c r="M53" i="22"/>
  <c r="K53" i="22"/>
  <c r="I53" i="22"/>
  <c r="AM52" i="22"/>
  <c r="Y52" i="22"/>
  <c r="W52" i="22"/>
  <c r="U52" i="22"/>
  <c r="AF52" i="22" s="1"/>
  <c r="S52" i="22"/>
  <c r="O52" i="22"/>
  <c r="M52" i="22"/>
  <c r="AA52" i="22" s="1"/>
  <c r="K52" i="22"/>
  <c r="I52" i="22"/>
  <c r="AM51" i="22"/>
  <c r="Y51" i="22"/>
  <c r="W51" i="22"/>
  <c r="U51" i="22"/>
  <c r="S51" i="22"/>
  <c r="O51" i="22"/>
  <c r="M51" i="22"/>
  <c r="K51" i="22"/>
  <c r="I51" i="22"/>
  <c r="AM49" i="22"/>
  <c r="Y49" i="22"/>
  <c r="AG49" i="22" s="1"/>
  <c r="W49" i="22"/>
  <c r="U49" i="22"/>
  <c r="S49" i="22"/>
  <c r="O49" i="22"/>
  <c r="M49" i="22"/>
  <c r="K49" i="22"/>
  <c r="I49" i="22"/>
  <c r="AD49" i="22" s="1"/>
  <c r="AM50" i="22"/>
  <c r="AP50" i="22" s="1"/>
  <c r="Y50" i="22"/>
  <c r="W50" i="22"/>
  <c r="U50" i="22"/>
  <c r="S50" i="22"/>
  <c r="O50" i="22"/>
  <c r="M50" i="22"/>
  <c r="K50" i="22"/>
  <c r="I50" i="22"/>
  <c r="AM48" i="22"/>
  <c r="Y48" i="22"/>
  <c r="W48" i="22"/>
  <c r="U48" i="22"/>
  <c r="S48" i="22"/>
  <c r="O48" i="22"/>
  <c r="AE48" i="22" s="1"/>
  <c r="K48" i="22"/>
  <c r="I48" i="22"/>
  <c r="AM47" i="22"/>
  <c r="Y47" i="22"/>
  <c r="W47" i="22"/>
  <c r="U47" i="22"/>
  <c r="S47" i="22"/>
  <c r="O47" i="22"/>
  <c r="M47" i="22"/>
  <c r="K47" i="22"/>
  <c r="I47" i="22"/>
  <c r="AM46" i="22"/>
  <c r="AP46" i="22" s="1"/>
  <c r="Y46" i="22"/>
  <c r="W46" i="22"/>
  <c r="U46" i="22"/>
  <c r="S46" i="22"/>
  <c r="O46" i="22"/>
  <c r="M46" i="22"/>
  <c r="K46" i="22"/>
  <c r="I46" i="22"/>
  <c r="AM45" i="22"/>
  <c r="Y45" i="22"/>
  <c r="W45" i="22"/>
  <c r="U45" i="22"/>
  <c r="S45" i="22"/>
  <c r="O45" i="22"/>
  <c r="M45" i="22"/>
  <c r="K45" i="22"/>
  <c r="I45" i="22"/>
  <c r="AM44" i="22"/>
  <c r="Y44" i="22"/>
  <c r="W44" i="22"/>
  <c r="U44" i="22"/>
  <c r="S44" i="22"/>
  <c r="O44" i="22"/>
  <c r="M44" i="22"/>
  <c r="K44" i="22"/>
  <c r="I44" i="22"/>
  <c r="AM43" i="22"/>
  <c r="Y43" i="22"/>
  <c r="W43" i="22"/>
  <c r="U43" i="22"/>
  <c r="S43" i="22"/>
  <c r="O43" i="22"/>
  <c r="M43" i="22"/>
  <c r="K43" i="22"/>
  <c r="I43" i="22"/>
  <c r="AM42" i="22"/>
  <c r="AP42" i="22" s="1"/>
  <c r="Y42" i="22"/>
  <c r="W42" i="22"/>
  <c r="U42" i="22"/>
  <c r="S42" i="22"/>
  <c r="O42" i="22"/>
  <c r="M42" i="22"/>
  <c r="K42" i="22"/>
  <c r="I42" i="22"/>
  <c r="AM41" i="22"/>
  <c r="AP41" i="22" s="1"/>
  <c r="Y41" i="22"/>
  <c r="W41" i="22"/>
  <c r="U41" i="22"/>
  <c r="S41" i="22"/>
  <c r="O41" i="22"/>
  <c r="M41" i="22"/>
  <c r="K41" i="22"/>
  <c r="I41" i="22"/>
  <c r="AM40" i="22"/>
  <c r="Y40" i="22"/>
  <c r="W40" i="22"/>
  <c r="U40" i="22"/>
  <c r="S40" i="22"/>
  <c r="O40" i="22"/>
  <c r="M40" i="22"/>
  <c r="K40" i="22"/>
  <c r="I40" i="22"/>
  <c r="AM37" i="22"/>
  <c r="Y37" i="22"/>
  <c r="W37" i="22"/>
  <c r="U37" i="22"/>
  <c r="S37" i="22"/>
  <c r="O37" i="22"/>
  <c r="M37" i="22"/>
  <c r="K37" i="22"/>
  <c r="I37" i="22"/>
  <c r="AM39" i="22"/>
  <c r="AP39" i="22" s="1"/>
  <c r="Y39" i="22"/>
  <c r="W39" i="22"/>
  <c r="U39" i="22"/>
  <c r="S39" i="22"/>
  <c r="O39" i="22"/>
  <c r="M39" i="22"/>
  <c r="K39" i="22"/>
  <c r="I39" i="22"/>
  <c r="AM38" i="22"/>
  <c r="Y38" i="22"/>
  <c r="W38" i="22"/>
  <c r="U38" i="22"/>
  <c r="S38" i="22"/>
  <c r="O38" i="22"/>
  <c r="M38" i="22"/>
  <c r="K38" i="22"/>
  <c r="I38" i="22"/>
  <c r="AM35" i="22"/>
  <c r="Y35" i="22"/>
  <c r="W35" i="22"/>
  <c r="U35" i="22"/>
  <c r="AB35" i="22" s="1"/>
  <c r="S35" i="22"/>
  <c r="O35" i="22"/>
  <c r="M35" i="22"/>
  <c r="K35" i="22"/>
  <c r="I35" i="22"/>
  <c r="AM34" i="22"/>
  <c r="Y34" i="22"/>
  <c r="W34" i="22"/>
  <c r="U34" i="22"/>
  <c r="S34" i="22"/>
  <c r="O34" i="22"/>
  <c r="M34" i="22"/>
  <c r="K34" i="22"/>
  <c r="I34" i="22"/>
  <c r="AM33" i="22"/>
  <c r="Y33" i="22"/>
  <c r="W33" i="22"/>
  <c r="U33" i="22"/>
  <c r="S33" i="22"/>
  <c r="O33" i="22"/>
  <c r="M33" i="22"/>
  <c r="AA33" i="22" s="1"/>
  <c r="K33" i="22"/>
  <c r="I33" i="22"/>
  <c r="Z33" i="22" s="1"/>
  <c r="AM36" i="22"/>
  <c r="AP36" i="22" s="1"/>
  <c r="Y36" i="22"/>
  <c r="W36" i="22"/>
  <c r="U36" i="22"/>
  <c r="S36" i="22"/>
  <c r="O36" i="22"/>
  <c r="M36" i="22"/>
  <c r="K36" i="22"/>
  <c r="I36" i="22"/>
  <c r="AM32" i="22"/>
  <c r="Y32" i="22"/>
  <c r="W32" i="22"/>
  <c r="U32" i="22"/>
  <c r="S32" i="22"/>
  <c r="O32" i="22"/>
  <c r="M32" i="22"/>
  <c r="K32" i="22"/>
  <c r="I32" i="22"/>
  <c r="AM31" i="22"/>
  <c r="Y31" i="22"/>
  <c r="W31" i="22"/>
  <c r="U31" i="22"/>
  <c r="S31" i="22"/>
  <c r="O31" i="22"/>
  <c r="M31" i="22"/>
  <c r="AA31" i="22" s="1"/>
  <c r="K31" i="22"/>
  <c r="I31" i="22"/>
  <c r="AM30" i="22"/>
  <c r="Y30" i="22"/>
  <c r="W30" i="22"/>
  <c r="AG30" i="22" s="1"/>
  <c r="U30" i="22"/>
  <c r="S30" i="22"/>
  <c r="O30" i="22"/>
  <c r="AE30" i="22" s="1"/>
  <c r="M30" i="22"/>
  <c r="K30" i="22"/>
  <c r="I30" i="22"/>
  <c r="AM28" i="22"/>
  <c r="Y28" i="22"/>
  <c r="AC28" i="22" s="1"/>
  <c r="W28" i="22"/>
  <c r="U28" i="22"/>
  <c r="S28" i="22"/>
  <c r="O28" i="22"/>
  <c r="M28" i="22"/>
  <c r="K28" i="22"/>
  <c r="I28" i="22"/>
  <c r="AM27" i="22"/>
  <c r="AP27" i="22" s="1"/>
  <c r="Y27" i="22"/>
  <c r="W27" i="22"/>
  <c r="U27" i="22"/>
  <c r="AB27" i="22" s="1"/>
  <c r="S27" i="22"/>
  <c r="O27" i="22"/>
  <c r="M27" i="22"/>
  <c r="K27" i="22"/>
  <c r="I27" i="22"/>
  <c r="AM26" i="22"/>
  <c r="Y26" i="22"/>
  <c r="W26" i="22"/>
  <c r="U26" i="22"/>
  <c r="S26" i="22"/>
  <c r="O26" i="22"/>
  <c r="M26" i="22"/>
  <c r="K26" i="22"/>
  <c r="I26" i="22"/>
  <c r="AM24" i="22"/>
  <c r="Y24" i="22"/>
  <c r="AC24" i="22" s="1"/>
  <c r="W24" i="22"/>
  <c r="U24" i="22"/>
  <c r="S24" i="22"/>
  <c r="O24" i="22"/>
  <c r="M24" i="22"/>
  <c r="AA24" i="22" s="1"/>
  <c r="K24" i="22"/>
  <c r="I24" i="22"/>
  <c r="AM22" i="22"/>
  <c r="Y22" i="22"/>
  <c r="W22" i="22"/>
  <c r="U22" i="22"/>
  <c r="S22" i="22"/>
  <c r="O22" i="22"/>
  <c r="AE22" i="22" s="1"/>
  <c r="M22" i="22"/>
  <c r="K22" i="22"/>
  <c r="I22" i="22"/>
  <c r="AD22" i="22" s="1"/>
  <c r="AM25" i="22"/>
  <c r="Y25" i="22"/>
  <c r="W25" i="22"/>
  <c r="U25" i="22"/>
  <c r="S25" i="22"/>
  <c r="O25" i="22"/>
  <c r="M25" i="22"/>
  <c r="K25" i="22"/>
  <c r="I25" i="22"/>
  <c r="AM29" i="22"/>
  <c r="Y29" i="22"/>
  <c r="W29" i="22"/>
  <c r="U29" i="22"/>
  <c r="AB29" i="22" s="1"/>
  <c r="S29" i="22"/>
  <c r="O29" i="22"/>
  <c r="M29" i="22"/>
  <c r="K29" i="22"/>
  <c r="I29" i="22"/>
  <c r="AM21" i="22"/>
  <c r="Y21" i="22"/>
  <c r="W21" i="22"/>
  <c r="U21" i="22"/>
  <c r="S21" i="22"/>
  <c r="O21" i="22"/>
  <c r="AA21" i="22" s="1"/>
  <c r="M21" i="22"/>
  <c r="K21" i="22"/>
  <c r="I21" i="22"/>
  <c r="AM23" i="22"/>
  <c r="Y23" i="22"/>
  <c r="AC23" i="22" s="1"/>
  <c r="W23" i="22"/>
  <c r="U23" i="22"/>
  <c r="S23" i="22"/>
  <c r="O23" i="22"/>
  <c r="M23" i="22"/>
  <c r="K23" i="22"/>
  <c r="I23" i="22"/>
  <c r="AM18" i="22"/>
  <c r="Y18" i="22"/>
  <c r="W18" i="22"/>
  <c r="U18" i="22"/>
  <c r="S18" i="22"/>
  <c r="O18" i="22"/>
  <c r="M18" i="22"/>
  <c r="K18" i="22"/>
  <c r="I18" i="22"/>
  <c r="Z18" i="22" s="1"/>
  <c r="AM19" i="22"/>
  <c r="Y19" i="22"/>
  <c r="W19" i="22"/>
  <c r="AG19" i="22" s="1"/>
  <c r="U19" i="22"/>
  <c r="S19" i="22"/>
  <c r="O19" i="22"/>
  <c r="M19" i="22"/>
  <c r="K19" i="22"/>
  <c r="I19" i="22"/>
  <c r="AM20" i="22"/>
  <c r="Y20" i="22"/>
  <c r="W20" i="22"/>
  <c r="U20" i="22"/>
  <c r="S20" i="22"/>
  <c r="O20" i="22"/>
  <c r="M20" i="22"/>
  <c r="AA20" i="22" s="1"/>
  <c r="K20" i="22"/>
  <c r="I20" i="22"/>
  <c r="AM15" i="22"/>
  <c r="AP15" i="22" s="1"/>
  <c r="Y15" i="22"/>
  <c r="W15" i="22"/>
  <c r="U15" i="22"/>
  <c r="S15" i="22"/>
  <c r="O15" i="22"/>
  <c r="AE15" i="22" s="1"/>
  <c r="M15" i="22"/>
  <c r="K15" i="22"/>
  <c r="I15" i="22"/>
  <c r="AM16" i="22"/>
  <c r="Y16" i="22"/>
  <c r="W16" i="22"/>
  <c r="U16" i="22"/>
  <c r="S16" i="22"/>
  <c r="O16" i="22"/>
  <c r="K16" i="22"/>
  <c r="I16" i="22"/>
  <c r="AM14" i="22"/>
  <c r="Y14" i="22"/>
  <c r="W14" i="22"/>
  <c r="U14" i="22"/>
  <c r="S14" i="22"/>
  <c r="AB14" i="22" s="1"/>
  <c r="O14" i="22"/>
  <c r="M14" i="22"/>
  <c r="K14" i="22"/>
  <c r="AD14" i="22" s="1"/>
  <c r="I14" i="22"/>
  <c r="AM11" i="22"/>
  <c r="AP11" i="22" s="1"/>
  <c r="Y11" i="22"/>
  <c r="W11" i="22"/>
  <c r="U11" i="22"/>
  <c r="S11" i="22"/>
  <c r="O11" i="22"/>
  <c r="M11" i="22"/>
  <c r="K11" i="22"/>
  <c r="I11" i="22"/>
  <c r="AM17" i="22"/>
  <c r="Y17" i="22"/>
  <c r="W17" i="22"/>
  <c r="AC17" i="22" s="1"/>
  <c r="U17" i="22"/>
  <c r="S17" i="22"/>
  <c r="O17" i="22"/>
  <c r="M17" i="22"/>
  <c r="K17" i="22"/>
  <c r="I17" i="22"/>
  <c r="AM8" i="22"/>
  <c r="Y8" i="22"/>
  <c r="W8" i="22"/>
  <c r="U8" i="22"/>
  <c r="S8" i="22"/>
  <c r="O8" i="22"/>
  <c r="M8" i="22"/>
  <c r="K8" i="22"/>
  <c r="I8" i="22"/>
  <c r="AM13" i="22"/>
  <c r="Y13" i="22"/>
  <c r="W13" i="22"/>
  <c r="U13" i="22"/>
  <c r="S13" i="22"/>
  <c r="O13" i="22"/>
  <c r="M13" i="22"/>
  <c r="K13" i="22"/>
  <c r="I13" i="22"/>
  <c r="AM12" i="22"/>
  <c r="Y12" i="22"/>
  <c r="W12" i="22"/>
  <c r="U12" i="22"/>
  <c r="S12" i="22"/>
  <c r="O12" i="22"/>
  <c r="K12" i="22"/>
  <c r="I12" i="22"/>
  <c r="AD12" i="22" s="1"/>
  <c r="AM7" i="22"/>
  <c r="AP7" i="22" s="1"/>
  <c r="Y7" i="22"/>
  <c r="W7" i="22"/>
  <c r="U7" i="22"/>
  <c r="S7" i="22"/>
  <c r="O7" i="22"/>
  <c r="K7" i="22"/>
  <c r="I7" i="22"/>
  <c r="Z7" i="22" s="1"/>
  <c r="AM10" i="22"/>
  <c r="Y10" i="22"/>
  <c r="W10" i="22"/>
  <c r="U10" i="22"/>
  <c r="S10" i="22"/>
  <c r="O10" i="22"/>
  <c r="M10" i="22"/>
  <c r="K10" i="22"/>
  <c r="AD10" i="22" s="1"/>
  <c r="I10" i="22"/>
  <c r="AM9" i="22"/>
  <c r="Y9" i="22"/>
  <c r="W9" i="22"/>
  <c r="U9" i="22"/>
  <c r="S9" i="22"/>
  <c r="O9" i="22"/>
  <c r="M9" i="22"/>
  <c r="AE9" i="22" s="1"/>
  <c r="K9" i="22"/>
  <c r="I9" i="22"/>
  <c r="Y6" i="22"/>
  <c r="W6" i="22"/>
  <c r="U6" i="22"/>
  <c r="S6" i="22"/>
  <c r="M6" i="22"/>
  <c r="I6" i="22"/>
  <c r="AD6" i="22" s="1"/>
  <c r="AM5" i="22"/>
  <c r="Y5" i="22"/>
  <c r="W5" i="22"/>
  <c r="U5" i="22"/>
  <c r="S5" i="22"/>
  <c r="O5" i="22"/>
  <c r="M5" i="22"/>
  <c r="K5" i="22"/>
  <c r="AD5" i="22" s="1"/>
  <c r="I5" i="22"/>
  <c r="AM4" i="22"/>
  <c r="Y4" i="22"/>
  <c r="W4" i="22"/>
  <c r="U4" i="22"/>
  <c r="S4" i="22"/>
  <c r="O4" i="22"/>
  <c r="M4" i="22"/>
  <c r="K4" i="22"/>
  <c r="I4" i="22"/>
  <c r="AP54" i="22"/>
  <c r="AG54" i="22"/>
  <c r="AP53" i="22"/>
  <c r="AF51" i="22"/>
  <c r="AB51" i="22"/>
  <c r="AP49" i="22"/>
  <c r="Z49" i="22"/>
  <c r="AG50" i="22"/>
  <c r="AC50" i="22"/>
  <c r="AB48" i="22"/>
  <c r="AF48" i="22"/>
  <c r="AP47" i="22"/>
  <c r="AB47" i="22"/>
  <c r="AG46" i="22"/>
  <c r="AP45" i="22"/>
  <c r="AF43" i="22"/>
  <c r="AA42" i="22"/>
  <c r="Z42" i="22"/>
  <c r="AC41" i="22"/>
  <c r="AP40" i="22"/>
  <c r="AB40" i="22"/>
  <c r="AP37" i="22"/>
  <c r="AC39" i="22"/>
  <c r="AP33" i="22"/>
  <c r="AC33" i="22"/>
  <c r="AC36" i="22"/>
  <c r="AP32" i="22"/>
  <c r="AB32" i="22"/>
  <c r="AP31" i="22"/>
  <c r="AP28" i="22"/>
  <c r="AC27" i="22"/>
  <c r="E24" i="22"/>
  <c r="AP29" i="22"/>
  <c r="AF29" i="22"/>
  <c r="AF21" i="22"/>
  <c r="AP23" i="22"/>
  <c r="AA23" i="22"/>
  <c r="Z23" i="22"/>
  <c r="AI23" i="22" s="1"/>
  <c r="AB19" i="22"/>
  <c r="AF19" i="22"/>
  <c r="AP20" i="22"/>
  <c r="AP16" i="22"/>
  <c r="AE16" i="22"/>
  <c r="AG14" i="22"/>
  <c r="AG11" i="22"/>
  <c r="AC11" i="22"/>
  <c r="AD11" i="22"/>
  <c r="AP17" i="22"/>
  <c r="AF12" i="22"/>
  <c r="AE12" i="22"/>
  <c r="AP10" i="22"/>
  <c r="AB10" i="22"/>
  <c r="AE10" i="22"/>
  <c r="AP9" i="22"/>
  <c r="AF9" i="22"/>
  <c r="AP6" i="22"/>
  <c r="AF6" i="22"/>
  <c r="AA6" i="22"/>
  <c r="AP5" i="22"/>
  <c r="AP4" i="22"/>
  <c r="AC4" i="22"/>
  <c r="AB4" i="22"/>
  <c r="M48" i="21"/>
  <c r="M16" i="21"/>
  <c r="M10" i="21"/>
  <c r="M9" i="21"/>
  <c r="AL54" i="21"/>
  <c r="AL5" i="21"/>
  <c r="AL6" i="21"/>
  <c r="AP6" i="21" s="1"/>
  <c r="AL7" i="21"/>
  <c r="AL8" i="21"/>
  <c r="AL11" i="21"/>
  <c r="AL10" i="21"/>
  <c r="AL13" i="21"/>
  <c r="AL18" i="21"/>
  <c r="AL9" i="21"/>
  <c r="AL12" i="21"/>
  <c r="AL15" i="21"/>
  <c r="AL17" i="21"/>
  <c r="AL23" i="21"/>
  <c r="AL16" i="21"/>
  <c r="AL14" i="21"/>
  <c r="AL19" i="21"/>
  <c r="AL20" i="21"/>
  <c r="AL21" i="21"/>
  <c r="AL33" i="21"/>
  <c r="AL22" i="21"/>
  <c r="AL24" i="21"/>
  <c r="AL25" i="21"/>
  <c r="AL26" i="21"/>
  <c r="AL27" i="21"/>
  <c r="AL28" i="21"/>
  <c r="AL29" i="21"/>
  <c r="AL30" i="21"/>
  <c r="AL31" i="21"/>
  <c r="AL32" i="21"/>
  <c r="AL34" i="21"/>
  <c r="AL35" i="21"/>
  <c r="AL36" i="21"/>
  <c r="AL37" i="21"/>
  <c r="AL38" i="21"/>
  <c r="AL39" i="21"/>
  <c r="AL40" i="21"/>
  <c r="AL44" i="21"/>
  <c r="AL41" i="21"/>
  <c r="AL42" i="21"/>
  <c r="AL43" i="21"/>
  <c r="AL45" i="21"/>
  <c r="AL46" i="21"/>
  <c r="AL47" i="21"/>
  <c r="AL48" i="21"/>
  <c r="AL51" i="21"/>
  <c r="AL49" i="21"/>
  <c r="AL52" i="21"/>
  <c r="AL50" i="21"/>
  <c r="AL53" i="21"/>
  <c r="AL4" i="21"/>
  <c r="Y54" i="21"/>
  <c r="W54" i="21"/>
  <c r="U54" i="21"/>
  <c r="S54" i="21"/>
  <c r="AF54" i="21" s="1"/>
  <c r="O54" i="21"/>
  <c r="M54" i="21"/>
  <c r="K54" i="21"/>
  <c r="I54" i="21"/>
  <c r="AM53" i="21"/>
  <c r="AP53" i="21" s="1"/>
  <c r="Y53" i="21"/>
  <c r="AC53" i="21" s="1"/>
  <c r="W53" i="21"/>
  <c r="U53" i="21"/>
  <c r="AB53" i="21" s="1"/>
  <c r="S53" i="21"/>
  <c r="O53" i="21"/>
  <c r="M53" i="21"/>
  <c r="AE53" i="21" s="1"/>
  <c r="K53" i="21"/>
  <c r="I53" i="21"/>
  <c r="AD53" i="21" s="1"/>
  <c r="AK53" i="21" s="1"/>
  <c r="AO53" i="21" s="1"/>
  <c r="AM52" i="21"/>
  <c r="AP52" i="21" s="1"/>
  <c r="Y52" i="21"/>
  <c r="W52" i="21"/>
  <c r="AG52" i="21" s="1"/>
  <c r="U52" i="21"/>
  <c r="S52" i="21"/>
  <c r="O52" i="21"/>
  <c r="M52" i="21"/>
  <c r="K52" i="21"/>
  <c r="I52" i="21"/>
  <c r="AM33" i="21"/>
  <c r="Y33" i="21"/>
  <c r="AG33" i="21" s="1"/>
  <c r="W33" i="21"/>
  <c r="U33" i="21"/>
  <c r="S33" i="21"/>
  <c r="O33" i="21"/>
  <c r="M33" i="21"/>
  <c r="AE33" i="21" s="1"/>
  <c r="K33" i="21"/>
  <c r="I33" i="21"/>
  <c r="AM51" i="21"/>
  <c r="AP51" i="21" s="1"/>
  <c r="Y51" i="21"/>
  <c r="W51" i="21"/>
  <c r="U51" i="21"/>
  <c r="S51" i="21"/>
  <c r="O51" i="21"/>
  <c r="M51" i="21"/>
  <c r="K51" i="21"/>
  <c r="I51" i="21"/>
  <c r="Z51" i="21" s="1"/>
  <c r="AM50" i="21"/>
  <c r="Y50" i="21"/>
  <c r="W50" i="21"/>
  <c r="U50" i="21"/>
  <c r="S50" i="21"/>
  <c r="AF50" i="21" s="1"/>
  <c r="O50" i="21"/>
  <c r="M50" i="21"/>
  <c r="K50" i="21"/>
  <c r="Z50" i="21" s="1"/>
  <c r="I50" i="21"/>
  <c r="AM23" i="21"/>
  <c r="Y23" i="21"/>
  <c r="W23" i="21"/>
  <c r="U23" i="21"/>
  <c r="S23" i="21"/>
  <c r="O23" i="21"/>
  <c r="M23" i="21"/>
  <c r="AE23" i="21" s="1"/>
  <c r="K23" i="21"/>
  <c r="I23" i="21"/>
  <c r="AM49" i="21"/>
  <c r="AP49" i="21" s="1"/>
  <c r="Y49" i="21"/>
  <c r="W49" i="21"/>
  <c r="AG49" i="21" s="1"/>
  <c r="U49" i="21"/>
  <c r="AB49" i="21" s="1"/>
  <c r="S49" i="21"/>
  <c r="O49" i="21"/>
  <c r="AE49" i="21" s="1"/>
  <c r="M49" i="21"/>
  <c r="K49" i="21"/>
  <c r="I49" i="21"/>
  <c r="AM47" i="21"/>
  <c r="Y47" i="21"/>
  <c r="W47" i="21"/>
  <c r="U47" i="21"/>
  <c r="S47" i="21"/>
  <c r="AB47" i="21" s="1"/>
  <c r="O47" i="21"/>
  <c r="M47" i="21"/>
  <c r="AE47" i="21" s="1"/>
  <c r="K47" i="21"/>
  <c r="I47" i="21"/>
  <c r="AM46" i="21"/>
  <c r="Y46" i="21"/>
  <c r="AC46" i="21" s="1"/>
  <c r="W46" i="21"/>
  <c r="U46" i="21"/>
  <c r="AB46" i="21" s="1"/>
  <c r="S46" i="21"/>
  <c r="O46" i="21"/>
  <c r="M46" i="21"/>
  <c r="K46" i="21"/>
  <c r="I46" i="21"/>
  <c r="AD46" i="21" s="1"/>
  <c r="AM45" i="21"/>
  <c r="AP45" i="21" s="1"/>
  <c r="Y45" i="21"/>
  <c r="W45" i="21"/>
  <c r="AG45" i="21" s="1"/>
  <c r="U45" i="21"/>
  <c r="S45" i="21"/>
  <c r="O45" i="21"/>
  <c r="M45" i="21"/>
  <c r="K45" i="21"/>
  <c r="I45" i="21"/>
  <c r="AM48" i="21"/>
  <c r="Y48" i="21"/>
  <c r="W48" i="21"/>
  <c r="U48" i="21"/>
  <c r="S48" i="21"/>
  <c r="O48" i="21"/>
  <c r="K48" i="21"/>
  <c r="I48" i="21"/>
  <c r="AM43" i="21"/>
  <c r="Y43" i="21"/>
  <c r="W43" i="21"/>
  <c r="U43" i="21"/>
  <c r="S43" i="21"/>
  <c r="O43" i="21"/>
  <c r="M43" i="21"/>
  <c r="AE43" i="21" s="1"/>
  <c r="K43" i="21"/>
  <c r="I43" i="21"/>
  <c r="AM42" i="21"/>
  <c r="Y42" i="21"/>
  <c r="W42" i="21"/>
  <c r="U42" i="21"/>
  <c r="S42" i="21"/>
  <c r="O42" i="21"/>
  <c r="M42" i="21"/>
  <c r="K42" i="21"/>
  <c r="I42" i="21"/>
  <c r="Z42" i="21" s="1"/>
  <c r="AM41" i="21"/>
  <c r="Y41" i="21"/>
  <c r="W41" i="21"/>
  <c r="U41" i="21"/>
  <c r="S41" i="21"/>
  <c r="AF41" i="21" s="1"/>
  <c r="O41" i="21"/>
  <c r="AA41" i="21" s="1"/>
  <c r="M41" i="21"/>
  <c r="K41" i="21"/>
  <c r="Z41" i="21" s="1"/>
  <c r="I41" i="21"/>
  <c r="AM40" i="21"/>
  <c r="AP40" i="21" s="1"/>
  <c r="Y40" i="21"/>
  <c r="W40" i="21"/>
  <c r="U40" i="21"/>
  <c r="S40" i="21"/>
  <c r="O40" i="21"/>
  <c r="M40" i="21"/>
  <c r="AE40" i="21" s="1"/>
  <c r="K40" i="21"/>
  <c r="I40" i="21"/>
  <c r="AM39" i="21"/>
  <c r="Y39" i="21"/>
  <c r="W39" i="21"/>
  <c r="AG39" i="21" s="1"/>
  <c r="U39" i="21"/>
  <c r="S39" i="21"/>
  <c r="O39" i="21"/>
  <c r="M39" i="21"/>
  <c r="K39" i="21"/>
  <c r="I39" i="21"/>
  <c r="AM44" i="21"/>
  <c r="AP44" i="21" s="1"/>
  <c r="Y44" i="21"/>
  <c r="W44" i="21"/>
  <c r="U44" i="21"/>
  <c r="S44" i="21"/>
  <c r="AF44" i="21" s="1"/>
  <c r="O44" i="21"/>
  <c r="M44" i="21"/>
  <c r="K44" i="21"/>
  <c r="I44" i="21"/>
  <c r="AM18" i="21"/>
  <c r="AP18" i="21" s="1"/>
  <c r="Y18" i="21"/>
  <c r="W18" i="21"/>
  <c r="U18" i="21"/>
  <c r="AB18" i="21" s="1"/>
  <c r="S18" i="21"/>
  <c r="O18" i="21"/>
  <c r="M18" i="21"/>
  <c r="K18" i="21"/>
  <c r="I18" i="21"/>
  <c r="AD18" i="21" s="1"/>
  <c r="AM13" i="21"/>
  <c r="Y13" i="21"/>
  <c r="W13" i="21"/>
  <c r="AG13" i="21" s="1"/>
  <c r="U13" i="21"/>
  <c r="S13" i="21"/>
  <c r="O13" i="21"/>
  <c r="M13" i="21"/>
  <c r="K13" i="21"/>
  <c r="I13" i="21"/>
  <c r="AM10" i="21"/>
  <c r="Y10" i="21"/>
  <c r="AC10" i="21" s="1"/>
  <c r="W10" i="21"/>
  <c r="U10" i="21"/>
  <c r="S10" i="21"/>
  <c r="O10" i="21"/>
  <c r="K10" i="21"/>
  <c r="I10" i="21"/>
  <c r="AM11" i="21"/>
  <c r="Y11" i="21"/>
  <c r="W11" i="21"/>
  <c r="U11" i="21"/>
  <c r="S11" i="21"/>
  <c r="O11" i="21"/>
  <c r="M11" i="21"/>
  <c r="AE11" i="21" s="1"/>
  <c r="K11" i="21"/>
  <c r="I11" i="21"/>
  <c r="AM8" i="21"/>
  <c r="AP8" i="21" s="1"/>
  <c r="Y8" i="21"/>
  <c r="W8" i="21"/>
  <c r="U8" i="21"/>
  <c r="S8" i="21"/>
  <c r="O8" i="21"/>
  <c r="M8" i="21"/>
  <c r="K8" i="21"/>
  <c r="I8" i="21"/>
  <c r="AD8" i="21" s="1"/>
  <c r="AM38" i="21"/>
  <c r="Y38" i="21"/>
  <c r="W38" i="21"/>
  <c r="U38" i="21"/>
  <c r="S38" i="21"/>
  <c r="AF38" i="21" s="1"/>
  <c r="O38" i="21"/>
  <c r="AA38" i="21" s="1"/>
  <c r="M38" i="21"/>
  <c r="K38" i="21"/>
  <c r="Z38" i="21" s="1"/>
  <c r="I38" i="21"/>
  <c r="AM36" i="21"/>
  <c r="Y36" i="21"/>
  <c r="W36" i="21"/>
  <c r="U36" i="21"/>
  <c r="S36" i="21"/>
  <c r="O36" i="21"/>
  <c r="M36" i="21"/>
  <c r="AE36" i="21" s="1"/>
  <c r="K36" i="21"/>
  <c r="I36" i="21"/>
  <c r="AM35" i="21"/>
  <c r="Y35" i="21"/>
  <c r="W35" i="21"/>
  <c r="AG35" i="21" s="1"/>
  <c r="U35" i="21"/>
  <c r="AB35" i="21" s="1"/>
  <c r="S35" i="21"/>
  <c r="O35" i="21"/>
  <c r="AA35" i="21" s="1"/>
  <c r="M35" i="21"/>
  <c r="K35" i="21"/>
  <c r="I35" i="21"/>
  <c r="AM27" i="21"/>
  <c r="AP27" i="21" s="1"/>
  <c r="Y27" i="21"/>
  <c r="W27" i="21"/>
  <c r="U27" i="21"/>
  <c r="S27" i="21"/>
  <c r="AF27" i="21" s="1"/>
  <c r="O27" i="21"/>
  <c r="M27" i="21"/>
  <c r="K27" i="21"/>
  <c r="I27" i="21"/>
  <c r="AM7" i="21"/>
  <c r="Y7" i="21"/>
  <c r="AC7" i="21" s="1"/>
  <c r="W7" i="21"/>
  <c r="U7" i="21"/>
  <c r="AB7" i="21" s="1"/>
  <c r="S7" i="21"/>
  <c r="O7" i="21"/>
  <c r="M7" i="21"/>
  <c r="K7" i="21"/>
  <c r="I7" i="21"/>
  <c r="AD7" i="21" s="1"/>
  <c r="AM34" i="21"/>
  <c r="AP34" i="21" s="1"/>
  <c r="Y34" i="21"/>
  <c r="W34" i="21"/>
  <c r="AC34" i="21" s="1"/>
  <c r="U34" i="21"/>
  <c r="S34" i="21"/>
  <c r="O34" i="21"/>
  <c r="M34" i="21"/>
  <c r="K34" i="21"/>
  <c r="I34" i="21"/>
  <c r="AM37" i="21"/>
  <c r="Y37" i="21"/>
  <c r="AC37" i="21" s="1"/>
  <c r="W37" i="21"/>
  <c r="U37" i="21"/>
  <c r="S37" i="21"/>
  <c r="O37" i="21"/>
  <c r="M37" i="21"/>
  <c r="AE37" i="21" s="1"/>
  <c r="K37" i="21"/>
  <c r="I37" i="21"/>
  <c r="AM32" i="21"/>
  <c r="AP32" i="21" s="1"/>
  <c r="Y32" i="21"/>
  <c r="W32" i="21"/>
  <c r="U32" i="21"/>
  <c r="S32" i="21"/>
  <c r="O32" i="21"/>
  <c r="M32" i="21"/>
  <c r="K32" i="21"/>
  <c r="I32" i="21"/>
  <c r="AD32" i="21" s="1"/>
  <c r="AM31" i="21"/>
  <c r="Y31" i="21"/>
  <c r="W31" i="21"/>
  <c r="U31" i="21"/>
  <c r="S31" i="21"/>
  <c r="AF31" i="21" s="1"/>
  <c r="O31" i="21"/>
  <c r="AA31" i="21" s="1"/>
  <c r="M31" i="21"/>
  <c r="K31" i="21"/>
  <c r="I31" i="21"/>
  <c r="AM30" i="21"/>
  <c r="Y30" i="21"/>
  <c r="W30" i="21"/>
  <c r="U30" i="21"/>
  <c r="S30" i="21"/>
  <c r="O30" i="21"/>
  <c r="M30" i="21"/>
  <c r="AE30" i="21" s="1"/>
  <c r="K30" i="21"/>
  <c r="I30" i="21"/>
  <c r="AM29" i="21"/>
  <c r="Y29" i="21"/>
  <c r="W29" i="21"/>
  <c r="AG29" i="21" s="1"/>
  <c r="U29" i="21"/>
  <c r="AB29" i="21" s="1"/>
  <c r="S29" i="21"/>
  <c r="O29" i="21"/>
  <c r="M29" i="21"/>
  <c r="K29" i="21"/>
  <c r="I29" i="21"/>
  <c r="AM28" i="21"/>
  <c r="AP28" i="21" s="1"/>
  <c r="Y28" i="21"/>
  <c r="W28" i="21"/>
  <c r="U28" i="21"/>
  <c r="S28" i="21"/>
  <c r="AF28" i="21" s="1"/>
  <c r="O28" i="21"/>
  <c r="M28" i="21"/>
  <c r="K28" i="21"/>
  <c r="I28" i="21"/>
  <c r="AM26" i="21"/>
  <c r="Y26" i="21"/>
  <c r="W26" i="21"/>
  <c r="U26" i="21"/>
  <c r="AB26" i="21" s="1"/>
  <c r="S26" i="21"/>
  <c r="O26" i="21"/>
  <c r="M26" i="21"/>
  <c r="K26" i="21"/>
  <c r="I26" i="21"/>
  <c r="AD26" i="21" s="1"/>
  <c r="AM4" i="21"/>
  <c r="Y4" i="21"/>
  <c r="W4" i="21"/>
  <c r="AC4" i="21" s="1"/>
  <c r="U4" i="21"/>
  <c r="S4" i="21"/>
  <c r="O4" i="21"/>
  <c r="M4" i="21"/>
  <c r="K4" i="21"/>
  <c r="I4" i="21"/>
  <c r="AM25" i="21"/>
  <c r="Y25" i="21"/>
  <c r="AC25" i="21" s="1"/>
  <c r="W25" i="21"/>
  <c r="U25" i="21"/>
  <c r="S25" i="21"/>
  <c r="O25" i="21"/>
  <c r="M25" i="21"/>
  <c r="AE25" i="21" s="1"/>
  <c r="K25" i="21"/>
  <c r="I25" i="21"/>
  <c r="AM5" i="21"/>
  <c r="Y5" i="21"/>
  <c r="W5" i="21"/>
  <c r="U5" i="21"/>
  <c r="S5" i="21"/>
  <c r="O5" i="21"/>
  <c r="M5" i="21"/>
  <c r="K5" i="21"/>
  <c r="I5" i="21"/>
  <c r="AD5" i="21" s="1"/>
  <c r="AM24" i="21"/>
  <c r="Y24" i="21"/>
  <c r="W24" i="21"/>
  <c r="U24" i="21"/>
  <c r="S24" i="21"/>
  <c r="AF24" i="21" s="1"/>
  <c r="O24" i="21"/>
  <c r="M24" i="21"/>
  <c r="K24" i="21"/>
  <c r="I24" i="21"/>
  <c r="AM22" i="21"/>
  <c r="Y22" i="21"/>
  <c r="W22" i="21"/>
  <c r="U22" i="21"/>
  <c r="S22" i="21"/>
  <c r="O22" i="21"/>
  <c r="M22" i="21"/>
  <c r="AE22" i="21" s="1"/>
  <c r="K22" i="21"/>
  <c r="I22" i="21"/>
  <c r="AM20" i="21"/>
  <c r="AP20" i="21" s="1"/>
  <c r="Y20" i="21"/>
  <c r="W20" i="21"/>
  <c r="AG20" i="21" s="1"/>
  <c r="U20" i="21"/>
  <c r="S20" i="21"/>
  <c r="O20" i="21"/>
  <c r="AA20" i="21" s="1"/>
  <c r="M20" i="21"/>
  <c r="K20" i="21"/>
  <c r="I20" i="21"/>
  <c r="AM21" i="21"/>
  <c r="AP21" i="21" s="1"/>
  <c r="Y21" i="21"/>
  <c r="W21" i="21"/>
  <c r="U21" i="21"/>
  <c r="S21" i="21"/>
  <c r="AB21" i="21" s="1"/>
  <c r="O21" i="21"/>
  <c r="M21" i="21"/>
  <c r="K21" i="21"/>
  <c r="I21" i="21"/>
  <c r="AM19" i="21"/>
  <c r="Y19" i="21"/>
  <c r="W19" i="21"/>
  <c r="U19" i="21"/>
  <c r="AF19" i="21" s="1"/>
  <c r="S19" i="21"/>
  <c r="O19" i="21"/>
  <c r="M19" i="21"/>
  <c r="K19" i="21"/>
  <c r="I19" i="21"/>
  <c r="AD19" i="21" s="1"/>
  <c r="AM17" i="21"/>
  <c r="Y17" i="21"/>
  <c r="W17" i="21"/>
  <c r="AG17" i="21" s="1"/>
  <c r="U17" i="21"/>
  <c r="S17" i="21"/>
  <c r="O17" i="21"/>
  <c r="M17" i="21"/>
  <c r="K17" i="21"/>
  <c r="I17" i="21"/>
  <c r="AM14" i="21"/>
  <c r="Y14" i="21"/>
  <c r="W14" i="21"/>
  <c r="U14" i="21"/>
  <c r="S14" i="21"/>
  <c r="O14" i="21"/>
  <c r="M14" i="21"/>
  <c r="AE14" i="21" s="1"/>
  <c r="K14" i="21"/>
  <c r="I14" i="21"/>
  <c r="AM16" i="21"/>
  <c r="AP16" i="21" s="1"/>
  <c r="Y16" i="21"/>
  <c r="W16" i="21"/>
  <c r="U16" i="21"/>
  <c r="S16" i="21"/>
  <c r="O16" i="21"/>
  <c r="AE16" i="21" s="1"/>
  <c r="K16" i="21"/>
  <c r="I16" i="21"/>
  <c r="AM15" i="21"/>
  <c r="Y15" i="21"/>
  <c r="W15" i="21"/>
  <c r="U15" i="21"/>
  <c r="S15" i="21"/>
  <c r="O15" i="21"/>
  <c r="M15" i="21"/>
  <c r="K15" i="21"/>
  <c r="I15" i="21"/>
  <c r="AD15" i="21" s="1"/>
  <c r="AM12" i="21"/>
  <c r="Y12" i="21"/>
  <c r="W12" i="21"/>
  <c r="U12" i="21"/>
  <c r="S12" i="21"/>
  <c r="AF12" i="21" s="1"/>
  <c r="O12" i="21"/>
  <c r="M12" i="21"/>
  <c r="K12" i="21"/>
  <c r="I12" i="21"/>
  <c r="AM9" i="21"/>
  <c r="Y9" i="21"/>
  <c r="W9" i="21"/>
  <c r="U9" i="21"/>
  <c r="S9" i="21"/>
  <c r="O9" i="21"/>
  <c r="AA9" i="21" s="1"/>
  <c r="K9" i="21"/>
  <c r="I9" i="21"/>
  <c r="Y6" i="21"/>
  <c r="W6" i="21"/>
  <c r="U6" i="21"/>
  <c r="S6" i="21"/>
  <c r="AF6" i="21" s="1"/>
  <c r="M6" i="21"/>
  <c r="AA6" i="21" s="1"/>
  <c r="I6" i="21"/>
  <c r="Z6" i="21" s="1"/>
  <c r="AC11" i="21"/>
  <c r="AB27" i="21"/>
  <c r="AA44" i="21"/>
  <c r="AP38" i="21"/>
  <c r="AP31" i="21"/>
  <c r="AC14" i="21"/>
  <c r="AP54" i="21"/>
  <c r="AB54" i="21"/>
  <c r="AA54" i="21"/>
  <c r="AB52" i="21"/>
  <c r="AC33" i="21"/>
  <c r="AC51" i="21"/>
  <c r="AA50" i="21"/>
  <c r="AP23" i="21"/>
  <c r="Z23" i="21"/>
  <c r="AA49" i="21"/>
  <c r="AB45" i="21"/>
  <c r="AC48" i="21"/>
  <c r="AP43" i="21"/>
  <c r="AC43" i="21"/>
  <c r="AP41" i="21"/>
  <c r="AB44" i="21"/>
  <c r="AP10" i="21"/>
  <c r="AP11" i="21"/>
  <c r="Z11" i="21"/>
  <c r="AB28" i="21"/>
  <c r="E26" i="21"/>
  <c r="AP25" i="21"/>
  <c r="AP14" i="21"/>
  <c r="Z6" i="22" l="1"/>
  <c r="Z9" i="22"/>
  <c r="AG18" i="22"/>
  <c r="AB21" i="22"/>
  <c r="AD24" i="22"/>
  <c r="AG35" i="22"/>
  <c r="AA40" i="22"/>
  <c r="AD42" i="22"/>
  <c r="AK42" i="22" s="1"/>
  <c r="AO42" i="22" s="1"/>
  <c r="AG44" i="22"/>
  <c r="AP24" i="22"/>
  <c r="Z24" i="22"/>
  <c r="Z39" i="22"/>
  <c r="AC44" i="22"/>
  <c r="Z22" i="22"/>
  <c r="AA15" i="22"/>
  <c r="AF27" i="22"/>
  <c r="AD50" i="22"/>
  <c r="AD41" i="22"/>
  <c r="AA47" i="22"/>
  <c r="AC40" i="22"/>
  <c r="AD46" i="22"/>
  <c r="AG17" i="22"/>
  <c r="AC42" i="22"/>
  <c r="AB44" i="22"/>
  <c r="AE46" i="22"/>
  <c r="AD18" i="22"/>
  <c r="AF8" i="22"/>
  <c r="AF17" i="22"/>
  <c r="AA14" i="22"/>
  <c r="AA7" i="22"/>
  <c r="AB52" i="22"/>
  <c r="AF35" i="22"/>
  <c r="AB8" i="22"/>
  <c r="AB17" i="22"/>
  <c r="AI42" i="22"/>
  <c r="AG5" i="22"/>
  <c r="AC10" i="22"/>
  <c r="AE8" i="22"/>
  <c r="AG16" i="22"/>
  <c r="AB20" i="22"/>
  <c r="AG25" i="22"/>
  <c r="AE27" i="22"/>
  <c r="AD30" i="22"/>
  <c r="AG32" i="22"/>
  <c r="AE35" i="22"/>
  <c r="AA44" i="22"/>
  <c r="AG48" i="22"/>
  <c r="AG4" i="22"/>
  <c r="AG6" i="22"/>
  <c r="AG9" i="22"/>
  <c r="AF7" i="22"/>
  <c r="AA13" i="22"/>
  <c r="Z17" i="22"/>
  <c r="AA19" i="22"/>
  <c r="AP19" i="22"/>
  <c r="AD38" i="22"/>
  <c r="AE51" i="22"/>
  <c r="AP52" i="22"/>
  <c r="AP44" i="22"/>
  <c r="AP35" i="22"/>
  <c r="AP18" i="22"/>
  <c r="AP8" i="22"/>
  <c r="AC32" i="22"/>
  <c r="Z46" i="22"/>
  <c r="AA51" i="22"/>
  <c r="AC5" i="22"/>
  <c r="AP30" i="22"/>
  <c r="Z54" i="22"/>
  <c r="AI24" i="22"/>
  <c r="AH24" i="22"/>
  <c r="AJ24" i="22" s="1"/>
  <c r="AN24" i="22" s="1"/>
  <c r="Z30" i="22"/>
  <c r="AF40" i="22"/>
  <c r="AF47" i="22"/>
  <c r="AK10" i="22"/>
  <c r="AO10" i="22" s="1"/>
  <c r="AE4" i="22"/>
  <c r="AF4" i="22"/>
  <c r="AB5" i="22"/>
  <c r="AB9" i="22"/>
  <c r="Z13" i="22"/>
  <c r="AP13" i="22"/>
  <c r="AG8" i="22"/>
  <c r="AE17" i="22"/>
  <c r="AB11" i="22"/>
  <c r="Z16" i="22"/>
  <c r="AG15" i="22"/>
  <c r="AE20" i="22"/>
  <c r="AP21" i="22"/>
  <c r="AC29" i="22"/>
  <c r="AD25" i="22"/>
  <c r="AP25" i="22"/>
  <c r="AG22" i="22"/>
  <c r="AE26" i="22"/>
  <c r="AB31" i="22"/>
  <c r="AA32" i="22"/>
  <c r="AF32" i="22"/>
  <c r="AG33" i="22"/>
  <c r="AE34" i="22"/>
  <c r="AE39" i="22"/>
  <c r="AD39" i="22"/>
  <c r="AF37" i="22"/>
  <c r="AE42" i="22"/>
  <c r="AB43" i="22"/>
  <c r="AE44" i="22"/>
  <c r="AF44" i="22"/>
  <c r="AC46" i="22"/>
  <c r="AE47" i="22"/>
  <c r="AC48" i="22"/>
  <c r="AC53" i="22"/>
  <c r="AA10" i="22"/>
  <c r="AG7" i="22"/>
  <c r="Z8" i="22"/>
  <c r="Z14" i="22"/>
  <c r="AI14" i="22" s="1"/>
  <c r="AC14" i="22"/>
  <c r="AD15" i="22"/>
  <c r="AK15" i="22" s="1"/>
  <c r="AO15" i="22" s="1"/>
  <c r="AF20" i="22"/>
  <c r="AD23" i="22"/>
  <c r="AE24" i="22"/>
  <c r="AF26" i="22"/>
  <c r="AA27" i="22"/>
  <c r="AG28" i="22"/>
  <c r="AD33" i="22"/>
  <c r="AF34" i="22"/>
  <c r="AA35" i="22"/>
  <c r="AC38" i="22"/>
  <c r="AG41" i="22"/>
  <c r="AC49" i="22"/>
  <c r="AD53" i="22"/>
  <c r="AC52" i="22"/>
  <c r="Z5" i="22"/>
  <c r="AD9" i="22"/>
  <c r="AK9" i="22" s="1"/>
  <c r="AO9" i="22" s="1"/>
  <c r="AF10" i="22"/>
  <c r="AD7" i="22"/>
  <c r="AC12" i="22"/>
  <c r="AB13" i="22"/>
  <c r="Z11" i="22"/>
  <c r="AE23" i="22"/>
  <c r="AK23" i="22" s="1"/>
  <c r="AO23" i="22" s="1"/>
  <c r="AE29" i="22"/>
  <c r="AG29" i="22"/>
  <c r="AP22" i="22"/>
  <c r="AD28" i="22"/>
  <c r="AG36" i="22"/>
  <c r="Z38" i="22"/>
  <c r="AP38" i="22"/>
  <c r="AG39" i="22"/>
  <c r="AG42" i="22"/>
  <c r="AC45" i="22"/>
  <c r="AA48" i="22"/>
  <c r="AC54" i="22"/>
  <c r="AA9" i="22"/>
  <c r="AI9" i="22" s="1"/>
  <c r="AD4" i="22"/>
  <c r="AK4" i="22" s="1"/>
  <c r="AO4" i="22" s="1"/>
  <c r="AA5" i="22"/>
  <c r="Z12" i="22"/>
  <c r="AP12" i="22"/>
  <c r="AC13" i="22"/>
  <c r="AD17" i="22"/>
  <c r="AK17" i="22" s="1"/>
  <c r="AO17" i="22" s="1"/>
  <c r="AA11" i="22"/>
  <c r="AF14" i="22"/>
  <c r="AC25" i="22"/>
  <c r="AG24" i="22"/>
  <c r="AE31" i="22"/>
  <c r="AD36" i="22"/>
  <c r="AE37" i="22"/>
  <c r="AE40" i="22"/>
  <c r="AA43" i="22"/>
  <c r="AD45" i="22"/>
  <c r="AP48" i="22"/>
  <c r="AE49" i="22"/>
  <c r="AK49" i="22" s="1"/>
  <c r="AO49" i="22" s="1"/>
  <c r="AE52" i="22"/>
  <c r="AE54" i="22"/>
  <c r="AK54" i="22" s="1"/>
  <c r="AO54" i="22" s="1"/>
  <c r="AI6" i="22"/>
  <c r="AH6" i="22"/>
  <c r="AJ6" i="22" s="1"/>
  <c r="AI7" i="22"/>
  <c r="AH7" i="22"/>
  <c r="AJ7" i="22" s="1"/>
  <c r="AI33" i="22"/>
  <c r="AH33" i="22"/>
  <c r="AJ33" i="22" s="1"/>
  <c r="AK12" i="22"/>
  <c r="AO12" i="22" s="1"/>
  <c r="AB6" i="22"/>
  <c r="AB7" i="22"/>
  <c r="AG12" i="22"/>
  <c r="AD13" i="22"/>
  <c r="AA8" i="22"/>
  <c r="AP14" i="22"/>
  <c r="AC16" i="22"/>
  <c r="AC19" i="22"/>
  <c r="AD29" i="22"/>
  <c r="AK29" i="22" s="1"/>
  <c r="AO29" i="22" s="1"/>
  <c r="Z29" i="22"/>
  <c r="AA22" i="22"/>
  <c r="AF31" i="22"/>
  <c r="AF36" i="22"/>
  <c r="AB36" i="22"/>
  <c r="AA34" i="22"/>
  <c r="AB42" i="22"/>
  <c r="AF42" i="22"/>
  <c r="AH42" i="22"/>
  <c r="AJ42" i="22" s="1"/>
  <c r="AE43" i="22"/>
  <c r="AG45" i="22"/>
  <c r="AA46" i="22"/>
  <c r="AC47" i="22"/>
  <c r="AG47" i="22"/>
  <c r="Z53" i="22"/>
  <c r="AC6" i="22"/>
  <c r="AC7" i="22"/>
  <c r="AE13" i="22"/>
  <c r="AD16" i="22"/>
  <c r="AK16" i="22" s="1"/>
  <c r="AO16" i="22" s="1"/>
  <c r="AB23" i="22"/>
  <c r="AF23" i="22"/>
  <c r="AH23" i="22"/>
  <c r="AJ23" i="22" s="1"/>
  <c r="AE21" i="22"/>
  <c r="AB25" i="22"/>
  <c r="AF25" i="22"/>
  <c r="AK22" i="22"/>
  <c r="AO22" i="22" s="1"/>
  <c r="AG26" i="22"/>
  <c r="AC26" i="22"/>
  <c r="AP26" i="22"/>
  <c r="AG27" i="22"/>
  <c r="Z28" i="22"/>
  <c r="AE33" i="22"/>
  <c r="AB34" i="22"/>
  <c r="AD35" i="22"/>
  <c r="AK35" i="22" s="1"/>
  <c r="AO35" i="22" s="1"/>
  <c r="Z35" i="22"/>
  <c r="AG38" i="22"/>
  <c r="AA39" i="22"/>
  <c r="AH39" i="22" s="1"/>
  <c r="AJ39" i="22" s="1"/>
  <c r="AC37" i="22"/>
  <c r="AG37" i="22"/>
  <c r="AB45" i="22"/>
  <c r="AF45" i="22"/>
  <c r="AD47" i="22"/>
  <c r="Z47" i="22"/>
  <c r="Z50" i="22"/>
  <c r="AP51" i="22"/>
  <c r="AG52" i="22"/>
  <c r="AA54" i="22"/>
  <c r="AI54" i="22" s="1"/>
  <c r="AG10" i="22"/>
  <c r="AA12" i="22"/>
  <c r="AF13" i="22"/>
  <c r="AC8" i="22"/>
  <c r="AE11" i="22"/>
  <c r="AK11" i="22" s="1"/>
  <c r="AO11" i="22" s="1"/>
  <c r="AB16" i="22"/>
  <c r="AF16" i="22"/>
  <c r="Z15" i="22"/>
  <c r="AC20" i="22"/>
  <c r="AG20" i="22"/>
  <c r="Z26" i="22"/>
  <c r="AD26" i="22"/>
  <c r="AA28" i="22"/>
  <c r="AE28" i="22"/>
  <c r="AB33" i="22"/>
  <c r="AF33" i="22"/>
  <c r="AB38" i="22"/>
  <c r="AF38" i="22"/>
  <c r="AD37" i="22"/>
  <c r="Z37" i="22"/>
  <c r="AG40" i="22"/>
  <c r="Z41" i="22"/>
  <c r="AE50" i="22"/>
  <c r="AA50" i="22"/>
  <c r="AA53" i="22"/>
  <c r="AE53" i="22"/>
  <c r="AG53" i="22"/>
  <c r="Z4" i="22"/>
  <c r="AA4" i="22"/>
  <c r="AF5" i="22"/>
  <c r="AE6" i="22"/>
  <c r="AK6" i="22" s="1"/>
  <c r="AO6" i="22" s="1"/>
  <c r="AC9" i="22"/>
  <c r="Z10" i="22"/>
  <c r="AE7" i="22"/>
  <c r="AK7" i="22" s="1"/>
  <c r="AO7" i="22" s="1"/>
  <c r="AB12" i="22"/>
  <c r="AG13" i="22"/>
  <c r="AD8" i="22"/>
  <c r="AK8" i="22" s="1"/>
  <c r="AO8" i="22" s="1"/>
  <c r="AA17" i="22"/>
  <c r="AI17" i="22" s="1"/>
  <c r="AF11" i="22"/>
  <c r="AE14" i="22"/>
  <c r="AK14" i="22" s="1"/>
  <c r="AO14" i="22" s="1"/>
  <c r="AD20" i="22"/>
  <c r="Z20" i="22"/>
  <c r="AF22" i="22"/>
  <c r="AB22" i="22"/>
  <c r="AK24" i="22"/>
  <c r="AO24" i="22" s="1"/>
  <c r="AA26" i="22"/>
  <c r="AC31" i="22"/>
  <c r="AG31" i="22"/>
  <c r="AA37" i="22"/>
  <c r="AE41" i="22"/>
  <c r="AK41" i="22" s="1"/>
  <c r="AO41" i="22" s="1"/>
  <c r="AA41" i="22"/>
  <c r="AF46" i="22"/>
  <c r="AB46" i="22"/>
  <c r="Z48" i="22"/>
  <c r="AD48" i="22"/>
  <c r="AK48" i="22" s="1"/>
  <c r="AO48" i="22" s="1"/>
  <c r="AG51" i="22"/>
  <c r="AC51" i="22"/>
  <c r="AE5" i="22"/>
  <c r="AK5" i="22" s="1"/>
  <c r="AO5" i="22" s="1"/>
  <c r="AE18" i="22"/>
  <c r="AK18" i="22" s="1"/>
  <c r="AO18" i="22" s="1"/>
  <c r="AA18" i="22"/>
  <c r="AI18" i="22" s="1"/>
  <c r="AC18" i="22"/>
  <c r="AB26" i="22"/>
  <c r="AD27" i="22"/>
  <c r="AK27" i="22" s="1"/>
  <c r="AO27" i="22" s="1"/>
  <c r="Z27" i="22"/>
  <c r="AA30" i="22"/>
  <c r="AD31" i="22"/>
  <c r="Z31" i="22"/>
  <c r="Z36" i="22"/>
  <c r="AC35" i="22"/>
  <c r="AF39" i="22"/>
  <c r="AB39" i="22"/>
  <c r="AB37" i="22"/>
  <c r="Z40" i="22"/>
  <c r="AD40" i="22"/>
  <c r="AK40" i="22" s="1"/>
  <c r="AO40" i="22" s="1"/>
  <c r="AG43" i="22"/>
  <c r="AC43" i="22"/>
  <c r="AP43" i="22"/>
  <c r="AA49" i="22"/>
  <c r="AI49" i="22" s="1"/>
  <c r="Z51" i="22"/>
  <c r="AD51" i="22"/>
  <c r="AK51" i="22" s="1"/>
  <c r="AO51" i="22" s="1"/>
  <c r="AD52" i="22"/>
  <c r="AB53" i="22"/>
  <c r="AF53" i="22"/>
  <c r="AF54" i="22"/>
  <c r="AB54" i="22"/>
  <c r="Z19" i="22"/>
  <c r="AD19" i="22"/>
  <c r="AG21" i="22"/>
  <c r="AC21" i="22"/>
  <c r="Z25" i="22"/>
  <c r="AB24" i="22"/>
  <c r="AF24" i="22"/>
  <c r="AB28" i="22"/>
  <c r="AF28" i="22"/>
  <c r="AK30" i="22"/>
  <c r="AO30" i="22" s="1"/>
  <c r="AE36" i="22"/>
  <c r="AK36" i="22" s="1"/>
  <c r="AO36" i="22" s="1"/>
  <c r="AA36" i="22"/>
  <c r="Z43" i="22"/>
  <c r="AD43" i="22"/>
  <c r="Z45" i="22"/>
  <c r="AF50" i="22"/>
  <c r="AB50" i="22"/>
  <c r="AH14" i="22"/>
  <c r="AJ14" i="22" s="1"/>
  <c r="AF15" i="22"/>
  <c r="AB15" i="22"/>
  <c r="Z21" i="22"/>
  <c r="AD21" i="22"/>
  <c r="AA25" i="22"/>
  <c r="AE25" i="22"/>
  <c r="Z32" i="22"/>
  <c r="AD32" i="22"/>
  <c r="AG34" i="22"/>
  <c r="AC34" i="22"/>
  <c r="AP34" i="22"/>
  <c r="AF41" i="22"/>
  <c r="AB41" i="22"/>
  <c r="AA45" i="22"/>
  <c r="AE45" i="22"/>
  <c r="AK45" i="22" s="1"/>
  <c r="AO45" i="22" s="1"/>
  <c r="AA16" i="22"/>
  <c r="AF18" i="22"/>
  <c r="AB18" i="22"/>
  <c r="AF30" i="22"/>
  <c r="AB30" i="22"/>
  <c r="Z34" i="22"/>
  <c r="AD34" i="22"/>
  <c r="AK34" i="22" s="1"/>
  <c r="AO34" i="22" s="1"/>
  <c r="AA38" i="22"/>
  <c r="AE38" i="22"/>
  <c r="AD44" i="22"/>
  <c r="Z44" i="22"/>
  <c r="AB49" i="22"/>
  <c r="AF49" i="22"/>
  <c r="Z52" i="22"/>
  <c r="AC15" i="22"/>
  <c r="AE19" i="22"/>
  <c r="AG23" i="22"/>
  <c r="AA29" i="22"/>
  <c r="AC22" i="22"/>
  <c r="AC30" i="22"/>
  <c r="AE32" i="22"/>
  <c r="AG6" i="21"/>
  <c r="AG12" i="21"/>
  <c r="AF14" i="21"/>
  <c r="AE19" i="21"/>
  <c r="AK19" i="21" s="1"/>
  <c r="AO19" i="21" s="1"/>
  <c r="AD20" i="21"/>
  <c r="AG24" i="21"/>
  <c r="AE26" i="21"/>
  <c r="AK26" i="21" s="1"/>
  <c r="AO26" i="21" s="1"/>
  <c r="AD29" i="21"/>
  <c r="AG31" i="21"/>
  <c r="AF37" i="21"/>
  <c r="AE7" i="21"/>
  <c r="AD27" i="21"/>
  <c r="AD35" i="21"/>
  <c r="AG38" i="21"/>
  <c r="AF11" i="21"/>
  <c r="AF10" i="21"/>
  <c r="AG50" i="21"/>
  <c r="AF33" i="21"/>
  <c r="AF9" i="21"/>
  <c r="AG27" i="21"/>
  <c r="AF40" i="21"/>
  <c r="AD52" i="21"/>
  <c r="AK7" i="21"/>
  <c r="AO7" i="21" s="1"/>
  <c r="AE18" i="21"/>
  <c r="AK18" i="21" s="1"/>
  <c r="AO18" i="21" s="1"/>
  <c r="AD39" i="21"/>
  <c r="AG41" i="21"/>
  <c r="AF48" i="21"/>
  <c r="AE46" i="21"/>
  <c r="AK46" i="21" s="1"/>
  <c r="AO46" i="21" s="1"/>
  <c r="AD49" i="21"/>
  <c r="AK49" i="21" s="1"/>
  <c r="AO49" i="21" s="1"/>
  <c r="AG54" i="21"/>
  <c r="AG22" i="21"/>
  <c r="AE34" i="21"/>
  <c r="AG36" i="21"/>
  <c r="AF8" i="21"/>
  <c r="AG40" i="21"/>
  <c r="AF42" i="21"/>
  <c r="AE52" i="21"/>
  <c r="AK52" i="21" s="1"/>
  <c r="AO52" i="21" s="1"/>
  <c r="AF45" i="21"/>
  <c r="AE9" i="21"/>
  <c r="AD16" i="21"/>
  <c r="AK16" i="21" s="1"/>
  <c r="AO16" i="21" s="1"/>
  <c r="AE31" i="21"/>
  <c r="AD11" i="21"/>
  <c r="AK11" i="21" s="1"/>
  <c r="AO11" i="21" s="1"/>
  <c r="AG18" i="21"/>
  <c r="AE15" i="21"/>
  <c r="AK15" i="21" s="1"/>
  <c r="AO15" i="21" s="1"/>
  <c r="AD17" i="21"/>
  <c r="AG21" i="21"/>
  <c r="AF22" i="21"/>
  <c r="AE5" i="21"/>
  <c r="AK5" i="21" s="1"/>
  <c r="AO5" i="21" s="1"/>
  <c r="AD4" i="21"/>
  <c r="AG28" i="21"/>
  <c r="AF30" i="21"/>
  <c r="AE32" i="21"/>
  <c r="AK32" i="21" s="1"/>
  <c r="AO32" i="21" s="1"/>
  <c r="AD34" i="21"/>
  <c r="AF36" i="21"/>
  <c r="AE8" i="21"/>
  <c r="AK8" i="21" s="1"/>
  <c r="AO8" i="21" s="1"/>
  <c r="AD10" i="21"/>
  <c r="AD13" i="21"/>
  <c r="AG44" i="21"/>
  <c r="AE42" i="21"/>
  <c r="AD48" i="21"/>
  <c r="AD45" i="21"/>
  <c r="AG47" i="21"/>
  <c r="AE48" i="21"/>
  <c r="Z17" i="21"/>
  <c r="AC21" i="21"/>
  <c r="AA5" i="21"/>
  <c r="Z4" i="21"/>
  <c r="AA32" i="21"/>
  <c r="Z34" i="21"/>
  <c r="AC27" i="21"/>
  <c r="AB36" i="21"/>
  <c r="AB40" i="21"/>
  <c r="AA42" i="21"/>
  <c r="AG9" i="21"/>
  <c r="AF15" i="21"/>
  <c r="AF16" i="21"/>
  <c r="AE17" i="21"/>
  <c r="AD21" i="21"/>
  <c r="AF5" i="21"/>
  <c r="AE4" i="21"/>
  <c r="AD28" i="21"/>
  <c r="AG30" i="21"/>
  <c r="AF32" i="21"/>
  <c r="AE13" i="21"/>
  <c r="AD44" i="21"/>
  <c r="AE45" i="21"/>
  <c r="AD47" i="21"/>
  <c r="AK47" i="21" s="1"/>
  <c r="AO47" i="21" s="1"/>
  <c r="AG23" i="21"/>
  <c r="AF51" i="21"/>
  <c r="AD54" i="21"/>
  <c r="AB19" i="21"/>
  <c r="AG15" i="21"/>
  <c r="AG16" i="21"/>
  <c r="AF17" i="21"/>
  <c r="AE21" i="21"/>
  <c r="AD22" i="21"/>
  <c r="AK22" i="21" s="1"/>
  <c r="AO22" i="21" s="1"/>
  <c r="AG5" i="21"/>
  <c r="AF25" i="21"/>
  <c r="AF4" i="21"/>
  <c r="AE28" i="21"/>
  <c r="AD30" i="21"/>
  <c r="AK30" i="21" s="1"/>
  <c r="AO30" i="21" s="1"/>
  <c r="AG32" i="21"/>
  <c r="AF34" i="21"/>
  <c r="AE27" i="21"/>
  <c r="AD36" i="21"/>
  <c r="AK36" i="21" s="1"/>
  <c r="AO36" i="21" s="1"/>
  <c r="AG8" i="21"/>
  <c r="AB13" i="21"/>
  <c r="AE44" i="21"/>
  <c r="AD40" i="21"/>
  <c r="AK40" i="21" s="1"/>
  <c r="AO40" i="21" s="1"/>
  <c r="AG42" i="21"/>
  <c r="AD23" i="21"/>
  <c r="AK23" i="21" s="1"/>
  <c r="AO23" i="21" s="1"/>
  <c r="AG51" i="21"/>
  <c r="AF52" i="21"/>
  <c r="AE54" i="21"/>
  <c r="AD9" i="21"/>
  <c r="AD12" i="21"/>
  <c r="AG14" i="21"/>
  <c r="AE20" i="21"/>
  <c r="AK20" i="21" s="1"/>
  <c r="AO20" i="21" s="1"/>
  <c r="AD24" i="21"/>
  <c r="AF26" i="21"/>
  <c r="AE29" i="21"/>
  <c r="AD31" i="21"/>
  <c r="AG37" i="21"/>
  <c r="AF7" i="21"/>
  <c r="AE35" i="21"/>
  <c r="AK35" i="21" s="1"/>
  <c r="AO35" i="21" s="1"/>
  <c r="AD38" i="21"/>
  <c r="AG11" i="21"/>
  <c r="AG10" i="21"/>
  <c r="AF18" i="21"/>
  <c r="AE39" i="21"/>
  <c r="AD41" i="21"/>
  <c r="AG43" i="21"/>
  <c r="AG48" i="21"/>
  <c r="AF46" i="21"/>
  <c r="AD50" i="21"/>
  <c r="AF53" i="21"/>
  <c r="AA10" i="21"/>
  <c r="AE12" i="21"/>
  <c r="AG19" i="21"/>
  <c r="AF20" i="21"/>
  <c r="AE24" i="21"/>
  <c r="AD25" i="21"/>
  <c r="AK25" i="21" s="1"/>
  <c r="AO25" i="21" s="1"/>
  <c r="AG26" i="21"/>
  <c r="AF29" i="21"/>
  <c r="AD37" i="21"/>
  <c r="AK37" i="21" s="1"/>
  <c r="AO37" i="21" s="1"/>
  <c r="AG7" i="21"/>
  <c r="AF35" i="21"/>
  <c r="AE38" i="21"/>
  <c r="AF39" i="21"/>
  <c r="AE41" i="21"/>
  <c r="AD43" i="21"/>
  <c r="AK43" i="21" s="1"/>
  <c r="AO43" i="21" s="1"/>
  <c r="AG46" i="21"/>
  <c r="AF49" i="21"/>
  <c r="AE50" i="21"/>
  <c r="AD33" i="21"/>
  <c r="AK33" i="21" s="1"/>
  <c r="AO33" i="21" s="1"/>
  <c r="AG53" i="21"/>
  <c r="AF23" i="21"/>
  <c r="AE51" i="21"/>
  <c r="AG25" i="21"/>
  <c r="AF47" i="21"/>
  <c r="AF21" i="21"/>
  <c r="AE10" i="21"/>
  <c r="AG4" i="21"/>
  <c r="AA40" i="21"/>
  <c r="AA23" i="21"/>
  <c r="AI23" i="21" s="1"/>
  <c r="AD14" i="21"/>
  <c r="AK14" i="21" s="1"/>
  <c r="AO14" i="21" s="1"/>
  <c r="AD51" i="21"/>
  <c r="AK51" i="21" s="1"/>
  <c r="AO51" i="21" s="1"/>
  <c r="AG34" i="21"/>
  <c r="AE6" i="21"/>
  <c r="AD42" i="21"/>
  <c r="AF13" i="21"/>
  <c r="AD6" i="21"/>
  <c r="AB43" i="21"/>
  <c r="AB48" i="21"/>
  <c r="AF43" i="21"/>
  <c r="AP29" i="21"/>
  <c r="AA14" i="21"/>
  <c r="Z19" i="21"/>
  <c r="AB24" i="21"/>
  <c r="AC29" i="21"/>
  <c r="AB31" i="21"/>
  <c r="AA37" i="21"/>
  <c r="Z7" i="21"/>
  <c r="AC35" i="21"/>
  <c r="AB38" i="21"/>
  <c r="Z18" i="21"/>
  <c r="AC39" i="21"/>
  <c r="AB41" i="21"/>
  <c r="AA43" i="21"/>
  <c r="Z45" i="21"/>
  <c r="AC47" i="21"/>
  <c r="AB23" i="21"/>
  <c r="Z52" i="21"/>
  <c r="AC54" i="21"/>
  <c r="AB16" i="21"/>
  <c r="AA17" i="21"/>
  <c r="AI17" i="21" s="1"/>
  <c r="AC22" i="21"/>
  <c r="AB5" i="21"/>
  <c r="Z28" i="21"/>
  <c r="Z25" i="21"/>
  <c r="AC30" i="21"/>
  <c r="Z27" i="21"/>
  <c r="Z14" i="21"/>
  <c r="AH14" i="21" s="1"/>
  <c r="AJ14" i="21" s="1"/>
  <c r="AN14" i="21" s="1"/>
  <c r="AC17" i="21"/>
  <c r="Z49" i="21"/>
  <c r="AI49" i="21" s="1"/>
  <c r="AB33" i="21"/>
  <c r="Z15" i="21"/>
  <c r="AA12" i="21"/>
  <c r="AC19" i="21"/>
  <c r="AB20" i="21"/>
  <c r="AA24" i="21"/>
  <c r="AC18" i="21"/>
  <c r="AB39" i="21"/>
  <c r="AB9" i="21"/>
  <c r="AA15" i="21"/>
  <c r="AC28" i="21"/>
  <c r="AC9" i="21"/>
  <c r="AB12" i="21"/>
  <c r="AB15" i="21"/>
  <c r="AC6" i="21"/>
  <c r="AC44" i="21"/>
  <c r="AB6" i="21"/>
  <c r="Z20" i="21"/>
  <c r="AI20" i="21" s="1"/>
  <c r="AP19" i="21"/>
  <c r="AP7" i="21"/>
  <c r="AP5" i="21"/>
  <c r="AP15" i="21"/>
  <c r="AP24" i="21"/>
  <c r="Z9" i="21"/>
  <c r="AI9" i="21" s="1"/>
  <c r="AC16" i="21"/>
  <c r="AB14" i="21"/>
  <c r="AA19" i="21"/>
  <c r="AA21" i="21"/>
  <c r="Z22" i="21"/>
  <c r="AC24" i="21"/>
  <c r="AC5" i="21"/>
  <c r="AB25" i="21"/>
  <c r="AB4" i="21"/>
  <c r="Z29" i="21"/>
  <c r="AC31" i="21"/>
  <c r="AC32" i="21"/>
  <c r="AA7" i="21"/>
  <c r="Z35" i="21"/>
  <c r="AI35" i="21" s="1"/>
  <c r="Z36" i="21"/>
  <c r="AB10" i="21"/>
  <c r="Z44" i="21"/>
  <c r="AH44" i="21" s="1"/>
  <c r="AJ44" i="21" s="1"/>
  <c r="AC40" i="21"/>
  <c r="Z46" i="21"/>
  <c r="Z47" i="21"/>
  <c r="AC49" i="21"/>
  <c r="AB51" i="21"/>
  <c r="AC15" i="21"/>
  <c r="AC38" i="21"/>
  <c r="AA33" i="21"/>
  <c r="Z53" i="21"/>
  <c r="Z54" i="21"/>
  <c r="AI54" i="21" s="1"/>
  <c r="AI41" i="21"/>
  <c r="AC12" i="21"/>
  <c r="Z21" i="21"/>
  <c r="AA4" i="21"/>
  <c r="AI4" i="21" s="1"/>
  <c r="AA28" i="21"/>
  <c r="AB37" i="21"/>
  <c r="AA27" i="21"/>
  <c r="AH27" i="21" s="1"/>
  <c r="AJ27" i="21" s="1"/>
  <c r="AP36" i="21"/>
  <c r="Z8" i="21"/>
  <c r="AA18" i="21"/>
  <c r="AI18" i="21" s="1"/>
  <c r="Z48" i="21"/>
  <c r="AP48" i="21"/>
  <c r="AC45" i="21"/>
  <c r="AA46" i="21"/>
  <c r="AP46" i="21"/>
  <c r="AC23" i="21"/>
  <c r="AB50" i="21"/>
  <c r="AA52" i="21"/>
  <c r="AP9" i="21"/>
  <c r="Z16" i="21"/>
  <c r="AP22" i="21"/>
  <c r="AP4" i="21"/>
  <c r="Z30" i="21"/>
  <c r="AP30" i="21"/>
  <c r="Z32" i="21"/>
  <c r="AA34" i="21"/>
  <c r="AA36" i="21"/>
  <c r="AA39" i="21"/>
  <c r="Z40" i="21"/>
  <c r="AI40" i="21" s="1"/>
  <c r="AA51" i="21"/>
  <c r="AI51" i="21" s="1"/>
  <c r="AA22" i="21"/>
  <c r="AA25" i="21"/>
  <c r="AP26" i="21"/>
  <c r="AA30" i="21"/>
  <c r="Z31" i="21"/>
  <c r="AI31" i="21" s="1"/>
  <c r="AB34" i="21"/>
  <c r="AA8" i="21"/>
  <c r="Z43" i="21"/>
  <c r="AA48" i="21"/>
  <c r="AP47" i="21"/>
  <c r="AC50" i="21"/>
  <c r="Z12" i="21"/>
  <c r="AA16" i="21"/>
  <c r="AC20" i="21"/>
  <c r="AB22" i="21"/>
  <c r="AA11" i="21"/>
  <c r="AH11" i="21" s="1"/>
  <c r="AJ11" i="21" s="1"/>
  <c r="AP13" i="21"/>
  <c r="AC41" i="21"/>
  <c r="AB42" i="21"/>
  <c r="AA45" i="21"/>
  <c r="AA47" i="21"/>
  <c r="Z33" i="21"/>
  <c r="AP33" i="21"/>
  <c r="AC52" i="21"/>
  <c r="AA53" i="21"/>
  <c r="AA29" i="21"/>
  <c r="AB30" i="21"/>
  <c r="AB32" i="21"/>
  <c r="Z37" i="21"/>
  <c r="AH37" i="21" s="1"/>
  <c r="AJ37" i="21" s="1"/>
  <c r="AP35" i="21"/>
  <c r="AC36" i="21"/>
  <c r="Z10" i="21"/>
  <c r="AC8" i="21"/>
  <c r="AB11" i="21"/>
  <c r="AA13" i="21"/>
  <c r="AA26" i="21"/>
  <c r="Z39" i="21"/>
  <c r="AP39" i="21"/>
  <c r="AC42" i="21"/>
  <c r="AH6" i="21"/>
  <c r="AJ6" i="21" s="1"/>
  <c r="AI6" i="21"/>
  <c r="Z26" i="21"/>
  <c r="AP37" i="21"/>
  <c r="AB8" i="21"/>
  <c r="AP12" i="21"/>
  <c r="AI42" i="21"/>
  <c r="AH42" i="21"/>
  <c r="AJ42" i="21" s="1"/>
  <c r="AB17" i="21"/>
  <c r="AP17" i="21"/>
  <c r="Z24" i="21"/>
  <c r="Z5" i="21"/>
  <c r="AP42" i="21"/>
  <c r="AH38" i="21"/>
  <c r="AJ38" i="21" s="1"/>
  <c r="AI38" i="21"/>
  <c r="AH18" i="21"/>
  <c r="AJ18" i="21" s="1"/>
  <c r="AI50" i="21"/>
  <c r="AH50" i="21"/>
  <c r="AJ50" i="21" s="1"/>
  <c r="AC13" i="21"/>
  <c r="AP50" i="21"/>
  <c r="AH41" i="21"/>
  <c r="AJ41" i="21" s="1"/>
  <c r="AC26" i="21"/>
  <c r="Z13" i="21"/>
  <c r="AD27" i="20"/>
  <c r="AD16" i="20"/>
  <c r="AF16" i="20" s="1"/>
  <c r="AD36" i="20"/>
  <c r="AF36" i="20" s="1"/>
  <c r="AD51" i="20"/>
  <c r="AC54" i="20"/>
  <c r="AC5" i="20"/>
  <c r="AC7" i="20"/>
  <c r="AC8" i="20"/>
  <c r="AC10" i="20"/>
  <c r="AC13" i="20"/>
  <c r="AC14" i="20"/>
  <c r="AC6" i="20"/>
  <c r="AC15" i="20"/>
  <c r="AC19" i="20"/>
  <c r="AC20" i="20"/>
  <c r="AC21" i="20"/>
  <c r="AC22" i="20"/>
  <c r="AC9" i="20"/>
  <c r="AC25" i="20"/>
  <c r="AC11" i="20"/>
  <c r="AC26" i="20"/>
  <c r="AC12" i="20"/>
  <c r="AC29" i="20"/>
  <c r="AC30" i="20"/>
  <c r="AC31" i="20"/>
  <c r="AC18" i="20"/>
  <c r="AC17" i="20"/>
  <c r="AC32" i="20"/>
  <c r="AC23" i="20"/>
  <c r="AC33" i="20"/>
  <c r="AC34" i="20"/>
  <c r="AC16" i="20"/>
  <c r="AC24" i="20"/>
  <c r="AC35" i="20"/>
  <c r="AC37" i="20"/>
  <c r="AC38" i="20"/>
  <c r="AC28" i="20"/>
  <c r="AC39" i="20"/>
  <c r="AC40" i="20"/>
  <c r="AC41" i="20"/>
  <c r="AC27" i="20"/>
  <c r="AC43" i="20"/>
  <c r="AC44" i="20"/>
  <c r="AC45" i="20"/>
  <c r="AC47" i="20"/>
  <c r="AC48" i="20"/>
  <c r="AC49" i="20"/>
  <c r="AC50" i="20"/>
  <c r="AC36" i="20"/>
  <c r="AC42" i="20"/>
  <c r="AC52" i="20"/>
  <c r="AC46" i="20"/>
  <c r="AC51" i="20"/>
  <c r="AC53" i="20"/>
  <c r="L43" i="20"/>
  <c r="L34" i="20"/>
  <c r="L8" i="20"/>
  <c r="L5" i="20"/>
  <c r="AD46" i="20"/>
  <c r="U46" i="20"/>
  <c r="T46" i="20"/>
  <c r="R46" i="20"/>
  <c r="Q46" i="20"/>
  <c r="M46" i="20"/>
  <c r="L46" i="20"/>
  <c r="J46" i="20"/>
  <c r="I46" i="20"/>
  <c r="AD42" i="20"/>
  <c r="AF42" i="20" s="1"/>
  <c r="U42" i="20"/>
  <c r="T42" i="20"/>
  <c r="R42" i="20"/>
  <c r="Q42" i="20"/>
  <c r="M42" i="20"/>
  <c r="L42" i="20"/>
  <c r="W42" i="20" s="1"/>
  <c r="J42" i="20"/>
  <c r="I42" i="20"/>
  <c r="U36" i="20"/>
  <c r="T36" i="20"/>
  <c r="R36" i="20"/>
  <c r="Q36" i="20"/>
  <c r="X36" i="20" s="1"/>
  <c r="M36" i="20"/>
  <c r="L36" i="20"/>
  <c r="J36" i="20"/>
  <c r="I36" i="20"/>
  <c r="AD28" i="20"/>
  <c r="U28" i="20"/>
  <c r="T28" i="20"/>
  <c r="R28" i="20"/>
  <c r="Q28" i="20"/>
  <c r="M28" i="20"/>
  <c r="L28" i="20"/>
  <c r="J28" i="20"/>
  <c r="I28" i="20"/>
  <c r="U27" i="20"/>
  <c r="T27" i="20"/>
  <c r="R27" i="20"/>
  <c r="Q27" i="20"/>
  <c r="M27" i="20"/>
  <c r="L27" i="20"/>
  <c r="J27" i="20"/>
  <c r="I27" i="20"/>
  <c r="AD17" i="20"/>
  <c r="U17" i="20"/>
  <c r="T17" i="20"/>
  <c r="R17" i="20"/>
  <c r="Q17" i="20"/>
  <c r="M17" i="20"/>
  <c r="L17" i="20"/>
  <c r="J17" i="20"/>
  <c r="I17" i="20"/>
  <c r="U16" i="20"/>
  <c r="T16" i="20"/>
  <c r="R16" i="20"/>
  <c r="Q16" i="20"/>
  <c r="M16" i="20"/>
  <c r="L16" i="20"/>
  <c r="J16" i="20"/>
  <c r="I16" i="20"/>
  <c r="AD23" i="20"/>
  <c r="U23" i="20"/>
  <c r="T23" i="20"/>
  <c r="R23" i="20"/>
  <c r="Q23" i="20"/>
  <c r="M23" i="20"/>
  <c r="L23" i="20"/>
  <c r="J23" i="20"/>
  <c r="I23" i="20"/>
  <c r="AD24" i="20"/>
  <c r="U24" i="20"/>
  <c r="T24" i="20"/>
  <c r="R24" i="20"/>
  <c r="Q24" i="20"/>
  <c r="M24" i="20"/>
  <c r="L24" i="20"/>
  <c r="J24" i="20"/>
  <c r="I24" i="20"/>
  <c r="AD18" i="20"/>
  <c r="U18" i="20"/>
  <c r="T18" i="20"/>
  <c r="R18" i="20"/>
  <c r="Q18" i="20"/>
  <c r="M18" i="20"/>
  <c r="L18" i="20"/>
  <c r="J18" i="20"/>
  <c r="I18" i="20"/>
  <c r="AD9" i="20"/>
  <c r="U9" i="20"/>
  <c r="T9" i="20"/>
  <c r="R9" i="20"/>
  <c r="Q9" i="20"/>
  <c r="M9" i="20"/>
  <c r="L9" i="20"/>
  <c r="J9" i="20"/>
  <c r="I9" i="20"/>
  <c r="AD12" i="20"/>
  <c r="U12" i="20"/>
  <c r="T12" i="20"/>
  <c r="R12" i="20"/>
  <c r="Q12" i="20"/>
  <c r="M12" i="20"/>
  <c r="L12" i="20"/>
  <c r="J12" i="20"/>
  <c r="I12" i="20"/>
  <c r="AD11" i="20"/>
  <c r="U11" i="20"/>
  <c r="T11" i="20"/>
  <c r="R11" i="20"/>
  <c r="Q11" i="20"/>
  <c r="M11" i="20"/>
  <c r="L11" i="20"/>
  <c r="J11" i="20"/>
  <c r="I11" i="20"/>
  <c r="AD6" i="20"/>
  <c r="U6" i="20"/>
  <c r="T6" i="20"/>
  <c r="R6" i="20"/>
  <c r="Q6" i="20"/>
  <c r="M6" i="20"/>
  <c r="L6" i="20"/>
  <c r="J6" i="20"/>
  <c r="I6" i="20"/>
  <c r="AF54" i="20"/>
  <c r="AC4" i="20"/>
  <c r="AD53" i="20"/>
  <c r="U53" i="20"/>
  <c r="T53" i="20"/>
  <c r="R53" i="20"/>
  <c r="Q53" i="20"/>
  <c r="AD52" i="20"/>
  <c r="U52" i="20"/>
  <c r="T52" i="20"/>
  <c r="R52" i="20"/>
  <c r="Q52" i="20"/>
  <c r="U51" i="20"/>
  <c r="T51" i="20"/>
  <c r="R51" i="20"/>
  <c r="X51" i="20" s="1"/>
  <c r="Q51" i="20"/>
  <c r="AD50" i="20"/>
  <c r="AF50" i="20" s="1"/>
  <c r="U50" i="20"/>
  <c r="T50" i="20"/>
  <c r="R50" i="20"/>
  <c r="Q50" i="20"/>
  <c r="AD49" i="20"/>
  <c r="U49" i="20"/>
  <c r="T49" i="20"/>
  <c r="R49" i="20"/>
  <c r="Q49" i="20"/>
  <c r="AD45" i="20"/>
  <c r="AF45" i="20" s="1"/>
  <c r="U45" i="20"/>
  <c r="T45" i="20"/>
  <c r="R45" i="20"/>
  <c r="Q45" i="20"/>
  <c r="M53" i="20"/>
  <c r="L53" i="20"/>
  <c r="W53" i="20" s="1"/>
  <c r="J53" i="20"/>
  <c r="I53" i="20"/>
  <c r="M52" i="20"/>
  <c r="L52" i="20"/>
  <c r="J52" i="20"/>
  <c r="I52" i="20"/>
  <c r="M51" i="20"/>
  <c r="L51" i="20"/>
  <c r="J51" i="20"/>
  <c r="I51" i="20"/>
  <c r="V51" i="20" s="1"/>
  <c r="M50" i="20"/>
  <c r="L50" i="20"/>
  <c r="J50" i="20"/>
  <c r="I50" i="20"/>
  <c r="M49" i="20"/>
  <c r="L49" i="20"/>
  <c r="W49" i="20" s="1"/>
  <c r="J49" i="20"/>
  <c r="I49" i="20"/>
  <c r="V49" i="20" s="1"/>
  <c r="M45" i="20"/>
  <c r="L45" i="20"/>
  <c r="J45" i="20"/>
  <c r="I45" i="20"/>
  <c r="AD43" i="20"/>
  <c r="U43" i="20"/>
  <c r="T43" i="20"/>
  <c r="R43" i="20"/>
  <c r="Q43" i="20"/>
  <c r="AD47" i="20"/>
  <c r="U47" i="20"/>
  <c r="T47" i="20"/>
  <c r="R47" i="20"/>
  <c r="Q47" i="20"/>
  <c r="X47" i="20" s="1"/>
  <c r="AD44" i="20"/>
  <c r="U44" i="20"/>
  <c r="T44" i="20"/>
  <c r="R44" i="20"/>
  <c r="Q44" i="20"/>
  <c r="AD48" i="20"/>
  <c r="U48" i="20"/>
  <c r="T48" i="20"/>
  <c r="Y48" i="20" s="1"/>
  <c r="R48" i="20"/>
  <c r="Q48" i="20"/>
  <c r="X48" i="20" s="1"/>
  <c r="AD41" i="20"/>
  <c r="U41" i="20"/>
  <c r="T41" i="20"/>
  <c r="R41" i="20"/>
  <c r="Q41" i="20"/>
  <c r="AD40" i="20"/>
  <c r="U40" i="20"/>
  <c r="T40" i="20"/>
  <c r="Y40" i="20" s="1"/>
  <c r="R40" i="20"/>
  <c r="Q40" i="20"/>
  <c r="AD39" i="20"/>
  <c r="U39" i="20"/>
  <c r="T39" i="20"/>
  <c r="R39" i="20"/>
  <c r="Q39" i="20"/>
  <c r="AD38" i="20"/>
  <c r="U38" i="20"/>
  <c r="T38" i="20"/>
  <c r="R38" i="20"/>
  <c r="Q38" i="20"/>
  <c r="M43" i="20"/>
  <c r="J43" i="20"/>
  <c r="I43" i="20"/>
  <c r="V43" i="20" s="1"/>
  <c r="M47" i="20"/>
  <c r="W47" i="20" s="1"/>
  <c r="L47" i="20"/>
  <c r="J47" i="20"/>
  <c r="I47" i="20"/>
  <c r="M44" i="20"/>
  <c r="L44" i="20"/>
  <c r="J44" i="20"/>
  <c r="I44" i="20"/>
  <c r="V44" i="20" s="1"/>
  <c r="M48" i="20"/>
  <c r="W48" i="20" s="1"/>
  <c r="L48" i="20"/>
  <c r="J48" i="20"/>
  <c r="I48" i="20"/>
  <c r="M41" i="20"/>
  <c r="L41" i="20"/>
  <c r="J41" i="20"/>
  <c r="I41" i="20"/>
  <c r="V41" i="20" s="1"/>
  <c r="M40" i="20"/>
  <c r="W40" i="20" s="1"/>
  <c r="L40" i="20"/>
  <c r="J40" i="20"/>
  <c r="I40" i="20"/>
  <c r="M39" i="20"/>
  <c r="L39" i="20"/>
  <c r="J39" i="20"/>
  <c r="I39" i="20"/>
  <c r="V39" i="20" s="1"/>
  <c r="M38" i="20"/>
  <c r="W38" i="20" s="1"/>
  <c r="L38" i="20"/>
  <c r="J38" i="20"/>
  <c r="I38" i="20"/>
  <c r="AD37" i="20"/>
  <c r="U37" i="20"/>
  <c r="T37" i="20"/>
  <c r="R37" i="20"/>
  <c r="Q37" i="20"/>
  <c r="X37" i="20" s="1"/>
  <c r="AD35" i="20"/>
  <c r="U35" i="20"/>
  <c r="T35" i="20"/>
  <c r="R35" i="20"/>
  <c r="Q35" i="20"/>
  <c r="AD34" i="20"/>
  <c r="U34" i="20"/>
  <c r="T34" i="20"/>
  <c r="R34" i="20"/>
  <c r="Q34" i="20"/>
  <c r="AD33" i="20"/>
  <c r="U33" i="20"/>
  <c r="T33" i="20"/>
  <c r="R33" i="20"/>
  <c r="Q33" i="20"/>
  <c r="X33" i="20" s="1"/>
  <c r="M37" i="20"/>
  <c r="W37" i="20" s="1"/>
  <c r="L37" i="20"/>
  <c r="J37" i="20"/>
  <c r="I37" i="20"/>
  <c r="M35" i="20"/>
  <c r="L35" i="20"/>
  <c r="W35" i="20" s="1"/>
  <c r="J35" i="20"/>
  <c r="I35" i="20"/>
  <c r="V35" i="20" s="1"/>
  <c r="M34" i="20"/>
  <c r="J34" i="20"/>
  <c r="I34" i="20"/>
  <c r="M33" i="20"/>
  <c r="L33" i="20"/>
  <c r="J33" i="20"/>
  <c r="I33" i="20"/>
  <c r="AD31" i="20"/>
  <c r="AF31" i="20" s="1"/>
  <c r="U31" i="20"/>
  <c r="Y31" i="20" s="1"/>
  <c r="T31" i="20"/>
  <c r="R31" i="20"/>
  <c r="Q31" i="20"/>
  <c r="AD32" i="20"/>
  <c r="U32" i="20"/>
  <c r="T32" i="20"/>
  <c r="R32" i="20"/>
  <c r="Q32" i="20"/>
  <c r="AD30" i="20"/>
  <c r="U30" i="20"/>
  <c r="T30" i="20"/>
  <c r="R30" i="20"/>
  <c r="Q30" i="20"/>
  <c r="AD29" i="20"/>
  <c r="U29" i="20"/>
  <c r="T29" i="20"/>
  <c r="R29" i="20"/>
  <c r="Q29" i="20"/>
  <c r="M31" i="20"/>
  <c r="L31" i="20"/>
  <c r="J31" i="20"/>
  <c r="I31" i="20"/>
  <c r="M32" i="20"/>
  <c r="L32" i="20"/>
  <c r="J32" i="20"/>
  <c r="I32" i="20"/>
  <c r="M30" i="20"/>
  <c r="L30" i="20"/>
  <c r="J30" i="20"/>
  <c r="I30" i="20"/>
  <c r="M29" i="20"/>
  <c r="L29" i="20"/>
  <c r="J29" i="20"/>
  <c r="I29" i="20"/>
  <c r="AD26" i="20"/>
  <c r="U26" i="20"/>
  <c r="T26" i="20"/>
  <c r="R26" i="20"/>
  <c r="Q26" i="20"/>
  <c r="X26" i="20" s="1"/>
  <c r="M26" i="20"/>
  <c r="W26" i="20" s="1"/>
  <c r="L26" i="20"/>
  <c r="J26" i="20"/>
  <c r="I26" i="20"/>
  <c r="AD19" i="20"/>
  <c r="U19" i="20"/>
  <c r="T19" i="20"/>
  <c r="R19" i="20"/>
  <c r="Q19" i="20"/>
  <c r="M19" i="20"/>
  <c r="L19" i="20"/>
  <c r="J19" i="20"/>
  <c r="I19" i="20"/>
  <c r="AD25" i="20"/>
  <c r="U25" i="20"/>
  <c r="T25" i="20"/>
  <c r="Y25" i="20" s="1"/>
  <c r="R25" i="20"/>
  <c r="X25" i="20" s="1"/>
  <c r="Q25" i="20"/>
  <c r="AD22" i="20"/>
  <c r="U22" i="20"/>
  <c r="T22" i="20"/>
  <c r="R22" i="20"/>
  <c r="Q22" i="20"/>
  <c r="AD21" i="20"/>
  <c r="AF21" i="20" s="1"/>
  <c r="U21" i="20"/>
  <c r="Y21" i="20" s="1"/>
  <c r="T21" i="20"/>
  <c r="R21" i="20"/>
  <c r="Q21" i="20"/>
  <c r="M25" i="20"/>
  <c r="L25" i="20"/>
  <c r="J25" i="20"/>
  <c r="I25" i="20"/>
  <c r="V25" i="20" s="1"/>
  <c r="M22" i="20"/>
  <c r="W22" i="20" s="1"/>
  <c r="L22" i="20"/>
  <c r="J22" i="20"/>
  <c r="I22" i="20"/>
  <c r="M21" i="20"/>
  <c r="L21" i="20"/>
  <c r="J21" i="20"/>
  <c r="I21" i="20"/>
  <c r="V21" i="20" s="1"/>
  <c r="AD20" i="20"/>
  <c r="AF20" i="20" s="1"/>
  <c r="U20" i="20"/>
  <c r="T20" i="20"/>
  <c r="R20" i="20"/>
  <c r="Q20" i="20"/>
  <c r="AD15" i="20"/>
  <c r="U15" i="20"/>
  <c r="T15" i="20"/>
  <c r="Y15" i="20" s="1"/>
  <c r="R15" i="20"/>
  <c r="X15" i="20" s="1"/>
  <c r="Q15" i="20"/>
  <c r="M20" i="20"/>
  <c r="L20" i="20"/>
  <c r="J20" i="20"/>
  <c r="I20" i="20"/>
  <c r="M15" i="20"/>
  <c r="L15" i="20"/>
  <c r="W15" i="20" s="1"/>
  <c r="J15" i="20"/>
  <c r="V15" i="20" s="1"/>
  <c r="I15" i="20"/>
  <c r="AD14" i="20"/>
  <c r="U14" i="20"/>
  <c r="T14" i="20"/>
  <c r="R14" i="20"/>
  <c r="Q14" i="20"/>
  <c r="AD10" i="20"/>
  <c r="AF10" i="20" s="1"/>
  <c r="U10" i="20"/>
  <c r="Y10" i="20" s="1"/>
  <c r="T10" i="20"/>
  <c r="R10" i="20"/>
  <c r="Q10" i="20"/>
  <c r="M14" i="20"/>
  <c r="L14" i="20"/>
  <c r="J14" i="20"/>
  <c r="I14" i="20"/>
  <c r="V14" i="20" s="1"/>
  <c r="M10" i="20"/>
  <c r="W10" i="20" s="1"/>
  <c r="L10" i="20"/>
  <c r="J10" i="20"/>
  <c r="I10" i="20"/>
  <c r="AD13" i="20"/>
  <c r="U13" i="20"/>
  <c r="T13" i="20"/>
  <c r="R13" i="20"/>
  <c r="Q13" i="20"/>
  <c r="U54" i="20"/>
  <c r="T54" i="20"/>
  <c r="R54" i="20"/>
  <c r="Q54" i="20"/>
  <c r="AD7" i="20"/>
  <c r="U7" i="20"/>
  <c r="T7" i="20"/>
  <c r="Y7" i="20" s="1"/>
  <c r="R7" i="20"/>
  <c r="X7" i="20" s="1"/>
  <c r="Q7" i="20"/>
  <c r="AD8" i="20"/>
  <c r="U8" i="20"/>
  <c r="T8" i="20"/>
  <c r="R8" i="20"/>
  <c r="Q8" i="20"/>
  <c r="M13" i="20"/>
  <c r="L13" i="20"/>
  <c r="J13" i="20"/>
  <c r="I13" i="20"/>
  <c r="M54" i="20"/>
  <c r="L54" i="20"/>
  <c r="J54" i="20"/>
  <c r="V54" i="20" s="1"/>
  <c r="I54" i="20"/>
  <c r="M7" i="20"/>
  <c r="L7" i="20"/>
  <c r="J7" i="20"/>
  <c r="I7" i="20"/>
  <c r="M8" i="20"/>
  <c r="J8" i="20"/>
  <c r="I8" i="20"/>
  <c r="V8" i="20" s="1"/>
  <c r="AD5" i="20"/>
  <c r="U5" i="20"/>
  <c r="T5" i="20"/>
  <c r="R5" i="20"/>
  <c r="Q5" i="20"/>
  <c r="U4" i="20"/>
  <c r="T4" i="20"/>
  <c r="R4" i="20"/>
  <c r="X4" i="20" s="1"/>
  <c r="Q4" i="20"/>
  <c r="M5" i="20"/>
  <c r="W5" i="20" s="1"/>
  <c r="J5" i="20"/>
  <c r="I5" i="20"/>
  <c r="L4" i="20"/>
  <c r="W4" i="20" s="1"/>
  <c r="I4" i="20"/>
  <c r="V4" i="20" s="1"/>
  <c r="L7" i="17"/>
  <c r="W50" i="20"/>
  <c r="AF41" i="20"/>
  <c r="Y41" i="20"/>
  <c r="X40" i="20"/>
  <c r="W45" i="20"/>
  <c r="W19" i="20"/>
  <c r="V29" i="20"/>
  <c r="V26" i="20"/>
  <c r="W20" i="20"/>
  <c r="AF8" i="20"/>
  <c r="AF53" i="20"/>
  <c r="X53" i="20"/>
  <c r="AF52" i="20"/>
  <c r="W52" i="20"/>
  <c r="V52" i="20"/>
  <c r="Y51" i="20"/>
  <c r="Y49" i="20"/>
  <c r="V50" i="20"/>
  <c r="Y47" i="20"/>
  <c r="V47" i="20"/>
  <c r="X46" i="20"/>
  <c r="Y42" i="20"/>
  <c r="X41" i="20"/>
  <c r="V40" i="20"/>
  <c r="Y45" i="20"/>
  <c r="V45" i="20"/>
  <c r="X45" i="20"/>
  <c r="AF48" i="20"/>
  <c r="V48" i="20"/>
  <c r="AF39" i="20"/>
  <c r="Y39" i="20"/>
  <c r="X44" i="20"/>
  <c r="AF43" i="20"/>
  <c r="Y38" i="20"/>
  <c r="X38" i="20"/>
  <c r="V38" i="20"/>
  <c r="V37" i="20"/>
  <c r="AF35" i="20"/>
  <c r="Y35" i="20"/>
  <c r="AF34" i="20"/>
  <c r="X34" i="20"/>
  <c r="V34" i="20"/>
  <c r="AF33" i="20"/>
  <c r="Y28" i="20"/>
  <c r="V32" i="20"/>
  <c r="X31" i="20"/>
  <c r="E19" i="20"/>
  <c r="AF30" i="20"/>
  <c r="Y30" i="20"/>
  <c r="AF17" i="20"/>
  <c r="V17" i="20"/>
  <c r="X29" i="20"/>
  <c r="X23" i="20"/>
  <c r="AF22" i="20"/>
  <c r="V22" i="20"/>
  <c r="X21" i="20"/>
  <c r="Y20" i="20"/>
  <c r="V12" i="20"/>
  <c r="V10" i="20"/>
  <c r="X10" i="20"/>
  <c r="AF14" i="20"/>
  <c r="AF11" i="20"/>
  <c r="V13" i="20"/>
  <c r="Y54" i="20"/>
  <c r="AF5" i="20"/>
  <c r="AF4" i="20"/>
  <c r="AK38" i="22" l="1"/>
  <c r="AO38" i="22" s="1"/>
  <c r="AK46" i="22"/>
  <c r="AO46" i="22" s="1"/>
  <c r="AK50" i="22"/>
  <c r="AO50" i="22" s="1"/>
  <c r="AK21" i="22"/>
  <c r="AO21" i="22" s="1"/>
  <c r="AK31" i="22"/>
  <c r="AO31" i="22" s="1"/>
  <c r="AK52" i="22"/>
  <c r="AO52" i="22" s="1"/>
  <c r="AI12" i="22"/>
  <c r="AH5" i="22"/>
  <c r="AJ5" i="22" s="1"/>
  <c r="AN5" i="22" s="1"/>
  <c r="AH8" i="22"/>
  <c r="AJ8" i="22" s="1"/>
  <c r="AI13" i="22"/>
  <c r="AK53" i="22"/>
  <c r="AO53" i="22" s="1"/>
  <c r="AI30" i="22"/>
  <c r="AH11" i="22"/>
  <c r="AJ11" i="22" s="1"/>
  <c r="P11" i="22" s="1"/>
  <c r="AH13" i="22"/>
  <c r="AJ13" i="22" s="1"/>
  <c r="AN13" i="22" s="1"/>
  <c r="AK44" i="22"/>
  <c r="AO44" i="22" s="1"/>
  <c r="AI8" i="22"/>
  <c r="AK19" i="22"/>
  <c r="AO19" i="22" s="1"/>
  <c r="AK39" i="22"/>
  <c r="AO39" i="22" s="1"/>
  <c r="AK43" i="22"/>
  <c r="AO43" i="22" s="1"/>
  <c r="AI5" i="22"/>
  <c r="AK33" i="22"/>
  <c r="AO33" i="22" s="1"/>
  <c r="AH9" i="22"/>
  <c r="AJ9" i="22" s="1"/>
  <c r="Q9" i="22" s="1"/>
  <c r="P24" i="22"/>
  <c r="AK37" i="22"/>
  <c r="AO37" i="22" s="1"/>
  <c r="AK47" i="22"/>
  <c r="AO47" i="22" s="1"/>
  <c r="AI38" i="22"/>
  <c r="AH16" i="22"/>
  <c r="AJ16" i="22" s="1"/>
  <c r="P16" i="22" s="1"/>
  <c r="Q24" i="22"/>
  <c r="AK20" i="22"/>
  <c r="AO20" i="22" s="1"/>
  <c r="AK25" i="22"/>
  <c r="AO25" i="22" s="1"/>
  <c r="AI39" i="22"/>
  <c r="AK28" i="22"/>
  <c r="AO28" i="22" s="1"/>
  <c r="AI11" i="22"/>
  <c r="AK26" i="22"/>
  <c r="AO26" i="22" s="1"/>
  <c r="AN16" i="22"/>
  <c r="AI44" i="22"/>
  <c r="AH44" i="22"/>
  <c r="AJ44" i="22" s="1"/>
  <c r="AI4" i="22"/>
  <c r="AH4" i="22"/>
  <c r="AJ4" i="22" s="1"/>
  <c r="AI50" i="22"/>
  <c r="AH50" i="22"/>
  <c r="AJ50" i="22" s="1"/>
  <c r="AI16" i="22"/>
  <c r="AH21" i="22"/>
  <c r="AJ21" i="22" s="1"/>
  <c r="AI21" i="22"/>
  <c r="AI45" i="22"/>
  <c r="AH45" i="22"/>
  <c r="AJ45" i="22" s="1"/>
  <c r="AI40" i="22"/>
  <c r="AH40" i="22"/>
  <c r="AJ40" i="22" s="1"/>
  <c r="AH37" i="22"/>
  <c r="AJ37" i="22" s="1"/>
  <c r="AI37" i="22"/>
  <c r="AH47" i="22"/>
  <c r="AJ47" i="22" s="1"/>
  <c r="AI47" i="22"/>
  <c r="AI35" i="22"/>
  <c r="AH35" i="22"/>
  <c r="AJ35" i="22" s="1"/>
  <c r="Q13" i="22"/>
  <c r="AI19" i="22"/>
  <c r="AH19" i="22"/>
  <c r="AJ19" i="22" s="1"/>
  <c r="AI27" i="22"/>
  <c r="AH27" i="22"/>
  <c r="AJ27" i="22" s="1"/>
  <c r="AH20" i="22"/>
  <c r="AJ20" i="22" s="1"/>
  <c r="AI20" i="22"/>
  <c r="AH26" i="22"/>
  <c r="AJ26" i="22" s="1"/>
  <c r="AI26" i="22"/>
  <c r="AI46" i="22"/>
  <c r="AH46" i="22"/>
  <c r="AJ46" i="22" s="1"/>
  <c r="Q33" i="22"/>
  <c r="P33" i="22"/>
  <c r="AN33" i="22"/>
  <c r="AN8" i="22"/>
  <c r="Q8" i="22"/>
  <c r="P8" i="22"/>
  <c r="AH43" i="22"/>
  <c r="AJ43" i="22" s="1"/>
  <c r="AI43" i="22"/>
  <c r="AH51" i="22"/>
  <c r="AJ51" i="22" s="1"/>
  <c r="AI51" i="22"/>
  <c r="AI10" i="22"/>
  <c r="AH10" i="22"/>
  <c r="AJ10" i="22" s="1"/>
  <c r="AH49" i="22"/>
  <c r="AJ49" i="22" s="1"/>
  <c r="AN6" i="22"/>
  <c r="Q6" i="22"/>
  <c r="P6" i="22"/>
  <c r="AH30" i="22"/>
  <c r="AJ30" i="22" s="1"/>
  <c r="AK32" i="22"/>
  <c r="AO32" i="22" s="1"/>
  <c r="Q14" i="22"/>
  <c r="AN14" i="22"/>
  <c r="P14" i="22"/>
  <c r="P5" i="22"/>
  <c r="AK13" i="22"/>
  <c r="AO13" i="22" s="1"/>
  <c r="AH38" i="22"/>
  <c r="AJ38" i="22" s="1"/>
  <c r="AH18" i="22"/>
  <c r="AJ18" i="22" s="1"/>
  <c r="AI52" i="22"/>
  <c r="AH52" i="22"/>
  <c r="AJ52" i="22" s="1"/>
  <c r="AH34" i="22"/>
  <c r="AJ34" i="22" s="1"/>
  <c r="AI34" i="22"/>
  <c r="AI32" i="22"/>
  <c r="AH32" i="22"/>
  <c r="AJ32" i="22" s="1"/>
  <c r="AI48" i="22"/>
  <c r="AH48" i="22"/>
  <c r="AJ48" i="22" s="1"/>
  <c r="AI15" i="22"/>
  <c r="AH15" i="22"/>
  <c r="AJ15" i="22" s="1"/>
  <c r="AI28" i="22"/>
  <c r="AH28" i="22"/>
  <c r="AJ28" i="22" s="1"/>
  <c r="AH54" i="22"/>
  <c r="AJ54" i="22" s="1"/>
  <c r="Q42" i="22"/>
  <c r="P42" i="22"/>
  <c r="AN42" i="22"/>
  <c r="AI22" i="22"/>
  <c r="AH22" i="22"/>
  <c r="AJ22" i="22" s="1"/>
  <c r="AN7" i="22"/>
  <c r="Q7" i="22"/>
  <c r="P7" i="22"/>
  <c r="AI25" i="22"/>
  <c r="AH25" i="22"/>
  <c r="AJ25" i="22" s="1"/>
  <c r="AI36" i="22"/>
  <c r="AH36" i="22"/>
  <c r="AJ36" i="22" s="1"/>
  <c r="Q23" i="22"/>
  <c r="P23" i="22"/>
  <c r="AN23" i="22"/>
  <c r="AI53" i="22"/>
  <c r="AH53" i="22"/>
  <c r="AJ53" i="22" s="1"/>
  <c r="AI29" i="22"/>
  <c r="AH29" i="22"/>
  <c r="AJ29" i="22" s="1"/>
  <c r="AH12" i="22"/>
  <c r="AJ12" i="22" s="1"/>
  <c r="AH17" i="22"/>
  <c r="AJ17" i="22" s="1"/>
  <c r="AH31" i="22"/>
  <c r="AJ31" i="22" s="1"/>
  <c r="AI31" i="22"/>
  <c r="AI41" i="22"/>
  <c r="AH41" i="22"/>
  <c r="AJ41" i="22" s="1"/>
  <c r="AN39" i="22"/>
  <c r="Q39" i="22"/>
  <c r="P39" i="22"/>
  <c r="AK42" i="21"/>
  <c r="AO42" i="21" s="1"/>
  <c r="AK29" i="21"/>
  <c r="AO29" i="21" s="1"/>
  <c r="AK27" i="21"/>
  <c r="AO27" i="21" s="1"/>
  <c r="AH10" i="21"/>
  <c r="AJ10" i="21" s="1"/>
  <c r="AK24" i="21"/>
  <c r="AO24" i="21" s="1"/>
  <c r="AK6" i="21"/>
  <c r="AO6" i="21" s="1"/>
  <c r="AK48" i="21"/>
  <c r="AO48" i="21" s="1"/>
  <c r="AK41" i="21"/>
  <c r="AO41" i="21" s="1"/>
  <c r="AK9" i="21"/>
  <c r="AO9" i="21" s="1"/>
  <c r="AI52" i="21"/>
  <c r="AK39" i="21"/>
  <c r="AO39" i="21" s="1"/>
  <c r="AK31" i="21"/>
  <c r="AO31" i="21" s="1"/>
  <c r="AK12" i="21"/>
  <c r="AO12" i="21" s="1"/>
  <c r="AK54" i="21"/>
  <c r="AO54" i="21" s="1"/>
  <c r="AK28" i="21"/>
  <c r="AO28" i="21" s="1"/>
  <c r="AK13" i="21"/>
  <c r="AO13" i="21" s="1"/>
  <c r="AK4" i="21"/>
  <c r="AO4" i="21" s="1"/>
  <c r="AK10" i="21"/>
  <c r="AO10" i="21" s="1"/>
  <c r="AK50" i="21"/>
  <c r="AO50" i="21" s="1"/>
  <c r="AH35" i="21"/>
  <c r="AJ35" i="21" s="1"/>
  <c r="P35" i="21" s="1"/>
  <c r="AK38" i="21"/>
  <c r="AO38" i="21" s="1"/>
  <c r="AK21" i="21"/>
  <c r="AO21" i="21" s="1"/>
  <c r="AI28" i="21"/>
  <c r="AK44" i="21"/>
  <c r="AO44" i="21" s="1"/>
  <c r="AK45" i="21"/>
  <c r="AO45" i="21" s="1"/>
  <c r="AK34" i="21"/>
  <c r="AO34" i="21" s="1"/>
  <c r="AK17" i="21"/>
  <c r="AO17" i="21" s="1"/>
  <c r="AI14" i="21"/>
  <c r="AH17" i="21"/>
  <c r="AJ17" i="21" s="1"/>
  <c r="P17" i="21" s="1"/>
  <c r="AH34" i="21"/>
  <c r="AJ34" i="21" s="1"/>
  <c r="P34" i="21" s="1"/>
  <c r="AH23" i="21"/>
  <c r="AJ23" i="21" s="1"/>
  <c r="AH32" i="21"/>
  <c r="AJ32" i="21" s="1"/>
  <c r="Q32" i="21" s="1"/>
  <c r="AH49" i="21"/>
  <c r="AJ49" i="21" s="1"/>
  <c r="Q49" i="21" s="1"/>
  <c r="AI45" i="21"/>
  <c r="AI19" i="21"/>
  <c r="AH43" i="21"/>
  <c r="AJ43" i="21" s="1"/>
  <c r="P43" i="21" s="1"/>
  <c r="AI7" i="21"/>
  <c r="AI25" i="21"/>
  <c r="AI15" i="21"/>
  <c r="AH40" i="21"/>
  <c r="AJ40" i="21" s="1"/>
  <c r="AN40" i="21" s="1"/>
  <c r="AH28" i="21"/>
  <c r="AJ28" i="21" s="1"/>
  <c r="Q28" i="21" s="1"/>
  <c r="AI12" i="21"/>
  <c r="AH54" i="21"/>
  <c r="AJ54" i="21" s="1"/>
  <c r="AN54" i="21" s="1"/>
  <c r="AH19" i="21"/>
  <c r="AJ19" i="21" s="1"/>
  <c r="Q19" i="21" s="1"/>
  <c r="AI53" i="21"/>
  <c r="AI43" i="21"/>
  <c r="AH20" i="21"/>
  <c r="AJ20" i="21" s="1"/>
  <c r="Q20" i="21" s="1"/>
  <c r="AH31" i="21"/>
  <c r="AJ31" i="21" s="1"/>
  <c r="AN31" i="21" s="1"/>
  <c r="AH15" i="21"/>
  <c r="AJ15" i="21" s="1"/>
  <c r="AN15" i="21" s="1"/>
  <c r="AH8" i="21"/>
  <c r="AJ8" i="21" s="1"/>
  <c r="P8" i="21" s="1"/>
  <c r="AH9" i="21"/>
  <c r="AJ9" i="21" s="1"/>
  <c r="AN9" i="21" s="1"/>
  <c r="AH36" i="21"/>
  <c r="AJ36" i="21" s="1"/>
  <c r="P36" i="21" s="1"/>
  <c r="AH45" i="21"/>
  <c r="AJ45" i="21" s="1"/>
  <c r="Q45" i="21" s="1"/>
  <c r="AH39" i="21"/>
  <c r="AJ39" i="21" s="1"/>
  <c r="AN39" i="21" s="1"/>
  <c r="AI10" i="21"/>
  <c r="AI36" i="21"/>
  <c r="AH21" i="21"/>
  <c r="AJ21" i="21" s="1"/>
  <c r="AN21" i="21" s="1"/>
  <c r="P44" i="21"/>
  <c r="AN44" i="21"/>
  <c r="Q44" i="21"/>
  <c r="AH51" i="21"/>
  <c r="AJ51" i="21" s="1"/>
  <c r="AN51" i="21" s="1"/>
  <c r="AH25" i="21"/>
  <c r="AJ25" i="21" s="1"/>
  <c r="Q25" i="21" s="1"/>
  <c r="AI16" i="21"/>
  <c r="AI29" i="21"/>
  <c r="AI44" i="21"/>
  <c r="AI27" i="21"/>
  <c r="AH33" i="21"/>
  <c r="AJ33" i="21" s="1"/>
  <c r="Q33" i="21" s="1"/>
  <c r="AH53" i="21"/>
  <c r="AJ53" i="21" s="1"/>
  <c r="Q53" i="21" s="1"/>
  <c r="AI47" i="21"/>
  <c r="AI48" i="21"/>
  <c r="AH22" i="21"/>
  <c r="AJ22" i="21" s="1"/>
  <c r="AN22" i="21" s="1"/>
  <c r="AI30" i="21"/>
  <c r="AI21" i="21"/>
  <c r="AI34" i="21"/>
  <c r="AI46" i="21"/>
  <c r="AH7" i="21"/>
  <c r="AJ7" i="21" s="1"/>
  <c r="AI8" i="21"/>
  <c r="AH29" i="21"/>
  <c r="AJ29" i="21" s="1"/>
  <c r="Q29" i="21" s="1"/>
  <c r="AI11" i="21"/>
  <c r="AI32" i="21"/>
  <c r="AH52" i="21"/>
  <c r="AJ52" i="21" s="1"/>
  <c r="P52" i="21" s="1"/>
  <c r="AH46" i="21"/>
  <c r="AJ46" i="21" s="1"/>
  <c r="P46" i="21" s="1"/>
  <c r="AH47" i="21"/>
  <c r="AJ47" i="21" s="1"/>
  <c r="AN47" i="21" s="1"/>
  <c r="AH16" i="21"/>
  <c r="AJ16" i="21" s="1"/>
  <c r="P16" i="21" s="1"/>
  <c r="AH12" i="21"/>
  <c r="AJ12" i="21" s="1"/>
  <c r="P12" i="21" s="1"/>
  <c r="AI39" i="21"/>
  <c r="AI37" i="21"/>
  <c r="AH30" i="21"/>
  <c r="AJ30" i="21" s="1"/>
  <c r="AN30" i="21" s="1"/>
  <c r="AN10" i="21"/>
  <c r="P10" i="21"/>
  <c r="Q10" i="21"/>
  <c r="AH48" i="21"/>
  <c r="AJ48" i="21" s="1"/>
  <c r="AI33" i="21"/>
  <c r="Q35" i="21"/>
  <c r="AI22" i="21"/>
  <c r="AN35" i="21"/>
  <c r="AH4" i="21"/>
  <c r="AJ4" i="21" s="1"/>
  <c r="P50" i="21"/>
  <c r="AN50" i="21"/>
  <c r="Q50" i="21"/>
  <c r="P38" i="21"/>
  <c r="AN38" i="21"/>
  <c r="Q38" i="21"/>
  <c r="P11" i="21"/>
  <c r="Q11" i="21"/>
  <c r="AN11" i="21"/>
  <c r="AN49" i="21"/>
  <c r="AN19" i="21"/>
  <c r="P19" i="21"/>
  <c r="AN28" i="21"/>
  <c r="Q6" i="21"/>
  <c r="AN6" i="21"/>
  <c r="P6" i="21"/>
  <c r="AH13" i="21"/>
  <c r="AJ13" i="21" s="1"/>
  <c r="AI13" i="21"/>
  <c r="AH26" i="21"/>
  <c r="AJ26" i="21" s="1"/>
  <c r="AI26" i="21"/>
  <c r="Q41" i="21"/>
  <c r="P41" i="21"/>
  <c r="AN41" i="21"/>
  <c r="Q14" i="21"/>
  <c r="P14" i="21"/>
  <c r="Q18" i="21"/>
  <c r="P18" i="21"/>
  <c r="AN18" i="21"/>
  <c r="AH5" i="21"/>
  <c r="AJ5" i="21" s="1"/>
  <c r="AI5" i="21"/>
  <c r="P42" i="21"/>
  <c r="Q42" i="21"/>
  <c r="AN42" i="21"/>
  <c r="AN43" i="21"/>
  <c r="Q43" i="21"/>
  <c r="AI24" i="21"/>
  <c r="AH24" i="21"/>
  <c r="AJ24" i="21" s="1"/>
  <c r="Q27" i="21"/>
  <c r="AN27" i="21"/>
  <c r="P27" i="21"/>
  <c r="Q23" i="21"/>
  <c r="P23" i="21"/>
  <c r="AN23" i="21"/>
  <c r="AN36" i="21"/>
  <c r="P37" i="21"/>
  <c r="Q37" i="21"/>
  <c r="AN37" i="21"/>
  <c r="X11" i="20"/>
  <c r="Y11" i="20"/>
  <c r="Y33" i="20"/>
  <c r="X35" i="20"/>
  <c r="W39" i="20"/>
  <c r="W41" i="20"/>
  <c r="AA41" i="20" s="1"/>
  <c r="W43" i="20"/>
  <c r="Z43" i="20" s="1"/>
  <c r="AB43" i="20" s="1"/>
  <c r="X52" i="20"/>
  <c r="Y53" i="20"/>
  <c r="V53" i="20"/>
  <c r="Y50" i="20"/>
  <c r="W34" i="20"/>
  <c r="Y16" i="20"/>
  <c r="X8" i="20"/>
  <c r="Y13" i="20"/>
  <c r="X22" i="20"/>
  <c r="Y19" i="20"/>
  <c r="V30" i="20"/>
  <c r="V31" i="20"/>
  <c r="Y32" i="20"/>
  <c r="V33" i="20"/>
  <c r="W44" i="20"/>
  <c r="AA44" i="20" s="1"/>
  <c r="Y6" i="20"/>
  <c r="X9" i="20"/>
  <c r="Y24" i="20"/>
  <c r="X16" i="20"/>
  <c r="Y5" i="20"/>
  <c r="W7" i="20"/>
  <c r="X13" i="20"/>
  <c r="X19" i="20"/>
  <c r="W29" i="20"/>
  <c r="W32" i="20"/>
  <c r="AA32" i="20" s="1"/>
  <c r="Y29" i="20"/>
  <c r="X32" i="20"/>
  <c r="Y34" i="20"/>
  <c r="Y44" i="20"/>
  <c r="X43" i="20"/>
  <c r="W13" i="20"/>
  <c r="AA13" i="20" s="1"/>
  <c r="Y52" i="20"/>
  <c r="W18" i="20"/>
  <c r="X28" i="20"/>
  <c r="Y4" i="20"/>
  <c r="W51" i="20"/>
  <c r="Z51" i="20" s="1"/>
  <c r="AB51" i="20" s="1"/>
  <c r="AF51" i="20"/>
  <c r="AF15" i="20"/>
  <c r="X54" i="20"/>
  <c r="Y14" i="20"/>
  <c r="X20" i="20"/>
  <c r="AF23" i="20"/>
  <c r="Y37" i="20"/>
  <c r="X39" i="20"/>
  <c r="Y43" i="20"/>
  <c r="X49" i="20"/>
  <c r="W14" i="20"/>
  <c r="Z14" i="20" s="1"/>
  <c r="AB14" i="20" s="1"/>
  <c r="V20" i="20"/>
  <c r="AA20" i="20" s="1"/>
  <c r="W21" i="20"/>
  <c r="Z21" i="20" s="1"/>
  <c r="AB21" i="20" s="1"/>
  <c r="W25" i="20"/>
  <c r="AA25" i="20" s="1"/>
  <c r="Y22" i="20"/>
  <c r="V19" i="20"/>
  <c r="AA19" i="20" s="1"/>
  <c r="Y26" i="20"/>
  <c r="W30" i="20"/>
  <c r="W31" i="20"/>
  <c r="AA31" i="20" s="1"/>
  <c r="X30" i="20"/>
  <c r="W33" i="20"/>
  <c r="AA33" i="20" s="1"/>
  <c r="X5" i="20"/>
  <c r="V5" i="20"/>
  <c r="Z5" i="20" s="1"/>
  <c r="AB5" i="20" s="1"/>
  <c r="W36" i="20"/>
  <c r="AF26" i="20"/>
  <c r="X18" i="20"/>
  <c r="V24" i="20"/>
  <c r="Y17" i="20"/>
  <c r="AF38" i="20"/>
  <c r="AF47" i="20"/>
  <c r="AF12" i="20"/>
  <c r="W54" i="20"/>
  <c r="AA54" i="20" s="1"/>
  <c r="Y8" i="20"/>
  <c r="Y18" i="20"/>
  <c r="W28" i="20"/>
  <c r="V16" i="20"/>
  <c r="AF25" i="20"/>
  <c r="V6" i="20"/>
  <c r="X24" i="20"/>
  <c r="V27" i="20"/>
  <c r="AF27" i="20"/>
  <c r="V9" i="20"/>
  <c r="W27" i="20"/>
  <c r="V46" i="20"/>
  <c r="AF46" i="20"/>
  <c r="X12" i="20"/>
  <c r="V18" i="20"/>
  <c r="W17" i="20"/>
  <c r="AA17" i="20" s="1"/>
  <c r="X27" i="20"/>
  <c r="X42" i="20"/>
  <c r="Y12" i="20"/>
  <c r="AF18" i="20"/>
  <c r="X17" i="20"/>
  <c r="AF19" i="20"/>
  <c r="AF40" i="20"/>
  <c r="AF32" i="20"/>
  <c r="AF13" i="20"/>
  <c r="Z26" i="20"/>
  <c r="AB26" i="20" s="1"/>
  <c r="O26" i="20" s="1"/>
  <c r="Z35" i="20"/>
  <c r="AB35" i="20" s="1"/>
  <c r="AE35" i="20" s="1"/>
  <c r="Z45" i="20"/>
  <c r="AB45" i="20" s="1"/>
  <c r="AE45" i="20" s="1"/>
  <c r="X50" i="20"/>
  <c r="W11" i="20"/>
  <c r="AF24" i="20"/>
  <c r="Y23" i="20"/>
  <c r="V28" i="20"/>
  <c r="W46" i="20"/>
  <c r="X6" i="20"/>
  <c r="AF6" i="20"/>
  <c r="W12" i="20"/>
  <c r="Z12" i="20" s="1"/>
  <c r="AB12" i="20" s="1"/>
  <c r="Y9" i="20"/>
  <c r="W24" i="20"/>
  <c r="V23" i="20"/>
  <c r="AF28" i="20"/>
  <c r="W6" i="20"/>
  <c r="V11" i="20"/>
  <c r="Y27" i="20"/>
  <c r="Y36" i="20"/>
  <c r="V42" i="20"/>
  <c r="Z42" i="20" s="1"/>
  <c r="AB42" i="20" s="1"/>
  <c r="AF9" i="20"/>
  <c r="W23" i="20"/>
  <c r="Z23" i="20" s="1"/>
  <c r="AB23" i="20" s="1"/>
  <c r="W16" i="20"/>
  <c r="Y46" i="20"/>
  <c r="W9" i="20"/>
  <c r="Z9" i="20" s="1"/>
  <c r="AB9" i="20" s="1"/>
  <c r="N9" i="20" s="1"/>
  <c r="V36" i="20"/>
  <c r="AA15" i="20"/>
  <c r="AF49" i="20"/>
  <c r="AF7" i="20"/>
  <c r="AA26" i="20"/>
  <c r="AA35" i="20"/>
  <c r="AF37" i="20"/>
  <c r="AF44" i="20"/>
  <c r="AA21" i="20"/>
  <c r="AF29" i="20"/>
  <c r="W8" i="20"/>
  <c r="AA8" i="20" s="1"/>
  <c r="AA4" i="20"/>
  <c r="Z4" i="20"/>
  <c r="AB4" i="20" s="1"/>
  <c r="Z15" i="20"/>
  <c r="AB15" i="20" s="1"/>
  <c r="AA37" i="20"/>
  <c r="Z37" i="20"/>
  <c r="AB37" i="20" s="1"/>
  <c r="AA39" i="20"/>
  <c r="Z39" i="20"/>
  <c r="AB39" i="20" s="1"/>
  <c r="V7" i="20"/>
  <c r="AA22" i="20"/>
  <c r="AA50" i="20"/>
  <c r="Z50" i="20"/>
  <c r="AB50" i="20" s="1"/>
  <c r="Z20" i="20"/>
  <c r="AB20" i="20" s="1"/>
  <c r="Z30" i="20"/>
  <c r="AB30" i="20" s="1"/>
  <c r="AA30" i="20"/>
  <c r="AA40" i="20"/>
  <c r="Z40" i="20"/>
  <c r="AB40" i="20" s="1"/>
  <c r="AA34" i="20"/>
  <c r="Z34" i="20"/>
  <c r="AB34" i="20" s="1"/>
  <c r="AA52" i="20"/>
  <c r="Z52" i="20"/>
  <c r="AB52" i="20" s="1"/>
  <c r="Z32" i="20"/>
  <c r="AB32" i="20" s="1"/>
  <c r="N26" i="20"/>
  <c r="AA29" i="20"/>
  <c r="Z29" i="20"/>
  <c r="AB29" i="20" s="1"/>
  <c r="X14" i="20"/>
  <c r="AA10" i="20"/>
  <c r="AA48" i="20"/>
  <c r="Z48" i="20"/>
  <c r="AB48" i="20" s="1"/>
  <c r="AA49" i="20"/>
  <c r="Z49" i="20"/>
  <c r="AB49" i="20" s="1"/>
  <c r="O9" i="20"/>
  <c r="Z38" i="20"/>
  <c r="AB38" i="20" s="1"/>
  <c r="AA38" i="20"/>
  <c r="AA45" i="20"/>
  <c r="AA47" i="20"/>
  <c r="Z47" i="20"/>
  <c r="AB47" i="20" s="1"/>
  <c r="AA53" i="20"/>
  <c r="Z53" i="20"/>
  <c r="AB53" i="20" s="1"/>
  <c r="Z10" i="20"/>
  <c r="AB10" i="20" s="1"/>
  <c r="Z22" i="20"/>
  <c r="AB22" i="20" s="1"/>
  <c r="AF4" i="17"/>
  <c r="AD7" i="17"/>
  <c r="AF7" i="17" s="1"/>
  <c r="L35" i="17"/>
  <c r="L40" i="17"/>
  <c r="L5" i="17"/>
  <c r="AD10" i="17"/>
  <c r="AF10" i="17" s="1"/>
  <c r="AD5" i="17"/>
  <c r="AF5" i="17" s="1"/>
  <c r="AD27" i="17"/>
  <c r="AF27" i="17" s="1"/>
  <c r="AD17" i="17"/>
  <c r="AF17" i="17" s="1"/>
  <c r="AD29" i="17"/>
  <c r="AF29" i="17" s="1"/>
  <c r="AD6" i="17"/>
  <c r="AF6" i="17" s="1"/>
  <c r="AD9" i="17"/>
  <c r="AF9" i="17" s="1"/>
  <c r="AD12" i="17"/>
  <c r="AF12" i="17" s="1"/>
  <c r="AD16" i="17"/>
  <c r="AF16" i="17" s="1"/>
  <c r="AD19" i="17"/>
  <c r="AF19" i="17" s="1"/>
  <c r="AD20" i="17"/>
  <c r="AF20" i="17" s="1"/>
  <c r="AD21" i="17"/>
  <c r="AF21" i="17" s="1"/>
  <c r="AD22" i="17"/>
  <c r="AF22" i="17" s="1"/>
  <c r="AD24" i="17"/>
  <c r="AF24" i="17" s="1"/>
  <c r="AD26" i="17"/>
  <c r="AF26" i="17" s="1"/>
  <c r="AD28" i="17"/>
  <c r="AF28" i="17" s="1"/>
  <c r="AD8" i="17"/>
  <c r="AF8" i="17" s="1"/>
  <c r="AD11" i="17"/>
  <c r="AF11" i="17" s="1"/>
  <c r="AD14" i="17"/>
  <c r="AF14" i="17" s="1"/>
  <c r="AD23" i="17"/>
  <c r="AF23" i="17" s="1"/>
  <c r="AD30" i="17"/>
  <c r="AF30" i="17" s="1"/>
  <c r="AD40" i="17"/>
  <c r="AF40" i="17" s="1"/>
  <c r="AD51" i="17"/>
  <c r="AF51" i="17" s="1"/>
  <c r="AD13" i="17"/>
  <c r="AF13" i="17" s="1"/>
  <c r="AD37" i="17"/>
  <c r="AF37" i="17" s="1"/>
  <c r="AD41" i="17"/>
  <c r="AF41" i="17" s="1"/>
  <c r="AD44" i="17"/>
  <c r="AF44" i="17" s="1"/>
  <c r="AD48" i="17"/>
  <c r="AF48" i="17" s="1"/>
  <c r="AD50" i="17"/>
  <c r="AF50" i="17" s="1"/>
  <c r="AD53" i="17"/>
  <c r="AF53" i="17" s="1"/>
  <c r="AD54" i="17"/>
  <c r="AF54" i="17" s="1"/>
  <c r="AD33" i="17"/>
  <c r="AF33" i="17" s="1"/>
  <c r="AD39" i="17"/>
  <c r="AF39" i="17" s="1"/>
  <c r="AD42" i="17"/>
  <c r="AF42" i="17" s="1"/>
  <c r="AD46" i="17"/>
  <c r="AF46" i="17" s="1"/>
  <c r="AD49" i="17"/>
  <c r="AF49" i="17" s="1"/>
  <c r="AD45" i="17"/>
  <c r="AF45" i="17" s="1"/>
  <c r="AD47" i="17"/>
  <c r="AF47" i="17" s="1"/>
  <c r="AD15" i="17"/>
  <c r="AF15" i="17" s="1"/>
  <c r="AD18" i="17"/>
  <c r="AF18" i="17" s="1"/>
  <c r="AD25" i="17"/>
  <c r="AF25" i="17" s="1"/>
  <c r="AD32" i="17"/>
  <c r="AF32" i="17" s="1"/>
  <c r="AD38" i="17"/>
  <c r="AF38" i="17" s="1"/>
  <c r="AD31" i="17"/>
  <c r="AF31" i="17" s="1"/>
  <c r="AD34" i="17"/>
  <c r="AF34" i="17" s="1"/>
  <c r="AD36" i="17"/>
  <c r="AF36" i="17" s="1"/>
  <c r="AD35" i="17"/>
  <c r="AF35" i="17" s="1"/>
  <c r="AD43" i="17"/>
  <c r="AF43" i="17" s="1"/>
  <c r="AD52" i="17"/>
  <c r="AF52" i="17" s="1"/>
  <c r="AC27" i="17"/>
  <c r="AC17" i="17"/>
  <c r="AC29" i="17"/>
  <c r="AC5" i="17"/>
  <c r="AC6" i="17"/>
  <c r="AC7" i="17"/>
  <c r="AC9" i="17"/>
  <c r="AC12" i="17"/>
  <c r="AC16" i="17"/>
  <c r="AC19" i="17"/>
  <c r="AC20" i="17"/>
  <c r="AC21" i="17"/>
  <c r="AC22" i="17"/>
  <c r="AC24" i="17"/>
  <c r="AC26" i="17"/>
  <c r="AC28" i="17"/>
  <c r="AC8" i="17"/>
  <c r="AC11" i="17"/>
  <c r="AC14" i="17"/>
  <c r="AC23" i="17"/>
  <c r="AC30" i="17"/>
  <c r="AC40" i="17"/>
  <c r="AC51" i="17"/>
  <c r="AC13" i="17"/>
  <c r="AC37" i="17"/>
  <c r="AC41" i="17"/>
  <c r="AC44" i="17"/>
  <c r="AC48" i="17"/>
  <c r="AC50" i="17"/>
  <c r="AC53" i="17"/>
  <c r="AC54" i="17"/>
  <c r="AC33" i="17"/>
  <c r="AC39" i="17"/>
  <c r="AC42" i="17"/>
  <c r="AC46" i="17"/>
  <c r="AC49" i="17"/>
  <c r="AC45" i="17"/>
  <c r="AC47" i="17"/>
  <c r="AC15" i="17"/>
  <c r="AC18" i="17"/>
  <c r="AC4" i="17"/>
  <c r="AC25" i="17"/>
  <c r="AC32" i="17"/>
  <c r="AC38" i="17"/>
  <c r="AC31" i="17"/>
  <c r="AC34" i="17"/>
  <c r="AC36" i="17"/>
  <c r="AC35" i="17"/>
  <c r="AC43" i="17"/>
  <c r="AC52" i="17"/>
  <c r="AC10" i="17"/>
  <c r="L27" i="17"/>
  <c r="W27" i="17" s="1"/>
  <c r="M27" i="17"/>
  <c r="L17" i="17"/>
  <c r="M17" i="17"/>
  <c r="L29" i="17"/>
  <c r="M29" i="17"/>
  <c r="M5" i="17"/>
  <c r="L6" i="17"/>
  <c r="M6" i="17"/>
  <c r="M7" i="17"/>
  <c r="L9" i="17"/>
  <c r="M9" i="17"/>
  <c r="L12" i="17"/>
  <c r="M12" i="17"/>
  <c r="L16" i="17"/>
  <c r="M16" i="17"/>
  <c r="L19" i="17"/>
  <c r="M19" i="17"/>
  <c r="L20" i="17"/>
  <c r="M20" i="17"/>
  <c r="L21" i="17"/>
  <c r="M21" i="17"/>
  <c r="L22" i="17"/>
  <c r="M22" i="17"/>
  <c r="L24" i="17"/>
  <c r="M24" i="17"/>
  <c r="L26" i="17"/>
  <c r="M26" i="17"/>
  <c r="L28" i="17"/>
  <c r="M28" i="17"/>
  <c r="L8" i="17"/>
  <c r="M8" i="17"/>
  <c r="L11" i="17"/>
  <c r="M11" i="17"/>
  <c r="L14" i="17"/>
  <c r="M14" i="17"/>
  <c r="L23" i="17"/>
  <c r="M23" i="17"/>
  <c r="L30" i="17"/>
  <c r="M30" i="17"/>
  <c r="M40" i="17"/>
  <c r="L51" i="17"/>
  <c r="M51" i="17"/>
  <c r="L13" i="17"/>
  <c r="M13" i="17"/>
  <c r="L37" i="17"/>
  <c r="M37" i="17"/>
  <c r="L41" i="17"/>
  <c r="M41" i="17"/>
  <c r="L44" i="17"/>
  <c r="M44" i="17"/>
  <c r="L48" i="17"/>
  <c r="M48" i="17"/>
  <c r="L50" i="17"/>
  <c r="M50" i="17"/>
  <c r="L53" i="17"/>
  <c r="M53" i="17"/>
  <c r="L54" i="17"/>
  <c r="M54" i="17"/>
  <c r="L33" i="17"/>
  <c r="M33" i="17"/>
  <c r="L39" i="17"/>
  <c r="M39" i="17"/>
  <c r="L42" i="17"/>
  <c r="M42" i="17"/>
  <c r="L46" i="17"/>
  <c r="M46" i="17"/>
  <c r="L49" i="17"/>
  <c r="M49" i="17"/>
  <c r="L45" i="17"/>
  <c r="M45" i="17"/>
  <c r="L47" i="17"/>
  <c r="M47" i="17"/>
  <c r="L15" i="17"/>
  <c r="M15" i="17"/>
  <c r="L18" i="17"/>
  <c r="M18" i="17"/>
  <c r="L4" i="17"/>
  <c r="L25" i="17"/>
  <c r="M25" i="17"/>
  <c r="L32" i="17"/>
  <c r="M32" i="17"/>
  <c r="L38" i="17"/>
  <c r="M38" i="17"/>
  <c r="L31" i="17"/>
  <c r="M31" i="17"/>
  <c r="L34" i="17"/>
  <c r="M34" i="17"/>
  <c r="L36" i="17"/>
  <c r="M36" i="17"/>
  <c r="M35" i="17"/>
  <c r="L43" i="17"/>
  <c r="M43" i="17"/>
  <c r="L52" i="17"/>
  <c r="M52" i="17"/>
  <c r="I27" i="17"/>
  <c r="J27" i="17"/>
  <c r="I17" i="17"/>
  <c r="J17" i="17"/>
  <c r="I29" i="17"/>
  <c r="J29" i="17"/>
  <c r="I5" i="17"/>
  <c r="J5" i="17"/>
  <c r="I6" i="17"/>
  <c r="J6" i="17"/>
  <c r="I7" i="17"/>
  <c r="J7" i="17"/>
  <c r="I9" i="17"/>
  <c r="J9" i="17"/>
  <c r="I12" i="17"/>
  <c r="V12" i="17" s="1"/>
  <c r="J12" i="17"/>
  <c r="I16" i="17"/>
  <c r="J16" i="17"/>
  <c r="I19" i="17"/>
  <c r="J19" i="17"/>
  <c r="I20" i="17"/>
  <c r="J20" i="17"/>
  <c r="I21" i="17"/>
  <c r="V21" i="17" s="1"/>
  <c r="J21" i="17"/>
  <c r="I22" i="17"/>
  <c r="J22" i="17"/>
  <c r="I24" i="17"/>
  <c r="J24" i="17"/>
  <c r="I26" i="17"/>
  <c r="J26" i="17"/>
  <c r="I28" i="17"/>
  <c r="V28" i="17" s="1"/>
  <c r="J28" i="17"/>
  <c r="I8" i="17"/>
  <c r="J8" i="17"/>
  <c r="I11" i="17"/>
  <c r="J11" i="17"/>
  <c r="I14" i="17"/>
  <c r="J14" i="17"/>
  <c r="I23" i="17"/>
  <c r="V23" i="17" s="1"/>
  <c r="J23" i="17"/>
  <c r="I30" i="17"/>
  <c r="J30" i="17"/>
  <c r="I40" i="17"/>
  <c r="J40" i="17"/>
  <c r="I51" i="17"/>
  <c r="J51" i="17"/>
  <c r="I13" i="17"/>
  <c r="V13" i="17" s="1"/>
  <c r="J13" i="17"/>
  <c r="I37" i="17"/>
  <c r="J37" i="17"/>
  <c r="I41" i="17"/>
  <c r="J41" i="17"/>
  <c r="I44" i="17"/>
  <c r="J44" i="17"/>
  <c r="I48" i="17"/>
  <c r="V48" i="17" s="1"/>
  <c r="J48" i="17"/>
  <c r="I50" i="17"/>
  <c r="J50" i="17"/>
  <c r="I53" i="17"/>
  <c r="J53" i="17"/>
  <c r="I54" i="17"/>
  <c r="J54" i="17"/>
  <c r="I33" i="17"/>
  <c r="V33" i="17" s="1"/>
  <c r="J33" i="17"/>
  <c r="I39" i="17"/>
  <c r="J39" i="17"/>
  <c r="I42" i="17"/>
  <c r="J42" i="17"/>
  <c r="I46" i="17"/>
  <c r="J46" i="17"/>
  <c r="I49" i="17"/>
  <c r="V49" i="17" s="1"/>
  <c r="J49" i="17"/>
  <c r="I45" i="17"/>
  <c r="J45" i="17"/>
  <c r="I47" i="17"/>
  <c r="J47" i="17"/>
  <c r="I15" i="17"/>
  <c r="J15" i="17"/>
  <c r="I18" i="17"/>
  <c r="V18" i="17" s="1"/>
  <c r="J18" i="17"/>
  <c r="I4" i="17"/>
  <c r="I25" i="17"/>
  <c r="J25" i="17"/>
  <c r="I32" i="17"/>
  <c r="J32" i="17"/>
  <c r="I38" i="17"/>
  <c r="J38" i="17"/>
  <c r="I31" i="17"/>
  <c r="J31" i="17"/>
  <c r="I34" i="17"/>
  <c r="J34" i="17"/>
  <c r="I36" i="17"/>
  <c r="J36" i="17"/>
  <c r="I35" i="17"/>
  <c r="J35" i="17"/>
  <c r="I43" i="17"/>
  <c r="J43" i="17"/>
  <c r="I52" i="17"/>
  <c r="J52" i="17"/>
  <c r="M10" i="17"/>
  <c r="L10" i="17"/>
  <c r="J10" i="17"/>
  <c r="I10" i="17"/>
  <c r="T27" i="17"/>
  <c r="U27" i="17"/>
  <c r="T17" i="17"/>
  <c r="U17" i="17"/>
  <c r="T29" i="17"/>
  <c r="U29" i="17"/>
  <c r="T5" i="17"/>
  <c r="U5" i="17"/>
  <c r="T6" i="17"/>
  <c r="U6" i="17"/>
  <c r="T7" i="17"/>
  <c r="U7" i="17"/>
  <c r="T9" i="17"/>
  <c r="U9" i="17"/>
  <c r="T12" i="17"/>
  <c r="U12" i="17"/>
  <c r="T16" i="17"/>
  <c r="U16" i="17"/>
  <c r="T19" i="17"/>
  <c r="U19" i="17"/>
  <c r="T20" i="17"/>
  <c r="U20" i="17"/>
  <c r="T21" i="17"/>
  <c r="U21" i="17"/>
  <c r="T22" i="17"/>
  <c r="U22" i="17"/>
  <c r="T24" i="17"/>
  <c r="U24" i="17"/>
  <c r="T26" i="17"/>
  <c r="U26" i="17"/>
  <c r="T28" i="17"/>
  <c r="U28" i="17"/>
  <c r="T8" i="17"/>
  <c r="U8" i="17"/>
  <c r="T11" i="17"/>
  <c r="U11" i="17"/>
  <c r="T14" i="17"/>
  <c r="U14" i="17"/>
  <c r="T23" i="17"/>
  <c r="U23" i="17"/>
  <c r="T30" i="17"/>
  <c r="U30" i="17"/>
  <c r="T40" i="17"/>
  <c r="U40" i="17"/>
  <c r="T51" i="17"/>
  <c r="U51" i="17"/>
  <c r="T13" i="17"/>
  <c r="U13" i="17"/>
  <c r="T37" i="17"/>
  <c r="U37" i="17"/>
  <c r="T41" i="17"/>
  <c r="U41" i="17"/>
  <c r="T44" i="17"/>
  <c r="U44" i="17"/>
  <c r="T48" i="17"/>
  <c r="U48" i="17"/>
  <c r="T50" i="17"/>
  <c r="U50" i="17"/>
  <c r="T53" i="17"/>
  <c r="U53" i="17"/>
  <c r="T54" i="17"/>
  <c r="U54" i="17"/>
  <c r="T33" i="17"/>
  <c r="U33" i="17"/>
  <c r="T39" i="17"/>
  <c r="U39" i="17"/>
  <c r="T42" i="17"/>
  <c r="U42" i="17"/>
  <c r="T46" i="17"/>
  <c r="U46" i="17"/>
  <c r="T49" i="17"/>
  <c r="U49" i="17"/>
  <c r="T45" i="17"/>
  <c r="U45" i="17"/>
  <c r="T47" i="17"/>
  <c r="U47" i="17"/>
  <c r="T15" i="17"/>
  <c r="U15" i="17"/>
  <c r="T18" i="17"/>
  <c r="U18" i="17"/>
  <c r="T4" i="17"/>
  <c r="U4" i="17"/>
  <c r="T25" i="17"/>
  <c r="U25" i="17"/>
  <c r="T32" i="17"/>
  <c r="U32" i="17"/>
  <c r="T38" i="17"/>
  <c r="U38" i="17"/>
  <c r="T31" i="17"/>
  <c r="U31" i="17"/>
  <c r="T34" i="17"/>
  <c r="U34" i="17"/>
  <c r="T36" i="17"/>
  <c r="U36" i="17"/>
  <c r="T35" i="17"/>
  <c r="U35" i="17"/>
  <c r="T43" i="17"/>
  <c r="U43" i="17"/>
  <c r="T52" i="17"/>
  <c r="U52" i="17"/>
  <c r="U10" i="17"/>
  <c r="T10" i="17"/>
  <c r="R27" i="17"/>
  <c r="R17" i="17"/>
  <c r="R29" i="17"/>
  <c r="R5" i="17"/>
  <c r="R6" i="17"/>
  <c r="R7" i="17"/>
  <c r="R9" i="17"/>
  <c r="R12" i="17"/>
  <c r="R16" i="17"/>
  <c r="R19" i="17"/>
  <c r="R20" i="17"/>
  <c r="R21" i="17"/>
  <c r="R22" i="17"/>
  <c r="R24" i="17"/>
  <c r="R26" i="17"/>
  <c r="R28" i="17"/>
  <c r="R8" i="17"/>
  <c r="R11" i="17"/>
  <c r="R14" i="17"/>
  <c r="R23" i="17"/>
  <c r="R30" i="17"/>
  <c r="R40" i="17"/>
  <c r="R51" i="17"/>
  <c r="R13" i="17"/>
  <c r="R37" i="17"/>
  <c r="R41" i="17"/>
  <c r="R44" i="17"/>
  <c r="R48" i="17"/>
  <c r="R50" i="17"/>
  <c r="R53" i="17"/>
  <c r="R54" i="17"/>
  <c r="R33" i="17"/>
  <c r="R39" i="17"/>
  <c r="R42" i="17"/>
  <c r="R46" i="17"/>
  <c r="R49" i="17"/>
  <c r="R45" i="17"/>
  <c r="R47" i="17"/>
  <c r="R15" i="17"/>
  <c r="R18" i="17"/>
  <c r="R4" i="17"/>
  <c r="R25" i="17"/>
  <c r="R32" i="17"/>
  <c r="R38" i="17"/>
  <c r="R31" i="17"/>
  <c r="R34" i="17"/>
  <c r="R36" i="17"/>
  <c r="R35" i="17"/>
  <c r="R43" i="17"/>
  <c r="R52" i="17"/>
  <c r="R10" i="17"/>
  <c r="Q27" i="17"/>
  <c r="Q17" i="17"/>
  <c r="Q29" i="17"/>
  <c r="Q5" i="17"/>
  <c r="Q6" i="17"/>
  <c r="Q7" i="17"/>
  <c r="Q9" i="17"/>
  <c r="Q12" i="17"/>
  <c r="Q16" i="17"/>
  <c r="Q19" i="17"/>
  <c r="Q20" i="17"/>
  <c r="Q21" i="17"/>
  <c r="Q22" i="17"/>
  <c r="Q24" i="17"/>
  <c r="Q26" i="17"/>
  <c r="Q28" i="17"/>
  <c r="Q8" i="17"/>
  <c r="Q11" i="17"/>
  <c r="Q14" i="17"/>
  <c r="Q23" i="17"/>
  <c r="Q30" i="17"/>
  <c r="Q40" i="17"/>
  <c r="Q51" i="17"/>
  <c r="Q13" i="17"/>
  <c r="Q37" i="17"/>
  <c r="Q41" i="17"/>
  <c r="Q44" i="17"/>
  <c r="Q48" i="17"/>
  <c r="Q50" i="17"/>
  <c r="Q53" i="17"/>
  <c r="Q54" i="17"/>
  <c r="Q33" i="17"/>
  <c r="Q39" i="17"/>
  <c r="Q42" i="17"/>
  <c r="Q46" i="17"/>
  <c r="Q49" i="17"/>
  <c r="Q45" i="17"/>
  <c r="Q47" i="17"/>
  <c r="Q15" i="17"/>
  <c r="Q18" i="17"/>
  <c r="Q4" i="17"/>
  <c r="Q25" i="17"/>
  <c r="Q32" i="17"/>
  <c r="Q38" i="17"/>
  <c r="Q31" i="17"/>
  <c r="Q34" i="17"/>
  <c r="Q36" i="17"/>
  <c r="Q35" i="17"/>
  <c r="Q43" i="17"/>
  <c r="Q52" i="17"/>
  <c r="Q10" i="17"/>
  <c r="Q5" i="22" l="1"/>
  <c r="Q11" i="22"/>
  <c r="AN11" i="22"/>
  <c r="P9" i="22"/>
  <c r="AN9" i="22"/>
  <c r="P13" i="22"/>
  <c r="Q16" i="22"/>
  <c r="P25" i="22"/>
  <c r="AN25" i="22"/>
  <c r="Q25" i="22"/>
  <c r="AN41" i="22"/>
  <c r="P41" i="22"/>
  <c r="Q41" i="22"/>
  <c r="P53" i="22"/>
  <c r="AN53" i="22"/>
  <c r="Q53" i="22"/>
  <c r="Q32" i="22"/>
  <c r="P32" i="22"/>
  <c r="AN32" i="22"/>
  <c r="AN30" i="22"/>
  <c r="Q30" i="22"/>
  <c r="P30" i="22"/>
  <c r="Q51" i="22"/>
  <c r="AN51" i="22"/>
  <c r="P51" i="22"/>
  <c r="Q4" i="22"/>
  <c r="P4" i="22"/>
  <c r="AN4" i="22"/>
  <c r="P38" i="22"/>
  <c r="AN38" i="22"/>
  <c r="Q38" i="22"/>
  <c r="AN40" i="22"/>
  <c r="Q40" i="22"/>
  <c r="P40" i="22"/>
  <c r="Q54" i="22"/>
  <c r="P54" i="22"/>
  <c r="AN54" i="22"/>
  <c r="Q20" i="22"/>
  <c r="P20" i="22"/>
  <c r="AN20" i="22"/>
  <c r="Q35" i="22"/>
  <c r="P35" i="22"/>
  <c r="AN35" i="22"/>
  <c r="P45" i="22"/>
  <c r="AN45" i="22"/>
  <c r="Q45" i="22"/>
  <c r="P28" i="22"/>
  <c r="AN28" i="22"/>
  <c r="Q28" i="22"/>
  <c r="AN27" i="22"/>
  <c r="Q27" i="22"/>
  <c r="P27" i="22"/>
  <c r="Q44" i="22"/>
  <c r="P44" i="22"/>
  <c r="AN44" i="22"/>
  <c r="Q31" i="22"/>
  <c r="AN31" i="22"/>
  <c r="P31" i="22"/>
  <c r="Q34" i="22"/>
  <c r="P34" i="22"/>
  <c r="AN34" i="22"/>
  <c r="Q17" i="22"/>
  <c r="P17" i="22"/>
  <c r="AN17" i="22"/>
  <c r="AN22" i="22"/>
  <c r="Q22" i="22"/>
  <c r="P22" i="22"/>
  <c r="AN15" i="22"/>
  <c r="Q15" i="22"/>
  <c r="P15" i="22"/>
  <c r="AN52" i="22"/>
  <c r="Q52" i="22"/>
  <c r="P52" i="22"/>
  <c r="Q49" i="22"/>
  <c r="P49" i="22"/>
  <c r="AN49" i="22"/>
  <c r="AN46" i="22"/>
  <c r="Q46" i="22"/>
  <c r="P46" i="22"/>
  <c r="AN19" i="22"/>
  <c r="Q19" i="22"/>
  <c r="P19" i="22"/>
  <c r="Q47" i="22"/>
  <c r="P47" i="22"/>
  <c r="AN47" i="22"/>
  <c r="Q21" i="22"/>
  <c r="AN21" i="22"/>
  <c r="P21" i="22"/>
  <c r="AN12" i="22"/>
  <c r="Q12" i="22"/>
  <c r="P12" i="22"/>
  <c r="AN36" i="22"/>
  <c r="P36" i="22"/>
  <c r="Q36" i="22"/>
  <c r="Q10" i="22"/>
  <c r="P10" i="22"/>
  <c r="AN10" i="22"/>
  <c r="Q43" i="22"/>
  <c r="AN43" i="22"/>
  <c r="P43" i="22"/>
  <c r="Q26" i="22"/>
  <c r="P26" i="22"/>
  <c r="AN26" i="22"/>
  <c r="Q29" i="22"/>
  <c r="P29" i="22"/>
  <c r="AN29" i="22"/>
  <c r="P48" i="22"/>
  <c r="AN48" i="22"/>
  <c r="Q48" i="22"/>
  <c r="AN18" i="22"/>
  <c r="P18" i="22"/>
  <c r="Q18" i="22"/>
  <c r="Q37" i="22"/>
  <c r="P37" i="22"/>
  <c r="AN37" i="22"/>
  <c r="AN50" i="22"/>
  <c r="P50" i="22"/>
  <c r="Q50" i="22"/>
  <c r="Q34" i="21"/>
  <c r="AN34" i="21"/>
  <c r="Q22" i="21"/>
  <c r="P32" i="21"/>
  <c r="P49" i="21"/>
  <c r="Q17" i="21"/>
  <c r="Q40" i="21"/>
  <c r="AN17" i="21"/>
  <c r="P28" i="21"/>
  <c r="AN32" i="21"/>
  <c r="P40" i="21"/>
  <c r="AN12" i="21"/>
  <c r="P22" i="21"/>
  <c r="Q12" i="21"/>
  <c r="Q8" i="21"/>
  <c r="P54" i="21"/>
  <c r="Q36" i="21"/>
  <c r="AN8" i="21"/>
  <c r="P9" i="21"/>
  <c r="Q9" i="21"/>
  <c r="P15" i="21"/>
  <c r="Q15" i="21"/>
  <c r="P31" i="21"/>
  <c r="Q54" i="21"/>
  <c r="AN20" i="21"/>
  <c r="Q31" i="21"/>
  <c r="P20" i="21"/>
  <c r="AN29" i="21"/>
  <c r="P39" i="21"/>
  <c r="Q39" i="21"/>
  <c r="AN45" i="21"/>
  <c r="P45" i="21"/>
  <c r="Q21" i="21"/>
  <c r="P21" i="21"/>
  <c r="AN53" i="21"/>
  <c r="P53" i="21"/>
  <c r="AN33" i="21"/>
  <c r="P33" i="21"/>
  <c r="P25" i="21"/>
  <c r="AN25" i="21"/>
  <c r="P51" i="21"/>
  <c r="Q51" i="21"/>
  <c r="P29" i="21"/>
  <c r="Q52" i="21"/>
  <c r="Q47" i="21"/>
  <c r="P7" i="21"/>
  <c r="Q7" i="21"/>
  <c r="AN7" i="21"/>
  <c r="P47" i="21"/>
  <c r="Q46" i="21"/>
  <c r="AN46" i="21"/>
  <c r="AN52" i="21"/>
  <c r="Q30" i="21"/>
  <c r="AN16" i="21"/>
  <c r="Q16" i="21"/>
  <c r="P30" i="21"/>
  <c r="AN48" i="21"/>
  <c r="Q48" i="21"/>
  <c r="P48" i="21"/>
  <c r="Q4" i="21"/>
  <c r="AN4" i="21"/>
  <c r="P4" i="21"/>
  <c r="AN24" i="21"/>
  <c r="P24" i="21"/>
  <c r="Q24" i="21"/>
  <c r="P13" i="21"/>
  <c r="Q13" i="21"/>
  <c r="AN13" i="21"/>
  <c r="Q26" i="21"/>
  <c r="P26" i="21"/>
  <c r="AN26" i="21"/>
  <c r="Q5" i="21"/>
  <c r="AN5" i="21"/>
  <c r="P5" i="21"/>
  <c r="Z41" i="20"/>
  <c r="AB41" i="20" s="1"/>
  <c r="AA28" i="20"/>
  <c r="Z13" i="20"/>
  <c r="AB13" i="20" s="1"/>
  <c r="AA43" i="20"/>
  <c r="Z44" i="20"/>
  <c r="AB44" i="20" s="1"/>
  <c r="Z31" i="20"/>
  <c r="AB31" i="20" s="1"/>
  <c r="AE31" i="20" s="1"/>
  <c r="Z24" i="20"/>
  <c r="AB24" i="20" s="1"/>
  <c r="AE24" i="20" s="1"/>
  <c r="N35" i="20"/>
  <c r="AA14" i="20"/>
  <c r="O35" i="20"/>
  <c r="AA9" i="20"/>
  <c r="AA18" i="20"/>
  <c r="Z25" i="20"/>
  <c r="AB25" i="20" s="1"/>
  <c r="N25" i="20" s="1"/>
  <c r="Z33" i="20"/>
  <c r="AB33" i="20" s="1"/>
  <c r="O33" i="20" s="1"/>
  <c r="AA51" i="20"/>
  <c r="Z6" i="20"/>
  <c r="AB6" i="20" s="1"/>
  <c r="N6" i="20" s="1"/>
  <c r="AA5" i="20"/>
  <c r="AA36" i="20"/>
  <c r="AA24" i="20"/>
  <c r="Z19" i="20"/>
  <c r="AB19" i="20" s="1"/>
  <c r="N19" i="20" s="1"/>
  <c r="AA46" i="20"/>
  <c r="Z16" i="20"/>
  <c r="AB16" i="20" s="1"/>
  <c r="O16" i="20" s="1"/>
  <c r="Z54" i="20"/>
  <c r="AB54" i="20" s="1"/>
  <c r="O54" i="20" s="1"/>
  <c r="Z8" i="20"/>
  <c r="AB8" i="20" s="1"/>
  <c r="AE8" i="20" s="1"/>
  <c r="N21" i="20"/>
  <c r="O21" i="20"/>
  <c r="AA6" i="20"/>
  <c r="AA11" i="20"/>
  <c r="Z36" i="20"/>
  <c r="AB36" i="20" s="1"/>
  <c r="AE36" i="20" s="1"/>
  <c r="AA23" i="20"/>
  <c r="Z27" i="20"/>
  <c r="AB27" i="20" s="1"/>
  <c r="AE27" i="20" s="1"/>
  <c r="AA12" i="20"/>
  <c r="AA27" i="20"/>
  <c r="AA42" i="20"/>
  <c r="Z11" i="20"/>
  <c r="AB11" i="20" s="1"/>
  <c r="AE11" i="20" s="1"/>
  <c r="Z17" i="20"/>
  <c r="AB17" i="20" s="1"/>
  <c r="O17" i="20" s="1"/>
  <c r="AE21" i="20"/>
  <c r="Z18" i="20"/>
  <c r="AB18" i="20" s="1"/>
  <c r="AE18" i="20" s="1"/>
  <c r="Z28" i="20"/>
  <c r="AB28" i="20" s="1"/>
  <c r="N28" i="20" s="1"/>
  <c r="Z46" i="20"/>
  <c r="AB46" i="20" s="1"/>
  <c r="O46" i="20" s="1"/>
  <c r="AE9" i="20"/>
  <c r="AE26" i="20"/>
  <c r="O45" i="20"/>
  <c r="N45" i="20"/>
  <c r="AA16" i="20"/>
  <c r="N44" i="20"/>
  <c r="AE44" i="20"/>
  <c r="O44" i="20"/>
  <c r="O51" i="20"/>
  <c r="N51" i="20"/>
  <c r="AE51" i="20"/>
  <c r="AE38" i="20"/>
  <c r="O38" i="20"/>
  <c r="N38" i="20"/>
  <c r="O6" i="20"/>
  <c r="O30" i="20"/>
  <c r="N30" i="20"/>
  <c r="AE30" i="20"/>
  <c r="N50" i="20"/>
  <c r="O50" i="20"/>
  <c r="AE50" i="20"/>
  <c r="AA7" i="20"/>
  <c r="Z7" i="20"/>
  <c r="AB7" i="20" s="1"/>
  <c r="AE25" i="20"/>
  <c r="O40" i="20"/>
  <c r="N40" i="20"/>
  <c r="AE40" i="20"/>
  <c r="O42" i="20"/>
  <c r="AE42" i="20"/>
  <c r="N42" i="20"/>
  <c r="N53" i="20"/>
  <c r="AE53" i="20"/>
  <c r="O53" i="20"/>
  <c r="O49" i="20"/>
  <c r="AE49" i="20"/>
  <c r="N49" i="20"/>
  <c r="O32" i="20"/>
  <c r="N32" i="20"/>
  <c r="AE32" i="20"/>
  <c r="O43" i="20"/>
  <c r="N43" i="20"/>
  <c r="AE43" i="20"/>
  <c r="O4" i="20"/>
  <c r="N4" i="20"/>
  <c r="AE4" i="20"/>
  <c r="O29" i="20"/>
  <c r="N29" i="20"/>
  <c r="AE29" i="20"/>
  <c r="N23" i="20"/>
  <c r="O23" i="20"/>
  <c r="AE23" i="20"/>
  <c r="O37" i="20"/>
  <c r="N37" i="20"/>
  <c r="AE37" i="20"/>
  <c r="N47" i="20"/>
  <c r="AE47" i="20"/>
  <c r="O47" i="20"/>
  <c r="N33" i="20"/>
  <c r="O48" i="20"/>
  <c r="N48" i="20"/>
  <c r="AE48" i="20"/>
  <c r="O5" i="20"/>
  <c r="N5" i="20"/>
  <c r="AE5" i="20"/>
  <c r="AE20" i="20"/>
  <c r="N20" i="20"/>
  <c r="O20" i="20"/>
  <c r="N12" i="20"/>
  <c r="AE12" i="20"/>
  <c r="O12" i="20"/>
  <c r="O22" i="20"/>
  <c r="N22" i="20"/>
  <c r="AE22" i="20"/>
  <c r="AE41" i="20"/>
  <c r="O41" i="20"/>
  <c r="N41" i="20"/>
  <c r="O52" i="20"/>
  <c r="N52" i="20"/>
  <c r="AE52" i="20"/>
  <c r="N39" i="20"/>
  <c r="O39" i="20"/>
  <c r="AE39" i="20"/>
  <c r="O15" i="20"/>
  <c r="N15" i="20"/>
  <c r="AE15" i="20"/>
  <c r="O34" i="20"/>
  <c r="N34" i="20"/>
  <c r="AE34" i="20"/>
  <c r="O10" i="20"/>
  <c r="N10" i="20"/>
  <c r="AE10" i="20"/>
  <c r="AE19" i="20"/>
  <c r="O24" i="20"/>
  <c r="AE14" i="20"/>
  <c r="O14" i="20"/>
  <c r="N14" i="20"/>
  <c r="Y35" i="17"/>
  <c r="Y38" i="17"/>
  <c r="Y18" i="17"/>
  <c r="Y49" i="17"/>
  <c r="Y33" i="17"/>
  <c r="Y48" i="17"/>
  <c r="Y13" i="17"/>
  <c r="Y23" i="17"/>
  <c r="Y28" i="17"/>
  <c r="Y21" i="17"/>
  <c r="Y12" i="17"/>
  <c r="Y5" i="17"/>
  <c r="V35" i="17"/>
  <c r="V38" i="17"/>
  <c r="W23" i="17"/>
  <c r="W28" i="17"/>
  <c r="W21" i="17"/>
  <c r="W12" i="17"/>
  <c r="Y36" i="17"/>
  <c r="Y32" i="17"/>
  <c r="Y15" i="17"/>
  <c r="Y46" i="17"/>
  <c r="Y54" i="17"/>
  <c r="Y44" i="17"/>
  <c r="Y51" i="17"/>
  <c r="Y14" i="17"/>
  <c r="Y26" i="17"/>
  <c r="Y20" i="17"/>
  <c r="Y9" i="17"/>
  <c r="Y29" i="17"/>
  <c r="X25" i="17"/>
  <c r="X11" i="17"/>
  <c r="X41" i="17"/>
  <c r="X52" i="17"/>
  <c r="X42" i="17"/>
  <c r="X19" i="17"/>
  <c r="X17" i="17"/>
  <c r="W30" i="17"/>
  <c r="W8" i="17"/>
  <c r="W22" i="17"/>
  <c r="W7" i="17"/>
  <c r="AA7" i="17" s="1"/>
  <c r="W38" i="17"/>
  <c r="W18" i="17"/>
  <c r="W49" i="17"/>
  <c r="AA49" i="17" s="1"/>
  <c r="W33" i="17"/>
  <c r="W48" i="17"/>
  <c r="W13" i="17"/>
  <c r="W34" i="17"/>
  <c r="W25" i="17"/>
  <c r="W47" i="17"/>
  <c r="W42" i="17"/>
  <c r="W53" i="17"/>
  <c r="W41" i="17"/>
  <c r="W31" i="17"/>
  <c r="W4" i="17"/>
  <c r="W45" i="17"/>
  <c r="W39" i="17"/>
  <c r="W50" i="17"/>
  <c r="W37" i="17"/>
  <c r="V36" i="17"/>
  <c r="V32" i="17"/>
  <c r="V15" i="17"/>
  <c r="V46" i="17"/>
  <c r="V54" i="17"/>
  <c r="Z54" i="17" s="1"/>
  <c r="AB54" i="17" s="1"/>
  <c r="V44" i="17"/>
  <c r="V51" i="17"/>
  <c r="V14" i="17"/>
  <c r="V26" i="17"/>
  <c r="V20" i="17"/>
  <c r="V9" i="17"/>
  <c r="V29" i="17"/>
  <c r="W43" i="17"/>
  <c r="Y52" i="17"/>
  <c r="Y34" i="17"/>
  <c r="Y25" i="17"/>
  <c r="Y47" i="17"/>
  <c r="Y42" i="17"/>
  <c r="Y53" i="17"/>
  <c r="Y41" i="17"/>
  <c r="Y40" i="17"/>
  <c r="Y11" i="17"/>
  <c r="Y24" i="17"/>
  <c r="Y19" i="17"/>
  <c r="Y7" i="17"/>
  <c r="Y17" i="17"/>
  <c r="V52" i="17"/>
  <c r="V34" i="17"/>
  <c r="V25" i="17"/>
  <c r="AA25" i="17" s="1"/>
  <c r="V47" i="17"/>
  <c r="V42" i="17"/>
  <c r="V53" i="17"/>
  <c r="V41" i="17"/>
  <c r="AA41" i="17" s="1"/>
  <c r="V40" i="17"/>
  <c r="V11" i="17"/>
  <c r="V24" i="17"/>
  <c r="V19" i="17"/>
  <c r="V7" i="17"/>
  <c r="V17" i="17"/>
  <c r="W5" i="17"/>
  <c r="X35" i="17"/>
  <c r="X18" i="17"/>
  <c r="X33" i="17"/>
  <c r="X13" i="17"/>
  <c r="X28" i="17"/>
  <c r="X12" i="17"/>
  <c r="W11" i="17"/>
  <c r="W24" i="17"/>
  <c r="W19" i="17"/>
  <c r="W40" i="17"/>
  <c r="W35" i="17"/>
  <c r="X34" i="17"/>
  <c r="X47" i="17"/>
  <c r="X53" i="17"/>
  <c r="X40" i="17"/>
  <c r="X24" i="17"/>
  <c r="X7" i="17"/>
  <c r="V5" i="17"/>
  <c r="W52" i="17"/>
  <c r="W16" i="17"/>
  <c r="W6" i="17"/>
  <c r="W17" i="17"/>
  <c r="X49" i="17"/>
  <c r="X23" i="17"/>
  <c r="X5" i="17"/>
  <c r="X38" i="17"/>
  <c r="X48" i="17"/>
  <c r="X21" i="17"/>
  <c r="X10" i="17"/>
  <c r="X32" i="17"/>
  <c r="X46" i="17"/>
  <c r="X44" i="17"/>
  <c r="X14" i="17"/>
  <c r="X20" i="17"/>
  <c r="X29" i="17"/>
  <c r="Y43" i="17"/>
  <c r="Y31" i="17"/>
  <c r="Y4" i="17"/>
  <c r="Y45" i="17"/>
  <c r="Y39" i="17"/>
  <c r="Y50" i="17"/>
  <c r="Y37" i="17"/>
  <c r="Y30" i="17"/>
  <c r="Y8" i="17"/>
  <c r="Y22" i="17"/>
  <c r="Y16" i="17"/>
  <c r="Y6" i="17"/>
  <c r="Y27" i="17"/>
  <c r="V43" i="17"/>
  <c r="V31" i="17"/>
  <c r="V4" i="17"/>
  <c r="V45" i="17"/>
  <c r="V39" i="17"/>
  <c r="Z39" i="17" s="1"/>
  <c r="AB39" i="17" s="1"/>
  <c r="V50" i="17"/>
  <c r="Z50" i="17" s="1"/>
  <c r="AB50" i="17" s="1"/>
  <c r="V37" i="17"/>
  <c r="V30" i="17"/>
  <c r="AA30" i="17" s="1"/>
  <c r="V8" i="17"/>
  <c r="Z8" i="17" s="1"/>
  <c r="AB8" i="17" s="1"/>
  <c r="V22" i="17"/>
  <c r="V16" i="17"/>
  <c r="V6" i="17"/>
  <c r="V27" i="17"/>
  <c r="Z27" i="17" s="1"/>
  <c r="AB27" i="17" s="1"/>
  <c r="AE27" i="17" s="1"/>
  <c r="W36" i="17"/>
  <c r="W32" i="17"/>
  <c r="W15" i="17"/>
  <c r="Z15" i="17" s="1"/>
  <c r="AB15" i="17" s="1"/>
  <c r="W46" i="17"/>
  <c r="W54" i="17"/>
  <c r="W44" i="17"/>
  <c r="Z44" i="17" s="1"/>
  <c r="AB44" i="17" s="1"/>
  <c r="AE44" i="17" s="1"/>
  <c r="W51" i="17"/>
  <c r="Z51" i="17" s="1"/>
  <c r="AB51" i="17" s="1"/>
  <c r="N51" i="17" s="1"/>
  <c r="W14" i="17"/>
  <c r="W26" i="17"/>
  <c r="W20" i="17"/>
  <c r="AA20" i="17" s="1"/>
  <c r="W9" i="17"/>
  <c r="AA9" i="17" s="1"/>
  <c r="W29" i="17"/>
  <c r="X31" i="17"/>
  <c r="X45" i="17"/>
  <c r="X50" i="17"/>
  <c r="X30" i="17"/>
  <c r="X22" i="17"/>
  <c r="X6" i="17"/>
  <c r="Y10" i="17"/>
  <c r="W10" i="17"/>
  <c r="X43" i="17"/>
  <c r="X4" i="17"/>
  <c r="X39" i="17"/>
  <c r="X37" i="17"/>
  <c r="X8" i="17"/>
  <c r="X16" i="17"/>
  <c r="X27" i="17"/>
  <c r="X36" i="17"/>
  <c r="X15" i="17"/>
  <c r="X54" i="17"/>
  <c r="X51" i="17"/>
  <c r="X26" i="17"/>
  <c r="X9" i="17"/>
  <c r="V10" i="17"/>
  <c r="AA32" i="17"/>
  <c r="Z32" i="17"/>
  <c r="AB32" i="17" s="1"/>
  <c r="Z20" i="17"/>
  <c r="AA54" i="17"/>
  <c r="Z42" i="17"/>
  <c r="AB42" i="17" s="1"/>
  <c r="AA40" i="17"/>
  <c r="Z40" i="17"/>
  <c r="AB40" i="17" s="1"/>
  <c r="O40" i="17" s="1"/>
  <c r="Z17" i="17"/>
  <c r="AB17" i="17" s="1"/>
  <c r="Z52" i="17"/>
  <c r="AB52" i="17" s="1"/>
  <c r="AE52" i="17" s="1"/>
  <c r="AA47" i="17"/>
  <c r="Z47" i="17"/>
  <c r="AB47" i="17" s="1"/>
  <c r="AA11" i="17"/>
  <c r="Z11" i="17"/>
  <c r="AB11" i="17" s="1"/>
  <c r="AA31" i="17"/>
  <c r="Z31" i="17"/>
  <c r="AB31" i="17" s="1"/>
  <c r="AA22" i="17"/>
  <c r="Z22" i="17"/>
  <c r="AB22" i="17" s="1"/>
  <c r="AE22" i="17" s="1"/>
  <c r="AA37" i="17"/>
  <c r="Z35" i="17"/>
  <c r="AB35" i="17" s="1"/>
  <c r="AA35" i="17"/>
  <c r="AA38" i="17"/>
  <c r="Z38" i="17"/>
  <c r="AB38" i="17" s="1"/>
  <c r="AE38" i="17" s="1"/>
  <c r="Z18" i="17"/>
  <c r="AB18" i="17" s="1"/>
  <c r="AE18" i="17" s="1"/>
  <c r="AA18" i="17"/>
  <c r="Z33" i="17"/>
  <c r="AB33" i="17" s="1"/>
  <c r="AA33" i="17"/>
  <c r="AA48" i="17"/>
  <c r="Z48" i="17"/>
  <c r="AB48" i="17" s="1"/>
  <c r="AE48" i="17" s="1"/>
  <c r="Z13" i="17"/>
  <c r="AB13" i="17" s="1"/>
  <c r="N13" i="17" s="1"/>
  <c r="AA13" i="17"/>
  <c r="AA23" i="17"/>
  <c r="Z23" i="17"/>
  <c r="AB23" i="17" s="1"/>
  <c r="AE23" i="17" s="1"/>
  <c r="Z28" i="17"/>
  <c r="AB28" i="17" s="1"/>
  <c r="AA28" i="17"/>
  <c r="AA21" i="17"/>
  <c r="Z21" i="17"/>
  <c r="AB21" i="17" s="1"/>
  <c r="Z12" i="17"/>
  <c r="AB12" i="17" s="1"/>
  <c r="AE12" i="17" s="1"/>
  <c r="AA12" i="17"/>
  <c r="AB20" i="17"/>
  <c r="AE20" i="17" s="1"/>
  <c r="E29" i="17"/>
  <c r="T54" i="15"/>
  <c r="M54" i="15"/>
  <c r="L54" i="15"/>
  <c r="N54" i="15" s="1"/>
  <c r="S54" i="15" s="1"/>
  <c r="T46" i="15"/>
  <c r="M46" i="15"/>
  <c r="L46" i="15"/>
  <c r="N46" i="15" s="1"/>
  <c r="T53" i="15"/>
  <c r="M53" i="15"/>
  <c r="L53" i="15"/>
  <c r="N53" i="15" s="1"/>
  <c r="T51" i="15"/>
  <c r="M51" i="15"/>
  <c r="L51" i="15"/>
  <c r="N51" i="15" s="1"/>
  <c r="T50" i="15"/>
  <c r="M50" i="15"/>
  <c r="L50" i="15"/>
  <c r="N50" i="15" s="1"/>
  <c r="T42" i="15"/>
  <c r="M42" i="15"/>
  <c r="L42" i="15"/>
  <c r="N42" i="15" s="1"/>
  <c r="T41" i="15"/>
  <c r="M41" i="15"/>
  <c r="L41" i="15"/>
  <c r="N41" i="15" s="1"/>
  <c r="S41" i="15" s="1"/>
  <c r="T40" i="15"/>
  <c r="M40" i="15"/>
  <c r="L40" i="15"/>
  <c r="N40" i="15" s="1"/>
  <c r="S40" i="15" s="1"/>
  <c r="T39" i="15"/>
  <c r="M39" i="15"/>
  <c r="L39" i="15"/>
  <c r="N39" i="15" s="1"/>
  <c r="O39" i="15" s="1"/>
  <c r="T36" i="15"/>
  <c r="M36" i="15"/>
  <c r="L36" i="15"/>
  <c r="N36" i="15" s="1"/>
  <c r="T44" i="15"/>
  <c r="M44" i="15"/>
  <c r="L44" i="15"/>
  <c r="N44" i="15" s="1"/>
  <c r="T52" i="15"/>
  <c r="M52" i="15"/>
  <c r="L52" i="15"/>
  <c r="N52" i="15" s="1"/>
  <c r="T49" i="15"/>
  <c r="M49" i="15"/>
  <c r="L49" i="15"/>
  <c r="N49" i="15" s="1"/>
  <c r="T48" i="15"/>
  <c r="M48" i="15"/>
  <c r="L48" i="15"/>
  <c r="N48" i="15" s="1"/>
  <c r="T47" i="15"/>
  <c r="M47" i="15"/>
  <c r="L47" i="15"/>
  <c r="N47" i="15" s="1"/>
  <c r="T31" i="15"/>
  <c r="M31" i="15"/>
  <c r="L31" i="15"/>
  <c r="N31" i="15" s="1"/>
  <c r="S31" i="15" s="1"/>
  <c r="T32" i="15"/>
  <c r="M32" i="15"/>
  <c r="L32" i="15"/>
  <c r="N32" i="15" s="1"/>
  <c r="P32" i="15" s="1"/>
  <c r="T43" i="15"/>
  <c r="M43" i="15"/>
  <c r="L43" i="15"/>
  <c r="N43" i="15" s="1"/>
  <c r="T38" i="15"/>
  <c r="M38" i="15"/>
  <c r="L38" i="15"/>
  <c r="N38" i="15" s="1"/>
  <c r="T37" i="15"/>
  <c r="M37" i="15"/>
  <c r="L37" i="15"/>
  <c r="N37" i="15" s="1"/>
  <c r="T34" i="15"/>
  <c r="M34" i="15"/>
  <c r="L34" i="15"/>
  <c r="N34" i="15" s="1"/>
  <c r="T6" i="15"/>
  <c r="M6" i="15"/>
  <c r="L6" i="15"/>
  <c r="N6" i="15" s="1"/>
  <c r="S6" i="15" s="1"/>
  <c r="T30" i="15"/>
  <c r="M30" i="15"/>
  <c r="L30" i="15"/>
  <c r="N30" i="15" s="1"/>
  <c r="T45" i="15"/>
  <c r="M45" i="15"/>
  <c r="L45" i="15"/>
  <c r="N45" i="15" s="1"/>
  <c r="S45" i="15" s="1"/>
  <c r="T35" i="15"/>
  <c r="M35" i="15"/>
  <c r="L35" i="15"/>
  <c r="N35" i="15" s="1"/>
  <c r="O35" i="15" s="1"/>
  <c r="T29" i="15"/>
  <c r="M29" i="15"/>
  <c r="L29" i="15"/>
  <c r="N29" i="15" s="1"/>
  <c r="T28" i="15"/>
  <c r="M28" i="15"/>
  <c r="L28" i="15"/>
  <c r="N28" i="15" s="1"/>
  <c r="T33" i="15"/>
  <c r="M33" i="15"/>
  <c r="L33" i="15"/>
  <c r="N33" i="15" s="1"/>
  <c r="T26" i="15"/>
  <c r="M26" i="15"/>
  <c r="L26" i="15"/>
  <c r="N26" i="15" s="1"/>
  <c r="T25" i="15"/>
  <c r="M25" i="15"/>
  <c r="L25" i="15"/>
  <c r="N25" i="15" s="1"/>
  <c r="S25" i="15" s="1"/>
  <c r="E25" i="15"/>
  <c r="T24" i="15"/>
  <c r="M24" i="15"/>
  <c r="L24" i="15"/>
  <c r="N24" i="15" s="1"/>
  <c r="S24" i="15" s="1"/>
  <c r="T23" i="15"/>
  <c r="M23" i="15"/>
  <c r="L23" i="15"/>
  <c r="N23" i="15" s="1"/>
  <c r="T22" i="15"/>
  <c r="M22" i="15"/>
  <c r="L22" i="15"/>
  <c r="N22" i="15" s="1"/>
  <c r="O22" i="15" s="1"/>
  <c r="T20" i="15"/>
  <c r="M20" i="15"/>
  <c r="L20" i="15"/>
  <c r="N20" i="15" s="1"/>
  <c r="P20" i="15" s="1"/>
  <c r="T19" i="15"/>
  <c r="M19" i="15"/>
  <c r="L19" i="15"/>
  <c r="N19" i="15" s="1"/>
  <c r="T16" i="15"/>
  <c r="M16" i="15"/>
  <c r="L16" i="15"/>
  <c r="N16" i="15" s="1"/>
  <c r="T18" i="15"/>
  <c r="M18" i="15"/>
  <c r="L18" i="15"/>
  <c r="N18" i="15" s="1"/>
  <c r="T17" i="15"/>
  <c r="M17" i="15"/>
  <c r="L17" i="15"/>
  <c r="N17" i="15" s="1"/>
  <c r="T14" i="15"/>
  <c r="M14" i="15"/>
  <c r="L14" i="15"/>
  <c r="N14" i="15" s="1"/>
  <c r="T15" i="15"/>
  <c r="M15" i="15"/>
  <c r="L15" i="15"/>
  <c r="N15" i="15" s="1"/>
  <c r="S15" i="15" s="1"/>
  <c r="T9" i="15"/>
  <c r="M9" i="15"/>
  <c r="L9" i="15"/>
  <c r="N9" i="15" s="1"/>
  <c r="O9" i="15" s="1"/>
  <c r="T8" i="15"/>
  <c r="M8" i="15"/>
  <c r="L8" i="15"/>
  <c r="N8" i="15" s="1"/>
  <c r="P8" i="15" s="1"/>
  <c r="T12" i="15"/>
  <c r="M12" i="15"/>
  <c r="L12" i="15"/>
  <c r="N12" i="15" s="1"/>
  <c r="T21" i="15"/>
  <c r="M21" i="15"/>
  <c r="L21" i="15"/>
  <c r="N21" i="15" s="1"/>
  <c r="T10" i="15"/>
  <c r="M10" i="15"/>
  <c r="L10" i="15"/>
  <c r="N10" i="15" s="1"/>
  <c r="T13" i="15"/>
  <c r="M13" i="15"/>
  <c r="L13" i="15"/>
  <c r="N13" i="15" s="1"/>
  <c r="T11" i="15"/>
  <c r="M11" i="15"/>
  <c r="L11" i="15"/>
  <c r="N11" i="15" s="1"/>
  <c r="T7" i="15"/>
  <c r="M7" i="15"/>
  <c r="L7" i="15"/>
  <c r="N7" i="15" s="1"/>
  <c r="T5" i="15"/>
  <c r="M5" i="15"/>
  <c r="L5" i="15"/>
  <c r="N5" i="15" s="1"/>
  <c r="S5" i="15" s="1"/>
  <c r="T27" i="15"/>
  <c r="N27" i="15"/>
  <c r="S27" i="15" s="1"/>
  <c r="M27" i="15"/>
  <c r="L27" i="15"/>
  <c r="T4" i="15"/>
  <c r="M4" i="15"/>
  <c r="L4" i="15"/>
  <c r="N4" i="15" s="1"/>
  <c r="T12" i="14"/>
  <c r="T8" i="14"/>
  <c r="T33" i="14"/>
  <c r="T26" i="14"/>
  <c r="T19" i="14"/>
  <c r="T14" i="14"/>
  <c r="T16" i="14"/>
  <c r="T13" i="14"/>
  <c r="T29" i="14"/>
  <c r="T20" i="14"/>
  <c r="T9" i="14"/>
  <c r="T21" i="14"/>
  <c r="T24" i="14"/>
  <c r="T32" i="14"/>
  <c r="T6" i="14"/>
  <c r="T7" i="14"/>
  <c r="T18" i="14"/>
  <c r="T53" i="14"/>
  <c r="T38" i="14"/>
  <c r="T28" i="14"/>
  <c r="T17" i="14"/>
  <c r="T39" i="14"/>
  <c r="T11" i="14"/>
  <c r="T42" i="14"/>
  <c r="T44" i="14"/>
  <c r="T51" i="14"/>
  <c r="T40" i="14"/>
  <c r="T52" i="14"/>
  <c r="T37" i="14"/>
  <c r="T54" i="14"/>
  <c r="T46" i="14"/>
  <c r="T34" i="14"/>
  <c r="T47" i="14"/>
  <c r="T48" i="14"/>
  <c r="T49" i="14"/>
  <c r="T50" i="14"/>
  <c r="T45" i="14"/>
  <c r="T22" i="14"/>
  <c r="T10" i="14"/>
  <c r="T35" i="14"/>
  <c r="T30" i="14"/>
  <c r="T15" i="14"/>
  <c r="T4" i="14"/>
  <c r="T36" i="14"/>
  <c r="T5" i="14"/>
  <c r="T41" i="14"/>
  <c r="T27" i="14"/>
  <c r="T31" i="14"/>
  <c r="T43" i="14"/>
  <c r="T23" i="14"/>
  <c r="S28" i="14"/>
  <c r="M12" i="14"/>
  <c r="M8" i="14"/>
  <c r="M25" i="14"/>
  <c r="M33" i="14"/>
  <c r="M26" i="14"/>
  <c r="M19" i="14"/>
  <c r="M14" i="14"/>
  <c r="M16" i="14"/>
  <c r="M13" i="14"/>
  <c r="M29" i="14"/>
  <c r="M20" i="14"/>
  <c r="M9" i="14"/>
  <c r="M21" i="14"/>
  <c r="M24" i="14"/>
  <c r="M32" i="14"/>
  <c r="M6" i="14"/>
  <c r="M7" i="14"/>
  <c r="M18" i="14"/>
  <c r="M53" i="14"/>
  <c r="M38" i="14"/>
  <c r="M28" i="14"/>
  <c r="M17" i="14"/>
  <c r="M39" i="14"/>
  <c r="M11" i="14"/>
  <c r="M42" i="14"/>
  <c r="M44" i="14"/>
  <c r="M51" i="14"/>
  <c r="M40" i="14"/>
  <c r="M52" i="14"/>
  <c r="M37" i="14"/>
  <c r="M54" i="14"/>
  <c r="M46" i="14"/>
  <c r="M34" i="14"/>
  <c r="M47" i="14"/>
  <c r="M48" i="14"/>
  <c r="M49" i="14"/>
  <c r="M50" i="14"/>
  <c r="M45" i="14"/>
  <c r="M22" i="14"/>
  <c r="M10" i="14"/>
  <c r="M35" i="14"/>
  <c r="M30" i="14"/>
  <c r="M15" i="14"/>
  <c r="M4" i="14"/>
  <c r="M36" i="14"/>
  <c r="M5" i="14"/>
  <c r="M41" i="14"/>
  <c r="M27" i="14"/>
  <c r="M31" i="14"/>
  <c r="M43" i="14"/>
  <c r="M23" i="14"/>
  <c r="L12" i="14"/>
  <c r="L8" i="14"/>
  <c r="L25" i="14"/>
  <c r="N25" i="14" s="1"/>
  <c r="S25" i="14" s="1"/>
  <c r="L33" i="14"/>
  <c r="L26" i="14"/>
  <c r="L19" i="14"/>
  <c r="L14" i="14"/>
  <c r="N14" i="14" s="1"/>
  <c r="S14" i="14" s="1"/>
  <c r="L16" i="14"/>
  <c r="N16" i="14" s="1"/>
  <c r="P16" i="14" s="1"/>
  <c r="L13" i="14"/>
  <c r="L29" i="14"/>
  <c r="L20" i="14"/>
  <c r="N20" i="14" s="1"/>
  <c r="P20" i="14" s="1"/>
  <c r="L9" i="14"/>
  <c r="L21" i="14"/>
  <c r="N21" i="14" s="1"/>
  <c r="S21" i="14" s="1"/>
  <c r="L24" i="14"/>
  <c r="N24" i="14" s="1"/>
  <c r="S24" i="14" s="1"/>
  <c r="L32" i="14"/>
  <c r="N32" i="14" s="1"/>
  <c r="S32" i="14" s="1"/>
  <c r="L6" i="14"/>
  <c r="N6" i="14" s="1"/>
  <c r="P6" i="14" s="1"/>
  <c r="L7" i="14"/>
  <c r="L18" i="14"/>
  <c r="N18" i="14" s="1"/>
  <c r="P18" i="14" s="1"/>
  <c r="L53" i="14"/>
  <c r="L38" i="14"/>
  <c r="L28" i="14"/>
  <c r="L17" i="14"/>
  <c r="L39" i="14"/>
  <c r="N39" i="14" s="1"/>
  <c r="P39" i="14" s="1"/>
  <c r="L11" i="14"/>
  <c r="N11" i="14" s="1"/>
  <c r="P11" i="14" s="1"/>
  <c r="L42" i="14"/>
  <c r="L44" i="14"/>
  <c r="L51" i="14"/>
  <c r="N51" i="14" s="1"/>
  <c r="S51" i="14" s="1"/>
  <c r="L40" i="14"/>
  <c r="N40" i="14" s="1"/>
  <c r="S40" i="14" s="1"/>
  <c r="L52" i="14"/>
  <c r="L37" i="14"/>
  <c r="N37" i="14" s="1"/>
  <c r="S37" i="14" s="1"/>
  <c r="L54" i="14"/>
  <c r="N54" i="14" s="1"/>
  <c r="L46" i="14"/>
  <c r="N46" i="14" s="1"/>
  <c r="S46" i="14" s="1"/>
  <c r="L34" i="14"/>
  <c r="L47" i="14"/>
  <c r="N47" i="14" s="1"/>
  <c r="S47" i="14" s="1"/>
  <c r="L48" i="14"/>
  <c r="N48" i="14" s="1"/>
  <c r="S48" i="14" s="1"/>
  <c r="L49" i="14"/>
  <c r="N49" i="14" s="1"/>
  <c r="L50" i="14"/>
  <c r="N50" i="14" s="1"/>
  <c r="S50" i="14" s="1"/>
  <c r="L45" i="14"/>
  <c r="N45" i="14" s="1"/>
  <c r="S45" i="14" s="1"/>
  <c r="L22" i="14"/>
  <c r="N22" i="14" s="1"/>
  <c r="S22" i="14" s="1"/>
  <c r="L10" i="14"/>
  <c r="N10" i="14" s="1"/>
  <c r="P10" i="14" s="1"/>
  <c r="L35" i="14"/>
  <c r="L30" i="14"/>
  <c r="L15" i="14"/>
  <c r="N15" i="14" s="1"/>
  <c r="S15" i="14" s="1"/>
  <c r="L4" i="14"/>
  <c r="N4" i="14" s="1"/>
  <c r="S4" i="14" s="1"/>
  <c r="L36" i="14"/>
  <c r="N36" i="14" s="1"/>
  <c r="S36" i="14" s="1"/>
  <c r="L5" i="14"/>
  <c r="N5" i="14" s="1"/>
  <c r="S5" i="14" s="1"/>
  <c r="L41" i="14"/>
  <c r="N41" i="14" s="1"/>
  <c r="S41" i="14" s="1"/>
  <c r="L27" i="14"/>
  <c r="N27" i="14" s="1"/>
  <c r="S27" i="14" s="1"/>
  <c r="L31" i="14"/>
  <c r="L43" i="14"/>
  <c r="N43" i="14" s="1"/>
  <c r="S43" i="14" s="1"/>
  <c r="L23" i="14"/>
  <c r="N23" i="14" s="1"/>
  <c r="S23" i="14" s="1"/>
  <c r="E25" i="14"/>
  <c r="T25" i="14" s="1"/>
  <c r="N8" i="14"/>
  <c r="S8" i="14" s="1"/>
  <c r="N12" i="14"/>
  <c r="S12" i="14" s="1"/>
  <c r="N34" i="14"/>
  <c r="S34" i="14" s="1"/>
  <c r="N7" i="14"/>
  <c r="P7" i="14" s="1"/>
  <c r="N31" i="14"/>
  <c r="S31" i="14" s="1"/>
  <c r="N9" i="14"/>
  <c r="S9" i="14" s="1"/>
  <c r="N52" i="14"/>
  <c r="P52" i="14" s="1"/>
  <c r="N17" i="14"/>
  <c r="S17" i="14" s="1"/>
  <c r="N29" i="14"/>
  <c r="S29" i="14" s="1"/>
  <c r="N13" i="14"/>
  <c r="S13" i="14" s="1"/>
  <c r="N28" i="14"/>
  <c r="P28" i="14" s="1"/>
  <c r="N38" i="14"/>
  <c r="S38" i="14" s="1"/>
  <c r="N53" i="14"/>
  <c r="P53" i="14" s="1"/>
  <c r="N30" i="14"/>
  <c r="S30" i="14" s="1"/>
  <c r="N44" i="14"/>
  <c r="S44" i="14" s="1"/>
  <c r="N19" i="14"/>
  <c r="S19" i="14" s="1"/>
  <c r="N42" i="14"/>
  <c r="S42" i="14" s="1"/>
  <c r="N35" i="14"/>
  <c r="S35" i="14" s="1"/>
  <c r="N26" i="14"/>
  <c r="S26" i="14" s="1"/>
  <c r="N33" i="14"/>
  <c r="S33" i="14" s="1"/>
  <c r="N24" i="20" l="1"/>
  <c r="O28" i="20"/>
  <c r="AE6" i="20"/>
  <c r="O31" i="20"/>
  <c r="N31" i="20"/>
  <c r="O13" i="20"/>
  <c r="AE13" i="20"/>
  <c r="N13" i="20"/>
  <c r="O25" i="20"/>
  <c r="AE33" i="20"/>
  <c r="AE46" i="20"/>
  <c r="N46" i="20"/>
  <c r="O8" i="20"/>
  <c r="O19" i="20"/>
  <c r="O11" i="20"/>
  <c r="N16" i="20"/>
  <c r="N27" i="20"/>
  <c r="AE54" i="20"/>
  <c r="AE16" i="20"/>
  <c r="N8" i="20"/>
  <c r="N54" i="20"/>
  <c r="O27" i="20"/>
  <c r="N36" i="20"/>
  <c r="O36" i="20"/>
  <c r="N11" i="20"/>
  <c r="N18" i="20"/>
  <c r="AE17" i="20"/>
  <c r="O18" i="20"/>
  <c r="AE28" i="20"/>
  <c r="N17" i="20"/>
  <c r="Z7" i="17"/>
  <c r="AB7" i="17" s="1"/>
  <c r="O7" i="20"/>
  <c r="N7" i="20"/>
  <c r="AE7" i="20"/>
  <c r="Z16" i="17"/>
  <c r="AB16" i="17" s="1"/>
  <c r="AE16" i="17" s="1"/>
  <c r="AA52" i="17"/>
  <c r="Z25" i="17"/>
  <c r="AB25" i="17" s="1"/>
  <c r="AE25" i="17" s="1"/>
  <c r="AA6" i="17"/>
  <c r="AA45" i="17"/>
  <c r="AA34" i="17"/>
  <c r="Z43" i="17"/>
  <c r="AB43" i="17" s="1"/>
  <c r="AE43" i="17" s="1"/>
  <c r="AA39" i="17"/>
  <c r="AA27" i="17"/>
  <c r="AA19" i="17"/>
  <c r="AA5" i="17"/>
  <c r="AA53" i="17"/>
  <c r="AA10" i="17"/>
  <c r="AA17" i="17"/>
  <c r="Z37" i="17"/>
  <c r="AB37" i="17" s="1"/>
  <c r="AE37" i="17" s="1"/>
  <c r="AA42" i="17"/>
  <c r="Z26" i="17"/>
  <c r="AB26" i="17" s="1"/>
  <c r="AE26" i="17" s="1"/>
  <c r="Z36" i="17"/>
  <c r="AB36" i="17" s="1"/>
  <c r="O36" i="17" s="1"/>
  <c r="Z30" i="17"/>
  <c r="AB30" i="17" s="1"/>
  <c r="O30" i="17" s="1"/>
  <c r="Z9" i="17"/>
  <c r="AB9" i="17" s="1"/>
  <c r="O9" i="17" s="1"/>
  <c r="Z14" i="17"/>
  <c r="AB14" i="17" s="1"/>
  <c r="N14" i="17" s="1"/>
  <c r="Z53" i="17"/>
  <c r="AB53" i="17" s="1"/>
  <c r="AE53" i="17" s="1"/>
  <c r="AA24" i="17"/>
  <c r="Z4" i="17"/>
  <c r="AB4" i="17" s="1"/>
  <c r="AE4" i="17" s="1"/>
  <c r="Z5" i="17"/>
  <c r="AB5" i="17" s="1"/>
  <c r="AE5" i="17" s="1"/>
  <c r="Z49" i="17"/>
  <c r="AB49" i="17" s="1"/>
  <c r="AE49" i="17" s="1"/>
  <c r="AA50" i="17"/>
  <c r="AA44" i="17"/>
  <c r="AA16" i="17"/>
  <c r="AA4" i="17"/>
  <c r="Z34" i="17"/>
  <c r="AB34" i="17" s="1"/>
  <c r="N34" i="17" s="1"/>
  <c r="Z45" i="17"/>
  <c r="AB45" i="17" s="1"/>
  <c r="AE45" i="17" s="1"/>
  <c r="Z6" i="17"/>
  <c r="AB6" i="17" s="1"/>
  <c r="AE6" i="17" s="1"/>
  <c r="AA29" i="17"/>
  <c r="AA46" i="17"/>
  <c r="Z24" i="17"/>
  <c r="AB24" i="17" s="1"/>
  <c r="O24" i="17" s="1"/>
  <c r="Z10" i="17"/>
  <c r="AB10" i="17" s="1"/>
  <c r="Z19" i="17"/>
  <c r="AB19" i="17" s="1"/>
  <c r="AE19" i="17" s="1"/>
  <c r="Z29" i="17"/>
  <c r="AB29" i="17" s="1"/>
  <c r="N29" i="17" s="1"/>
  <c r="AA43" i="17"/>
  <c r="AA8" i="17"/>
  <c r="Z41" i="17"/>
  <c r="AB41" i="17" s="1"/>
  <c r="AE41" i="17" s="1"/>
  <c r="AA15" i="17"/>
  <c r="Z46" i="17"/>
  <c r="AB46" i="17" s="1"/>
  <c r="O46" i="17" s="1"/>
  <c r="AA51" i="17"/>
  <c r="AA14" i="17"/>
  <c r="AA26" i="17"/>
  <c r="AA36" i="17"/>
  <c r="N33" i="17"/>
  <c r="AE33" i="17"/>
  <c r="O33" i="17"/>
  <c r="N7" i="17"/>
  <c r="O7" i="17"/>
  <c r="AE7" i="17"/>
  <c r="N25" i="17"/>
  <c r="O25" i="17"/>
  <c r="O13" i="17"/>
  <c r="N16" i="17"/>
  <c r="O16" i="17"/>
  <c r="O51" i="17"/>
  <c r="AE11" i="17"/>
  <c r="O11" i="17"/>
  <c r="N11" i="17"/>
  <c r="AE21" i="17"/>
  <c r="O21" i="17"/>
  <c r="N21" i="17"/>
  <c r="AE36" i="17"/>
  <c r="O47" i="17"/>
  <c r="AE47" i="17"/>
  <c r="N47" i="17"/>
  <c r="O14" i="17"/>
  <c r="AE8" i="17"/>
  <c r="O8" i="17"/>
  <c r="N8" i="17"/>
  <c r="N43" i="17"/>
  <c r="AE35" i="17"/>
  <c r="O35" i="17"/>
  <c r="N35" i="17"/>
  <c r="AE31" i="17"/>
  <c r="O31" i="17"/>
  <c r="N31" i="17"/>
  <c r="AE32" i="17"/>
  <c r="O32" i="17"/>
  <c r="N32" i="17"/>
  <c r="N24" i="17"/>
  <c r="AE24" i="17"/>
  <c r="N42" i="17"/>
  <c r="AE42" i="17"/>
  <c r="O42" i="17"/>
  <c r="AE28" i="17"/>
  <c r="O28" i="17"/>
  <c r="N28" i="17"/>
  <c r="AE50" i="17"/>
  <c r="O50" i="17"/>
  <c r="N50" i="17"/>
  <c r="O15" i="17"/>
  <c r="AE15" i="17"/>
  <c r="N15" i="17"/>
  <c r="AE39" i="17"/>
  <c r="O39" i="17"/>
  <c r="N39" i="17"/>
  <c r="N53" i="17"/>
  <c r="N17" i="17"/>
  <c r="AE17" i="17"/>
  <c r="O17" i="17"/>
  <c r="AE54" i="17"/>
  <c r="O54" i="17"/>
  <c r="N54" i="17"/>
  <c r="AE13" i="17"/>
  <c r="AE51" i="17"/>
  <c r="AE40" i="17"/>
  <c r="N27" i="17"/>
  <c r="O6" i="17"/>
  <c r="N12" i="17"/>
  <c r="O27" i="17"/>
  <c r="O12" i="17"/>
  <c r="N23" i="17"/>
  <c r="N48" i="17"/>
  <c r="O23" i="17"/>
  <c r="O48" i="17"/>
  <c r="N22" i="17"/>
  <c r="N38" i="17"/>
  <c r="N52" i="17"/>
  <c r="O52" i="17"/>
  <c r="O22" i="17"/>
  <c r="O38" i="17"/>
  <c r="N44" i="17"/>
  <c r="N18" i="17"/>
  <c r="N20" i="17"/>
  <c r="O18" i="17"/>
  <c r="O20" i="17"/>
  <c r="O26" i="17"/>
  <c r="O44" i="17"/>
  <c r="N40" i="17"/>
  <c r="S7" i="15"/>
  <c r="O7" i="15"/>
  <c r="O25" i="15"/>
  <c r="O24" i="15"/>
  <c r="S48" i="15"/>
  <c r="P48" i="15"/>
  <c r="O48" i="15"/>
  <c r="S47" i="15"/>
  <c r="P47" i="15"/>
  <c r="O47" i="15"/>
  <c r="S14" i="15"/>
  <c r="P14" i="15"/>
  <c r="O14" i="15"/>
  <c r="S23" i="15"/>
  <c r="P23" i="15"/>
  <c r="O23" i="15"/>
  <c r="S30" i="15"/>
  <c r="P30" i="15"/>
  <c r="O30" i="15"/>
  <c r="S42" i="15"/>
  <c r="P42" i="15"/>
  <c r="O42" i="15"/>
  <c r="O11" i="15"/>
  <c r="S11" i="15"/>
  <c r="P11" i="15"/>
  <c r="P7" i="15"/>
  <c r="O15" i="15"/>
  <c r="P24" i="15"/>
  <c r="P25" i="15"/>
  <c r="O6" i="15"/>
  <c r="P15" i="15"/>
  <c r="P6" i="15"/>
  <c r="O41" i="15"/>
  <c r="P41" i="15"/>
  <c r="O52" i="15"/>
  <c r="S52" i="15"/>
  <c r="P52" i="15"/>
  <c r="O33" i="15"/>
  <c r="S33" i="15"/>
  <c r="P33" i="15"/>
  <c r="S36" i="15"/>
  <c r="P36" i="15"/>
  <c r="O36" i="15"/>
  <c r="S50" i="15"/>
  <c r="P50" i="15"/>
  <c r="O50" i="15"/>
  <c r="P21" i="15"/>
  <c r="O21" i="15"/>
  <c r="S21" i="15"/>
  <c r="O37" i="15"/>
  <c r="S37" i="15"/>
  <c r="P37" i="15"/>
  <c r="S46" i="15"/>
  <c r="O46" i="15"/>
  <c r="P46" i="15"/>
  <c r="O51" i="15"/>
  <c r="S51" i="15"/>
  <c r="P51" i="15"/>
  <c r="S4" i="15"/>
  <c r="O4" i="15"/>
  <c r="P4" i="15"/>
  <c r="P28" i="15"/>
  <c r="O28" i="15"/>
  <c r="S28" i="15"/>
  <c r="S12" i="15"/>
  <c r="P12" i="15"/>
  <c r="O12" i="15"/>
  <c r="P38" i="15"/>
  <c r="O38" i="15"/>
  <c r="S38" i="15"/>
  <c r="S19" i="15"/>
  <c r="P19" i="15"/>
  <c r="O19" i="15"/>
  <c r="P26" i="15"/>
  <c r="S26" i="15"/>
  <c r="O26" i="15"/>
  <c r="P44" i="15"/>
  <c r="O44" i="15"/>
  <c r="S44" i="15"/>
  <c r="P16" i="15"/>
  <c r="O16" i="15"/>
  <c r="S16" i="15"/>
  <c r="O10" i="15"/>
  <c r="S10" i="15"/>
  <c r="P10" i="15"/>
  <c r="S29" i="15"/>
  <c r="O29" i="15"/>
  <c r="P29" i="15"/>
  <c r="P34" i="15"/>
  <c r="O34" i="15"/>
  <c r="S34" i="15"/>
  <c r="P53" i="15"/>
  <c r="O53" i="15"/>
  <c r="S53" i="15"/>
  <c r="P13" i="15"/>
  <c r="O13" i="15"/>
  <c r="S13" i="15"/>
  <c r="S17" i="15"/>
  <c r="P17" i="15"/>
  <c r="O17" i="15"/>
  <c r="O18" i="15"/>
  <c r="S18" i="15"/>
  <c r="P18" i="15"/>
  <c r="S43" i="15"/>
  <c r="O43" i="15"/>
  <c r="P43" i="15"/>
  <c r="P49" i="15"/>
  <c r="S49" i="15"/>
  <c r="O49" i="15"/>
  <c r="O5" i="15"/>
  <c r="O31" i="15"/>
  <c r="O27" i="15"/>
  <c r="P9" i="15"/>
  <c r="P45" i="15"/>
  <c r="P31" i="15"/>
  <c r="O45" i="15"/>
  <c r="O40" i="15"/>
  <c r="P5" i="15"/>
  <c r="P22" i="15"/>
  <c r="P40" i="15"/>
  <c r="O54" i="15"/>
  <c r="P27" i="15"/>
  <c r="S9" i="15"/>
  <c r="S22" i="15"/>
  <c r="P35" i="15"/>
  <c r="P39" i="15"/>
  <c r="P54" i="15"/>
  <c r="S8" i="15"/>
  <c r="S20" i="15"/>
  <c r="S35" i="15"/>
  <c r="S32" i="15"/>
  <c r="S39" i="15"/>
  <c r="O8" i="15"/>
  <c r="O20" i="15"/>
  <c r="O32" i="15"/>
  <c r="S52" i="14"/>
  <c r="P54" i="14"/>
  <c r="S54" i="14"/>
  <c r="P49" i="14"/>
  <c r="S49" i="14"/>
  <c r="S53" i="14"/>
  <c r="S20" i="14"/>
  <c r="S18" i="14"/>
  <c r="S7" i="14"/>
  <c r="S10" i="14"/>
  <c r="S11" i="14"/>
  <c r="S6" i="14"/>
  <c r="S16" i="14"/>
  <c r="S39" i="14"/>
  <c r="P47" i="14"/>
  <c r="O47" i="14"/>
  <c r="P29" i="14"/>
  <c r="O29" i="14"/>
  <c r="O21" i="14"/>
  <c r="P21" i="14"/>
  <c r="P31" i="14"/>
  <c r="O31" i="14"/>
  <c r="P22" i="14"/>
  <c r="O22" i="14"/>
  <c r="P33" i="14"/>
  <c r="O33" i="14"/>
  <c r="O43" i="14"/>
  <c r="P43" i="14"/>
  <c r="O44" i="14"/>
  <c r="P44" i="14"/>
  <c r="O51" i="14"/>
  <c r="P51" i="14"/>
  <c r="P40" i="14"/>
  <c r="O40" i="14"/>
  <c r="P27" i="14"/>
  <c r="O27" i="14"/>
  <c r="O37" i="14"/>
  <c r="P37" i="14"/>
  <c r="P25" i="14"/>
  <c r="O25" i="14"/>
  <c r="P8" i="14"/>
  <c r="O8" i="14"/>
  <c r="P26" i="14"/>
  <c r="O26" i="14"/>
  <c r="P45" i="14"/>
  <c r="O45" i="14"/>
  <c r="P30" i="14"/>
  <c r="O30" i="14"/>
  <c r="P5" i="14"/>
  <c r="O5" i="14"/>
  <c r="P14" i="14"/>
  <c r="O14" i="14"/>
  <c r="O35" i="14"/>
  <c r="P35" i="14"/>
  <c r="P23" i="14"/>
  <c r="O23" i="14"/>
  <c r="P38" i="14"/>
  <c r="O38" i="14"/>
  <c r="O41" i="14"/>
  <c r="P41" i="14"/>
  <c r="P24" i="14"/>
  <c r="O24" i="14"/>
  <c r="P46" i="14"/>
  <c r="O46" i="14"/>
  <c r="P48" i="14"/>
  <c r="O48" i="14"/>
  <c r="P50" i="14"/>
  <c r="O50" i="14"/>
  <c r="O12" i="14"/>
  <c r="P12" i="14"/>
  <c r="P15" i="14"/>
  <c r="O15" i="14"/>
  <c r="P42" i="14"/>
  <c r="O42" i="14"/>
  <c r="O4" i="14"/>
  <c r="P4" i="14"/>
  <c r="P19" i="14"/>
  <c r="O19" i="14"/>
  <c r="P36" i="14"/>
  <c r="O36" i="14"/>
  <c r="O13" i="14"/>
  <c r="P13" i="14"/>
  <c r="P17" i="14"/>
  <c r="O17" i="14"/>
  <c r="P9" i="14"/>
  <c r="O9" i="14"/>
  <c r="O32" i="14"/>
  <c r="P32" i="14"/>
  <c r="P34" i="14"/>
  <c r="O34" i="14"/>
  <c r="O11" i="14"/>
  <c r="O18" i="14"/>
  <c r="O16" i="14"/>
  <c r="O20" i="14"/>
  <c r="O6" i="14"/>
  <c r="O54" i="14"/>
  <c r="O10" i="14"/>
  <c r="O53" i="14"/>
  <c r="O28" i="14"/>
  <c r="O52" i="14"/>
  <c r="O7" i="14"/>
  <c r="O49" i="14"/>
  <c r="O39" i="14"/>
  <c r="O45" i="17" l="1"/>
  <c r="N45" i="17"/>
  <c r="AE9" i="17"/>
  <c r="O37" i="17"/>
  <c r="N37" i="17"/>
  <c r="N49" i="17"/>
  <c r="AE30" i="17"/>
  <c r="AE34" i="17"/>
  <c r="O49" i="17"/>
  <c r="N41" i="17"/>
  <c r="N6" i="17"/>
  <c r="O43" i="17"/>
  <c r="N5" i="17"/>
  <c r="O41" i="17"/>
  <c r="N26" i="17"/>
  <c r="N30" i="17"/>
  <c r="O34" i="17"/>
  <c r="N36" i="17"/>
  <c r="O5" i="17"/>
  <c r="O19" i="17"/>
  <c r="N4" i="17"/>
  <c r="AE29" i="17"/>
  <c r="O53" i="17"/>
  <c r="O4" i="17"/>
  <c r="O29" i="17"/>
  <c r="N19" i="17"/>
  <c r="AE14" i="17"/>
  <c r="N9" i="17"/>
  <c r="N46" i="17"/>
  <c r="AE46" i="17"/>
  <c r="D2" i="12"/>
  <c r="C2" i="12"/>
  <c r="C7" i="12" l="1"/>
  <c r="C4" i="12"/>
  <c r="E4" i="12" s="1"/>
  <c r="C3" i="12"/>
  <c r="E3" i="12"/>
  <c r="J5" i="11" l="1"/>
  <c r="J6" i="11"/>
  <c r="J7" i="11"/>
  <c r="J9" i="11"/>
  <c r="J10" i="11"/>
  <c r="J11" i="11"/>
  <c r="J12" i="11"/>
  <c r="J13" i="11"/>
  <c r="J15" i="11"/>
  <c r="J14" i="11"/>
  <c r="J16" i="11"/>
  <c r="J17" i="11"/>
  <c r="J18" i="11"/>
  <c r="J19" i="11"/>
  <c r="J20" i="11"/>
  <c r="J21" i="11"/>
  <c r="J22" i="11"/>
  <c r="J23" i="11"/>
  <c r="J24" i="11"/>
  <c r="J25" i="11"/>
  <c r="J26" i="11"/>
  <c r="J28" i="11"/>
  <c r="J29" i="11"/>
  <c r="J30" i="11"/>
  <c r="J31" i="11"/>
  <c r="J32" i="11"/>
  <c r="J33" i="11"/>
  <c r="J34" i="11"/>
  <c r="J35" i="11"/>
  <c r="J36" i="11"/>
  <c r="J38" i="11"/>
  <c r="J40" i="11"/>
  <c r="J41" i="11"/>
  <c r="J42" i="11"/>
  <c r="J43" i="11"/>
  <c r="J44" i="11"/>
  <c r="J45" i="11"/>
  <c r="J37" i="11"/>
  <c r="J46" i="11"/>
  <c r="J48" i="11"/>
  <c r="J49" i="11"/>
  <c r="J50" i="11"/>
  <c r="J51" i="11"/>
  <c r="J52" i="11"/>
  <c r="J53" i="11"/>
  <c r="J54" i="11"/>
  <c r="J55" i="11"/>
  <c r="J56" i="11"/>
  <c r="J57" i="11"/>
  <c r="J58" i="11"/>
  <c r="J4" i="11"/>
  <c r="E7" i="11"/>
  <c r="I7" i="11" l="1"/>
  <c r="K7" i="11" s="1"/>
  <c r="L7" i="11" s="1"/>
  <c r="I38" i="11"/>
  <c r="K38" i="11" s="1"/>
  <c r="I50" i="11"/>
  <c r="K50" i="11" s="1"/>
  <c r="M50" i="11" s="1"/>
  <c r="I25" i="11"/>
  <c r="K25" i="11" s="1"/>
  <c r="I9" i="11"/>
  <c r="K9" i="11" s="1"/>
  <c r="M9" i="11" s="1"/>
  <c r="I37" i="11"/>
  <c r="K37" i="11" s="1"/>
  <c r="I41" i="11"/>
  <c r="K41" i="11" s="1"/>
  <c r="M41" i="11" s="1"/>
  <c r="I43" i="11"/>
  <c r="K43" i="11" s="1"/>
  <c r="I44" i="11"/>
  <c r="K44" i="11" s="1"/>
  <c r="I45" i="11"/>
  <c r="K45" i="11" s="1"/>
  <c r="M45" i="11" s="1"/>
  <c r="I51" i="11"/>
  <c r="K51" i="11" s="1"/>
  <c r="I29" i="11"/>
  <c r="K29" i="11" s="1"/>
  <c r="M29" i="11" s="1"/>
  <c r="I52" i="11"/>
  <c r="K52" i="11" s="1"/>
  <c r="I56" i="11"/>
  <c r="K56" i="11" s="1"/>
  <c r="I58" i="11"/>
  <c r="K58" i="11" s="1"/>
  <c r="I20" i="11"/>
  <c r="K20" i="11" s="1"/>
  <c r="I54" i="11"/>
  <c r="K54" i="11" s="1"/>
  <c r="I5" i="11"/>
  <c r="K5" i="11" s="1"/>
  <c r="I12" i="11"/>
  <c r="K12" i="11" s="1"/>
  <c r="I4" i="11"/>
  <c r="K4" i="11" s="1"/>
  <c r="I34" i="11"/>
  <c r="K34" i="11" s="1"/>
  <c r="I32" i="11"/>
  <c r="K32" i="11" s="1"/>
  <c r="I35" i="11"/>
  <c r="K35" i="11" s="1"/>
  <c r="I46" i="11"/>
  <c r="K46" i="11" s="1"/>
  <c r="I15" i="11"/>
  <c r="K15" i="11" s="1"/>
  <c r="L15" i="11" s="1"/>
  <c r="I17" i="11"/>
  <c r="K17" i="11" s="1"/>
  <c r="I40" i="11"/>
  <c r="K40" i="11" s="1"/>
  <c r="L40" i="11" s="1"/>
  <c r="I49" i="11"/>
  <c r="K49" i="11" s="1"/>
  <c r="I53" i="11"/>
  <c r="K53" i="11" s="1"/>
  <c r="I14" i="11"/>
  <c r="K14" i="11" s="1"/>
  <c r="I13" i="11"/>
  <c r="K13" i="11" s="1"/>
  <c r="M13" i="11" s="1"/>
  <c r="I18" i="11"/>
  <c r="K18" i="11" s="1"/>
  <c r="I24" i="11"/>
  <c r="K24" i="11" s="1"/>
  <c r="I19" i="11"/>
  <c r="K19" i="11" s="1"/>
  <c r="I23" i="11"/>
  <c r="K23" i="11" s="1"/>
  <c r="M23" i="11" s="1"/>
  <c r="I33" i="11"/>
  <c r="K33" i="11" s="1"/>
  <c r="I22" i="11"/>
  <c r="K22" i="11" s="1"/>
  <c r="I55" i="11"/>
  <c r="K55" i="11" s="1"/>
  <c r="I28" i="11"/>
  <c r="K28" i="11" s="1"/>
  <c r="I10" i="11"/>
  <c r="K10" i="11" s="1"/>
  <c r="I31" i="11"/>
  <c r="K31" i="11" s="1"/>
  <c r="I30" i="11"/>
  <c r="K30" i="11" s="1"/>
  <c r="I16" i="11"/>
  <c r="K16" i="11" s="1"/>
  <c r="I57" i="11"/>
  <c r="K57" i="11" s="1"/>
  <c r="M57" i="11" s="1"/>
  <c r="I42" i="11"/>
  <c r="K42" i="11" s="1"/>
  <c r="M42" i="11" s="1"/>
  <c r="I26" i="11"/>
  <c r="K26" i="11" s="1"/>
  <c r="M26" i="11" s="1"/>
  <c r="I21" i="11"/>
  <c r="K21" i="11" s="1"/>
  <c r="M21" i="11" s="1"/>
  <c r="I6" i="11"/>
  <c r="K6" i="11" s="1"/>
  <c r="M6" i="11" s="1"/>
  <c r="I48" i="11"/>
  <c r="K48" i="11" s="1"/>
  <c r="M48" i="11" s="1"/>
  <c r="I11" i="11"/>
  <c r="K11" i="11" s="1"/>
  <c r="M11" i="11" s="1"/>
  <c r="I36" i="11"/>
  <c r="K36" i="11" s="1"/>
  <c r="M36" i="11" s="1"/>
  <c r="L11" i="9"/>
  <c r="L5" i="9"/>
  <c r="L15" i="9"/>
  <c r="L13" i="9"/>
  <c r="L12" i="9"/>
  <c r="L7" i="9"/>
  <c r="L4" i="9"/>
  <c r="L3" i="9"/>
  <c r="C15" i="9"/>
  <c r="C7" i="9"/>
  <c r="B15" i="9"/>
  <c r="B7" i="9"/>
  <c r="D12" i="9"/>
  <c r="E12" i="9"/>
  <c r="D13" i="9"/>
  <c r="E13" i="9"/>
  <c r="E11" i="9"/>
  <c r="D11" i="9"/>
  <c r="E4" i="9"/>
  <c r="E5" i="9"/>
  <c r="D4" i="9"/>
  <c r="D5" i="9"/>
  <c r="E3" i="9"/>
  <c r="D3" i="9"/>
  <c r="M4" i="11" l="1"/>
  <c r="L4" i="11"/>
  <c r="L45" i="11"/>
  <c r="M7" i="11"/>
  <c r="L38" i="11"/>
  <c r="M38" i="11"/>
  <c r="M51" i="11"/>
  <c r="L51" i="11"/>
  <c r="L9" i="11"/>
  <c r="M37" i="11"/>
  <c r="L37" i="11"/>
  <c r="M43" i="11"/>
  <c r="L43" i="11"/>
  <c r="L29" i="11"/>
  <c r="L25" i="11"/>
  <c r="M25" i="11"/>
  <c r="L44" i="11"/>
  <c r="M44" i="11"/>
  <c r="L50" i="11"/>
  <c r="L41" i="11"/>
  <c r="L52" i="11"/>
  <c r="M52" i="11"/>
  <c r="M56" i="11"/>
  <c r="L56" i="11"/>
  <c r="M58" i="11"/>
  <c r="L58" i="11"/>
  <c r="L14" i="11"/>
  <c r="M14" i="11"/>
  <c r="L55" i="11"/>
  <c r="M55" i="11"/>
  <c r="M34" i="11"/>
  <c r="L34" i="11"/>
  <c r="M24" i="11"/>
  <c r="L24" i="11"/>
  <c r="L13" i="11"/>
  <c r="L23" i="11"/>
  <c r="M17" i="11"/>
  <c r="L17" i="11"/>
  <c r="L35" i="11"/>
  <c r="M35" i="11"/>
  <c r="L32" i="11"/>
  <c r="M32" i="11"/>
  <c r="M22" i="11"/>
  <c r="L22" i="11"/>
  <c r="L12" i="11"/>
  <c r="M12" i="11"/>
  <c r="L5" i="11"/>
  <c r="M5" i="11"/>
  <c r="L53" i="11"/>
  <c r="M53" i="11"/>
  <c r="M54" i="11"/>
  <c r="L54" i="11"/>
  <c r="L36" i="11"/>
  <c r="M40" i="11"/>
  <c r="L33" i="11"/>
  <c r="M33" i="11"/>
  <c r="M28" i="11"/>
  <c r="L28" i="11"/>
  <c r="L19" i="11"/>
  <c r="M19" i="11"/>
  <c r="L10" i="11"/>
  <c r="M10" i="11"/>
  <c r="L18" i="11"/>
  <c r="M18" i="11"/>
  <c r="L46" i="11"/>
  <c r="M46" i="11"/>
  <c r="L49" i="11"/>
  <c r="M49" i="11"/>
  <c r="L20" i="11"/>
  <c r="M20" i="11"/>
  <c r="M15" i="11"/>
  <c r="M31" i="11"/>
  <c r="L31" i="11"/>
  <c r="M16" i="11"/>
  <c r="L16" i="11"/>
  <c r="L30" i="11"/>
  <c r="M30" i="11"/>
  <c r="L11" i="11"/>
  <c r="L48" i="11"/>
  <c r="L6" i="11"/>
  <c r="L21" i="11"/>
  <c r="L26" i="11"/>
  <c r="L42" i="11"/>
  <c r="L57" i="11"/>
  <c r="K10" i="9"/>
  <c r="L16" i="9" s="1"/>
  <c r="L14" i="9" s="1"/>
  <c r="E7" i="9"/>
  <c r="E15" i="9"/>
  <c r="D15" i="9"/>
  <c r="D7" i="9"/>
  <c r="L8" i="9" l="1"/>
  <c r="L6" i="9" s="1"/>
  <c r="M13" i="9" s="1"/>
  <c r="M4" i="9"/>
  <c r="M3" i="9"/>
  <c r="M7" i="9"/>
  <c r="M5" i="9"/>
  <c r="M15" i="9" l="1"/>
  <c r="M12" i="9"/>
  <c r="M11" i="9"/>
  <c r="M8" i="9"/>
  <c r="M6" i="9" s="1"/>
  <c r="N11" i="9" s="1"/>
  <c r="M16" i="9" l="1"/>
  <c r="M14" i="9"/>
  <c r="N5" i="9" s="1"/>
  <c r="N12" i="9"/>
  <c r="N15" i="9"/>
  <c r="N13" i="9"/>
  <c r="N3" i="9" l="1"/>
  <c r="N4" i="9"/>
  <c r="N8" i="9" s="1"/>
  <c r="N6" i="9" s="1"/>
  <c r="O11" i="9" s="1"/>
  <c r="N7" i="9"/>
  <c r="N16" i="9"/>
  <c r="N14" i="9" s="1"/>
  <c r="O12" i="9" l="1"/>
  <c r="O13" i="9"/>
  <c r="O15" i="9"/>
  <c r="O7" i="9"/>
  <c r="O5" i="9"/>
  <c r="O3" i="9"/>
  <c r="O4" i="9"/>
  <c r="O16" i="9" l="1"/>
  <c r="O14" i="9" s="1"/>
  <c r="P4" i="9" s="1"/>
  <c r="O8" i="9"/>
  <c r="O6" i="9" s="1"/>
  <c r="P7" i="9" l="1"/>
  <c r="P5" i="9"/>
  <c r="P3" i="9"/>
  <c r="P8" i="9" s="1"/>
  <c r="P6" i="9" s="1"/>
  <c r="P11" i="9"/>
  <c r="P13" i="9"/>
  <c r="P15" i="9"/>
  <c r="P12" i="9"/>
  <c r="Q12" i="9" l="1"/>
  <c r="Q13" i="9"/>
  <c r="Q15" i="9"/>
  <c r="P16" i="9"/>
  <c r="P14" i="9" s="1"/>
  <c r="Q11" i="9"/>
  <c r="Q4" i="9" l="1"/>
  <c r="Q7" i="9"/>
  <c r="Q5" i="9"/>
  <c r="Q3" i="9"/>
  <c r="Q16" i="9"/>
  <c r="Q14" i="9" s="1"/>
  <c r="R4" i="9" l="1"/>
  <c r="R5" i="9"/>
  <c r="R7" i="9"/>
  <c r="Q8" i="9"/>
  <c r="Q6" i="9" s="1"/>
  <c r="R3" i="9"/>
  <c r="R8" i="9" l="1"/>
  <c r="R6" i="9" s="1"/>
  <c r="R12" i="9"/>
  <c r="R13" i="9"/>
  <c r="R11" i="9"/>
  <c r="R15" i="9"/>
  <c r="S15" i="9" l="1"/>
  <c r="S13" i="9"/>
  <c r="R16" i="9"/>
  <c r="R14" i="9" s="1"/>
  <c r="S11" i="9"/>
  <c r="S12" i="9"/>
  <c r="S16" i="9" l="1"/>
  <c r="S14" i="9" s="1"/>
  <c r="S4" i="9"/>
  <c r="S5" i="9"/>
  <c r="S7" i="9"/>
  <c r="S3" i="9"/>
  <c r="T4" i="9" l="1"/>
  <c r="T7" i="9"/>
  <c r="T5" i="9"/>
  <c r="S8" i="9"/>
  <c r="S6" i="9"/>
  <c r="T3" i="9"/>
  <c r="T13" i="9" l="1"/>
  <c r="T15" i="9"/>
  <c r="T11" i="9"/>
  <c r="T12" i="9"/>
  <c r="T8" i="9"/>
  <c r="T6" i="9" s="1"/>
  <c r="T16" i="9" l="1"/>
  <c r="T14" i="9" s="1"/>
  <c r="U11" i="9"/>
  <c r="U15" i="9"/>
  <c r="U12" i="9"/>
  <c r="U13" i="9"/>
  <c r="U16" i="9" l="1"/>
  <c r="U14" i="9" s="1"/>
  <c r="U4" i="9"/>
  <c r="U7" i="9"/>
  <c r="U3" i="9"/>
  <c r="U5" i="9"/>
  <c r="V5" i="9" l="1"/>
  <c r="V7" i="9"/>
  <c r="V4" i="9"/>
  <c r="U8" i="9"/>
  <c r="U6" i="9" s="1"/>
  <c r="V3" i="9"/>
  <c r="V15" i="9" l="1"/>
  <c r="V13" i="9"/>
  <c r="V11" i="9"/>
  <c r="V12" i="9"/>
  <c r="V8" i="9"/>
  <c r="V6" i="9" s="1"/>
  <c r="V16" i="9" l="1"/>
  <c r="V14" i="9" s="1"/>
  <c r="W11" i="9"/>
  <c r="W13" i="9"/>
  <c r="W12" i="9"/>
  <c r="W15" i="9"/>
  <c r="W5" i="9" l="1"/>
  <c r="W7" i="9"/>
  <c r="W4" i="9"/>
  <c r="W3" i="9"/>
  <c r="W16" i="9"/>
  <c r="W14" i="9" s="1"/>
  <c r="W8" i="9" l="1"/>
  <c r="W6" i="9" s="1"/>
  <c r="X3" i="9"/>
  <c r="X4" i="9"/>
  <c r="X7" i="9"/>
  <c r="X5" i="9"/>
  <c r="X12" i="9" l="1"/>
  <c r="X13" i="9"/>
  <c r="X15" i="9"/>
  <c r="X11" i="9"/>
  <c r="X8" i="9"/>
  <c r="X6" i="9"/>
  <c r="Y15" i="9" l="1"/>
  <c r="Y13" i="9"/>
  <c r="X16" i="9"/>
  <c r="X14" i="9" s="1"/>
  <c r="Y11" i="9"/>
  <c r="Y12" i="9"/>
  <c r="Y16" i="9" l="1"/>
  <c r="Y14" i="9" s="1"/>
  <c r="Y3" i="9"/>
  <c r="Y4" i="9"/>
  <c r="Y5" i="9"/>
  <c r="Y7" i="9"/>
  <c r="Z7" i="9" l="1"/>
  <c r="Z4" i="9"/>
  <c r="Z5" i="9"/>
  <c r="Y8" i="9"/>
  <c r="Y6" i="9" s="1"/>
  <c r="Z3" i="9"/>
  <c r="Z12" i="9" l="1"/>
  <c r="Z11" i="9"/>
  <c r="Z13" i="9"/>
  <c r="Z15" i="9"/>
  <c r="Z8" i="9"/>
  <c r="Z6" i="9"/>
  <c r="AA13" i="9" l="1"/>
  <c r="Z16" i="9"/>
  <c r="Z14" i="9" s="1"/>
  <c r="AA11" i="9"/>
  <c r="AA15" i="9"/>
  <c r="AA12" i="9"/>
  <c r="AA4" i="9" l="1"/>
  <c r="AA7" i="9"/>
  <c r="AA5" i="9"/>
  <c r="AA3" i="9"/>
  <c r="AA16" i="9"/>
  <c r="AA14" i="9" s="1"/>
  <c r="AA8" i="9" l="1"/>
  <c r="AA6" i="9" s="1"/>
  <c r="AB3" i="9"/>
  <c r="AB5" i="9"/>
  <c r="AB7" i="9"/>
  <c r="AB4" i="9"/>
  <c r="AB8" i="9" l="1"/>
  <c r="AB6" i="9" s="1"/>
  <c r="AB12" i="9"/>
  <c r="AB15" i="9"/>
  <c r="AB13" i="9"/>
  <c r="AB11" i="9"/>
  <c r="AC13" i="9" l="1"/>
  <c r="AB16" i="9"/>
  <c r="AB14" i="9" s="1"/>
  <c r="AC11" i="9"/>
  <c r="AC12" i="9"/>
  <c r="AC15" i="9"/>
  <c r="AC5" i="9" l="1"/>
  <c r="AC4" i="9"/>
  <c r="AC7" i="9"/>
  <c r="AC3" i="9"/>
  <c r="AC16" i="9"/>
  <c r="AC14" i="9" s="1"/>
  <c r="AD7" i="9" l="1"/>
  <c r="AD5" i="9"/>
  <c r="AC8" i="9"/>
  <c r="AC6" i="9" s="1"/>
  <c r="AD3" i="9"/>
  <c r="AD4" i="9"/>
  <c r="AD8" i="9" l="1"/>
  <c r="AD6" i="9" s="1"/>
  <c r="AD12" i="9"/>
  <c r="AD13" i="9"/>
  <c r="AD15" i="9"/>
  <c r="AD11" i="9"/>
  <c r="AE15" i="9" l="1"/>
  <c r="AE13" i="9"/>
  <c r="AD16" i="9"/>
  <c r="AD14" i="9" s="1"/>
  <c r="AE11" i="9"/>
  <c r="AE12" i="9"/>
  <c r="AE3" i="9" l="1"/>
  <c r="AE4" i="9"/>
  <c r="AE7" i="9"/>
  <c r="AE5" i="9"/>
  <c r="AE16" i="9"/>
  <c r="AE14" i="9" s="1"/>
  <c r="AF7" i="9" l="1"/>
  <c r="AF4" i="9"/>
  <c r="AF5" i="9"/>
  <c r="AE8" i="9"/>
  <c r="AE6" i="9" s="1"/>
  <c r="AF3" i="9"/>
  <c r="AF12" i="9" l="1"/>
  <c r="AF15" i="9"/>
  <c r="AF13" i="9"/>
  <c r="AF11" i="9"/>
  <c r="AF8" i="9"/>
  <c r="AF6" i="9" s="1"/>
  <c r="AG15" i="9" l="1"/>
  <c r="AF16" i="9"/>
  <c r="AF14" i="9" s="1"/>
  <c r="AG11" i="9"/>
  <c r="AG13" i="9"/>
  <c r="AG12" i="9"/>
  <c r="AG5" i="9" l="1"/>
  <c r="AG4" i="9"/>
  <c r="AG7" i="9"/>
  <c r="AG3" i="9"/>
  <c r="AG16" i="9"/>
  <c r="AG14" i="9" s="1"/>
  <c r="AH7" i="9" l="1"/>
  <c r="AH4" i="9"/>
  <c r="AG8" i="9"/>
  <c r="AG6" i="9" s="1"/>
  <c r="AH3" i="9"/>
  <c r="AH5" i="9"/>
  <c r="AH13" i="9" l="1"/>
  <c r="AH12" i="9"/>
  <c r="AH15" i="9"/>
  <c r="AH11" i="9"/>
  <c r="AH8" i="9"/>
  <c r="AH6" i="9" s="1"/>
  <c r="AI15" i="9" l="1"/>
  <c r="AI12" i="9"/>
  <c r="AH16" i="9"/>
  <c r="AH14" i="9" s="1"/>
  <c r="AI11" i="9"/>
  <c r="AI13" i="9"/>
  <c r="AI16" i="9" l="1"/>
  <c r="AI14" i="9" s="1"/>
  <c r="AI5" i="9"/>
  <c r="AI4" i="9"/>
  <c r="AI3" i="9"/>
  <c r="AI7" i="9"/>
  <c r="AI8" i="9" l="1"/>
  <c r="AI6" i="9" s="1"/>
  <c r="AJ3" i="9"/>
  <c r="AJ7" i="9"/>
  <c r="AJ5" i="9"/>
  <c r="AJ4" i="9"/>
  <c r="AJ13" i="9" l="1"/>
  <c r="AJ11" i="9"/>
  <c r="AJ12" i="9"/>
  <c r="AJ15" i="9"/>
  <c r="AJ8" i="9"/>
  <c r="AJ6" i="9" s="1"/>
  <c r="AK12" i="9" l="1"/>
  <c r="AJ16" i="9"/>
  <c r="AJ14" i="9" s="1"/>
  <c r="AK11" i="9"/>
  <c r="AK15" i="9"/>
  <c r="AK13" i="9"/>
  <c r="AK5" i="9" l="1"/>
  <c r="AK7" i="9"/>
  <c r="AK4" i="9"/>
  <c r="AK3" i="9"/>
  <c r="AK16" i="9"/>
  <c r="AK14" i="9" s="1"/>
  <c r="AL7" i="9" l="1"/>
  <c r="AK8" i="9"/>
  <c r="AK6" i="9"/>
  <c r="AL3" i="9"/>
  <c r="AL4" i="9"/>
  <c r="AL5" i="9"/>
  <c r="AL8" i="9" l="1"/>
  <c r="AL6" i="9"/>
  <c r="AL13" i="9"/>
  <c r="AL12" i="9"/>
  <c r="AL11" i="9"/>
  <c r="AL15" i="9"/>
  <c r="AM15" i="9" l="1"/>
  <c r="AM12" i="9"/>
  <c r="AL16" i="9"/>
  <c r="AL14" i="9" s="1"/>
  <c r="AM11" i="9"/>
  <c r="AM13" i="9"/>
  <c r="AM16" i="9" l="1"/>
  <c r="AM14" i="9" s="1"/>
  <c r="AM4" i="9"/>
  <c r="AM5" i="9"/>
  <c r="AM3" i="9"/>
  <c r="AM7" i="9"/>
  <c r="AN7" i="9" l="1"/>
  <c r="AN5" i="9"/>
  <c r="AN4" i="9"/>
  <c r="AM8" i="9"/>
  <c r="AM6" i="9" s="1"/>
  <c r="AN3" i="9"/>
  <c r="AN8" i="9" l="1"/>
  <c r="AN6" i="9" s="1"/>
  <c r="AN15" i="9"/>
  <c r="AN13" i="9"/>
  <c r="AN12" i="9"/>
  <c r="AN11" i="9"/>
  <c r="AO12" i="9" l="1"/>
  <c r="AO13" i="9"/>
  <c r="AN16" i="9"/>
  <c r="AN14" i="9" s="1"/>
  <c r="AO11" i="9"/>
  <c r="AO15" i="9"/>
  <c r="AO7" i="9" l="1"/>
  <c r="AO3" i="9"/>
  <c r="AO5" i="9"/>
  <c r="AO4" i="9"/>
  <c r="AO16" i="9"/>
  <c r="AO14" i="9" s="1"/>
  <c r="AO8" i="9" l="1"/>
  <c r="AO6" i="9" s="1"/>
  <c r="AP3" i="9"/>
  <c r="AP4" i="9"/>
  <c r="AP5" i="9"/>
  <c r="AP7" i="9"/>
  <c r="AP8" i="9" l="1"/>
  <c r="AP6" i="9" s="1"/>
  <c r="AP12" i="9"/>
  <c r="AP13" i="9"/>
  <c r="AP11" i="9"/>
  <c r="AP15" i="9"/>
  <c r="AQ15" i="9" l="1"/>
  <c r="AQ12" i="9"/>
  <c r="AQ13" i="9"/>
  <c r="AP16" i="9"/>
  <c r="AP14" i="9" s="1"/>
  <c r="AQ11" i="9"/>
  <c r="AQ5" i="9" l="1"/>
  <c r="AQ7" i="9"/>
  <c r="AQ3" i="9"/>
  <c r="AQ4" i="9"/>
  <c r="AQ16" i="9"/>
  <c r="AQ14" i="9" s="1"/>
  <c r="AQ8" i="9" l="1"/>
  <c r="AQ6" i="9" s="1"/>
  <c r="AR3" i="9"/>
  <c r="AR7" i="9"/>
  <c r="AR4" i="9"/>
  <c r="AR5" i="9"/>
  <c r="AR15" i="9" l="1"/>
  <c r="AR13" i="9"/>
  <c r="AR11" i="9"/>
  <c r="AR12" i="9"/>
  <c r="AR8" i="9"/>
  <c r="AR6" i="9" s="1"/>
  <c r="AS13" i="9" l="1"/>
  <c r="AS12" i="9"/>
  <c r="AR16" i="9"/>
  <c r="AR14" i="9" s="1"/>
  <c r="AS11" i="9"/>
  <c r="AS15" i="9"/>
  <c r="AS7" i="9" l="1"/>
  <c r="AS5" i="9"/>
  <c r="AS3" i="9"/>
  <c r="AS4" i="9"/>
  <c r="AS16" i="9"/>
  <c r="AS14" i="9" s="1"/>
  <c r="AT4" i="9" l="1"/>
  <c r="AT5" i="9"/>
  <c r="AS8" i="9"/>
  <c r="AS6" i="9" s="1"/>
  <c r="AT3" i="9"/>
  <c r="AT7" i="9"/>
  <c r="AT15" i="9" l="1"/>
  <c r="AT12" i="9"/>
  <c r="AT11" i="9"/>
  <c r="AT13" i="9"/>
  <c r="AT8" i="9"/>
  <c r="AT6" i="9" s="1"/>
  <c r="AT16" i="9" l="1"/>
  <c r="AT14" i="9" s="1"/>
  <c r="AU11" i="9"/>
  <c r="AU12" i="9"/>
  <c r="AU13" i="9"/>
  <c r="AU15" i="9"/>
  <c r="AU16" i="9" l="1"/>
  <c r="AU14" i="9" s="1"/>
  <c r="AU5" i="9"/>
  <c r="AU3" i="9"/>
  <c r="AU4" i="9"/>
  <c r="AU7" i="9"/>
  <c r="AV4" i="9" l="1"/>
  <c r="AU8" i="9"/>
  <c r="AU6" i="9" s="1"/>
  <c r="AV3" i="9"/>
  <c r="AV7" i="9"/>
  <c r="AV5" i="9"/>
  <c r="AV15" i="9" l="1"/>
  <c r="AV12" i="9"/>
  <c r="AV11" i="9"/>
  <c r="AV13" i="9"/>
  <c r="AV8" i="9"/>
  <c r="AV6" i="9" s="1"/>
  <c r="AV16" i="9" l="1"/>
  <c r="AV14" i="9" s="1"/>
  <c r="AW11" i="9"/>
  <c r="AW13" i="9"/>
  <c r="AW12" i="9"/>
  <c r="AW15" i="9"/>
  <c r="AW4" i="9" l="1"/>
  <c r="AW5" i="9"/>
  <c r="AW7" i="9"/>
  <c r="AW3" i="9"/>
  <c r="AW16" i="9"/>
  <c r="AW14" i="9" s="1"/>
  <c r="AX7" i="9" l="1"/>
  <c r="AX5" i="9"/>
  <c r="AX4" i="9"/>
  <c r="AW8" i="9"/>
  <c r="AW6" i="9" s="1"/>
  <c r="AX3" i="9"/>
  <c r="AX13" i="9" l="1"/>
  <c r="AX15" i="9"/>
  <c r="AX12" i="9"/>
  <c r="AX11" i="9"/>
  <c r="AX8" i="9"/>
  <c r="AX6" i="9" s="1"/>
  <c r="AX16" i="9" l="1"/>
  <c r="AX14" i="9" s="1"/>
  <c r="AY11" i="9"/>
  <c r="AY15" i="9"/>
  <c r="AY12" i="9"/>
  <c r="AY13" i="9"/>
  <c r="AY7" i="9" l="1"/>
  <c r="AY4" i="9"/>
  <c r="AY5" i="9"/>
  <c r="AY3" i="9"/>
  <c r="AY16" i="9"/>
  <c r="AY14" i="9" s="1"/>
  <c r="AZ7" i="9" l="1"/>
  <c r="AY8" i="9"/>
  <c r="AY6" i="9" s="1"/>
  <c r="AZ3" i="9"/>
  <c r="AZ5" i="9"/>
  <c r="AZ4" i="9"/>
  <c r="AZ11" i="9" l="1"/>
  <c r="AZ12" i="9"/>
  <c r="AZ15" i="9"/>
  <c r="AZ13" i="9"/>
  <c r="AZ8" i="9"/>
  <c r="AZ6" i="9" s="1"/>
  <c r="BA12" i="9" l="1"/>
  <c r="BA13" i="9"/>
  <c r="BA15" i="9"/>
  <c r="AZ16" i="9"/>
  <c r="AZ14" i="9" s="1"/>
  <c r="BA11" i="9"/>
  <c r="BA7" i="9" l="1"/>
  <c r="BA4" i="9"/>
  <c r="BA3" i="9"/>
  <c r="BA5" i="9"/>
  <c r="BA16" i="9"/>
  <c r="BA14" i="9" s="1"/>
  <c r="BB4" i="9" l="1"/>
  <c r="BB5" i="9"/>
  <c r="BA8" i="9"/>
  <c r="BA6" i="9" s="1"/>
  <c r="BB3" i="9"/>
  <c r="BB7" i="9"/>
  <c r="BB15" i="9" l="1"/>
  <c r="BB11" i="9"/>
  <c r="BB12" i="9"/>
  <c r="BB13" i="9"/>
  <c r="BB8" i="9"/>
  <c r="BB6" i="9" s="1"/>
  <c r="BB16" i="9" l="1"/>
  <c r="BB14" i="9" s="1"/>
  <c r="BC11" i="9"/>
  <c r="BC13" i="9"/>
  <c r="BC12" i="9"/>
  <c r="BC15" i="9"/>
  <c r="BC16" i="9" l="1"/>
  <c r="BC14" i="9" s="1"/>
  <c r="BC7" i="9"/>
  <c r="BC5" i="9"/>
  <c r="BC3" i="9"/>
  <c r="BC4" i="9"/>
  <c r="BD4" i="9" l="1"/>
  <c r="BD5" i="9"/>
  <c r="BD7" i="9"/>
  <c r="BC8" i="9"/>
  <c r="BC6" i="9" s="1"/>
  <c r="BD3" i="9"/>
  <c r="BD13" i="9" l="1"/>
  <c r="BD11" i="9"/>
  <c r="BD15" i="9"/>
  <c r="BD12" i="9"/>
  <c r="BD8" i="9"/>
  <c r="BD6" i="9"/>
  <c r="BD16" i="9" l="1"/>
  <c r="BD14" i="9" s="1"/>
  <c r="BE11" i="9"/>
  <c r="BE12" i="9"/>
  <c r="BE15" i="9"/>
  <c r="BE13" i="9"/>
  <c r="BE16" i="9" l="1"/>
  <c r="BE14" i="9" s="1"/>
  <c r="BE4" i="9"/>
  <c r="BE7" i="9"/>
  <c r="BE3" i="9"/>
  <c r="BE5" i="9"/>
  <c r="BE8" i="9" l="1"/>
  <c r="BE6" i="9" s="1"/>
  <c r="BF3" i="9"/>
  <c r="BF5" i="9"/>
  <c r="BF4" i="9"/>
  <c r="BF7" i="9"/>
  <c r="BF13" i="9" l="1"/>
  <c r="BF15" i="9"/>
  <c r="BF11" i="9"/>
  <c r="BF12" i="9"/>
  <c r="BF8" i="9"/>
  <c r="BF6" i="9"/>
  <c r="BG12" i="9" l="1"/>
  <c r="BF16" i="9"/>
  <c r="BF14" i="9" s="1"/>
  <c r="BG11" i="9"/>
  <c r="BG15" i="9"/>
  <c r="BG13" i="9"/>
  <c r="BG16" i="9" l="1"/>
  <c r="BG14" i="9" s="1"/>
  <c r="BG7" i="9"/>
  <c r="BG3" i="9"/>
  <c r="BG5" i="9"/>
  <c r="BG4" i="9"/>
  <c r="BH4" i="9" l="1"/>
  <c r="BG8" i="9"/>
  <c r="BG6" i="9" s="1"/>
  <c r="BH3" i="9"/>
  <c r="BH7" i="9"/>
  <c r="BH5" i="9"/>
  <c r="BH8" i="9" l="1"/>
  <c r="BH6" i="9" s="1"/>
  <c r="BH13" i="9"/>
  <c r="BH12" i="9"/>
  <c r="BH11" i="9"/>
  <c r="BH15" i="9"/>
  <c r="BI15" i="9" l="1"/>
  <c r="BH16" i="9"/>
  <c r="BH14" i="9" s="1"/>
  <c r="BI11" i="9"/>
  <c r="BI12" i="9"/>
  <c r="BI13" i="9"/>
  <c r="BI4" i="9" l="1"/>
  <c r="BI7" i="9"/>
  <c r="BI3" i="9"/>
  <c r="BI5" i="9"/>
  <c r="BI16" i="9"/>
  <c r="BI14" i="9" s="1"/>
  <c r="BJ7" i="9" l="1"/>
  <c r="BJ5" i="9"/>
  <c r="BI8" i="9"/>
  <c r="BI6" i="9" s="1"/>
  <c r="BJ3" i="9"/>
  <c r="BJ4" i="9"/>
  <c r="BJ8" i="9" l="1"/>
  <c r="BJ6" i="9" s="1"/>
  <c r="BJ11" i="9"/>
  <c r="BJ15" i="9"/>
  <c r="BJ12" i="9"/>
  <c r="BJ13" i="9"/>
  <c r="BK13" i="9" l="1"/>
  <c r="BK15" i="9"/>
  <c r="BK12" i="9"/>
  <c r="BJ16" i="9"/>
  <c r="BJ14" i="9" s="1"/>
  <c r="BK11" i="9"/>
  <c r="BK16" i="9" l="1"/>
  <c r="BK14" i="9" s="1"/>
  <c r="BK3" i="9"/>
  <c r="BK5" i="9"/>
  <c r="BK4" i="9"/>
  <c r="BK7" i="9"/>
  <c r="BL7" i="9" l="1"/>
  <c r="BL4" i="9"/>
  <c r="BK8" i="9"/>
  <c r="BK6" i="9" s="1"/>
  <c r="BL3" i="9"/>
  <c r="BL5" i="9"/>
  <c r="BL15" i="9" l="1"/>
  <c r="BL13" i="9"/>
  <c r="BL12" i="9"/>
  <c r="BL11" i="9"/>
  <c r="BL8" i="9"/>
  <c r="BL6" i="9" s="1"/>
  <c r="BM12" i="9" l="1"/>
  <c r="BL16" i="9"/>
  <c r="BL14" i="9" s="1"/>
  <c r="BM11" i="9"/>
  <c r="BM13" i="9"/>
  <c r="BM15" i="9"/>
  <c r="BM4" i="9" l="1"/>
  <c r="BM7" i="9"/>
  <c r="BM5" i="9"/>
  <c r="BM3" i="9"/>
  <c r="BM16" i="9"/>
  <c r="BM14" i="9" s="1"/>
  <c r="BN5" i="9" l="1"/>
  <c r="BN4" i="9"/>
  <c r="BM8" i="9"/>
  <c r="BM6" i="9"/>
  <c r="BN3" i="9"/>
  <c r="BN7" i="9"/>
  <c r="BN8" i="9" l="1"/>
  <c r="BN6" i="9" s="1"/>
  <c r="BN12" i="9"/>
  <c r="BN15" i="9"/>
  <c r="BN11" i="9"/>
  <c r="BN13" i="9"/>
  <c r="BO13" i="9" l="1"/>
  <c r="BN16" i="9"/>
  <c r="BN14" i="9" s="1"/>
  <c r="BO11" i="9"/>
  <c r="BO12" i="9"/>
  <c r="BO15" i="9"/>
  <c r="BO16" i="9" l="1"/>
  <c r="BO14" i="9" s="1"/>
  <c r="BO7" i="9"/>
  <c r="BO3" i="9"/>
  <c r="BO4" i="9"/>
  <c r="BO5" i="9"/>
  <c r="BP5" i="9" l="1"/>
  <c r="BP7" i="9"/>
  <c r="BP4" i="9"/>
  <c r="BO8" i="9"/>
  <c r="BO6" i="9" s="1"/>
  <c r="BP3" i="9"/>
  <c r="BP13" i="9" l="1"/>
  <c r="BP15" i="9"/>
  <c r="BP11" i="9"/>
  <c r="BP12" i="9"/>
  <c r="BP8" i="9"/>
  <c r="BP6" i="9" s="1"/>
  <c r="BP16" i="9" l="1"/>
  <c r="BP14" i="9" s="1"/>
  <c r="AE10" i="17" l="1"/>
  <c r="N10" i="17"/>
  <c r="O10" i="17"/>
</calcChain>
</file>

<file path=xl/sharedStrings.xml><?xml version="1.0" encoding="utf-8"?>
<sst xmlns="http://schemas.openxmlformats.org/spreadsheetml/2006/main" count="3582" uniqueCount="451">
  <si>
    <t>农田</t>
    <phoneticPr fontId="1" type="noConversion"/>
  </si>
  <si>
    <t>洪泛平原</t>
    <phoneticPr fontId="1" type="noConversion"/>
  </si>
  <si>
    <t>沙漠</t>
    <phoneticPr fontId="1" type="noConversion"/>
  </si>
  <si>
    <t>旱地</t>
    <phoneticPr fontId="1" type="noConversion"/>
  </si>
  <si>
    <t>丘陵</t>
    <phoneticPr fontId="1" type="noConversion"/>
  </si>
  <si>
    <t>山地</t>
    <phoneticPr fontId="1" type="noConversion"/>
  </si>
  <si>
    <t>平原</t>
    <phoneticPr fontId="1" type="noConversion"/>
  </si>
  <si>
    <t>针叶林</t>
    <phoneticPr fontId="1" type="noConversion"/>
  </si>
  <si>
    <t>沙漠山地</t>
    <phoneticPr fontId="1" type="noConversion"/>
  </si>
  <si>
    <t>森林</t>
    <phoneticPr fontId="1" type="noConversion"/>
  </si>
  <si>
    <t>丛林</t>
    <phoneticPr fontId="1" type="noConversion"/>
  </si>
  <si>
    <t>绿洲</t>
    <phoneticPr fontId="1" type="noConversion"/>
  </si>
  <si>
    <t>草原</t>
    <phoneticPr fontId="1" type="noConversion"/>
  </si>
  <si>
    <t>湿地</t>
    <phoneticPr fontId="1" type="noConversion"/>
  </si>
  <si>
    <t>地形相关建筑</t>
    <phoneticPr fontId="1" type="noConversion"/>
  </si>
  <si>
    <t>特例</t>
    <phoneticPr fontId="1" type="noConversion"/>
  </si>
  <si>
    <t>林中堡垒</t>
    <phoneticPr fontId="1" type="noConversion"/>
  </si>
  <si>
    <t>城堡地产
非部落制</t>
    <phoneticPr fontId="1" type="noConversion"/>
  </si>
  <si>
    <t>基本要求</t>
    <phoneticPr fontId="1" type="noConversion"/>
  </si>
  <si>
    <t>城墙与塔楼</t>
    <phoneticPr fontId="1" type="noConversion"/>
  </si>
  <si>
    <t>瞭望塔</t>
    <phoneticPr fontId="1" type="noConversion"/>
  </si>
  <si>
    <t>山堡</t>
    <phoneticPr fontId="1" type="noConversion"/>
  </si>
  <si>
    <t>类别</t>
    <phoneticPr fontId="1" type="noConversion"/>
  </si>
  <si>
    <t>工事建筑</t>
    <phoneticPr fontId="1" type="noConversion"/>
  </si>
  <si>
    <t>贸易港</t>
    <phoneticPr fontId="1" type="noConversion"/>
  </si>
  <si>
    <t>经济建筑</t>
    <phoneticPr fontId="1" type="noConversion"/>
  </si>
  <si>
    <t>必须沿海</t>
    <phoneticPr fontId="1" type="noConversion"/>
  </si>
  <si>
    <t>狩猎场</t>
    <phoneticPr fontId="1" type="noConversion"/>
  </si>
  <si>
    <t>非部落地产
非部落制</t>
    <phoneticPr fontId="1" type="noConversion"/>
  </si>
  <si>
    <t>林业</t>
    <phoneticPr fontId="1" type="noConversion"/>
  </si>
  <si>
    <t>战象</t>
    <phoneticPr fontId="1" type="noConversion"/>
  </si>
  <si>
    <t>非部落地产
非部落制
印度或东南亚地区</t>
    <phoneticPr fontId="1" type="noConversion"/>
  </si>
  <si>
    <t>风炉</t>
    <phoneticPr fontId="1" type="noConversion"/>
  </si>
  <si>
    <t>军事建筑</t>
    <phoneticPr fontId="1" type="noConversion"/>
  </si>
  <si>
    <r>
      <t>非部落地产
非部落制
印度地区
持有者的文化拥有乌兹钢革新
其中之一：
此男爵领沿海。
伯爵领与拘拿三慕达罗铁矿（吠牟罗婆荼伯爵领）属于同一法理公国，</t>
    </r>
    <r>
      <rPr>
        <b/>
        <sz val="11"/>
        <color theme="1"/>
        <rFont val="等线"/>
        <family val="3"/>
        <charset val="134"/>
        <scheme val="minor"/>
      </rPr>
      <t>或</t>
    </r>
    <r>
      <rPr>
        <sz val="11"/>
        <color theme="1"/>
        <rFont val="等线"/>
        <family val="2"/>
        <charset val="134"/>
        <scheme val="minor"/>
      </rPr>
      <t>同时属于同一最高统治者。</t>
    </r>
    <phoneticPr fontId="1" type="noConversion"/>
  </si>
  <si>
    <t>工场</t>
    <phoneticPr fontId="1" type="noConversion"/>
  </si>
  <si>
    <t>高级造弓术以后才能开始建造</t>
    <phoneticPr fontId="1" type="noConversion"/>
  </si>
  <si>
    <t>牧马场</t>
    <phoneticPr fontId="1" type="noConversion"/>
  </si>
  <si>
    <t>草原地形/东部草原地区/文化有马上领主</t>
    <phoneticPr fontId="1" type="noConversion"/>
  </si>
  <si>
    <t>山坡牧场</t>
    <phoneticPr fontId="1" type="noConversion"/>
  </si>
  <si>
    <t>战士工会</t>
    <phoneticPr fontId="1" type="noConversion"/>
  </si>
  <si>
    <t>属于战士工会建造区（与山坡牧场互斥）</t>
    <phoneticPr fontId="1" type="noConversion"/>
  </si>
  <si>
    <t>属于山坡牧场建造区（与战士工会互斥）</t>
    <phoneticPr fontId="1" type="noConversion"/>
  </si>
  <si>
    <t>民兵营地</t>
    <phoneticPr fontId="1" type="noConversion"/>
  </si>
  <si>
    <t>效果（注：负数的情况为0加成，没有减值）</t>
    <phoneticPr fontId="1" type="noConversion"/>
  </si>
  <si>
    <t>军团训练场</t>
    <phoneticPr fontId="1" type="noConversion"/>
  </si>
  <si>
    <t>哨所</t>
    <phoneticPr fontId="1" type="noConversion"/>
  </si>
  <si>
    <t>兵营</t>
    <phoneticPr fontId="1" type="noConversion"/>
  </si>
  <si>
    <t>骆驼养殖场</t>
    <phoneticPr fontId="1" type="noConversion"/>
  </si>
  <si>
    <t>非部落地产
非部落制
中东、波斯或北非地区</t>
    <phoneticPr fontId="1" type="noConversion"/>
  </si>
  <si>
    <t>马厩</t>
    <phoneticPr fontId="1" type="noConversion"/>
  </si>
  <si>
    <t>铁匠铺</t>
    <phoneticPr fontId="1" type="noConversion"/>
  </si>
  <si>
    <t>战地军营</t>
    <phoneticPr fontId="1" type="noConversion"/>
  </si>
  <si>
    <t>部落建筑</t>
    <phoneticPr fontId="1" type="noConversion"/>
  </si>
  <si>
    <t>部落制</t>
    <phoneticPr fontId="1" type="noConversion"/>
  </si>
  <si>
    <t>最高2级</t>
    <phoneticPr fontId="1" type="noConversion"/>
  </si>
  <si>
    <t>栅栏</t>
    <phoneticPr fontId="1" type="noConversion"/>
  </si>
  <si>
    <t>兵种A</t>
    <phoneticPr fontId="1" type="noConversion"/>
  </si>
  <si>
    <t>兵种B</t>
    <phoneticPr fontId="1" type="noConversion"/>
  </si>
  <si>
    <t>伤害</t>
    <phoneticPr fontId="1" type="noConversion"/>
  </si>
  <si>
    <t>坚韧</t>
    <phoneticPr fontId="1" type="noConversion"/>
  </si>
  <si>
    <t>数量</t>
    <phoneticPr fontId="1" type="noConversion"/>
  </si>
  <si>
    <t>天数</t>
    <phoneticPr fontId="1" type="noConversion"/>
  </si>
  <si>
    <t>兵种C</t>
    <phoneticPr fontId="1" type="noConversion"/>
  </si>
  <si>
    <t>战场宽度系数</t>
    <phoneticPr fontId="1" type="noConversion"/>
  </si>
  <si>
    <t>总参战百分比</t>
    <phoneticPr fontId="1" type="noConversion"/>
  </si>
  <si>
    <t>A兵种剩余军力</t>
    <phoneticPr fontId="1" type="noConversion"/>
  </si>
  <si>
    <t>B兵种剩余军力</t>
    <phoneticPr fontId="1" type="noConversion"/>
  </si>
  <si>
    <t>C兵种剩余军力</t>
    <phoneticPr fontId="1" type="noConversion"/>
  </si>
  <si>
    <t>D兵种剩余军力</t>
    <phoneticPr fontId="1" type="noConversion"/>
  </si>
  <si>
    <t>骑士剩余军力</t>
    <phoneticPr fontId="1" type="noConversion"/>
  </si>
  <si>
    <t>征召兵剩余军力</t>
    <phoneticPr fontId="1" type="noConversion"/>
  </si>
  <si>
    <t>红方</t>
    <phoneticPr fontId="1" type="noConversion"/>
  </si>
  <si>
    <t>蓝方</t>
    <phoneticPr fontId="1" type="noConversion"/>
  </si>
  <si>
    <t>实际战场宽度</t>
    <phoneticPr fontId="1" type="noConversion"/>
  </si>
  <si>
    <t>规模</t>
    <phoneticPr fontId="1" type="noConversion"/>
  </si>
  <si>
    <t>每规模军力</t>
    <phoneticPr fontId="1" type="noConversion"/>
  </si>
  <si>
    <t>征召兵</t>
    <phoneticPr fontId="1" type="noConversion"/>
  </si>
  <si>
    <t>骑士</t>
    <phoneticPr fontId="1" type="noConversion"/>
  </si>
  <si>
    <t>攻击系数</t>
    <phoneticPr fontId="1" type="noConversion"/>
  </si>
  <si>
    <t>精锐度</t>
    <phoneticPr fontId="1" type="noConversion"/>
  </si>
  <si>
    <t>平均精锐度</t>
    <phoneticPr fontId="1" type="noConversion"/>
  </si>
  <si>
    <t>部队</t>
    <phoneticPr fontId="1" type="noConversion"/>
  </si>
  <si>
    <t>平均伤害</t>
    <phoneticPr fontId="1" type="noConversion"/>
  </si>
  <si>
    <t>平均坚韧</t>
    <phoneticPr fontId="1" type="noConversion"/>
  </si>
  <si>
    <t>兵种D</t>
    <phoneticPr fontId="1" type="noConversion"/>
  </si>
  <si>
    <t>骑士战斗力加成</t>
    <phoneticPr fontId="1" type="noConversion"/>
  </si>
  <si>
    <t>平均勇武</t>
    <phoneticPr fontId="1" type="noConversion"/>
  </si>
  <si>
    <t>优势</t>
    <phoneticPr fontId="1" type="noConversion"/>
  </si>
  <si>
    <t>分割线</t>
    <phoneticPr fontId="1" type="noConversion"/>
  </si>
  <si>
    <t>模拟</t>
    <phoneticPr fontId="1" type="noConversion"/>
  </si>
  <si>
    <t>名称</t>
    <phoneticPr fontId="1" type="noConversion"/>
  </si>
  <si>
    <t>瓦兰吉</t>
    <phoneticPr fontId="1" type="noConversion"/>
  </si>
  <si>
    <t>军队总伤害（受战场宽度修饰以后）</t>
    <phoneticPr fontId="1" type="noConversion"/>
  </si>
  <si>
    <t>注：灰色部分为手动填写区</t>
    <phoneticPr fontId="1" type="noConversion"/>
  </si>
  <si>
    <t>重骑兵、 轻骑兵、骆驼骑兵、象骑兵</t>
  </si>
  <si>
    <t>战斗预测表（没考虑兵士克制）</t>
    <phoneticPr fontId="1" type="noConversion"/>
  </si>
  <si>
    <t>类型</t>
  </si>
  <si>
    <t>招募费用</t>
  </si>
  <si>
    <t>伤害</t>
  </si>
  <si>
    <t>坚韧</t>
  </si>
  <si>
    <t>追击</t>
  </si>
  <si>
    <t>掩护</t>
  </si>
  <si>
    <t>克制</t>
  </si>
  <si>
    <t>有利地形</t>
  </si>
  <si>
    <t>轻步兵</t>
  </si>
  <si>
    <t>散兵</t>
  </si>
  <si>
    <t>重步兵</t>
  </si>
  <si>
    <t>森林 丛林 针叶林</t>
  </si>
  <si>
    <t>无</t>
  </si>
  <si>
    <t>弓箭手</t>
  </si>
  <si>
    <t>森林 丘陵 针叶林</t>
  </si>
  <si>
    <t>轻骑兵</t>
  </si>
  <si>
    <t>旱地 平原</t>
  </si>
  <si>
    <t>沙漠山地 丘陵 山地 湿地 寒冬</t>
  </si>
  <si>
    <t>长枪兵</t>
  </si>
  <si>
    <t>沙漠山地 丘陵 山地</t>
  </si>
  <si>
    <t>披甲步兵</t>
  </si>
  <si>
    <t>披甲骑兵</t>
  </si>
  <si>
    <t>重骑兵</t>
  </si>
  <si>
    <t>沙漠山地 丘陵 山地 湿地 正常冬天 寒冬</t>
  </si>
  <si>
    <t>弩手</t>
  </si>
  <si>
    <t>重骑兵、 重步兵、弓骑兵x0.5</t>
  </si>
  <si>
    <t>丘陵</t>
  </si>
  <si>
    <t>沙漠 旱地 平原</t>
  </si>
  <si>
    <t>家族近卫</t>
  </si>
  <si>
    <t>长枪兵X2、 弓箭手X2</t>
  </si>
  <si>
    <t>常规兵士</t>
    <phoneticPr fontId="1" type="noConversion"/>
  </si>
  <si>
    <t>标准战斗力</t>
    <phoneticPr fontId="1" type="noConversion"/>
  </si>
  <si>
    <t>相对维护费的性价比</t>
    <phoneticPr fontId="1" type="noConversion"/>
  </si>
  <si>
    <t>相对招募费的性价比</t>
    <phoneticPr fontId="1" type="noConversion"/>
  </si>
  <si>
    <t>基督教骑士团</t>
    <phoneticPr fontId="1" type="noConversion"/>
  </si>
  <si>
    <t>不利地形</t>
    <phoneticPr fontId="1" type="noConversion"/>
  </si>
  <si>
    <t>重步兵</t>
    <phoneticPr fontId="1" type="noConversion"/>
  </si>
  <si>
    <t>重步兵、弓箭手</t>
    <phoneticPr fontId="1" type="noConversion"/>
  </si>
  <si>
    <t>正常冬天 寒冬</t>
    <phoneticPr fontId="1" type="noConversion"/>
  </si>
  <si>
    <t>无</t>
    <phoneticPr fontId="1" type="noConversion"/>
  </si>
  <si>
    <t>诺斯原始宗教骑士团/升格马恩岛及群岛王国决议的事件部队/北境群雄事件</t>
    <phoneticPr fontId="1" type="noConversion"/>
  </si>
  <si>
    <t>时代</t>
  </si>
  <si>
    <t>山民</t>
  </si>
  <si>
    <t>部落时期</t>
  </si>
  <si>
    <t>游侠</t>
  </si>
  <si>
    <t>荒野猎手</t>
  </si>
  <si>
    <t>铁甲圣骑兵</t>
  </si>
  <si>
    <t>伙伴卫队</t>
  </si>
  <si>
    <t>敕令骑兵</t>
  </si>
  <si>
    <t>中世纪晚期</t>
  </si>
  <si>
    <t>古腾塔克民兵</t>
  </si>
  <si>
    <t>几内亚山民</t>
  </si>
  <si>
    <t>非洲之角勇士</t>
  </si>
  <si>
    <t>弓骑兵</t>
  </si>
  <si>
    <t>侍卫</t>
  </si>
  <si>
    <t>朅伽剑师</t>
  </si>
  <si>
    <t>骠骑兵</t>
  </si>
  <si>
    <t xml:space="preserve">部落时期 </t>
  </si>
  <si>
    <t>森林守卫</t>
  </si>
  <si>
    <t>宫殿卫队</t>
  </si>
  <si>
    <t>中世纪盛期</t>
  </si>
  <si>
    <t>瑟拉维特</t>
  </si>
  <si>
    <t>苏格兰长枪兵</t>
  </si>
  <si>
    <t>守卫</t>
  </si>
  <si>
    <t>着甲侍从</t>
  </si>
  <si>
    <t>维格曼</t>
  </si>
  <si>
    <t>邦迪</t>
  </si>
  <si>
    <t>瓦兰吉老兵</t>
  </si>
  <si>
    <t>重步兵 轻骑兵</t>
  </si>
  <si>
    <t>森林 丘陵 丛林</t>
  </si>
  <si>
    <t>沙漠山地 丘陵 丛林 山地 湿地 正常冬天 寒冬</t>
  </si>
  <si>
    <t>重骑兵 重步兵</t>
  </si>
  <si>
    <t>旱地 森林 丘陵</t>
  </si>
  <si>
    <t>重步兵 散兵</t>
  </si>
  <si>
    <t>旱地 平原 草原</t>
  </si>
  <si>
    <t>沙漠山地 丛林 山地 湿地</t>
  </si>
  <si>
    <t>弓箭手 长枪兵</t>
  </si>
  <si>
    <t>森林 针叶林 正常冬天 寒冬</t>
  </si>
  <si>
    <t>轻骑兵 长枪兵</t>
  </si>
  <si>
    <t>丛林</t>
  </si>
  <si>
    <t>重骑兵 散兵</t>
  </si>
  <si>
    <t>沙漠山地 山地 正常冬天 寒冬</t>
  </si>
  <si>
    <t>重步兵 长枪兵</t>
  </si>
  <si>
    <t>长枪兵X2</t>
  </si>
  <si>
    <t>丘陵 丛林</t>
  </si>
  <si>
    <t>沙漠 旱地</t>
  </si>
  <si>
    <t>重骑兵 轻骑兵</t>
  </si>
  <si>
    <t>沙漠山地 丘陵 山地 平原</t>
  </si>
  <si>
    <t>长枪兵 弓箭手</t>
  </si>
  <si>
    <t>森林 丘陵 山地</t>
  </si>
  <si>
    <t>湿地</t>
  </si>
  <si>
    <t>农田 平原 针叶林 正常冬天 寒冬</t>
  </si>
  <si>
    <t>轻骑兵 弓箭手</t>
  </si>
  <si>
    <t>农田 平原 正常冬天 寒冬</t>
  </si>
  <si>
    <t>丘陵 山地 沙漠山地</t>
  </si>
  <si>
    <t>长枪兵 重骑兵</t>
  </si>
  <si>
    <t>农田 平原 丘陵 正常冬天 寒冬</t>
  </si>
  <si>
    <t>部落时期</t>
    <phoneticPr fontId="1" type="noConversion"/>
  </si>
  <si>
    <t>中世纪早期</t>
    <phoneticPr fontId="1" type="noConversion"/>
  </si>
  <si>
    <t>长弓手（中世纪盛世）</t>
    <phoneticPr fontId="1" type="noConversion"/>
  </si>
  <si>
    <t>弓箭手</t>
    <phoneticPr fontId="1" type="noConversion"/>
  </si>
  <si>
    <t>长弓手（部落时期）</t>
    <phoneticPr fontId="1" type="noConversion"/>
  </si>
  <si>
    <t>长弓手（中世纪早期）</t>
    <phoneticPr fontId="1" type="noConversion"/>
  </si>
  <si>
    <t>传统类兵士</t>
    <phoneticPr fontId="1" type="noConversion"/>
  </si>
  <si>
    <t>长弓手（中世纪晚期）</t>
    <phoneticPr fontId="1" type="noConversion"/>
  </si>
  <si>
    <t>猎骑兵</t>
  </si>
  <si>
    <t>发现了沙漠战术革新的文化（海外帝国融合文化）</t>
  </si>
  <si>
    <t>连弩士</t>
  </si>
  <si>
    <t>中华传承</t>
  </si>
  <si>
    <t>禁军</t>
  </si>
  <si>
    <t>罗马文化</t>
  </si>
  <si>
    <t>撑杆天兵</t>
  </si>
  <si>
    <t>关切文化</t>
  </si>
  <si>
    <t>重骑兵X2 轻骑兵X2 长枪兵X0.5</t>
  </si>
  <si>
    <t>沙漠山地 丘陵 山地 湿地</t>
  </si>
  <si>
    <t>散兵 弓骑兵×0.5</t>
    <phoneticPr fontId="1" type="noConversion"/>
  </si>
  <si>
    <t>中日耳曼传承 德意志区域</t>
    <phoneticPr fontId="1" type="noConversion"/>
  </si>
  <si>
    <t>伊比利亚骑手</t>
  </si>
  <si>
    <t>旱地 丘陵 平原</t>
  </si>
  <si>
    <t>沙漠山地 山地 湿地 寒冬</t>
  </si>
  <si>
    <t>萨赫勒骑手</t>
  </si>
  <si>
    <t>弓箭手 重步兵</t>
  </si>
  <si>
    <t>沙漠 旱地 平原 绿洲</t>
  </si>
  <si>
    <t>矮种马骑兵</t>
  </si>
  <si>
    <t>丘陵 森林</t>
  </si>
  <si>
    <t>骆驼骑兵</t>
  </si>
  <si>
    <t>沙漠 旱地 洪泛平原 绿洲</t>
  </si>
  <si>
    <t>波陀底迦步兵</t>
  </si>
  <si>
    <t>象骑兵</t>
  </si>
  <si>
    <t>丛林 森林 旱地</t>
  </si>
  <si>
    <t>战象</t>
  </si>
  <si>
    <t>重步兵X2 散兵X2</t>
  </si>
  <si>
    <t>沙漠山地 山地 湿地 正常冬天 寒冬</t>
  </si>
  <si>
    <t>类型</t>
    <phoneticPr fontId="1" type="noConversion"/>
  </si>
  <si>
    <t>文化类兵士</t>
    <phoneticPr fontId="1" type="noConversion"/>
  </si>
  <si>
    <t>地域类兵士</t>
    <phoneticPr fontId="1" type="noConversion"/>
  </si>
  <si>
    <t>要求1</t>
    <phoneticPr fontId="1" type="noConversion"/>
  </si>
  <si>
    <t>要求2</t>
    <phoneticPr fontId="1" type="noConversion"/>
  </si>
  <si>
    <t>伊比利亚地区</t>
    <phoneticPr fontId="1" type="noConversion"/>
  </si>
  <si>
    <t>萨赫勒地区</t>
    <phoneticPr fontId="1" type="noConversion"/>
  </si>
  <si>
    <t>不列颠群岛地区</t>
    <phoneticPr fontId="1" type="noConversion"/>
  </si>
  <si>
    <t>中东、波斯或北非地区</t>
    <phoneticPr fontId="1" type="noConversion"/>
  </si>
  <si>
    <t>印度地区</t>
    <phoneticPr fontId="1" type="noConversion"/>
  </si>
  <si>
    <t>印度或东南亚地区</t>
    <phoneticPr fontId="1" type="noConversion"/>
  </si>
  <si>
    <t>山地放牧传统</t>
    <phoneticPr fontId="1" type="noConversion"/>
  </si>
  <si>
    <t>侠义结社传统</t>
    <phoneticPr fontId="1" type="noConversion"/>
  </si>
  <si>
    <t>荒野狩猎传统</t>
    <phoneticPr fontId="1" type="noConversion"/>
  </si>
  <si>
    <t>东罗马遗产传统</t>
    <phoneticPr fontId="1" type="noConversion"/>
  </si>
  <si>
    <t>伙伴卫队传统</t>
    <phoneticPr fontId="1" type="noConversion"/>
  </si>
  <si>
    <t>武功歌传统</t>
    <phoneticPr fontId="1" type="noConversion"/>
  </si>
  <si>
    <t>圩田传统</t>
    <phoneticPr fontId="1" type="noConversion"/>
  </si>
  <si>
    <t>高地散兵传统</t>
    <phoneticPr fontId="1" type="noConversion"/>
  </si>
  <si>
    <t>山地散兵传统</t>
    <phoneticPr fontId="1" type="noConversion"/>
  </si>
  <si>
    <t>马上领主传统</t>
    <phoneticPr fontId="1" type="noConversion"/>
  </si>
  <si>
    <t>家族私兵传统</t>
    <phoneticPr fontId="1" type="noConversion"/>
  </si>
  <si>
    <t>朅伽法会传统</t>
    <phoneticPr fontId="1" type="noConversion"/>
  </si>
  <si>
    <t>骠骑兵突袭传统</t>
    <phoneticPr fontId="1" type="noConversion"/>
  </si>
  <si>
    <t>长弓竞赛传统</t>
    <phoneticPr fontId="1" type="noConversion"/>
  </si>
  <si>
    <t>丛林守望者传统</t>
    <phoneticPr fontId="1" type="noConversion"/>
  </si>
  <si>
    <t>喜马拉雅定居者传统</t>
    <phoneticPr fontId="1" type="noConversion"/>
  </si>
  <si>
    <t>穆巴里尊传统</t>
    <phoneticPr fontId="1" type="noConversion"/>
  </si>
  <si>
    <t>侍卫亲军传统</t>
    <phoneticPr fontId="1" type="noConversion"/>
  </si>
  <si>
    <t>共和制传承传统</t>
    <phoneticPr fontId="1" type="noConversion"/>
  </si>
  <si>
    <t>阿姆哈拉山民传统</t>
    <phoneticPr fontId="1" type="noConversion"/>
  </si>
  <si>
    <t>血浓于水传统</t>
    <phoneticPr fontId="1" type="noConversion"/>
  </si>
  <si>
    <t>防守战术传统</t>
    <phoneticPr fontId="1" type="noConversion"/>
  </si>
  <si>
    <t>山地农田传统</t>
    <phoneticPr fontId="1" type="noConversion"/>
  </si>
  <si>
    <r>
      <t>沿海战士传统</t>
    </r>
    <r>
      <rPr>
        <sz val="6"/>
        <color rgb="FF333333"/>
        <rFont val="等线"/>
        <family val="3"/>
        <charset val="134"/>
        <scheme val="minor"/>
      </rPr>
      <t xml:space="preserve"> </t>
    </r>
    <phoneticPr fontId="1" type="noConversion"/>
  </si>
  <si>
    <t>沿海战士传统</t>
    <phoneticPr fontId="1" type="noConversion"/>
  </si>
  <si>
    <t>沙漠战术革新</t>
    <phoneticPr fontId="1" type="noConversion"/>
  </si>
  <si>
    <t>诸葛弩革新</t>
    <phoneticPr fontId="1" type="noConversion"/>
  </si>
  <si>
    <t>双手巨剑革新</t>
    <phoneticPr fontId="1" type="noConversion"/>
  </si>
  <si>
    <t>军团士兵革新</t>
    <phoneticPr fontId="1" type="noConversion"/>
  </si>
  <si>
    <t>撑杆跳革新</t>
    <phoneticPr fontId="1" type="noConversion"/>
  </si>
  <si>
    <t>伊比利亚骑手革新</t>
    <phoneticPr fontId="1" type="noConversion"/>
  </si>
  <si>
    <t>萨赫勒骑手革新</t>
    <phoneticPr fontId="1" type="noConversion"/>
  </si>
  <si>
    <t>矮种马革新</t>
    <phoneticPr fontId="1" type="noConversion"/>
  </si>
  <si>
    <t>军用骆驼革新</t>
    <phoneticPr fontId="1" type="noConversion"/>
  </si>
  <si>
    <t>竹弓革新</t>
    <phoneticPr fontId="1" type="noConversion"/>
  </si>
  <si>
    <t>象兵革新</t>
    <phoneticPr fontId="1" type="noConversion"/>
  </si>
  <si>
    <t>主要属性</t>
    <phoneticPr fontId="1" type="noConversion"/>
  </si>
  <si>
    <t>次要属性</t>
    <phoneticPr fontId="1" type="noConversion"/>
  </si>
  <si>
    <t>先决条件</t>
    <phoneticPr fontId="1" type="noConversion"/>
  </si>
  <si>
    <t>完成宗族军事传承 军团规模上限为5</t>
    <phoneticPr fontId="1" type="noConversion"/>
  </si>
  <si>
    <t>沙漠 旱地 平原</t>
    <phoneticPr fontId="1" type="noConversion"/>
  </si>
  <si>
    <t> 长枪兵</t>
    <phoneticPr fontId="1" type="noConversion"/>
  </si>
  <si>
    <t>棉甲革新</t>
    <phoneticPr fontId="1" type="noConversion"/>
  </si>
  <si>
    <t>拱形马鞍革新</t>
    <phoneticPr fontId="1" type="noConversion"/>
  </si>
  <si>
    <t>高级造弓术革新</t>
    <phoneticPr fontId="1" type="noConversion"/>
  </si>
  <si>
    <t>家族传承兵士</t>
    <phoneticPr fontId="1" type="noConversion"/>
  </si>
  <si>
    <t>特殊兵士</t>
    <phoneticPr fontId="1" type="noConversion"/>
  </si>
  <si>
    <t>军团名</t>
    <phoneticPr fontId="1" type="noConversion"/>
  </si>
  <si>
    <t>散兵</t>
    <phoneticPr fontId="1" type="noConversion"/>
  </si>
  <si>
    <t>莫納斯帕</t>
    <phoneticPr fontId="1" type="noConversion"/>
  </si>
  <si>
    <t>重骑兵</t>
    <phoneticPr fontId="1" type="noConversion"/>
  </si>
  <si>
    <t>丘陵 山地</t>
    <phoneticPr fontId="1" type="noConversion"/>
  </si>
  <si>
    <t>沙漠山地 湿地
正常冬天 寒冬</t>
    <phoneticPr fontId="1" type="noConversion"/>
  </si>
  <si>
    <t>弓箭手</t>
    <phoneticPr fontId="1" type="noConversion"/>
  </si>
  <si>
    <t>攻击系数</t>
    <phoneticPr fontId="1" type="noConversion"/>
  </si>
  <si>
    <t>部落时期</t>
    <phoneticPr fontId="1" type="noConversion"/>
  </si>
  <si>
    <t>中世纪盛世</t>
    <phoneticPr fontId="1" type="noConversion"/>
  </si>
  <si>
    <t>中世纪晚期</t>
    <phoneticPr fontId="1" type="noConversion"/>
  </si>
  <si>
    <t>高加索之狼</t>
    <phoneticPr fontId="1" type="noConversion"/>
  </si>
  <si>
    <t>散兵</t>
    <phoneticPr fontId="1" type="noConversion"/>
  </si>
  <si>
    <t>部队A</t>
    <phoneticPr fontId="1" type="noConversion"/>
  </si>
  <si>
    <t>部队B</t>
    <phoneticPr fontId="1" type="noConversion"/>
  </si>
  <si>
    <t>比值</t>
    <phoneticPr fontId="1" type="noConversion"/>
  </si>
  <si>
    <t>合并战斗力</t>
    <phoneticPr fontId="1" type="noConversion"/>
  </si>
  <si>
    <t>混合系数为</t>
    <phoneticPr fontId="1" type="noConversion"/>
  </si>
  <si>
    <t>军力</t>
    <phoneticPr fontId="1" type="noConversion"/>
  </si>
  <si>
    <t>集结后的维护费</t>
    <phoneticPr fontId="1" type="noConversion"/>
  </si>
  <si>
    <t>兵士性价比排序（相对于招募费）</t>
    <phoneticPr fontId="1" type="noConversion"/>
  </si>
  <si>
    <t>约姆斯维京海盗</t>
    <phoneticPr fontId="1" type="noConversion"/>
  </si>
  <si>
    <t>教团骑士</t>
    <phoneticPr fontId="1" type="noConversion"/>
  </si>
  <si>
    <t>穆巴里尊</t>
    <phoneticPr fontId="1" type="noConversion"/>
  </si>
  <si>
    <t>长矛兵</t>
    <phoneticPr fontId="1" type="noConversion"/>
  </si>
  <si>
    <t>山地兵</t>
    <phoneticPr fontId="1" type="noConversion"/>
  </si>
  <si>
    <t>国土佣仆</t>
    <phoneticPr fontId="1" type="noConversion"/>
  </si>
  <si>
    <t>中世纪盛世</t>
  </si>
  <si>
    <t>兵士的规模上限×标准战斗力排序（部落时代）</t>
    <phoneticPr fontId="1" type="noConversion"/>
  </si>
  <si>
    <t>额外规模上限</t>
    <phoneticPr fontId="1" type="noConversion"/>
  </si>
  <si>
    <t>基础规模上限</t>
    <phoneticPr fontId="1" type="noConversion"/>
  </si>
  <si>
    <t>维护费系数</t>
    <phoneticPr fontId="1" type="noConversion"/>
  </si>
  <si>
    <t>加成系数</t>
    <phoneticPr fontId="1" type="noConversion"/>
  </si>
  <si>
    <t>合计标准战斗力</t>
    <phoneticPr fontId="1" type="noConversion"/>
  </si>
  <si>
    <t>合计维护费</t>
    <phoneticPr fontId="1" type="noConversion"/>
  </si>
  <si>
    <t>兵士的规模上限×标准战斗力排序（中世纪早期）</t>
    <phoneticPr fontId="1" type="noConversion"/>
  </si>
  <si>
    <t>伤害加成系数（勋号）</t>
    <phoneticPr fontId="1" type="noConversion"/>
  </si>
  <si>
    <t>坚韧加成系数（勋号）</t>
    <phoneticPr fontId="1" type="noConversion"/>
  </si>
  <si>
    <t>追击加成系数（勋号）</t>
    <phoneticPr fontId="1" type="noConversion"/>
  </si>
  <si>
    <t>掩护加成系数（勋号）</t>
    <phoneticPr fontId="1" type="noConversion"/>
  </si>
  <si>
    <t>轻骑兵</t>
    <phoneticPr fontId="1" type="noConversion"/>
  </si>
  <si>
    <t>弓骑兵</t>
    <phoneticPr fontId="1" type="noConversion"/>
  </si>
  <si>
    <t>象骑兵</t>
    <phoneticPr fontId="1" type="noConversion"/>
  </si>
  <si>
    <t>骆驼骑兵</t>
    <phoneticPr fontId="1" type="noConversion"/>
  </si>
  <si>
    <t>【阿尔木】+20%伤害和20%坚韧</t>
    <phoneticPr fontId="1" type="noConversion"/>
  </si>
  <si>
    <t>部落时代上限（考虑部落）</t>
    <phoneticPr fontId="1" type="noConversion"/>
  </si>
  <si>
    <t>中世纪早期上限</t>
    <phoneticPr fontId="1" type="noConversion"/>
  </si>
  <si>
    <t>中世纪盛世上限</t>
    <phoneticPr fontId="1" type="noConversion"/>
  </si>
  <si>
    <t>中世纪晚期上限</t>
    <phoneticPr fontId="1" type="noConversion"/>
  </si>
  <si>
    <t>特殊加成</t>
    <phoneticPr fontId="1" type="noConversion"/>
  </si>
  <si>
    <t>长枪兵</t>
    <phoneticPr fontId="1" type="noConversion"/>
  </si>
  <si>
    <t>行军速度/旅行速度加成</t>
    <phoneticPr fontId="1" type="noConversion"/>
  </si>
  <si>
    <t>骆驼骑兵勋号</t>
    <phoneticPr fontId="1" type="noConversion"/>
  </si>
  <si>
    <t>马上领主、弓骑兵勋号、牧马场</t>
    <phoneticPr fontId="1" type="noConversion"/>
  </si>
  <si>
    <t>马上领主补给时间+100%</t>
    <phoneticPr fontId="1" type="noConversion"/>
  </si>
  <si>
    <t>部落时代上限（不考虑部落）</t>
    <phoneticPr fontId="1" type="noConversion"/>
  </si>
  <si>
    <t>马厩、马上领主、牧马场、掠袭骑兵勋号</t>
    <phoneticPr fontId="1" type="noConversion"/>
  </si>
  <si>
    <t>散兵勋号</t>
    <phoneticPr fontId="1" type="noConversion"/>
  </si>
  <si>
    <t>【什切尔别茨】： +10% 轻骑兵伤害/坚韧
【蒂索纳】：+10% 轻骑兵坚韧
【哈姆德旗】：+10% 轻骑兵伤害
【亚历山大之铠】：+1 轻骑兵军团的最大规模，+20% 轻骑兵追击，-25% 轻骑兵维护费
【科拉达】：+10% 轻骑兵追击/掩护</t>
    <phoneticPr fontId="1" type="noConversion"/>
  </si>
  <si>
    <t>【鸠约斯】：+5% 重骑兵坚韧
【尼基弗鲁斯二世·福卡斯的皇冠】：-10% 重骑兵维护费</t>
    <phoneticPr fontId="1" type="noConversion"/>
  </si>
  <si>
    <t>【哈姆德旗】：+10% 重步兵伤害，-10% 兵士维护费
【鲁斯塔姆的匕首】：+5% 重步兵坚韧，+5% 军队掩护
【克拉杰涅茨】：+10% 重步兵伤害/坚韧</t>
    <phoneticPr fontId="1" type="noConversion"/>
  </si>
  <si>
    <t>【斯昆石】：-5%长枪兵维护费</t>
    <phoneticPr fontId="1" type="noConversion"/>
  </si>
  <si>
    <t>兵士额外关联加成</t>
    <phoneticPr fontId="1" type="noConversion"/>
  </si>
  <si>
    <t>追击加成系数（勋号）</t>
    <phoneticPr fontId="1" type="noConversion"/>
  </si>
  <si>
    <t>骆驼骑兵</t>
    <phoneticPr fontId="1" type="noConversion"/>
  </si>
  <si>
    <t>掩护加成系数（建筑）</t>
    <phoneticPr fontId="1" type="noConversion"/>
  </si>
  <si>
    <t>掩护加成系数（勋号）</t>
    <phoneticPr fontId="1" type="noConversion"/>
  </si>
  <si>
    <t>追击加成系数（建筑）</t>
    <phoneticPr fontId="1" type="noConversion"/>
  </si>
  <si>
    <t>坚韧加成系数（建筑）</t>
    <phoneticPr fontId="1" type="noConversion"/>
  </si>
  <si>
    <t>伤害加成系数（建筑）</t>
    <phoneticPr fontId="1" type="noConversion"/>
  </si>
  <si>
    <t>基础伤害</t>
    <phoneticPr fontId="1" type="noConversion"/>
  </si>
  <si>
    <t>基础坚韧</t>
    <phoneticPr fontId="1" type="noConversion"/>
  </si>
  <si>
    <t>基础追击</t>
    <phoneticPr fontId="1" type="noConversion"/>
  </si>
  <si>
    <t>基础掩护</t>
    <phoneticPr fontId="1" type="noConversion"/>
  </si>
  <si>
    <t>追击加成系数（建筑）</t>
    <phoneticPr fontId="1" type="noConversion"/>
  </si>
  <si>
    <t>掩护加成系数（建筑）</t>
    <phoneticPr fontId="1" type="noConversion"/>
  </si>
  <si>
    <t>最终伤害</t>
    <phoneticPr fontId="1" type="noConversion"/>
  </si>
  <si>
    <t>最终坚韧</t>
    <phoneticPr fontId="1" type="noConversion"/>
  </si>
  <si>
    <t>最终追击</t>
    <phoneticPr fontId="1" type="noConversion"/>
  </si>
  <si>
    <t>最终掩护</t>
    <phoneticPr fontId="1" type="noConversion"/>
  </si>
  <si>
    <t>额外属性</t>
    <phoneticPr fontId="1" type="noConversion"/>
  </si>
  <si>
    <t>【最高建筑加成+满级勋号】有驻扎加成的兵士军团标准战斗力上限排序（部落时代）</t>
    <phoneticPr fontId="1" type="noConversion"/>
  </si>
  <si>
    <t>军事总管军事</t>
    <phoneticPr fontId="1" type="noConversion"/>
  </si>
  <si>
    <t>合计基础维护费（未计入减维护费的加成）</t>
    <phoneticPr fontId="1" type="noConversion"/>
  </si>
  <si>
    <t>文化传统加成（前面没计入）</t>
    <phoneticPr fontId="1" type="noConversion"/>
  </si>
  <si>
    <t>宝物加成（前面没计入）</t>
    <phoneticPr fontId="1" type="noConversion"/>
  </si>
  <si>
    <t>【最高建筑加成+满级勋号】有驻扎加成的兵士军团标准战斗力上限排序（中世纪早期）</t>
    <phoneticPr fontId="1" type="noConversion"/>
  </si>
  <si>
    <t>【最高建筑加成+满级勋号】有驻扎加成的兵士军团标准战斗力上限排序（中世纪盛世）</t>
    <phoneticPr fontId="1" type="noConversion"/>
  </si>
  <si>
    <t>考虑风炉额外修正（伤害）</t>
    <phoneticPr fontId="1" type="noConversion"/>
  </si>
  <si>
    <t>考虑风炉额外修正（坚韧）</t>
    <phoneticPr fontId="1" type="noConversion"/>
  </si>
  <si>
    <t>考虑风炉额外修正（追击）</t>
    <phoneticPr fontId="1" type="noConversion"/>
  </si>
  <si>
    <t>考虑风炉额外修正（掩护）</t>
    <phoneticPr fontId="1" type="noConversion"/>
  </si>
  <si>
    <t>最终伤害（考虑风炉）</t>
    <phoneticPr fontId="1" type="noConversion"/>
  </si>
  <si>
    <t>最终坚韧（考虑风炉）</t>
    <phoneticPr fontId="1" type="noConversion"/>
  </si>
  <si>
    <t>最终追击（考虑风炉）</t>
    <phoneticPr fontId="1" type="noConversion"/>
  </si>
  <si>
    <t>最终掩护（考虑风炉）</t>
    <phoneticPr fontId="1" type="noConversion"/>
  </si>
  <si>
    <t>合计标准战斗力（考虑风炉）</t>
    <phoneticPr fontId="1" type="noConversion"/>
  </si>
  <si>
    <t>标准战斗力（考虑风炉）</t>
    <phoneticPr fontId="1" type="noConversion"/>
  </si>
  <si>
    <t>【最高建筑加成+满级勋号】有驻扎加成的兵士军团标准战斗力上限排序（中世纪晚期）</t>
    <phoneticPr fontId="1" type="noConversion"/>
  </si>
  <si>
    <t>骆驼骑兵</t>
    <phoneticPr fontId="1" type="noConversion"/>
  </si>
  <si>
    <t>宗族传承类兵士</t>
    <phoneticPr fontId="1" type="noConversion"/>
  </si>
  <si>
    <t>弓骑兵</t>
    <phoneticPr fontId="1" type="noConversion"/>
  </si>
  <si>
    <t>阿萨维拉</t>
    <phoneticPr fontId="1" type="noConversion"/>
  </si>
  <si>
    <t>散兵×2、重步兵×2</t>
    <phoneticPr fontId="1" type="noConversion"/>
  </si>
  <si>
    <t>平原 旱地 沙漠山地</t>
    <phoneticPr fontId="1" type="noConversion"/>
  </si>
  <si>
    <t>丘陵 山地 湿地</t>
    <phoneticPr fontId="1" type="noConversion"/>
  </si>
  <si>
    <t>辉煌传承4级</t>
    <phoneticPr fontId="1" type="noConversion"/>
  </si>
  <si>
    <t>答剌罕军</t>
    <phoneticPr fontId="1" type="noConversion"/>
  </si>
  <si>
    <t>重骑兵</t>
    <phoneticPr fontId="1" type="noConversion"/>
  </si>
  <si>
    <t>重步兵 重骑兵×0.5</t>
    <phoneticPr fontId="1" type="noConversion"/>
  </si>
  <si>
    <t>绿洲 旱地 沙漠</t>
    <phoneticPr fontId="1" type="noConversion"/>
  </si>
  <si>
    <t>山地 湿地</t>
    <phoneticPr fontId="1" type="noConversion"/>
  </si>
  <si>
    <t>边疆战士</t>
    <phoneticPr fontId="1" type="noConversion"/>
  </si>
  <si>
    <t>部落时期</t>
    <phoneticPr fontId="1" type="noConversion"/>
  </si>
  <si>
    <t>传统类兵士</t>
    <phoneticPr fontId="1" type="noConversion"/>
  </si>
  <si>
    <t>楚宾矛兵</t>
    <phoneticPr fontId="1" type="noConversion"/>
  </si>
  <si>
    <t>重骑兵 轻骑兵 骆驼骑兵 象骑兵</t>
    <phoneticPr fontId="1" type="noConversion"/>
  </si>
  <si>
    <t>无</t>
    <phoneticPr fontId="1" type="noConversion"/>
  </si>
  <si>
    <t>山地 沙漠山地 丘陵 森林</t>
    <phoneticPr fontId="1" type="noConversion"/>
  </si>
  <si>
    <t>塔瓦希</t>
    <phoneticPr fontId="1" type="noConversion"/>
  </si>
  <si>
    <t>轻骑兵</t>
    <phoneticPr fontId="1" type="noConversion"/>
  </si>
  <si>
    <t>弓箭手 重步兵</t>
    <phoneticPr fontId="1" type="noConversion"/>
  </si>
  <si>
    <t>平原 旱地 丘陵 山地 沙漠山地</t>
    <phoneticPr fontId="1" type="noConversion"/>
  </si>
  <si>
    <t>湿地</t>
    <phoneticPr fontId="1" type="noConversion"/>
  </si>
  <si>
    <t>艰苦的独立</t>
    <phoneticPr fontId="1" type="noConversion"/>
  </si>
  <si>
    <t>务实传统</t>
    <phoneticPr fontId="1" type="noConversion"/>
  </si>
  <si>
    <t>轻步兵 重步兵 重骑兵×0.5</t>
    <phoneticPr fontId="1" type="noConversion"/>
  </si>
  <si>
    <t>驻扎弓箭手伤害： +7.5%+2.5%×N
驻扎散兵伤害： +7.5%+2.5%×N
驻扎散兵坚韧： +10%+5%×N</t>
    <phoneticPr fontId="1" type="noConversion"/>
  </si>
  <si>
    <t>驻扎重骑兵伤害： +7.5%+2.5%×N
驻扎重骑兵坚韧： +7.5%+2.5%×N</t>
    <phoneticPr fontId="1" type="noConversion"/>
  </si>
  <si>
    <t>驻扎重步兵伤害： +7.5%+2.5%×N
驻扎重步兵坚韧： +7.5%+2.5%×N
驻扎轻骑兵伤害： +7.5%+2.5%×N
驻扎轻骑兵坚韧： +7.5%+2.5%×N</t>
    <phoneticPr fontId="1" type="noConversion"/>
  </si>
  <si>
    <t>驻扎散兵伤害： +7.5%+2.5%×N
驻扎散兵坚韧： +7.5%+2.5%×N
驻扎长枪兵伤害： +7.5%+2.5%×N
驻扎长枪兵坚韧： +7.5%+2.5%×N</t>
    <phoneticPr fontId="1" type="noConversion"/>
  </si>
  <si>
    <t>沿海战士/灵巧的渔民文化传统：
  驻扎兵士坚韧： +10%+5%×N
航海家文化传统：
  军团规模上限（4/6/8级）：+1/2/3</t>
    <phoneticPr fontId="1" type="noConversion"/>
  </si>
  <si>
    <t>弓箭之地文化传统：
  驻扎弓箭手伤害： +7.5%+2.5%×N
  驻扎弓箭手坚韧： +7.5%+2.5%×N</t>
    <phoneticPr fontId="1" type="noConversion"/>
  </si>
  <si>
    <t>林中百姓 或 丛林守望者文化传统：
  驻扎弓箭手伤害： +7.5%+2.5%×N
  驻扎散兵伤害： +7.5%+2.5%×N</t>
    <phoneticPr fontId="1" type="noConversion"/>
  </si>
  <si>
    <t>驻扎象骑兵伤害： +10%+10%×N
驻扎象骑兵坚韧： +10%+10%×N</t>
    <phoneticPr fontId="1" type="noConversion"/>
  </si>
  <si>
    <t>驻扎兵士伤害： +10%+10%×N
驻扎兵士坚韧： +10%+10%×N</t>
    <phoneticPr fontId="1" type="noConversion"/>
  </si>
  <si>
    <r>
      <t>驻扎攻城武器效率： +5%+5%×N
驻扎弓箭手伤害（3级开始）： 10%+10%×（N-2）
驻扎散兵伤害（3级开始）： 10%+10%×（N-2）
驻扎兵士围攻进展： +0.05×N</t>
    </r>
    <r>
      <rPr>
        <b/>
        <sz val="11"/>
        <color theme="1"/>
        <rFont val="等线"/>
        <family val="3"/>
        <charset val="134"/>
        <scheme val="minor"/>
      </rPr>
      <t/>
    </r>
    <phoneticPr fontId="1" type="noConversion"/>
  </si>
  <si>
    <t>驻扎轻骑兵坚韧： +10%+5%×N
驻扎轻骑兵伤害： +10%+5%×N
驻扎弓骑兵坚韧： +7.5%+2.5%×N
驻扎弓骑兵伤害： +10%+5%×N
驻扎弓骑兵掩护： +10%+5%×N
驻扎弓骑兵追击： +10%+5%×N</t>
    <phoneticPr fontId="1" type="noConversion"/>
  </si>
  <si>
    <t>驻扎轻骑兵伤害： +10%+5%×N
驻扎轻骑兵坚韧（2级开始）： +5%+2.5%×（N-1）
驻扎重骑兵伤害： +10%+5%×N
驻扎重骑兵坚韧（2级开始）： +5%+2.5%×（N-1）
驻扎弓骑兵伤害： +10%+5%×N
驻扎弓骑兵坚韧（2级开始）： +5%+2.5%×（N-1）
驻扎兵士掩护（3级开始）：+2×（N-1）</t>
    <phoneticPr fontId="1" type="noConversion"/>
  </si>
  <si>
    <t>驻扎散兵伤害： +10%+5%×N
驻扎散兵坚韧（2级开始）： +5%+2.5%×（N-1）
驻扎长枪兵伤害： +10%+5%×N
驻扎长枪兵坚韧（2级开始）： +5%+2.5%×（N-1）
驻扎重步兵伤害： +10%+5%×N
驻扎重步兵坚韧（2级开始）： +5%+2.5%×（N-1）
驻扎兵士追击（3级开始）：+2×（N-1）</t>
    <phoneticPr fontId="1" type="noConversion"/>
  </si>
  <si>
    <t>驻扎弓箭手伤害： +10%+10%×N
驻扎弓箭手坚韧： +10%+5%×(N-2)
驻扎散兵伤害： +10%+10%×N
驻扎散兵追击： +10%+10%×N
驻扎散兵掩护： +10%+5%×(N-2)
驻扎散兵坚韧： +10%+5%×(N-2)</t>
    <phoneticPr fontId="1" type="noConversion"/>
  </si>
  <si>
    <t>驻扎兵士伤害： +10%+5%×N
驻扎兵士坚韧： +10%+5%×N</t>
    <phoneticPr fontId="1" type="noConversion"/>
  </si>
  <si>
    <t>驻扎散兵伤害： +7.5%+2.5%×N
驻扎散兵坚韧： +10%+5%×N
驻扎散兵掩护： +10%+5%×N
驻扎弓箭手伤害： +7.5%+2.5%×N
驻扎弓箭手坚韧： +10%+5%×N</t>
    <phoneticPr fontId="1" type="noConversion"/>
  </si>
  <si>
    <t>驻扎重步兵伤害： +10%+10%×N
驻扎重步兵坚韧： +10%+10%×（N-2）
驻扎长枪兵伤害： +10%+10%×N
驻扎长枪兵坚韧： +10%+10%×（N-2）
人多力量大文化传统：
  军团规模上限（2/4/6/8级）：+1/2/3/4</t>
    <phoneticPr fontId="1" type="noConversion"/>
  </si>
  <si>
    <t>驻扎骆驼骑兵伤害： +10%+10%×N
驻扎骆驼骑兵追击： +10%+5%×N
驻扎骆驼骑兵坚韧（3级开始）： +10%+10%×（N-2）
驻扎骆驼骑兵掩护（3级开始）： +10%+5%×（N-2）
驻扎轻骑兵伤害： +10%+5%×N
驻扎轻骑兵追击： +7.5%+2.5%×N
驻扎轻骑兵坚韧（3级开始）： +7.5%+2.5%×（N-2）
驻扎轻骑兵掩护（3级开始）： +7.5%+2.5%×（N-2）</t>
    <phoneticPr fontId="1" type="noConversion"/>
  </si>
  <si>
    <t>驻扎重骑兵伤害： +10%+10%×N
驻扎重骑兵坚韧（3级开始）： +10%+10%×（N-2）
驻扎重骑兵掩护（5级开始）： +5%×（N-2）
驻扎重骑兵追击（5级开始）： +5%×（N-2）
驻扎轻骑兵伤害： +10%+10%×N
驻扎轻骑兵追击： +10%+5%×N
驻扎轻骑兵坚韧（3级开始）： +10%+10%×（N-2）
驻扎轻骑兵掩护（5级开始）： +5%×（N-2）</t>
    <phoneticPr fontId="1" type="noConversion"/>
  </si>
  <si>
    <t>驻扎兵士伤害： +10%+5%×N
驻扎兵士坚韧（3级开始）： +5%×N
廉价军械文化传统：
  军团规模上限（2/6/8级）：+1/2/3</t>
    <phoneticPr fontId="1" type="noConversion"/>
  </si>
  <si>
    <t>驻扎散兵伤害： +10%+10%×N
驻扎散兵坚韧： +10%+5%×N
驻扎重步兵伤害： +10%+10%×N
驻扎重步兵坚韧： +10%+5%×N
驻扎弓骑兵伤害： +10%+10%×N
驻扎弓骑兵坚韧： +10%+5%×N
人多力量大文化传统：
  军团规模上限（2级）：+1</t>
    <phoneticPr fontId="1" type="noConversion"/>
  </si>
  <si>
    <t>驻扎弓箭手伤害： +10%+10%×N
驻扎弓箭手坚韧： +10%+5%×N
驻扎长枪兵伤害： +10%+10%×N
驻扎长枪兵坚韧： +10%+5%×N</t>
    <phoneticPr fontId="1" type="noConversion"/>
  </si>
  <si>
    <t>农场与耕地</t>
    <phoneticPr fontId="1" type="noConversion"/>
  </si>
  <si>
    <t>集体主义文化传统：
  驻扎兵士伤害： +10%+5%×N
  驻扎兵士坚韧： +10%+5%×N</t>
    <phoneticPr fontId="1" type="noConversion"/>
  </si>
  <si>
    <t>或者拥有“也门”修正的  伯爵领
或者拥有5级或以上的坎儿井</t>
    <phoneticPr fontId="1" type="noConversion"/>
  </si>
  <si>
    <t>【丛林守望者/林中百姓】：每级林业增加驻扎散兵伤害（+7.5%+2.5%×N）。
【骠骑兵突袭】：+2散兵掩护
【突袭撤退策略】：+2散兵伤害、+4散兵掩护
【圩田】：+4 散兵伤害、+4 散兵掩护
【万能散兵】：+2 散兵伤害、+4 散兵坚韧、-5%散兵维护费</t>
    <phoneticPr fontId="1" type="noConversion"/>
  </si>
  <si>
    <t>【东罗马遗产】：+2 重骑兵军团的最大规模，−15% 兵士招募花费/维护费
【帝国禁卫军】：+2 重骑兵军团的最大规模
【育马者】：−15% 重骑兵、轻骑兵、弓骑兵维护费；−25% 重骑兵、轻骑兵、弓骑兵招募花费
【大胆的次子】：+2重骑兵军团的最大规模，+20重骑兵伤害和追击
【不屈的阿扎特】：+20重骑兵伤害，−15% 重骑兵、弓骑兵维护费
【防守战术/坚守阵地】：重骑兵坚韧+20
【板甲】（文化革新）：重骑兵坚韧+20</t>
    <phoneticPr fontId="1" type="noConversion"/>
  </si>
  <si>
    <t>【战阵专家】：+4 长枪兵伤害、+6 长枪兵坚韧
【防守战术/坚守阵地】：长枪兵坚韧+6</t>
    <phoneticPr fontId="1" type="noConversion"/>
  </si>
  <si>
    <t>通用</t>
    <phoneticPr fontId="1" type="noConversion"/>
  </si>
  <si>
    <t>征召兵</t>
    <phoneticPr fontId="1" type="noConversion"/>
  </si>
  <si>
    <t>【丛林守望者/林中百姓】：林业增加驻扎弓箭手伤害（+7.5%+2.5%×N）。
【长弓竞赛】：+4弓箭手军团规模，-2长枪兵和重骑兵军团规模。
【万能散兵】：+4 弓箭手伤害，+2 弓箭手坚韧。
【战阵专家】：+2 弓箭手伤害，+4 弓箭手坚韧。
【弓箭之地】：+4弓箭手伤害，狩猎场建筑增加驻扎弓箭手伤害和坚韧（+7.5%+2.5%×N）。</t>
    <phoneticPr fontId="1" type="noConversion"/>
  </si>
  <si>
    <t>【马上领主】：+10%轻骑兵伤害和掩护
【育马者】：−15% 重骑兵、轻骑兵、弓骑兵维护费
【撒哈拉游牧民】：−25% 轻骑兵维护费
【不屈的阿扎特】：+4轻骑兵伤害
【骠骑兵突袭】：+6轻骑兵伤害、+6轻骑兵掩护
【突袭撤退策略】：+4轻骑兵伤害、+4轻骑兵掩护</t>
    <phoneticPr fontId="1" type="noConversion"/>
  </si>
  <si>
    <t>【东罗马遗产】：+2 重步兵军团的最大规模，−15% 兵士招募花费/维护费
【沿海战士】：贸易站可以增加驻扎兵士的坚韧（+10%+每级5%）
【劫掠传承2级】：+2重步兵规模上限
【防守战术/坚守阵地】：重步兵坚韧+4
【伙伴卫队】：+2重步兵坚韧
【板甲】（文化革新）：重步兵坚韧+10</t>
    <phoneticPr fontId="1" type="noConversion"/>
  </si>
  <si>
    <t>【大象之主】：+40战象伤害、+20战象坚韧、−15% 象骑兵维护费/招募花费；每级战象建筑 −1% 象骑兵维护费、每级战象建筑 +5% 每月发展度增长。
有大象之主以后，四星教育特质（除了阴谋）可以成为象主（每种特质有不同增益）：
天才军事家：+20% 象骑兵伤害、+10% 象骑兵坚韧、+20 象骑兵追击、+5丛林优势
幕后操控人：-10%丛林建筑花费、+10% 象骑兵伤害/坚韧、−10% 象骑兵维护费/招募花费
哲学大师：+30%印度或东南亚区域发展度增长、-35%丛林损耗、+10% 象骑兵坚韧、+20 象骑兵掩护、−20% 象骑兵维护费
点石成金者：+30%印度或东南亚区域发展度增长、-20%丛林建筑花费、−20% 象骑兵维护费/招募花费
【侍卫亲军】：+60战象伤害、+20战象坚韧</t>
    <phoneticPr fontId="1" type="noConversion"/>
  </si>
  <si>
    <t>【金属工人】：+2坚韧
【坚守阵地/防守战术】：+2坚韧</t>
    <phoneticPr fontId="1" type="noConversion"/>
  </si>
  <si>
    <t>【唯有强者】：+8伤害+8坚韧（-1军团数量-2规模+25%招募花费）
【坚守阵地/防守战术】：+4坚韧
【金属工人】：+2坚韧
【廉价军械】：铁匠铺可以增加军团规模上限（降低坚韧，征召兵-8，兵士-6，重步兵-4，长枪兵-4，重骑兵-14）
【航海家】：港口可以增加军团规模上限
【灵巧的渔民】：贸易站可以增加驻扎兵士的坚韧（+10%+每级5%）
【人多力量大】：战地军营和兵营可以增加军团规模上限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</si>
</sst>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6"/>
      <color rgb="FF333333"/>
      <name val="等线"/>
      <family val="3"/>
      <charset val="134"/>
      <scheme val="minor"/>
    </font>
    <font>
      <sz val="6"/>
      <color rgb="FF333333"/>
      <name val="等线"/>
      <family val="3"/>
      <charset val="134"/>
      <scheme val="minor"/>
    </font>
    <font>
      <b/>
      <sz val="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8"/>
      <color rgb="FF333333"/>
      <name val="等线"/>
      <family val="3"/>
      <charset val="134"/>
      <scheme val="minor"/>
    </font>
    <font>
      <b/>
      <sz val="6"/>
      <color theme="5" tint="-0.499984740745262"/>
      <name val="等线"/>
      <family val="3"/>
      <charset val="134"/>
      <scheme val="minor"/>
    </font>
    <font>
      <sz val="11"/>
      <color theme="5" tint="-0.499984740745262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  <font>
      <b/>
      <sz val="6"/>
      <color theme="5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b/>
      <sz val="6"/>
      <color theme="5" tint="-0.249977111117893"/>
      <name val="等线"/>
      <family val="3"/>
      <charset val="134"/>
      <scheme val="minor"/>
    </font>
    <font>
      <b/>
      <sz val="6"/>
      <color theme="7" tint="-0.249977111117893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b/>
      <sz val="6"/>
      <color theme="9" tint="-0.249977111117893"/>
      <name val="等线"/>
      <family val="3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2" borderId="5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0" xfId="0" applyFill="1">
      <alignment vertical="center"/>
    </xf>
    <xf numFmtId="0" fontId="0" fillId="0" borderId="12" xfId="0" applyBorder="1">
      <alignment vertical="center"/>
    </xf>
    <xf numFmtId="0" fontId="0" fillId="3" borderId="9" xfId="0" applyFill="1" applyBorder="1">
      <alignment vertical="center"/>
    </xf>
    <xf numFmtId="10" fontId="0" fillId="3" borderId="6" xfId="0" applyNumberFormat="1" applyFill="1" applyBorder="1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  <xf numFmtId="0" fontId="5" fillId="6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176" fontId="5" fillId="6" borderId="0" xfId="0" applyNumberFormat="1" applyFont="1" applyFill="1" applyAlignment="1">
      <alignment horizontal="center" vertical="center" wrapText="1"/>
    </xf>
    <xf numFmtId="0" fontId="2" fillId="7" borderId="0" xfId="0" applyFont="1" applyFill="1">
      <alignment vertical="center"/>
    </xf>
    <xf numFmtId="0" fontId="5" fillId="7" borderId="0" xfId="0" applyFont="1" applyFill="1" applyAlignment="1">
      <alignment horizontal="center" vertical="center" wrapText="1"/>
    </xf>
    <xf numFmtId="176" fontId="5" fillId="7" borderId="0" xfId="0" applyNumberFormat="1" applyFont="1" applyFill="1" applyAlignment="1">
      <alignment horizontal="center" vertical="center" wrapText="1"/>
    </xf>
    <xf numFmtId="0" fontId="0" fillId="7" borderId="0" xfId="0" applyFill="1">
      <alignment vertical="center"/>
    </xf>
    <xf numFmtId="0" fontId="5" fillId="8" borderId="0" xfId="0" applyFont="1" applyFill="1" applyAlignment="1">
      <alignment horizontal="center" vertical="center" wrapText="1"/>
    </xf>
    <xf numFmtId="176" fontId="5" fillId="8" borderId="0" xfId="0" applyNumberFormat="1" applyFont="1" applyFill="1" applyAlignment="1">
      <alignment horizontal="center" vertical="center" wrapText="1"/>
    </xf>
    <xf numFmtId="0" fontId="0" fillId="8" borderId="0" xfId="0" applyFill="1">
      <alignment vertical="center"/>
    </xf>
    <xf numFmtId="0" fontId="7" fillId="9" borderId="0" xfId="0" applyFont="1" applyFill="1" applyAlignment="1">
      <alignment horizontal="center" vertical="center" wrapText="1"/>
    </xf>
    <xf numFmtId="0" fontId="8" fillId="9" borderId="0" xfId="0" applyFont="1" applyFill="1">
      <alignment vertical="center"/>
    </xf>
    <xf numFmtId="0" fontId="5" fillId="11" borderId="0" xfId="0" applyFont="1" applyFill="1" applyAlignment="1">
      <alignment horizontal="center" vertical="center" wrapText="1"/>
    </xf>
    <xf numFmtId="176" fontId="5" fillId="11" borderId="0" xfId="0" applyNumberFormat="1" applyFont="1" applyFill="1" applyAlignment="1">
      <alignment horizontal="center" vertical="center" wrapText="1"/>
    </xf>
    <xf numFmtId="0" fontId="0" fillId="11" borderId="0" xfId="0" applyFill="1">
      <alignment vertical="center"/>
    </xf>
    <xf numFmtId="0" fontId="7" fillId="11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horizontal="center" vertical="center" wrapText="1"/>
    </xf>
    <xf numFmtId="0" fontId="0" fillId="12" borderId="0" xfId="0" applyFill="1">
      <alignment vertical="center"/>
    </xf>
    <xf numFmtId="0" fontId="5" fillId="13" borderId="0" xfId="0" applyFont="1" applyFill="1" applyAlignment="1">
      <alignment horizontal="center" vertical="center" wrapText="1"/>
    </xf>
    <xf numFmtId="0" fontId="0" fillId="13" borderId="0" xfId="0" applyFill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3" xfId="0" applyFont="1" applyBorder="1">
      <alignment vertical="center"/>
    </xf>
    <xf numFmtId="0" fontId="10" fillId="0" borderId="3" xfId="0" applyFont="1" applyBorder="1">
      <alignment vertical="center"/>
    </xf>
    <xf numFmtId="0" fontId="10" fillId="0" borderId="0" xfId="0" applyFont="1" applyFill="1" applyBorder="1">
      <alignment vertical="center"/>
    </xf>
    <xf numFmtId="0" fontId="10" fillId="0" borderId="0" xfId="0" applyFont="1" applyBorder="1">
      <alignment vertical="center"/>
    </xf>
    <xf numFmtId="0" fontId="10" fillId="0" borderId="4" xfId="0" applyFont="1" applyBorder="1">
      <alignment vertical="center"/>
    </xf>
    <xf numFmtId="0" fontId="0" fillId="0" borderId="4" xfId="0" applyFill="1" applyBorder="1">
      <alignment vertical="center"/>
    </xf>
    <xf numFmtId="0" fontId="2" fillId="10" borderId="0" xfId="0" applyFont="1" applyFill="1" applyAlignment="1">
      <alignment vertical="center"/>
    </xf>
    <xf numFmtId="0" fontId="7" fillId="15" borderId="0" xfId="0" applyFont="1" applyFill="1" applyAlignment="1">
      <alignment horizontal="center" vertical="center" wrapText="1"/>
    </xf>
    <xf numFmtId="0" fontId="8" fillId="15" borderId="0" xfId="0" applyFont="1" applyFill="1">
      <alignment vertical="center"/>
    </xf>
    <xf numFmtId="0" fontId="5" fillId="14" borderId="0" xfId="0" applyFont="1" applyFill="1" applyAlignment="1">
      <alignment horizontal="center" vertical="center" wrapText="1"/>
    </xf>
    <xf numFmtId="0" fontId="0" fillId="14" borderId="0" xfId="0" applyFill="1">
      <alignment vertical="center"/>
    </xf>
    <xf numFmtId="0" fontId="2" fillId="0" borderId="5" xfId="0" applyFont="1" applyBorder="1">
      <alignment vertical="center"/>
    </xf>
    <xf numFmtId="0" fontId="11" fillId="6" borderId="0" xfId="0" applyFont="1" applyFill="1" applyAlignment="1">
      <alignment horizontal="center" vertical="center" wrapText="1"/>
    </xf>
    <xf numFmtId="0" fontId="12" fillId="12" borderId="0" xfId="0" applyFont="1" applyFill="1" applyAlignment="1">
      <alignment horizontal="center" vertical="center" wrapText="1"/>
    </xf>
    <xf numFmtId="0" fontId="13" fillId="12" borderId="0" xfId="0" applyFont="1" applyFill="1">
      <alignment vertical="center"/>
    </xf>
    <xf numFmtId="0" fontId="15" fillId="6" borderId="0" xfId="0" applyFont="1" applyFill="1" applyAlignment="1">
      <alignment horizontal="center" vertical="center" wrapText="1"/>
    </xf>
    <xf numFmtId="0" fontId="16" fillId="0" borderId="0" xfId="0" applyFont="1">
      <alignment vertical="center"/>
    </xf>
    <xf numFmtId="0" fontId="17" fillId="15" borderId="0" xfId="0" applyFont="1" applyFill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9" fillId="0" borderId="0" xfId="0" applyFont="1">
      <alignment vertical="center"/>
    </xf>
    <xf numFmtId="0" fontId="20" fillId="6" borderId="0" xfId="0" applyFont="1" applyFill="1" applyAlignment="1">
      <alignment horizontal="center" vertical="center" wrapText="1"/>
    </xf>
    <xf numFmtId="0" fontId="21" fillId="0" borderId="0" xfId="0" applyFont="1">
      <alignment vertical="center"/>
    </xf>
    <xf numFmtId="0" fontId="20" fillId="16" borderId="0" xfId="0" applyFont="1" applyFill="1" applyAlignment="1">
      <alignment horizontal="center" vertical="center" wrapText="1"/>
    </xf>
    <xf numFmtId="0" fontId="21" fillId="16" borderId="0" xfId="0" applyFont="1" applyFill="1">
      <alignment vertical="center"/>
    </xf>
    <xf numFmtId="0" fontId="22" fillId="16" borderId="0" xfId="0" applyFont="1" applyFill="1" applyAlignment="1">
      <alignment horizontal="center" vertical="center"/>
    </xf>
    <xf numFmtId="176" fontId="20" fillId="16" borderId="0" xfId="0" applyNumberFormat="1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zoomScale="115" zoomScaleNormal="115" workbookViewId="0">
      <pane ySplit="1" topLeftCell="A2" activePane="bottomLeft" state="frozen"/>
      <selection pane="bottomLeft" activeCell="S8" sqref="S8"/>
    </sheetView>
  </sheetViews>
  <sheetFormatPr defaultRowHeight="14.25"/>
  <cols>
    <col min="1" max="1" width="13" bestFit="1" customWidth="1"/>
    <col min="2" max="2" width="13" customWidth="1"/>
    <col min="17" max="17" width="34.625" customWidth="1"/>
    <col min="19" max="19" width="54.375" customWidth="1"/>
  </cols>
  <sheetData>
    <row r="1" spans="1:19">
      <c r="A1" s="24" t="s">
        <v>14</v>
      </c>
      <c r="B1" s="24" t="s">
        <v>22</v>
      </c>
      <c r="C1" s="24" t="s">
        <v>2</v>
      </c>
      <c r="D1" s="24" t="s">
        <v>3</v>
      </c>
      <c r="E1" s="24" t="s">
        <v>1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0</v>
      </c>
      <c r="L1" s="24" t="s">
        <v>9</v>
      </c>
      <c r="M1" s="24" t="s">
        <v>10</v>
      </c>
      <c r="N1" s="24" t="s">
        <v>11</v>
      </c>
      <c r="O1" s="24" t="s">
        <v>12</v>
      </c>
      <c r="P1" s="24" t="s">
        <v>13</v>
      </c>
      <c r="Q1" s="24" t="s">
        <v>18</v>
      </c>
      <c r="R1" s="24" t="s">
        <v>15</v>
      </c>
      <c r="S1" s="24" t="s">
        <v>44</v>
      </c>
    </row>
    <row r="2" spans="1:19" ht="42.75">
      <c r="A2" t="s">
        <v>16</v>
      </c>
      <c r="B2" t="s">
        <v>23</v>
      </c>
      <c r="I2">
        <v>1</v>
      </c>
      <c r="L2">
        <v>1</v>
      </c>
      <c r="M2">
        <v>1</v>
      </c>
      <c r="Q2" s="1" t="s">
        <v>17</v>
      </c>
      <c r="S2" s="1" t="s">
        <v>415</v>
      </c>
    </row>
    <row r="3" spans="1:19" ht="28.5">
      <c r="A3" t="s">
        <v>19</v>
      </c>
      <c r="B3" t="s">
        <v>23</v>
      </c>
      <c r="E3">
        <v>1</v>
      </c>
      <c r="H3">
        <v>1</v>
      </c>
      <c r="K3">
        <v>1</v>
      </c>
      <c r="P3">
        <v>1</v>
      </c>
      <c r="Q3" s="1" t="s">
        <v>17</v>
      </c>
      <c r="S3" s="1" t="s">
        <v>416</v>
      </c>
    </row>
    <row r="4" spans="1:19" ht="57">
      <c r="A4" t="s">
        <v>20</v>
      </c>
      <c r="B4" t="s">
        <v>23</v>
      </c>
      <c r="C4">
        <v>1</v>
      </c>
      <c r="D4">
        <v>1</v>
      </c>
      <c r="N4">
        <v>1</v>
      </c>
      <c r="O4">
        <v>1</v>
      </c>
      <c r="Q4" s="1" t="s">
        <v>17</v>
      </c>
      <c r="S4" s="1" t="s">
        <v>417</v>
      </c>
    </row>
    <row r="5" spans="1:19" ht="57">
      <c r="A5" t="s">
        <v>21</v>
      </c>
      <c r="B5" t="s">
        <v>23</v>
      </c>
      <c r="F5">
        <v>1</v>
      </c>
      <c r="G5">
        <v>1</v>
      </c>
      <c r="J5">
        <v>1</v>
      </c>
      <c r="Q5" s="1" t="s">
        <v>17</v>
      </c>
      <c r="S5" s="1" t="s">
        <v>418</v>
      </c>
    </row>
    <row r="6" spans="1:19" ht="57">
      <c r="A6" t="s">
        <v>24</v>
      </c>
      <c r="B6" t="s">
        <v>25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s="1" t="s">
        <v>26</v>
      </c>
      <c r="S6" s="1" t="s">
        <v>419</v>
      </c>
    </row>
    <row r="7" spans="1:19" ht="42.75">
      <c r="A7" t="s">
        <v>27</v>
      </c>
      <c r="B7" t="s">
        <v>25</v>
      </c>
      <c r="D7">
        <v>1</v>
      </c>
      <c r="F7">
        <v>1</v>
      </c>
      <c r="H7">
        <v>1</v>
      </c>
      <c r="I7">
        <v>1</v>
      </c>
      <c r="L7">
        <v>1</v>
      </c>
      <c r="M7">
        <v>1</v>
      </c>
      <c r="O7">
        <v>1</v>
      </c>
      <c r="P7">
        <v>1</v>
      </c>
      <c r="Q7" s="1" t="s">
        <v>28</v>
      </c>
      <c r="S7" s="1" t="s">
        <v>420</v>
      </c>
    </row>
    <row r="8" spans="1:19" ht="42.75">
      <c r="A8" t="s">
        <v>29</v>
      </c>
      <c r="B8" t="s">
        <v>25</v>
      </c>
      <c r="I8">
        <v>1</v>
      </c>
      <c r="L8">
        <v>1</v>
      </c>
      <c r="M8">
        <v>1</v>
      </c>
      <c r="Q8" s="1" t="s">
        <v>28</v>
      </c>
      <c r="S8" s="1" t="s">
        <v>421</v>
      </c>
    </row>
    <row r="9" spans="1:19" ht="42.75">
      <c r="A9" t="s">
        <v>30</v>
      </c>
      <c r="B9" t="s">
        <v>25</v>
      </c>
      <c r="M9">
        <v>1</v>
      </c>
      <c r="Q9" s="1" t="s">
        <v>31</v>
      </c>
      <c r="S9" s="1" t="s">
        <v>422</v>
      </c>
    </row>
    <row r="10" spans="1:19" ht="128.25">
      <c r="A10" t="s">
        <v>32</v>
      </c>
      <c r="B10" t="s">
        <v>33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 s="1" t="s">
        <v>34</v>
      </c>
      <c r="S10" s="1" t="s">
        <v>423</v>
      </c>
    </row>
    <row r="11" spans="1:19" ht="57">
      <c r="A11" t="s">
        <v>35</v>
      </c>
      <c r="B11" t="s">
        <v>33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 s="1" t="s">
        <v>36</v>
      </c>
      <c r="S11" s="1" t="s">
        <v>424</v>
      </c>
    </row>
    <row r="12" spans="1:19" ht="85.5">
      <c r="A12" t="s">
        <v>37</v>
      </c>
      <c r="B12" t="s">
        <v>33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 s="1" t="s">
        <v>38</v>
      </c>
      <c r="S12" s="1" t="s">
        <v>425</v>
      </c>
    </row>
    <row r="13" spans="1:19" ht="99.75">
      <c r="A13" t="s">
        <v>39</v>
      </c>
      <c r="B13" t="s">
        <v>33</v>
      </c>
      <c r="F13">
        <v>1</v>
      </c>
      <c r="G13">
        <v>1</v>
      </c>
      <c r="J13">
        <v>1</v>
      </c>
      <c r="Q13" s="1" t="s">
        <v>42</v>
      </c>
      <c r="S13" s="1" t="s">
        <v>426</v>
      </c>
    </row>
    <row r="14" spans="1:19" ht="99.75">
      <c r="A14" t="s">
        <v>40</v>
      </c>
      <c r="B14" t="s">
        <v>33</v>
      </c>
      <c r="F14">
        <v>1</v>
      </c>
      <c r="G14">
        <v>1</v>
      </c>
      <c r="J14">
        <v>1</v>
      </c>
      <c r="Q14" s="1" t="s">
        <v>41</v>
      </c>
      <c r="S14" s="1" t="s">
        <v>427</v>
      </c>
    </row>
    <row r="15" spans="1:19" ht="85.5">
      <c r="A15" t="s">
        <v>43</v>
      </c>
      <c r="B15" t="s">
        <v>33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 s="1" t="s">
        <v>28</v>
      </c>
      <c r="S15" s="1" t="s">
        <v>428</v>
      </c>
    </row>
    <row r="16" spans="1:19" ht="28.5">
      <c r="A16" t="s">
        <v>45</v>
      </c>
      <c r="B16" t="s">
        <v>33</v>
      </c>
      <c r="E16">
        <v>1</v>
      </c>
      <c r="K16">
        <v>1</v>
      </c>
      <c r="S16" s="1" t="s">
        <v>429</v>
      </c>
    </row>
    <row r="17" spans="1:19" ht="71.25">
      <c r="A17" t="s">
        <v>46</v>
      </c>
      <c r="B17" t="s">
        <v>33</v>
      </c>
      <c r="I17">
        <v>1</v>
      </c>
      <c r="L17">
        <v>1</v>
      </c>
      <c r="M17">
        <v>1</v>
      </c>
      <c r="P17">
        <v>1</v>
      </c>
      <c r="Q17" s="1" t="s">
        <v>28</v>
      </c>
      <c r="S17" s="1" t="s">
        <v>430</v>
      </c>
    </row>
    <row r="18" spans="1:19" ht="99.75">
      <c r="A18" t="s">
        <v>47</v>
      </c>
      <c r="B18" t="s">
        <v>33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 s="1" t="s">
        <v>28</v>
      </c>
      <c r="S18" s="1" t="s">
        <v>431</v>
      </c>
    </row>
    <row r="19" spans="1:19" ht="171">
      <c r="A19" t="s">
        <v>48</v>
      </c>
      <c r="B19" t="s">
        <v>33</v>
      </c>
      <c r="C19">
        <v>1</v>
      </c>
      <c r="D19">
        <v>1</v>
      </c>
      <c r="E19">
        <v>1</v>
      </c>
      <c r="J19">
        <v>1</v>
      </c>
      <c r="N19">
        <v>1</v>
      </c>
      <c r="Q19" s="1" t="s">
        <v>49</v>
      </c>
      <c r="S19" s="1" t="s">
        <v>432</v>
      </c>
    </row>
    <row r="20" spans="1:19" ht="142.5">
      <c r="A20" t="s">
        <v>50</v>
      </c>
      <c r="B20" t="s">
        <v>33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 s="1" t="s">
        <v>28</v>
      </c>
      <c r="S20" s="1" t="s">
        <v>433</v>
      </c>
    </row>
    <row r="21" spans="1:19" ht="71.25">
      <c r="A21" t="s">
        <v>51</v>
      </c>
      <c r="B21" t="s">
        <v>33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 s="1" t="s">
        <v>28</v>
      </c>
      <c r="S21" s="1" t="s">
        <v>434</v>
      </c>
    </row>
    <row r="22" spans="1:19" ht="128.25">
      <c r="A22" t="s">
        <v>52</v>
      </c>
      <c r="B22" t="s">
        <v>53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 s="1" t="s">
        <v>54</v>
      </c>
      <c r="R22" t="s">
        <v>55</v>
      </c>
      <c r="S22" s="1" t="s">
        <v>435</v>
      </c>
    </row>
    <row r="23" spans="1:19" ht="57">
      <c r="A23" t="s">
        <v>56</v>
      </c>
      <c r="B23" t="s">
        <v>53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 s="1" t="s">
        <v>54</v>
      </c>
      <c r="R23" t="s">
        <v>55</v>
      </c>
      <c r="S23" s="1" t="s">
        <v>436</v>
      </c>
    </row>
    <row r="24" spans="1:19" ht="42.75">
      <c r="A24" t="s">
        <v>437</v>
      </c>
      <c r="B24" t="s">
        <v>25</v>
      </c>
      <c r="C24">
        <v>0.5</v>
      </c>
      <c r="D24">
        <v>1</v>
      </c>
      <c r="E24">
        <v>1</v>
      </c>
      <c r="F24">
        <v>0.5</v>
      </c>
      <c r="G24">
        <v>0.5</v>
      </c>
      <c r="H24">
        <v>1</v>
      </c>
      <c r="J24">
        <v>0.5</v>
      </c>
      <c r="K24">
        <v>1</v>
      </c>
      <c r="Q24" s="1" t="s">
        <v>439</v>
      </c>
      <c r="S24" s="1" t="s">
        <v>438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30" zoomScaleNormal="130" workbookViewId="0">
      <selection activeCell="E4" sqref="E4"/>
    </sheetView>
  </sheetViews>
  <sheetFormatPr defaultRowHeight="14.25"/>
  <cols>
    <col min="2" max="2" width="38" bestFit="1" customWidth="1"/>
    <col min="3" max="3" width="21.25" bestFit="1" customWidth="1"/>
    <col min="4" max="4" width="23" bestFit="1" customWidth="1"/>
    <col min="5" max="5" width="65" customWidth="1"/>
    <col min="6" max="6" width="47.125" customWidth="1"/>
  </cols>
  <sheetData>
    <row r="1" spans="1:6" ht="25.5">
      <c r="A1" s="73" t="s">
        <v>350</v>
      </c>
      <c r="B1" s="73"/>
      <c r="C1" s="73"/>
      <c r="D1" s="73"/>
      <c r="E1" s="73"/>
      <c r="F1" s="74"/>
    </row>
    <row r="2" spans="1:6" ht="20.25">
      <c r="A2" s="48" t="s">
        <v>230</v>
      </c>
      <c r="B2" s="49" t="s">
        <v>339</v>
      </c>
      <c r="C2" s="49" t="s">
        <v>86</v>
      </c>
      <c r="D2" s="49" t="s">
        <v>337</v>
      </c>
      <c r="E2" s="50" t="s">
        <v>372</v>
      </c>
      <c r="F2" s="51" t="s">
        <v>373</v>
      </c>
    </row>
    <row r="3" spans="1:6" ht="114">
      <c r="A3" s="47" t="s">
        <v>443</v>
      </c>
      <c r="B3" s="49"/>
      <c r="C3" s="49"/>
      <c r="D3" s="49"/>
      <c r="E3" s="46" t="s">
        <v>450</v>
      </c>
      <c r="F3" s="51"/>
    </row>
    <row r="4" spans="1:6" ht="28.5">
      <c r="A4" s="47" t="s">
        <v>444</v>
      </c>
      <c r="B4" s="49"/>
      <c r="C4" s="49"/>
      <c r="D4" s="49"/>
      <c r="E4" s="46" t="s">
        <v>449</v>
      </c>
      <c r="F4" s="51"/>
    </row>
    <row r="5" spans="1:6" ht="114">
      <c r="A5" s="47" t="s">
        <v>291</v>
      </c>
      <c r="B5" s="42" t="s">
        <v>50</v>
      </c>
      <c r="C5" s="42"/>
      <c r="D5" s="42"/>
      <c r="E5" s="46" t="s">
        <v>441</v>
      </c>
      <c r="F5" s="45" t="s">
        <v>347</v>
      </c>
    </row>
    <row r="6" spans="1:6" ht="85.5">
      <c r="A6" s="47" t="s">
        <v>133</v>
      </c>
      <c r="B6" s="42" t="s">
        <v>136</v>
      </c>
      <c r="C6" s="42"/>
      <c r="D6" s="42"/>
      <c r="E6" s="46" t="s">
        <v>447</v>
      </c>
      <c r="F6" s="45" t="s">
        <v>348</v>
      </c>
    </row>
    <row r="7" spans="1:6" ht="28.5">
      <c r="A7" s="47" t="s">
        <v>338</v>
      </c>
      <c r="B7" s="42" t="s">
        <v>136</v>
      </c>
      <c r="C7" s="42"/>
      <c r="D7" s="42"/>
      <c r="E7" s="46" t="s">
        <v>442</v>
      </c>
      <c r="F7" s="2" t="s">
        <v>349</v>
      </c>
    </row>
    <row r="8" spans="1:6" ht="85.5">
      <c r="A8" s="47" t="s">
        <v>328</v>
      </c>
      <c r="B8" s="44" t="s">
        <v>344</v>
      </c>
      <c r="C8" s="42" t="s">
        <v>48</v>
      </c>
      <c r="D8" s="42" t="s">
        <v>342</v>
      </c>
      <c r="E8" s="46" t="s">
        <v>446</v>
      </c>
      <c r="F8" s="45" t="s">
        <v>346</v>
      </c>
    </row>
    <row r="9" spans="1:6" ht="71.25">
      <c r="A9" s="47" t="s">
        <v>289</v>
      </c>
      <c r="B9" s="44" t="s">
        <v>345</v>
      </c>
      <c r="C9" s="42"/>
      <c r="D9" s="42"/>
      <c r="E9" s="46" t="s">
        <v>440</v>
      </c>
      <c r="F9" s="2" t="s">
        <v>136</v>
      </c>
    </row>
    <row r="10" spans="1:6" ht="85.5">
      <c r="A10" s="47" t="s">
        <v>197</v>
      </c>
      <c r="B10" s="44" t="s">
        <v>136</v>
      </c>
      <c r="C10" s="42"/>
      <c r="D10" s="42"/>
      <c r="E10" s="46" t="s">
        <v>445</v>
      </c>
      <c r="F10" s="2" t="s">
        <v>136</v>
      </c>
    </row>
    <row r="11" spans="1:6">
      <c r="A11" s="47" t="s">
        <v>329</v>
      </c>
      <c r="B11" s="42" t="s">
        <v>341</v>
      </c>
      <c r="C11" s="42"/>
      <c r="D11" s="42" t="s">
        <v>342</v>
      </c>
      <c r="E11" s="42"/>
      <c r="F11" s="2" t="s">
        <v>332</v>
      </c>
    </row>
    <row r="12" spans="1:6" ht="185.25">
      <c r="A12" s="47" t="s">
        <v>330</v>
      </c>
      <c r="B12" s="42"/>
      <c r="C12" s="42" t="s">
        <v>30</v>
      </c>
      <c r="D12" s="42"/>
      <c r="E12" s="46" t="s">
        <v>448</v>
      </c>
      <c r="F12" s="2" t="s">
        <v>136</v>
      </c>
    </row>
    <row r="13" spans="1:6" ht="15" thickBot="1">
      <c r="A13" s="58" t="s">
        <v>331</v>
      </c>
      <c r="B13" s="8" t="s">
        <v>340</v>
      </c>
      <c r="C13" s="8" t="s">
        <v>48</v>
      </c>
      <c r="D13" s="8"/>
      <c r="E13" s="8"/>
      <c r="F13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7" workbookViewId="0">
      <selection activeCell="A51" sqref="A51:A59"/>
    </sheetView>
  </sheetViews>
  <sheetFormatPr defaultRowHeight="14.25"/>
  <cols>
    <col min="2" max="9" width="21.375" bestFit="1" customWidth="1"/>
    <col min="10" max="10" width="21.375" customWidth="1"/>
    <col min="11" max="11" width="13" bestFit="1" customWidth="1"/>
  </cols>
  <sheetData>
    <row r="1" spans="1:11">
      <c r="A1" s="75" t="s">
        <v>333</v>
      </c>
      <c r="B1" s="76"/>
      <c r="C1" s="76"/>
      <c r="D1" s="76"/>
      <c r="E1" s="76"/>
      <c r="F1" s="76"/>
      <c r="G1" s="76"/>
      <c r="H1" s="76"/>
      <c r="I1" s="76"/>
      <c r="J1" s="76"/>
      <c r="K1" s="77"/>
    </row>
    <row r="2" spans="1:11">
      <c r="A2" s="41" t="s">
        <v>230</v>
      </c>
      <c r="B2" s="42" t="s">
        <v>357</v>
      </c>
      <c r="C2" s="42" t="s">
        <v>356</v>
      </c>
      <c r="D2" s="42" t="s">
        <v>362</v>
      </c>
      <c r="E2" s="42" t="s">
        <v>363</v>
      </c>
      <c r="F2" s="42" t="s">
        <v>324</v>
      </c>
      <c r="G2" s="42" t="s">
        <v>325</v>
      </c>
      <c r="H2" s="42" t="s">
        <v>326</v>
      </c>
      <c r="I2" s="42" t="s">
        <v>327</v>
      </c>
      <c r="J2" s="42" t="s">
        <v>318</v>
      </c>
      <c r="K2" s="2" t="s">
        <v>317</v>
      </c>
    </row>
    <row r="3" spans="1:11">
      <c r="A3" s="41" t="s">
        <v>291</v>
      </c>
      <c r="B3" s="42">
        <v>1.8</v>
      </c>
      <c r="C3" s="42">
        <v>1.4</v>
      </c>
      <c r="D3" s="42">
        <v>1</v>
      </c>
      <c r="E3" s="44">
        <v>1</v>
      </c>
      <c r="F3" s="42">
        <v>1.6</v>
      </c>
      <c r="G3" s="42">
        <v>1.3</v>
      </c>
      <c r="H3" s="42">
        <v>1</v>
      </c>
      <c r="I3" s="42">
        <v>1</v>
      </c>
      <c r="J3" s="42">
        <v>5</v>
      </c>
      <c r="K3" s="2">
        <v>6</v>
      </c>
    </row>
    <row r="4" spans="1:11">
      <c r="A4" s="41" t="s">
        <v>133</v>
      </c>
      <c r="B4" s="42">
        <v>2</v>
      </c>
      <c r="C4" s="42">
        <v>1.65</v>
      </c>
      <c r="D4" s="42">
        <v>1</v>
      </c>
      <c r="E4" s="44">
        <v>1</v>
      </c>
      <c r="F4" s="42">
        <v>1.6</v>
      </c>
      <c r="G4" s="42">
        <v>1.3</v>
      </c>
      <c r="H4" s="42">
        <v>1</v>
      </c>
      <c r="I4" s="42">
        <v>1</v>
      </c>
      <c r="J4" s="42">
        <v>5</v>
      </c>
      <c r="K4" s="2">
        <v>6</v>
      </c>
    </row>
    <row r="5" spans="1:11">
      <c r="A5" s="41" t="s">
        <v>338</v>
      </c>
      <c r="B5" s="42">
        <v>2</v>
      </c>
      <c r="C5" s="42">
        <v>1.65</v>
      </c>
      <c r="D5" s="42">
        <v>1</v>
      </c>
      <c r="E5" s="44">
        <v>1</v>
      </c>
      <c r="F5" s="42">
        <v>1.5</v>
      </c>
      <c r="G5" s="42">
        <v>1.6</v>
      </c>
      <c r="H5" s="42">
        <v>1</v>
      </c>
      <c r="I5" s="44">
        <v>1</v>
      </c>
      <c r="J5" s="44">
        <v>5</v>
      </c>
      <c r="K5" s="52">
        <v>6</v>
      </c>
    </row>
    <row r="6" spans="1:11">
      <c r="A6" s="41" t="s">
        <v>328</v>
      </c>
      <c r="B6" s="42">
        <v>1.9</v>
      </c>
      <c r="C6" s="42">
        <v>1.5</v>
      </c>
      <c r="D6" s="42">
        <v>1.2</v>
      </c>
      <c r="E6" s="44">
        <v>1</v>
      </c>
      <c r="F6" s="44">
        <v>1.6</v>
      </c>
      <c r="G6" s="44">
        <v>1.3</v>
      </c>
      <c r="H6" s="44">
        <v>1.4</v>
      </c>
      <c r="I6" s="44">
        <v>1</v>
      </c>
      <c r="J6" s="42">
        <v>5</v>
      </c>
      <c r="K6" s="2">
        <v>6</v>
      </c>
    </row>
    <row r="7" spans="1:11">
      <c r="A7" s="41" t="s">
        <v>289</v>
      </c>
      <c r="B7" s="44">
        <v>1.8</v>
      </c>
      <c r="C7" s="44">
        <v>1.6</v>
      </c>
      <c r="D7" s="44">
        <v>1</v>
      </c>
      <c r="E7" s="44">
        <v>1</v>
      </c>
      <c r="F7" s="44">
        <v>1.6</v>
      </c>
      <c r="G7" s="44">
        <v>1.3</v>
      </c>
      <c r="H7" s="44">
        <v>1</v>
      </c>
      <c r="I7" s="44">
        <v>1.5</v>
      </c>
      <c r="J7" s="42">
        <v>5</v>
      </c>
      <c r="K7" s="2">
        <v>8</v>
      </c>
    </row>
    <row r="8" spans="1:11">
      <c r="A8" s="41" t="s">
        <v>197</v>
      </c>
      <c r="B8" s="44">
        <v>1.8</v>
      </c>
      <c r="C8" s="44">
        <v>1.6</v>
      </c>
      <c r="D8" s="44">
        <v>1</v>
      </c>
      <c r="E8" s="44">
        <v>1</v>
      </c>
      <c r="F8" s="44">
        <v>1.6</v>
      </c>
      <c r="G8" s="44">
        <v>1.3</v>
      </c>
      <c r="H8" s="44">
        <v>1</v>
      </c>
      <c r="I8" s="42">
        <v>1</v>
      </c>
      <c r="J8" s="42">
        <v>5</v>
      </c>
      <c r="K8" s="2">
        <v>8</v>
      </c>
    </row>
    <row r="9" spans="1:11">
      <c r="A9" s="41" t="s">
        <v>329</v>
      </c>
      <c r="B9" s="42">
        <v>2.2000000000000002</v>
      </c>
      <c r="C9" s="42">
        <v>1.85</v>
      </c>
      <c r="D9" s="42">
        <v>1.2</v>
      </c>
      <c r="E9" s="44">
        <v>1.2</v>
      </c>
      <c r="F9" s="42">
        <v>1.6</v>
      </c>
      <c r="G9" s="42">
        <v>1.3</v>
      </c>
      <c r="H9" s="42">
        <v>1.4</v>
      </c>
      <c r="I9" s="44">
        <v>1</v>
      </c>
      <c r="J9" s="42">
        <v>5</v>
      </c>
      <c r="K9" s="2">
        <v>6</v>
      </c>
    </row>
    <row r="10" spans="1:11">
      <c r="A10" s="41" t="s">
        <v>330</v>
      </c>
      <c r="B10" s="44">
        <v>1.7</v>
      </c>
      <c r="C10" s="44">
        <v>1.5</v>
      </c>
      <c r="D10" s="44">
        <v>1</v>
      </c>
      <c r="E10" s="44">
        <v>1</v>
      </c>
      <c r="F10" s="42">
        <v>1.2</v>
      </c>
      <c r="G10" s="42">
        <v>1.2</v>
      </c>
      <c r="H10" s="42">
        <v>1</v>
      </c>
      <c r="I10" s="44">
        <v>1</v>
      </c>
      <c r="J10" s="42">
        <v>5</v>
      </c>
      <c r="K10" s="2">
        <v>3</v>
      </c>
    </row>
    <row r="11" spans="1:11" ht="15" thickBot="1">
      <c r="A11" s="43" t="s">
        <v>331</v>
      </c>
      <c r="B11" s="8">
        <v>1.9</v>
      </c>
      <c r="C11" s="8">
        <v>1.3</v>
      </c>
      <c r="D11" s="8">
        <v>1.2</v>
      </c>
      <c r="E11" s="8">
        <v>1</v>
      </c>
      <c r="F11" s="8">
        <v>1.6</v>
      </c>
      <c r="G11" s="8">
        <v>1.3</v>
      </c>
      <c r="H11" s="8">
        <v>1.3</v>
      </c>
      <c r="I11" s="8">
        <v>1.3</v>
      </c>
      <c r="J11" s="8">
        <v>5</v>
      </c>
      <c r="K11" s="3">
        <v>6</v>
      </c>
    </row>
    <row r="12" spans="1:11" ht="15" thickBot="1"/>
    <row r="13" spans="1:11">
      <c r="A13" s="75" t="s">
        <v>343</v>
      </c>
      <c r="B13" s="76"/>
      <c r="C13" s="76"/>
      <c r="D13" s="76"/>
      <c r="E13" s="76"/>
      <c r="F13" s="76"/>
      <c r="G13" s="76"/>
      <c r="H13" s="76"/>
      <c r="I13" s="76"/>
      <c r="J13" s="76"/>
      <c r="K13" s="77"/>
    </row>
    <row r="14" spans="1:11">
      <c r="A14" s="41" t="s">
        <v>230</v>
      </c>
      <c r="B14" s="42" t="s">
        <v>357</v>
      </c>
      <c r="C14" s="42" t="s">
        <v>356</v>
      </c>
      <c r="D14" s="42" t="s">
        <v>362</v>
      </c>
      <c r="E14" s="42" t="s">
        <v>363</v>
      </c>
      <c r="F14" s="42" t="s">
        <v>324</v>
      </c>
      <c r="G14" s="42" t="s">
        <v>325</v>
      </c>
      <c r="H14" s="42" t="s">
        <v>326</v>
      </c>
      <c r="I14" s="42" t="s">
        <v>327</v>
      </c>
      <c r="J14" s="42" t="s">
        <v>318</v>
      </c>
      <c r="K14" s="2" t="s">
        <v>317</v>
      </c>
    </row>
    <row r="15" spans="1:11">
      <c r="A15" s="41" t="s">
        <v>291</v>
      </c>
      <c r="B15" s="42">
        <v>1.8</v>
      </c>
      <c r="C15" s="42">
        <v>1.4</v>
      </c>
      <c r="D15" s="42">
        <v>1</v>
      </c>
      <c r="E15" s="44">
        <v>1</v>
      </c>
      <c r="F15" s="42">
        <v>1.6</v>
      </c>
      <c r="G15" s="42">
        <v>1.3</v>
      </c>
      <c r="H15" s="42">
        <v>1</v>
      </c>
      <c r="I15" s="42">
        <v>1</v>
      </c>
      <c r="J15" s="42">
        <v>5</v>
      </c>
      <c r="K15" s="2">
        <v>6</v>
      </c>
    </row>
    <row r="16" spans="1:11">
      <c r="A16" s="41" t="s">
        <v>133</v>
      </c>
      <c r="B16" s="42">
        <v>1.9</v>
      </c>
      <c r="C16" s="42">
        <v>1.3</v>
      </c>
      <c r="D16" s="42">
        <v>1</v>
      </c>
      <c r="E16" s="44">
        <v>1</v>
      </c>
      <c r="F16" s="42">
        <v>1.6</v>
      </c>
      <c r="G16" s="42">
        <v>1.3</v>
      </c>
      <c r="H16" s="42">
        <v>1</v>
      </c>
      <c r="I16" s="42">
        <v>1</v>
      </c>
      <c r="J16" s="42">
        <v>5</v>
      </c>
      <c r="K16" s="2">
        <v>6</v>
      </c>
    </row>
    <row r="17" spans="1:11">
      <c r="A17" s="41" t="s">
        <v>338</v>
      </c>
      <c r="B17" s="42">
        <v>1.9</v>
      </c>
      <c r="C17" s="42">
        <v>1.3</v>
      </c>
      <c r="D17" s="42">
        <v>1</v>
      </c>
      <c r="E17" s="44">
        <v>1</v>
      </c>
      <c r="F17" s="42">
        <v>1.5</v>
      </c>
      <c r="G17" s="42">
        <v>1.6</v>
      </c>
      <c r="H17" s="42">
        <v>1</v>
      </c>
      <c r="I17" s="44">
        <v>1</v>
      </c>
      <c r="J17" s="44">
        <v>5</v>
      </c>
      <c r="K17" s="2">
        <v>6</v>
      </c>
    </row>
    <row r="18" spans="1:11">
      <c r="A18" s="41" t="s">
        <v>328</v>
      </c>
      <c r="B18" s="42">
        <v>1.9</v>
      </c>
      <c r="C18" s="42">
        <v>1.5</v>
      </c>
      <c r="D18" s="42">
        <v>1.2</v>
      </c>
      <c r="E18" s="44">
        <v>1</v>
      </c>
      <c r="F18" s="44">
        <v>1.6</v>
      </c>
      <c r="G18" s="44">
        <v>1.3</v>
      </c>
      <c r="H18" s="44">
        <v>1.4</v>
      </c>
      <c r="I18" s="44">
        <v>1</v>
      </c>
      <c r="J18" s="42">
        <v>5</v>
      </c>
      <c r="K18" s="2">
        <v>6</v>
      </c>
    </row>
    <row r="19" spans="1:11">
      <c r="A19" s="41" t="s">
        <v>289</v>
      </c>
      <c r="B19" s="44">
        <v>1.8</v>
      </c>
      <c r="C19" s="44">
        <v>1.3</v>
      </c>
      <c r="D19" s="44">
        <v>1.4</v>
      </c>
      <c r="E19" s="44">
        <v>1.2</v>
      </c>
      <c r="F19" s="44">
        <v>1.6</v>
      </c>
      <c r="G19" s="44">
        <v>1.3</v>
      </c>
      <c r="H19" s="44">
        <v>1</v>
      </c>
      <c r="I19" s="44">
        <v>1.5</v>
      </c>
      <c r="J19" s="42">
        <v>5</v>
      </c>
      <c r="K19" s="2">
        <v>8</v>
      </c>
    </row>
    <row r="20" spans="1:11">
      <c r="A20" s="41" t="s">
        <v>197</v>
      </c>
      <c r="B20" s="44">
        <v>1.9</v>
      </c>
      <c r="C20" s="44">
        <v>1.3</v>
      </c>
      <c r="D20" s="44">
        <v>1</v>
      </c>
      <c r="E20" s="44">
        <v>1</v>
      </c>
      <c r="F20" s="44">
        <v>1.6</v>
      </c>
      <c r="G20" s="44">
        <v>1.3</v>
      </c>
      <c r="H20" s="44">
        <v>1</v>
      </c>
      <c r="I20" s="42">
        <v>1</v>
      </c>
      <c r="J20" s="42">
        <v>5</v>
      </c>
      <c r="K20" s="2">
        <v>8</v>
      </c>
    </row>
    <row r="21" spans="1:11">
      <c r="A21" s="41" t="s">
        <v>329</v>
      </c>
      <c r="B21" s="42">
        <v>1.7</v>
      </c>
      <c r="C21" s="42">
        <v>1.4</v>
      </c>
      <c r="D21" s="42">
        <v>1.2</v>
      </c>
      <c r="E21" s="44">
        <v>1.2</v>
      </c>
      <c r="F21" s="42">
        <v>1.6</v>
      </c>
      <c r="G21" s="42">
        <v>1.3</v>
      </c>
      <c r="H21" s="42">
        <v>1.4</v>
      </c>
      <c r="I21" s="44">
        <v>1</v>
      </c>
      <c r="J21" s="42">
        <v>5</v>
      </c>
      <c r="K21" s="2">
        <v>6</v>
      </c>
    </row>
    <row r="22" spans="1:11">
      <c r="A22" s="41" t="s">
        <v>330</v>
      </c>
      <c r="B22" s="44">
        <v>1.7</v>
      </c>
      <c r="C22" s="44">
        <v>1.5</v>
      </c>
      <c r="D22" s="44">
        <v>1</v>
      </c>
      <c r="E22" s="44">
        <v>1</v>
      </c>
      <c r="F22" s="42">
        <v>1.2</v>
      </c>
      <c r="G22" s="42">
        <v>1.2</v>
      </c>
      <c r="H22" s="42">
        <v>1</v>
      </c>
      <c r="I22" s="44">
        <v>1</v>
      </c>
      <c r="J22" s="42">
        <v>5</v>
      </c>
      <c r="K22" s="2">
        <v>3</v>
      </c>
    </row>
    <row r="23" spans="1:11" ht="15" thickBot="1">
      <c r="A23" s="43" t="s">
        <v>331</v>
      </c>
      <c r="B23" s="8">
        <v>1.9</v>
      </c>
      <c r="C23" s="8">
        <v>1.3</v>
      </c>
      <c r="D23" s="8">
        <v>1.2</v>
      </c>
      <c r="E23" s="8">
        <v>1</v>
      </c>
      <c r="F23" s="8">
        <v>1.6</v>
      </c>
      <c r="G23" s="8">
        <v>1.3</v>
      </c>
      <c r="H23" s="8">
        <v>1.3</v>
      </c>
      <c r="I23" s="8">
        <v>1.3</v>
      </c>
      <c r="J23" s="8">
        <v>5</v>
      </c>
      <c r="K23" s="3">
        <v>6</v>
      </c>
    </row>
    <row r="24" spans="1:11" ht="15" thickBot="1"/>
    <row r="25" spans="1:11">
      <c r="A25" s="75" t="s">
        <v>334</v>
      </c>
      <c r="B25" s="76"/>
      <c r="C25" s="76"/>
      <c r="D25" s="76"/>
      <c r="E25" s="76"/>
      <c r="F25" s="76"/>
      <c r="G25" s="76"/>
      <c r="H25" s="76"/>
      <c r="I25" s="76"/>
      <c r="J25" s="76"/>
      <c r="K25" s="77"/>
    </row>
    <row r="26" spans="1:11">
      <c r="A26" s="41" t="s">
        <v>230</v>
      </c>
      <c r="B26" s="42" t="s">
        <v>357</v>
      </c>
      <c r="C26" s="42" t="s">
        <v>356</v>
      </c>
      <c r="D26" s="42" t="s">
        <v>362</v>
      </c>
      <c r="E26" s="42" t="s">
        <v>363</v>
      </c>
      <c r="F26" s="42" t="s">
        <v>324</v>
      </c>
      <c r="G26" s="42" t="s">
        <v>325</v>
      </c>
      <c r="H26" s="42" t="s">
        <v>326</v>
      </c>
      <c r="I26" s="42" t="s">
        <v>327</v>
      </c>
      <c r="J26" s="42" t="s">
        <v>318</v>
      </c>
      <c r="K26" s="2" t="s">
        <v>317</v>
      </c>
    </row>
    <row r="27" spans="1:11">
      <c r="A27" s="41" t="s">
        <v>291</v>
      </c>
      <c r="B27" s="42">
        <v>3</v>
      </c>
      <c r="C27" s="42">
        <v>2.4</v>
      </c>
      <c r="D27" s="42">
        <v>1</v>
      </c>
      <c r="E27" s="44">
        <v>1</v>
      </c>
      <c r="F27" s="42">
        <v>1.6</v>
      </c>
      <c r="G27" s="42">
        <v>1.3</v>
      </c>
      <c r="H27" s="42">
        <v>1</v>
      </c>
      <c r="I27" s="42">
        <v>1</v>
      </c>
      <c r="J27" s="42">
        <v>8</v>
      </c>
      <c r="K27" s="2">
        <v>6</v>
      </c>
    </row>
    <row r="28" spans="1:11">
      <c r="A28" s="41" t="s">
        <v>133</v>
      </c>
      <c r="B28" s="42">
        <v>2.8</v>
      </c>
      <c r="C28" s="42">
        <v>2.2000000000000002</v>
      </c>
      <c r="D28" s="42">
        <v>1</v>
      </c>
      <c r="E28" s="44">
        <v>1</v>
      </c>
      <c r="F28" s="42">
        <v>1.6</v>
      </c>
      <c r="G28" s="42">
        <v>1.3</v>
      </c>
      <c r="H28" s="42">
        <v>1</v>
      </c>
      <c r="I28" s="42">
        <v>1</v>
      </c>
      <c r="J28" s="42">
        <v>8</v>
      </c>
      <c r="K28" s="2">
        <v>6</v>
      </c>
    </row>
    <row r="29" spans="1:11">
      <c r="A29" s="41" t="s">
        <v>338</v>
      </c>
      <c r="B29" s="42">
        <v>3</v>
      </c>
      <c r="C29" s="42">
        <v>2.25</v>
      </c>
      <c r="D29" s="42">
        <v>1</v>
      </c>
      <c r="E29" s="42">
        <v>1</v>
      </c>
      <c r="F29" s="42">
        <v>1.5</v>
      </c>
      <c r="G29" s="42">
        <v>1.6</v>
      </c>
      <c r="H29" s="42">
        <v>1</v>
      </c>
      <c r="I29" s="44">
        <v>1</v>
      </c>
      <c r="J29" s="42">
        <v>8</v>
      </c>
      <c r="K29" s="2">
        <v>6</v>
      </c>
    </row>
    <row r="30" spans="1:11">
      <c r="A30" s="41" t="s">
        <v>328</v>
      </c>
      <c r="B30" s="42">
        <v>3.2</v>
      </c>
      <c r="C30" s="42">
        <v>2.2999999999999998</v>
      </c>
      <c r="D30" s="42">
        <v>1.6</v>
      </c>
      <c r="E30" s="44">
        <v>1.1000000000000001</v>
      </c>
      <c r="F30" s="44">
        <v>1.6</v>
      </c>
      <c r="G30" s="44">
        <v>1.3</v>
      </c>
      <c r="H30" s="44">
        <v>1.4</v>
      </c>
      <c r="I30" s="44">
        <v>1</v>
      </c>
      <c r="J30" s="42">
        <v>8</v>
      </c>
      <c r="K30" s="2">
        <v>6</v>
      </c>
    </row>
    <row r="31" spans="1:11">
      <c r="A31" s="41" t="s">
        <v>289</v>
      </c>
      <c r="B31" s="44">
        <v>2.8</v>
      </c>
      <c r="C31" s="44">
        <v>2.4</v>
      </c>
      <c r="D31" s="44">
        <v>1.8</v>
      </c>
      <c r="E31" s="44">
        <v>1.6</v>
      </c>
      <c r="F31" s="44">
        <v>1.6</v>
      </c>
      <c r="G31" s="44">
        <v>1.3</v>
      </c>
      <c r="H31" s="44">
        <v>1</v>
      </c>
      <c r="I31" s="44">
        <v>1.5</v>
      </c>
      <c r="J31" s="42">
        <v>8</v>
      </c>
      <c r="K31" s="2">
        <v>8</v>
      </c>
    </row>
    <row r="32" spans="1:11">
      <c r="A32" s="41" t="s">
        <v>197</v>
      </c>
      <c r="B32" s="44">
        <v>2.8</v>
      </c>
      <c r="C32" s="44">
        <v>2.2000000000000002</v>
      </c>
      <c r="D32" s="42">
        <v>1</v>
      </c>
      <c r="E32" s="44">
        <v>1</v>
      </c>
      <c r="F32" s="44">
        <v>1.6</v>
      </c>
      <c r="G32" s="44">
        <v>1.3</v>
      </c>
      <c r="H32" s="44">
        <v>1</v>
      </c>
      <c r="I32" s="42">
        <v>1</v>
      </c>
      <c r="J32" s="42">
        <v>8</v>
      </c>
      <c r="K32" s="2">
        <v>8</v>
      </c>
    </row>
    <row r="33" spans="1:11">
      <c r="A33" s="41" t="s">
        <v>329</v>
      </c>
      <c r="B33" s="42">
        <v>2.4</v>
      </c>
      <c r="C33" s="42">
        <v>2.2000000000000002</v>
      </c>
      <c r="D33" s="42">
        <v>1.4</v>
      </c>
      <c r="E33" s="44">
        <v>1.4</v>
      </c>
      <c r="F33" s="42">
        <v>1.6</v>
      </c>
      <c r="G33" s="42">
        <v>1.3</v>
      </c>
      <c r="H33" s="42">
        <v>1.4</v>
      </c>
      <c r="I33" s="44">
        <v>1</v>
      </c>
      <c r="J33" s="42">
        <v>8</v>
      </c>
      <c r="K33" s="2">
        <v>6</v>
      </c>
    </row>
    <row r="34" spans="1:11">
      <c r="A34" s="41" t="s">
        <v>330</v>
      </c>
      <c r="B34" s="44">
        <v>2.4</v>
      </c>
      <c r="C34" s="44">
        <v>2.2000000000000002</v>
      </c>
      <c r="D34" s="44">
        <v>1</v>
      </c>
      <c r="E34" s="44">
        <v>1</v>
      </c>
      <c r="F34" s="42">
        <v>1.2</v>
      </c>
      <c r="G34" s="42">
        <v>1.2</v>
      </c>
      <c r="H34" s="42">
        <v>1</v>
      </c>
      <c r="I34" s="44">
        <v>1</v>
      </c>
      <c r="J34" s="42">
        <v>8</v>
      </c>
      <c r="K34" s="2">
        <v>3</v>
      </c>
    </row>
    <row r="35" spans="1:11" ht="15" thickBot="1">
      <c r="A35" s="43" t="s">
        <v>331</v>
      </c>
      <c r="B35" s="8">
        <v>2.8</v>
      </c>
      <c r="C35" s="8">
        <v>2.2000000000000002</v>
      </c>
      <c r="D35" s="8">
        <v>1.4</v>
      </c>
      <c r="E35" s="8">
        <v>1.2</v>
      </c>
      <c r="F35" s="8">
        <v>1.6</v>
      </c>
      <c r="G35" s="8">
        <v>1.3</v>
      </c>
      <c r="H35" s="8">
        <v>1.3</v>
      </c>
      <c r="I35" s="8">
        <v>1.3</v>
      </c>
      <c r="J35" s="8">
        <v>8</v>
      </c>
      <c r="K35" s="3">
        <v>6</v>
      </c>
    </row>
    <row r="36" spans="1:11" ht="15" thickBot="1"/>
    <row r="37" spans="1:11">
      <c r="A37" s="75" t="s">
        <v>335</v>
      </c>
      <c r="B37" s="76"/>
      <c r="C37" s="76"/>
      <c r="D37" s="76"/>
      <c r="E37" s="76"/>
      <c r="F37" s="76"/>
      <c r="G37" s="76"/>
      <c r="H37" s="76"/>
      <c r="I37" s="76"/>
      <c r="J37" s="76"/>
      <c r="K37" s="77"/>
    </row>
    <row r="38" spans="1:11">
      <c r="A38" s="41" t="s">
        <v>230</v>
      </c>
      <c r="B38" s="42" t="s">
        <v>357</v>
      </c>
      <c r="C38" s="42" t="s">
        <v>356</v>
      </c>
      <c r="D38" s="42" t="s">
        <v>362</v>
      </c>
      <c r="E38" s="42" t="s">
        <v>363</v>
      </c>
      <c r="F38" s="42" t="s">
        <v>324</v>
      </c>
      <c r="G38" s="42" t="s">
        <v>325</v>
      </c>
      <c r="H38" s="42" t="s">
        <v>326</v>
      </c>
      <c r="I38" s="42" t="s">
        <v>327</v>
      </c>
      <c r="J38" s="42" t="s">
        <v>318</v>
      </c>
      <c r="K38" s="2" t="s">
        <v>317</v>
      </c>
    </row>
    <row r="39" spans="1:11">
      <c r="A39" s="41" t="s">
        <v>291</v>
      </c>
      <c r="B39" s="42">
        <v>4</v>
      </c>
      <c r="C39" s="42">
        <v>3.4</v>
      </c>
      <c r="D39" s="42">
        <v>1.2</v>
      </c>
      <c r="E39" s="44">
        <v>1.2</v>
      </c>
      <c r="F39" s="42">
        <v>1.6</v>
      </c>
      <c r="G39" s="42">
        <v>1.3</v>
      </c>
      <c r="H39" s="42">
        <v>1</v>
      </c>
      <c r="I39" s="42">
        <v>1</v>
      </c>
      <c r="J39" s="42">
        <v>12</v>
      </c>
      <c r="K39" s="2">
        <v>6</v>
      </c>
    </row>
    <row r="40" spans="1:11">
      <c r="A40" s="41" t="s">
        <v>133</v>
      </c>
      <c r="B40" s="42">
        <v>3.7</v>
      </c>
      <c r="C40" s="42">
        <v>3.1</v>
      </c>
      <c r="D40" s="42">
        <v>1</v>
      </c>
      <c r="E40" s="44">
        <v>1</v>
      </c>
      <c r="F40" s="42">
        <v>1.6</v>
      </c>
      <c r="G40" s="42">
        <v>1.3</v>
      </c>
      <c r="H40" s="42">
        <v>1</v>
      </c>
      <c r="I40" s="42">
        <v>1</v>
      </c>
      <c r="J40" s="42">
        <v>12</v>
      </c>
      <c r="K40" s="2">
        <v>6</v>
      </c>
    </row>
    <row r="41" spans="1:11">
      <c r="A41" s="41" t="s">
        <v>338</v>
      </c>
      <c r="B41" s="42">
        <v>4</v>
      </c>
      <c r="C41" s="42">
        <v>3.05</v>
      </c>
      <c r="D41" s="42">
        <v>1</v>
      </c>
      <c r="E41" s="44">
        <v>1</v>
      </c>
      <c r="F41" s="42">
        <v>1.5</v>
      </c>
      <c r="G41" s="42">
        <v>1.6</v>
      </c>
      <c r="H41" s="42">
        <v>1</v>
      </c>
      <c r="I41" s="44">
        <v>1</v>
      </c>
      <c r="J41" s="42">
        <v>12</v>
      </c>
      <c r="K41" s="2">
        <v>6</v>
      </c>
    </row>
    <row r="42" spans="1:11">
      <c r="A42" s="41" t="s">
        <v>328</v>
      </c>
      <c r="B42" s="42">
        <v>4.9000000000000004</v>
      </c>
      <c r="C42" s="42">
        <v>3.9</v>
      </c>
      <c r="D42" s="42">
        <v>1.9</v>
      </c>
      <c r="E42" s="44">
        <v>1.3</v>
      </c>
      <c r="F42" s="44">
        <v>1.6</v>
      </c>
      <c r="G42" s="44">
        <v>1.3</v>
      </c>
      <c r="H42" s="44">
        <v>1.4</v>
      </c>
      <c r="I42" s="44">
        <v>1</v>
      </c>
      <c r="J42" s="42">
        <v>12</v>
      </c>
      <c r="K42" s="2">
        <v>6</v>
      </c>
    </row>
    <row r="43" spans="1:11">
      <c r="A43" s="41" t="s">
        <v>289</v>
      </c>
      <c r="B43" s="44">
        <v>4.8</v>
      </c>
      <c r="C43" s="44">
        <v>3.3</v>
      </c>
      <c r="D43" s="42">
        <v>2.2000000000000002</v>
      </c>
      <c r="E43" s="44">
        <v>2</v>
      </c>
      <c r="F43" s="44">
        <v>1.6</v>
      </c>
      <c r="G43" s="44">
        <v>1.3</v>
      </c>
      <c r="H43" s="44">
        <v>1</v>
      </c>
      <c r="I43" s="44">
        <v>1.5</v>
      </c>
      <c r="J43" s="42">
        <v>12</v>
      </c>
      <c r="K43" s="2">
        <v>8</v>
      </c>
    </row>
    <row r="44" spans="1:11">
      <c r="A44" s="41" t="s">
        <v>197</v>
      </c>
      <c r="B44" s="44">
        <v>4.8</v>
      </c>
      <c r="C44" s="44">
        <v>3</v>
      </c>
      <c r="D44" s="42">
        <v>1</v>
      </c>
      <c r="E44" s="42">
        <v>1</v>
      </c>
      <c r="F44" s="44">
        <v>2.2000000000000002</v>
      </c>
      <c r="G44" s="44">
        <v>1.6</v>
      </c>
      <c r="H44" s="44">
        <v>1</v>
      </c>
      <c r="I44" s="42">
        <v>1</v>
      </c>
      <c r="J44" s="42">
        <v>12</v>
      </c>
      <c r="K44" s="2">
        <v>16</v>
      </c>
    </row>
    <row r="45" spans="1:11">
      <c r="A45" s="41" t="s">
        <v>329</v>
      </c>
      <c r="B45" s="42">
        <v>3.1</v>
      </c>
      <c r="C45" s="42">
        <v>2.6</v>
      </c>
      <c r="D45" s="42">
        <v>1.6</v>
      </c>
      <c r="E45" s="44">
        <v>1.6</v>
      </c>
      <c r="F45" s="42">
        <v>1.6</v>
      </c>
      <c r="G45" s="42">
        <v>1.3</v>
      </c>
      <c r="H45" s="42">
        <v>1.4</v>
      </c>
      <c r="I45" s="44">
        <v>1</v>
      </c>
      <c r="J45" s="42">
        <v>12</v>
      </c>
      <c r="K45" s="2">
        <v>6</v>
      </c>
    </row>
    <row r="46" spans="1:11">
      <c r="A46" s="41" t="s">
        <v>330</v>
      </c>
      <c r="B46" s="44">
        <v>3.1</v>
      </c>
      <c r="C46" s="44">
        <v>2.9</v>
      </c>
      <c r="D46" s="44">
        <v>1</v>
      </c>
      <c r="E46" s="44">
        <v>1</v>
      </c>
      <c r="F46" s="42">
        <v>1.2</v>
      </c>
      <c r="G46" s="42">
        <v>1.2</v>
      </c>
      <c r="H46" s="42">
        <v>1</v>
      </c>
      <c r="I46" s="44">
        <v>1</v>
      </c>
      <c r="J46" s="42">
        <v>12</v>
      </c>
      <c r="K46" s="2">
        <v>3</v>
      </c>
    </row>
    <row r="47" spans="1:11" ht="15" thickBot="1">
      <c r="A47" s="43" t="s">
        <v>331</v>
      </c>
      <c r="B47" s="8">
        <v>3.7</v>
      </c>
      <c r="C47" s="8">
        <v>3.1</v>
      </c>
      <c r="D47" s="8">
        <v>1.6</v>
      </c>
      <c r="E47" s="8">
        <v>1.4</v>
      </c>
      <c r="F47" s="8">
        <v>1.6</v>
      </c>
      <c r="G47" s="8">
        <v>1.3</v>
      </c>
      <c r="H47" s="8">
        <v>1.3</v>
      </c>
      <c r="I47" s="8">
        <v>1.3</v>
      </c>
      <c r="J47" s="8">
        <v>12</v>
      </c>
      <c r="K47" s="3">
        <v>6</v>
      </c>
    </row>
    <row r="48" spans="1:11" ht="15" thickBot="1"/>
    <row r="49" spans="1:11">
      <c r="A49" s="75" t="s">
        <v>336</v>
      </c>
      <c r="B49" s="76"/>
      <c r="C49" s="76"/>
      <c r="D49" s="76"/>
      <c r="E49" s="76"/>
      <c r="F49" s="76"/>
      <c r="G49" s="76"/>
      <c r="H49" s="76"/>
      <c r="I49" s="76"/>
      <c r="J49" s="76"/>
      <c r="K49" s="77"/>
    </row>
    <row r="50" spans="1:11">
      <c r="A50" s="41" t="s">
        <v>230</v>
      </c>
      <c r="B50" s="42" t="s">
        <v>357</v>
      </c>
      <c r="C50" s="42" t="s">
        <v>356</v>
      </c>
      <c r="D50" s="42" t="s">
        <v>362</v>
      </c>
      <c r="E50" s="42" t="s">
        <v>363</v>
      </c>
      <c r="F50" s="42" t="s">
        <v>324</v>
      </c>
      <c r="G50" s="42" t="s">
        <v>325</v>
      </c>
      <c r="H50" s="42" t="s">
        <v>326</v>
      </c>
      <c r="I50" s="42" t="s">
        <v>327</v>
      </c>
      <c r="J50" s="42" t="s">
        <v>318</v>
      </c>
      <c r="K50" s="2" t="s">
        <v>317</v>
      </c>
    </row>
    <row r="51" spans="1:11">
      <c r="A51" s="41" t="s">
        <v>291</v>
      </c>
      <c r="B51" s="42">
        <v>5</v>
      </c>
      <c r="C51" s="42">
        <v>4.4000000000000004</v>
      </c>
      <c r="D51" s="42">
        <v>1.4</v>
      </c>
      <c r="E51" s="44">
        <v>1.4</v>
      </c>
      <c r="F51" s="42">
        <v>1.6</v>
      </c>
      <c r="G51" s="42">
        <v>1.3</v>
      </c>
      <c r="H51" s="42">
        <v>1</v>
      </c>
      <c r="I51" s="42">
        <v>1</v>
      </c>
      <c r="J51" s="42">
        <v>17</v>
      </c>
      <c r="K51" s="2">
        <v>6</v>
      </c>
    </row>
    <row r="52" spans="1:11">
      <c r="A52" s="41" t="s">
        <v>133</v>
      </c>
      <c r="B52" s="42">
        <v>4.5999999999999996</v>
      </c>
      <c r="C52" s="42">
        <v>4</v>
      </c>
      <c r="D52" s="42">
        <v>1</v>
      </c>
      <c r="E52" s="44">
        <v>1</v>
      </c>
      <c r="F52" s="42">
        <v>1.6</v>
      </c>
      <c r="G52" s="42">
        <v>1.3</v>
      </c>
      <c r="H52" s="42">
        <v>1</v>
      </c>
      <c r="I52" s="42">
        <v>1</v>
      </c>
      <c r="J52" s="42">
        <v>17</v>
      </c>
      <c r="K52" s="2">
        <v>6</v>
      </c>
    </row>
    <row r="53" spans="1:11">
      <c r="A53" s="41" t="s">
        <v>338</v>
      </c>
      <c r="B53" s="42">
        <v>4.8</v>
      </c>
      <c r="C53" s="42">
        <v>3.85</v>
      </c>
      <c r="D53" s="42">
        <v>1</v>
      </c>
      <c r="E53" s="44">
        <v>1</v>
      </c>
      <c r="F53" s="42">
        <v>1.5</v>
      </c>
      <c r="G53" s="42">
        <v>1.6</v>
      </c>
      <c r="H53" s="42">
        <v>1</v>
      </c>
      <c r="I53" s="44">
        <v>1</v>
      </c>
      <c r="J53" s="42">
        <v>17</v>
      </c>
      <c r="K53" s="2">
        <v>6</v>
      </c>
    </row>
    <row r="54" spans="1:11">
      <c r="A54" s="41" t="s">
        <v>328</v>
      </c>
      <c r="B54" s="42">
        <v>6.2</v>
      </c>
      <c r="C54" s="42">
        <v>5.0999999999999996</v>
      </c>
      <c r="D54" s="42">
        <v>2.2000000000000002</v>
      </c>
      <c r="E54" s="44">
        <v>1.4</v>
      </c>
      <c r="F54" s="44">
        <v>1.6</v>
      </c>
      <c r="G54" s="44">
        <v>1.3</v>
      </c>
      <c r="H54" s="44">
        <v>1.4</v>
      </c>
      <c r="I54" s="44">
        <v>1</v>
      </c>
      <c r="J54" s="42">
        <v>17</v>
      </c>
      <c r="K54" s="2">
        <v>6</v>
      </c>
    </row>
    <row r="55" spans="1:11">
      <c r="A55" s="41" t="s">
        <v>289</v>
      </c>
      <c r="B55" s="44">
        <v>6.2</v>
      </c>
      <c r="C55" s="44">
        <v>4.2</v>
      </c>
      <c r="D55" s="44">
        <v>2.6</v>
      </c>
      <c r="E55" s="44">
        <v>2.4</v>
      </c>
      <c r="F55" s="44">
        <v>1.6</v>
      </c>
      <c r="G55" s="44">
        <v>1.3</v>
      </c>
      <c r="H55" s="44">
        <v>1</v>
      </c>
      <c r="I55" s="44">
        <v>1.5</v>
      </c>
      <c r="J55" s="42">
        <v>17</v>
      </c>
      <c r="K55" s="2">
        <v>8</v>
      </c>
    </row>
    <row r="56" spans="1:11">
      <c r="A56" s="41" t="s">
        <v>197</v>
      </c>
      <c r="B56" s="44">
        <v>6.2</v>
      </c>
      <c r="C56" s="44">
        <v>3.8</v>
      </c>
      <c r="D56" s="44">
        <v>1</v>
      </c>
      <c r="E56" s="44">
        <v>1</v>
      </c>
      <c r="F56" s="44">
        <v>2.2000000000000002</v>
      </c>
      <c r="G56" s="44">
        <v>1.6</v>
      </c>
      <c r="H56" s="44">
        <v>1</v>
      </c>
      <c r="I56" s="42">
        <v>1</v>
      </c>
      <c r="J56" s="42">
        <v>17</v>
      </c>
      <c r="K56" s="2">
        <v>16</v>
      </c>
    </row>
    <row r="57" spans="1:11">
      <c r="A57" s="41" t="s">
        <v>329</v>
      </c>
      <c r="B57" s="42">
        <v>3.8</v>
      </c>
      <c r="C57" s="42">
        <v>3.2</v>
      </c>
      <c r="D57" s="42">
        <v>1.8</v>
      </c>
      <c r="E57" s="44">
        <v>1.8</v>
      </c>
      <c r="F57" s="42">
        <v>1.6</v>
      </c>
      <c r="G57" s="42">
        <v>1.3</v>
      </c>
      <c r="H57" s="42">
        <v>1.4</v>
      </c>
      <c r="I57" s="44">
        <v>1</v>
      </c>
      <c r="J57" s="42">
        <v>17</v>
      </c>
      <c r="K57" s="2">
        <v>6</v>
      </c>
    </row>
    <row r="58" spans="1:11">
      <c r="A58" s="41" t="s">
        <v>330</v>
      </c>
      <c r="B58" s="44">
        <v>3.8</v>
      </c>
      <c r="C58" s="44">
        <v>3.6</v>
      </c>
      <c r="D58" s="44">
        <v>1</v>
      </c>
      <c r="E58" s="44">
        <v>1</v>
      </c>
      <c r="F58" s="42">
        <v>1.2</v>
      </c>
      <c r="G58" s="42">
        <v>1.2</v>
      </c>
      <c r="H58" s="42">
        <v>1</v>
      </c>
      <c r="I58" s="44">
        <v>1</v>
      </c>
      <c r="J58" s="42">
        <v>17</v>
      </c>
      <c r="K58" s="2">
        <v>3</v>
      </c>
    </row>
    <row r="59" spans="1:11" ht="15" thickBot="1">
      <c r="A59" s="43" t="s">
        <v>331</v>
      </c>
      <c r="B59" s="8">
        <v>4.5999999999999996</v>
      </c>
      <c r="C59" s="8">
        <v>4</v>
      </c>
      <c r="D59" s="8">
        <v>1.8</v>
      </c>
      <c r="E59" s="8">
        <v>1.6</v>
      </c>
      <c r="F59" s="8">
        <v>1.6</v>
      </c>
      <c r="G59" s="8">
        <v>1.3</v>
      </c>
      <c r="H59" s="8">
        <v>1.3</v>
      </c>
      <c r="I59" s="8">
        <v>1.3</v>
      </c>
      <c r="J59" s="8">
        <v>17</v>
      </c>
      <c r="K59" s="3">
        <v>6</v>
      </c>
    </row>
  </sheetData>
  <mergeCells count="5">
    <mergeCell ref="A1:K1"/>
    <mergeCell ref="A13:K13"/>
    <mergeCell ref="A25:K25"/>
    <mergeCell ref="A37:K37"/>
    <mergeCell ref="A49:K4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54"/>
  <sheetViews>
    <sheetView zoomScale="205" zoomScaleNormal="205" workbookViewId="0">
      <pane ySplit="3" topLeftCell="A4" activePane="bottomLeft" state="frozen"/>
      <selection pane="bottomLeft" activeCell="K4" sqref="K4"/>
    </sheetView>
  </sheetViews>
  <sheetFormatPr defaultRowHeight="14.25"/>
  <cols>
    <col min="1" max="1" width="9.25" customWidth="1"/>
    <col min="2" max="2" width="7.375" style="55" customWidth="1"/>
    <col min="3" max="3" width="4.625" customWidth="1"/>
    <col min="4" max="4" width="5.25" hidden="1" customWidth="1"/>
    <col min="5" max="5" width="7.75" hidden="1" customWidth="1"/>
    <col min="6" max="6" width="3.125" hidden="1" customWidth="1"/>
    <col min="7" max="7" width="4.625" customWidth="1"/>
    <col min="8" max="8" width="4.375" style="63" customWidth="1"/>
    <col min="9" max="9" width="4.75" customWidth="1"/>
    <col min="10" max="10" width="2.875" customWidth="1"/>
    <col min="11" max="11" width="5.375" style="63" customWidth="1"/>
    <col min="12" max="12" width="5.75" customWidth="1"/>
    <col min="13" max="13" width="2.75" customWidth="1"/>
    <col min="14" max="14" width="5.875" style="35" hidden="1" customWidth="1"/>
    <col min="15" max="15" width="5.75" style="35" hidden="1" customWidth="1"/>
    <col min="16" max="16" width="3" style="63" customWidth="1"/>
    <col min="17" max="18" width="4.25" customWidth="1"/>
    <col min="19" max="19" width="3.125" style="63" customWidth="1"/>
    <col min="20" max="21" width="4" customWidth="1"/>
    <col min="22" max="25" width="4" style="61" customWidth="1"/>
    <col min="26" max="26" width="5.25" customWidth="1"/>
    <col min="27" max="27" width="6.125" customWidth="1"/>
    <col min="28" max="28" width="6.875" customWidth="1"/>
    <col min="29" max="29" width="3.75" style="35" customWidth="1"/>
    <col min="30" max="30" width="3.875" style="35" customWidth="1"/>
    <col min="31" max="31" width="5" style="40" customWidth="1"/>
    <col min="32" max="32" width="5.5" style="57" customWidth="1"/>
    <col min="34" max="34" width="7.375" customWidth="1"/>
    <col min="35" max="35" width="7.25" customWidth="1"/>
  </cols>
  <sheetData>
    <row r="1" spans="1:39">
      <c r="A1" s="59" t="s">
        <v>370</v>
      </c>
      <c r="B1" s="20">
        <v>30</v>
      </c>
      <c r="C1" s="80" t="s">
        <v>369</v>
      </c>
      <c r="D1" s="80"/>
      <c r="E1" s="80"/>
      <c r="F1" s="80"/>
      <c r="G1" s="80"/>
      <c r="H1" s="81"/>
      <c r="I1" s="80"/>
      <c r="J1" s="80"/>
      <c r="K1" s="81"/>
      <c r="L1" s="80"/>
      <c r="M1" s="80"/>
      <c r="N1" s="80"/>
      <c r="O1" s="80"/>
      <c r="P1" s="81"/>
      <c r="Q1" s="80"/>
      <c r="R1" s="80"/>
      <c r="S1" s="81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53"/>
      <c r="AG1" s="53"/>
      <c r="AH1" s="53"/>
      <c r="AI1" s="53"/>
      <c r="AJ1" s="53"/>
      <c r="AK1" s="53"/>
      <c r="AL1" s="53"/>
      <c r="AM1" s="53"/>
    </row>
    <row r="2" spans="1:39">
      <c r="A2" s="78" t="s">
        <v>277</v>
      </c>
      <c r="B2" s="78"/>
      <c r="C2" s="78"/>
      <c r="D2" s="78"/>
      <c r="E2" s="78"/>
      <c r="F2" s="78"/>
      <c r="G2" s="78"/>
      <c r="H2" s="79"/>
      <c r="I2" s="78"/>
      <c r="J2" s="78"/>
      <c r="K2" s="79"/>
      <c r="L2" s="78"/>
      <c r="M2" s="78"/>
      <c r="N2" s="78"/>
      <c r="O2" s="78"/>
      <c r="P2" s="79"/>
      <c r="Q2" s="78"/>
      <c r="R2" s="78"/>
      <c r="S2" s="79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 t="s">
        <v>368</v>
      </c>
      <c r="AH2" s="78"/>
      <c r="AI2" s="78"/>
      <c r="AJ2" s="78" t="s">
        <v>279</v>
      </c>
      <c r="AK2" s="78"/>
      <c r="AL2" s="78"/>
      <c r="AM2" s="21"/>
    </row>
    <row r="3" spans="1:39" ht="41.25">
      <c r="A3" s="20" t="s">
        <v>230</v>
      </c>
      <c r="B3" s="54" t="s">
        <v>288</v>
      </c>
      <c r="C3" s="20" t="s">
        <v>97</v>
      </c>
      <c r="D3" s="20" t="s">
        <v>98</v>
      </c>
      <c r="E3" s="20" t="s">
        <v>307</v>
      </c>
      <c r="F3" s="20" t="s">
        <v>319</v>
      </c>
      <c r="G3" s="20" t="s">
        <v>306</v>
      </c>
      <c r="H3" s="62" t="s">
        <v>358</v>
      </c>
      <c r="I3" s="20" t="s">
        <v>357</v>
      </c>
      <c r="J3" s="20" t="s">
        <v>324</v>
      </c>
      <c r="K3" s="62" t="s">
        <v>359</v>
      </c>
      <c r="L3" s="20" t="s">
        <v>356</v>
      </c>
      <c r="M3" s="20" t="s">
        <v>325</v>
      </c>
      <c r="N3" s="33" t="s">
        <v>130</v>
      </c>
      <c r="O3" s="33" t="s">
        <v>129</v>
      </c>
      <c r="P3" s="62" t="s">
        <v>360</v>
      </c>
      <c r="Q3" s="20" t="s">
        <v>355</v>
      </c>
      <c r="R3" s="20" t="s">
        <v>351</v>
      </c>
      <c r="S3" s="62" t="s">
        <v>361</v>
      </c>
      <c r="T3" s="20" t="s">
        <v>353</v>
      </c>
      <c r="U3" s="20" t="s">
        <v>354</v>
      </c>
      <c r="V3" s="60" t="s">
        <v>364</v>
      </c>
      <c r="W3" s="60" t="s">
        <v>365</v>
      </c>
      <c r="X3" s="60" t="s">
        <v>366</v>
      </c>
      <c r="Y3" s="60" t="s">
        <v>367</v>
      </c>
      <c r="Z3" s="20" t="s">
        <v>80</v>
      </c>
      <c r="AA3" s="20" t="s">
        <v>79</v>
      </c>
      <c r="AB3" s="20" t="s">
        <v>128</v>
      </c>
      <c r="AC3" s="33" t="s">
        <v>318</v>
      </c>
      <c r="AD3" s="33" t="s">
        <v>317</v>
      </c>
      <c r="AE3" s="39" t="s">
        <v>321</v>
      </c>
      <c r="AF3" s="56" t="s">
        <v>371</v>
      </c>
      <c r="AG3" s="20" t="s">
        <v>103</v>
      </c>
      <c r="AH3" s="20" t="s">
        <v>104</v>
      </c>
      <c r="AI3" s="20" t="s">
        <v>132</v>
      </c>
      <c r="AJ3" s="20" t="s">
        <v>233</v>
      </c>
      <c r="AK3" s="20" t="s">
        <v>234</v>
      </c>
      <c r="AL3" s="20" t="s">
        <v>138</v>
      </c>
    </row>
    <row r="4" spans="1:39" ht="16.5">
      <c r="A4" s="20" t="s">
        <v>231</v>
      </c>
      <c r="B4" s="54" t="s">
        <v>204</v>
      </c>
      <c r="C4" s="20" t="s">
        <v>110</v>
      </c>
      <c r="D4" s="20">
        <v>82.5</v>
      </c>
      <c r="E4" s="20">
        <v>0.9</v>
      </c>
      <c r="F4" s="20">
        <v>1</v>
      </c>
      <c r="G4" s="20">
        <v>100</v>
      </c>
      <c r="H4" s="62">
        <v>30</v>
      </c>
      <c r="I4" s="20">
        <f>VLOOKUP($C4,兵士关于时代的建筑和勋号加成!$A$2:$K$11,2,0)</f>
        <v>1.8</v>
      </c>
      <c r="J4" s="20">
        <v>2.2000000000000002</v>
      </c>
      <c r="K4" s="62">
        <v>20</v>
      </c>
      <c r="L4" s="20">
        <f>VLOOKUP($C4,兵士关于时代的建筑和勋号加成!$A$2:$K$11,3,0)</f>
        <v>1.6</v>
      </c>
      <c r="M4" s="20">
        <v>1.6</v>
      </c>
      <c r="N4" s="34">
        <f t="shared" ref="N4:N35" si="0">AB4/D4</f>
        <v>111.27035053908526</v>
      </c>
      <c r="O4" s="34">
        <f t="shared" ref="O4:O35" si="1">AB4/E4</f>
        <v>10199.782132749482</v>
      </c>
      <c r="P4" s="62">
        <v>0</v>
      </c>
      <c r="Q4" s="20">
        <f>VLOOKUP($C4,兵士关于时代的建筑和勋号加成!$A$2:$K$11,4,0)</f>
        <v>1</v>
      </c>
      <c r="R4" s="20">
        <f>VLOOKUP($C4,兵士关于时代的建筑和勋号加成!$A$2:$K$11,8,0)</f>
        <v>1</v>
      </c>
      <c r="S4" s="62">
        <v>0</v>
      </c>
      <c r="T4" s="20">
        <f>VLOOKUP($C4,兵士关于时代的建筑和勋号加成!$A$2:$K$11,5,0)</f>
        <v>1</v>
      </c>
      <c r="U4" s="20">
        <f>VLOOKUP($C4,兵士关于时代的建筑和勋号加成!$A$2:$K$11,9,0)</f>
        <v>1</v>
      </c>
      <c r="V4" s="60">
        <f t="shared" ref="V4:V35" si="2">H4*(I4+$B$1/100)*J4</f>
        <v>138.60000000000002</v>
      </c>
      <c r="W4" s="60">
        <f t="shared" ref="W4:W35" si="3">K4*(L4+$B$1/100)*M4</f>
        <v>60.800000000000004</v>
      </c>
      <c r="X4" s="60">
        <f t="shared" ref="X4:X35" si="4">P4*Q4*R4</f>
        <v>0</v>
      </c>
      <c r="Y4" s="60">
        <f t="shared" ref="Y4:Y35" si="5">S4*T4*U4</f>
        <v>0</v>
      </c>
      <c r="Z4" s="23">
        <f t="shared" ref="Z4:Z35" si="6">SQRT(V4*W4)</f>
        <v>91.798039194745343</v>
      </c>
      <c r="AA4" s="23">
        <f t="shared" ref="AA4:AA35" si="7">SQRT(V4/W4)</f>
        <v>1.5098361709662063</v>
      </c>
      <c r="AB4" s="23">
        <f t="shared" ref="AB4:AB35" si="8">Z4*G4</f>
        <v>9179.8039194745343</v>
      </c>
      <c r="AC4" s="20">
        <f>5</f>
        <v>5</v>
      </c>
      <c r="AD4" s="20">
        <v>16</v>
      </c>
      <c r="AE4" s="39">
        <f t="shared" ref="AE4:AE35" si="9">AB4*SUM(AC4:AD4)</f>
        <v>192775.88230896523</v>
      </c>
      <c r="AF4" s="56">
        <f t="shared" ref="AF4:AF35" si="10">E4*SUM(AC4:AD4)</f>
        <v>18.900000000000002</v>
      </c>
      <c r="AG4" s="20" t="s">
        <v>212</v>
      </c>
      <c r="AH4" s="20" t="s">
        <v>116</v>
      </c>
      <c r="AI4" s="20" t="s">
        <v>109</v>
      </c>
      <c r="AJ4" s="20" t="s">
        <v>267</v>
      </c>
      <c r="AK4" s="20" t="s">
        <v>205</v>
      </c>
      <c r="AL4" s="20" t="s">
        <v>140</v>
      </c>
    </row>
    <row r="5" spans="1:39" ht="16.5">
      <c r="A5" s="20" t="s">
        <v>200</v>
      </c>
      <c r="B5" s="54" t="s">
        <v>164</v>
      </c>
      <c r="C5" s="20" t="s">
        <v>107</v>
      </c>
      <c r="D5" s="20">
        <v>150</v>
      </c>
      <c r="E5" s="20">
        <v>2</v>
      </c>
      <c r="F5" s="20">
        <v>1</v>
      </c>
      <c r="G5" s="20">
        <v>100</v>
      </c>
      <c r="H5" s="62">
        <v>45</v>
      </c>
      <c r="I5" s="20">
        <f>VLOOKUP($C5,兵士关于时代的建筑和勋号加成!$A$2:$K$11,2,0)</f>
        <v>2</v>
      </c>
      <c r="J5" s="20">
        <f>VLOOKUP($C5,兵士关于时代的建筑和勋号加成!$A$2:$K$11,6,0)</f>
        <v>1.6</v>
      </c>
      <c r="K5" s="62">
        <v>30</v>
      </c>
      <c r="L5" s="20">
        <f>0.2+VLOOKUP($C5,兵士关于时代的建筑和勋号加成!$A$2:$K$11,3,0)</f>
        <v>1.8499999999999999</v>
      </c>
      <c r="M5" s="20">
        <f>VLOOKUP($C5,兵士关于时代的建筑和勋号加成!$A$2:$K$11,7,0)</f>
        <v>1.3</v>
      </c>
      <c r="N5" s="34">
        <f t="shared" si="0"/>
        <v>78.558004047964459</v>
      </c>
      <c r="O5" s="34">
        <f t="shared" si="1"/>
        <v>5891.8503035973345</v>
      </c>
      <c r="P5" s="62">
        <v>10</v>
      </c>
      <c r="Q5" s="20">
        <f>VLOOKUP($C5,兵士关于时代的建筑和勋号加成!$A$2:$K$11,4,0)</f>
        <v>1</v>
      </c>
      <c r="R5" s="20">
        <f>VLOOKUP($C5,兵士关于时代的建筑和勋号加成!$A$2:$K$11,8,0)</f>
        <v>1</v>
      </c>
      <c r="S5" s="62">
        <v>0</v>
      </c>
      <c r="T5" s="20">
        <f>VLOOKUP($C5,兵士关于时代的建筑和勋号加成!$A$2:$K$11,5,0)</f>
        <v>1</v>
      </c>
      <c r="U5" s="20">
        <f>VLOOKUP($C5,兵士关于时代的建筑和勋号加成!$A$2:$K$11,9,0)</f>
        <v>1</v>
      </c>
      <c r="V5" s="60">
        <f t="shared" si="2"/>
        <v>165.6</v>
      </c>
      <c r="W5" s="60">
        <f t="shared" si="3"/>
        <v>83.850000000000009</v>
      </c>
      <c r="X5" s="60">
        <f t="shared" si="4"/>
        <v>10</v>
      </c>
      <c r="Y5" s="60">
        <f t="shared" si="5"/>
        <v>0</v>
      </c>
      <c r="Z5" s="23">
        <f t="shared" si="6"/>
        <v>117.83700607194669</v>
      </c>
      <c r="AA5" s="23">
        <f t="shared" si="7"/>
        <v>1.4053310205360368</v>
      </c>
      <c r="AB5" s="23">
        <f t="shared" si="8"/>
        <v>11783.700607194669</v>
      </c>
      <c r="AC5" s="20">
        <f>5</f>
        <v>5</v>
      </c>
      <c r="AD5" s="20">
        <f>VLOOKUP($C5,兵士关于时代的建筑和勋号加成!$A$2:$K$11,11,0)+2</f>
        <v>8</v>
      </c>
      <c r="AE5" s="39">
        <f t="shared" si="9"/>
        <v>153188.10789353069</v>
      </c>
      <c r="AF5" s="56">
        <f t="shared" si="10"/>
        <v>26</v>
      </c>
      <c r="AG5" s="20" t="s">
        <v>192</v>
      </c>
      <c r="AH5" s="20" t="s">
        <v>193</v>
      </c>
      <c r="AI5" s="20" t="s">
        <v>109</v>
      </c>
      <c r="AJ5" s="20" t="s">
        <v>265</v>
      </c>
      <c r="AK5" s="20"/>
      <c r="AL5" s="20" t="s">
        <v>194</v>
      </c>
    </row>
    <row r="6" spans="1:39" hidden="1">
      <c r="A6" s="20" t="s">
        <v>231</v>
      </c>
      <c r="B6" s="54" t="s">
        <v>206</v>
      </c>
      <c r="C6" s="20" t="s">
        <v>107</v>
      </c>
      <c r="D6" s="20">
        <v>180</v>
      </c>
      <c r="E6" s="20">
        <v>2.4</v>
      </c>
      <c r="F6" s="20">
        <v>1</v>
      </c>
      <c r="G6" s="20">
        <v>100</v>
      </c>
      <c r="H6" s="20">
        <v>60</v>
      </c>
      <c r="I6" s="20">
        <f>VLOOKUP($C6,兵士关于时代的建筑和勋号加成!$A$2:$K$11,2,0)</f>
        <v>2</v>
      </c>
      <c r="J6" s="20">
        <f>VLOOKUP($C6,兵士关于时代的建筑和勋号加成!$A$2:$K$11,6,0)</f>
        <v>1.6</v>
      </c>
      <c r="K6" s="20">
        <v>30</v>
      </c>
      <c r="L6" s="20">
        <f>VLOOKUP($C6,兵士关于时代的建筑和勋号加成!$A$2:$K$11,3,0)</f>
        <v>1.65</v>
      </c>
      <c r="M6" s="20">
        <f>VLOOKUP($C6,兵士关于时代的建筑和勋号加成!$A$2:$K$11,7,0)</f>
        <v>1.3</v>
      </c>
      <c r="N6" s="34">
        <f t="shared" si="0"/>
        <v>71.99074014528999</v>
      </c>
      <c r="O6" s="34">
        <f t="shared" si="1"/>
        <v>5399.3055108967492</v>
      </c>
      <c r="P6" s="20">
        <v>0</v>
      </c>
      <c r="Q6" s="20">
        <f>VLOOKUP($C6,兵士关于时代的建筑和勋号加成!$A$2:$K$11,4,0)</f>
        <v>1</v>
      </c>
      <c r="R6" s="20">
        <f>VLOOKUP($C6,兵士关于时代的建筑和勋号加成!$A$2:$K$11,8,0)</f>
        <v>1</v>
      </c>
      <c r="S6" s="20">
        <v>20</v>
      </c>
      <c r="T6" s="20">
        <f>VLOOKUP($C6,兵士关于时代的建筑和勋号加成!$A$2:$K$11,5,0)</f>
        <v>1</v>
      </c>
      <c r="U6" s="20">
        <f>VLOOKUP($C6,兵士关于时代的建筑和勋号加成!$A$2:$K$11,9,0)</f>
        <v>1</v>
      </c>
      <c r="V6" s="60">
        <f t="shared" si="2"/>
        <v>220.8</v>
      </c>
      <c r="W6" s="60">
        <f t="shared" si="3"/>
        <v>76.05</v>
      </c>
      <c r="X6" s="60">
        <f t="shared" si="4"/>
        <v>0</v>
      </c>
      <c r="Y6" s="60">
        <f t="shared" si="5"/>
        <v>20</v>
      </c>
      <c r="Z6" s="23">
        <f t="shared" si="6"/>
        <v>129.58333226152197</v>
      </c>
      <c r="AA6" s="23">
        <f t="shared" si="7"/>
        <v>1.7039228436755025</v>
      </c>
      <c r="AB6" s="23">
        <f t="shared" si="8"/>
        <v>12958.333226152197</v>
      </c>
      <c r="AC6" s="20">
        <f>5</f>
        <v>5</v>
      </c>
      <c r="AD6" s="20">
        <f>VLOOKUP($C6,兵士关于时代的建筑和勋号加成!$A$2:$K$11,11,0)</f>
        <v>6</v>
      </c>
      <c r="AE6" s="39">
        <f t="shared" si="9"/>
        <v>142541.66548767418</v>
      </c>
      <c r="AF6" s="56">
        <f t="shared" si="10"/>
        <v>26.4</v>
      </c>
      <c r="AG6" s="20" t="s">
        <v>115</v>
      </c>
      <c r="AH6" s="20" t="s">
        <v>109</v>
      </c>
      <c r="AI6" s="20" t="s">
        <v>109</v>
      </c>
      <c r="AJ6" s="20" t="s">
        <v>269</v>
      </c>
      <c r="AK6" s="20" t="s">
        <v>207</v>
      </c>
      <c r="AL6" s="20" t="s">
        <v>146</v>
      </c>
    </row>
    <row r="7" spans="1:39" ht="16.5">
      <c r="A7" s="20" t="s">
        <v>200</v>
      </c>
      <c r="B7" s="54" t="s">
        <v>151</v>
      </c>
      <c r="C7" s="20" t="s">
        <v>107</v>
      </c>
      <c r="D7" s="20">
        <v>115</v>
      </c>
      <c r="E7" s="20">
        <v>1.53</v>
      </c>
      <c r="F7" s="20">
        <v>1</v>
      </c>
      <c r="G7" s="20">
        <v>100</v>
      </c>
      <c r="H7" s="62">
        <v>40</v>
      </c>
      <c r="I7" s="20">
        <f>VLOOKUP($C7,兵士关于时代的建筑和勋号加成!$A$2:$K$11,2,0)</f>
        <v>2</v>
      </c>
      <c r="J7" s="20">
        <f>VLOOKUP($C7,兵士关于时代的建筑和勋号加成!$A$2:$K$11,6,0)</f>
        <v>1.6</v>
      </c>
      <c r="K7" s="62">
        <v>26</v>
      </c>
      <c r="L7" s="20">
        <f>0.2+VLOOKUP($C7,兵士关于时代的建筑和勋号加成!$A$2:$K$11,3,0)</f>
        <v>1.8499999999999999</v>
      </c>
      <c r="M7" s="20">
        <f>VLOOKUP($C7,兵士关于时代的建筑和勋号加成!$A$2:$K$11,7,0)</f>
        <v>1.3</v>
      </c>
      <c r="N7" s="34">
        <f t="shared" si="0"/>
        <v>89.936015903094912</v>
      </c>
      <c r="O7" s="34">
        <f t="shared" si="1"/>
        <v>6759.8966201672638</v>
      </c>
      <c r="P7" s="62">
        <v>0</v>
      </c>
      <c r="Q7" s="20">
        <f>VLOOKUP($C7,兵士关于时代的建筑和勋号加成!$A$2:$K$11,4,0)</f>
        <v>1</v>
      </c>
      <c r="R7" s="20">
        <f>VLOOKUP($C7,兵士关于时代的建筑和勋号加成!$A$2:$K$11,8,0)</f>
        <v>1</v>
      </c>
      <c r="S7" s="62">
        <v>24</v>
      </c>
      <c r="T7" s="20">
        <f>VLOOKUP($C7,兵士关于时代的建筑和勋号加成!$A$2:$K$11,5,0)</f>
        <v>1</v>
      </c>
      <c r="U7" s="20">
        <f>VLOOKUP($C7,兵士关于时代的建筑和勋号加成!$A$2:$K$11,9,0)</f>
        <v>1</v>
      </c>
      <c r="V7" s="60">
        <f t="shared" si="2"/>
        <v>147.20000000000002</v>
      </c>
      <c r="W7" s="60">
        <f t="shared" si="3"/>
        <v>72.67</v>
      </c>
      <c r="X7" s="60">
        <f t="shared" si="4"/>
        <v>0</v>
      </c>
      <c r="Y7" s="60">
        <f t="shared" si="5"/>
        <v>24</v>
      </c>
      <c r="Z7" s="23">
        <f t="shared" si="6"/>
        <v>103.42641828855915</v>
      </c>
      <c r="AA7" s="23">
        <f t="shared" si="7"/>
        <v>1.4232340482807093</v>
      </c>
      <c r="AB7" s="23">
        <f t="shared" si="8"/>
        <v>10342.641828855914</v>
      </c>
      <c r="AC7" s="20">
        <f>5</f>
        <v>5</v>
      </c>
      <c r="AD7" s="20">
        <f>2+VLOOKUP($C7,兵士关于时代的建筑和勋号加成!$A$2:$K$11,11,0)</f>
        <v>8</v>
      </c>
      <c r="AE7" s="39">
        <f t="shared" si="9"/>
        <v>134454.34377512688</v>
      </c>
      <c r="AF7" s="56">
        <f t="shared" si="10"/>
        <v>19.89</v>
      </c>
      <c r="AG7" s="20" t="s">
        <v>173</v>
      </c>
      <c r="AH7" s="20" t="s">
        <v>174</v>
      </c>
      <c r="AI7" s="20" t="s">
        <v>109</v>
      </c>
      <c r="AJ7" s="20" t="s">
        <v>251</v>
      </c>
      <c r="AK7" s="20"/>
      <c r="AL7" s="20" t="s">
        <v>140</v>
      </c>
    </row>
    <row r="8" spans="1:39" ht="16.5">
      <c r="A8" s="20" t="s">
        <v>286</v>
      </c>
      <c r="B8" s="54" t="s">
        <v>125</v>
      </c>
      <c r="C8" s="20" t="s">
        <v>107</v>
      </c>
      <c r="D8" s="20">
        <v>50</v>
      </c>
      <c r="E8" s="20">
        <v>1</v>
      </c>
      <c r="F8" s="20">
        <v>1</v>
      </c>
      <c r="G8" s="20">
        <v>100</v>
      </c>
      <c r="H8" s="62">
        <v>40</v>
      </c>
      <c r="I8" s="20">
        <f>VLOOKUP($C8,兵士关于时代的建筑和勋号加成!$A$2:$K$11,2,0)</f>
        <v>2</v>
      </c>
      <c r="J8" s="20">
        <f>VLOOKUP($C8,兵士关于时代的建筑和勋号加成!$A$2:$K$11,6,0)</f>
        <v>1.6</v>
      </c>
      <c r="K8" s="62">
        <v>32</v>
      </c>
      <c r="L8" s="20">
        <f>VLOOKUP($C8,兵士关于时代的建筑和勋号加成!$A$2:$K$11,3,0)</f>
        <v>1.65</v>
      </c>
      <c r="M8" s="20">
        <f>VLOOKUP($C8,兵士关于时代的建筑和勋号加成!$A$2:$K$11,7,0)</f>
        <v>1.3</v>
      </c>
      <c r="N8" s="34">
        <f t="shared" si="0"/>
        <v>218.54852092841992</v>
      </c>
      <c r="O8" s="34">
        <f t="shared" si="1"/>
        <v>10927.426046420996</v>
      </c>
      <c r="P8" s="62">
        <v>0</v>
      </c>
      <c r="Q8" s="20">
        <f>VLOOKUP($C8,兵士关于时代的建筑和勋号加成!$A$2:$K$11,4,0)</f>
        <v>1</v>
      </c>
      <c r="R8" s="20">
        <f>VLOOKUP($C8,兵士关于时代的建筑和勋号加成!$A$2:$K$11,8,0)</f>
        <v>1</v>
      </c>
      <c r="S8" s="62">
        <v>24</v>
      </c>
      <c r="T8" s="20">
        <f>VLOOKUP($C8,兵士关于时代的建筑和勋号加成!$A$2:$K$11,5,0)</f>
        <v>1</v>
      </c>
      <c r="U8" s="20">
        <f>VLOOKUP($C8,兵士关于时代的建筑和勋号加成!$A$2:$K$11,9,0)</f>
        <v>1</v>
      </c>
      <c r="V8" s="60">
        <f t="shared" si="2"/>
        <v>147.20000000000002</v>
      </c>
      <c r="W8" s="60">
        <f t="shared" si="3"/>
        <v>81.12</v>
      </c>
      <c r="X8" s="60">
        <f t="shared" si="4"/>
        <v>0</v>
      </c>
      <c r="Y8" s="60">
        <f t="shared" si="5"/>
        <v>24</v>
      </c>
      <c r="Z8" s="23">
        <f t="shared" si="6"/>
        <v>109.27426046420997</v>
      </c>
      <c r="AA8" s="23">
        <f t="shared" si="7"/>
        <v>1.3470692858014048</v>
      </c>
      <c r="AB8" s="23">
        <f t="shared" si="8"/>
        <v>10927.426046420996</v>
      </c>
      <c r="AC8" s="20">
        <f>5</f>
        <v>5</v>
      </c>
      <c r="AD8" s="20">
        <f>VLOOKUP($C8,兵士关于时代的建筑和勋号加成!$A$2:$K$11,11,0)</f>
        <v>6</v>
      </c>
      <c r="AE8" s="39">
        <f t="shared" si="9"/>
        <v>120201.68651063096</v>
      </c>
      <c r="AF8" s="56">
        <f t="shared" si="10"/>
        <v>11</v>
      </c>
      <c r="AG8" s="20" t="s">
        <v>126</v>
      </c>
      <c r="AH8" s="20" t="s">
        <v>109</v>
      </c>
      <c r="AI8" s="20" t="s">
        <v>109</v>
      </c>
      <c r="AJ8" s="22" t="s">
        <v>280</v>
      </c>
      <c r="AK8" s="20"/>
      <c r="AL8" s="20" t="s">
        <v>194</v>
      </c>
    </row>
    <row r="9" spans="1:39">
      <c r="A9" s="20" t="s">
        <v>200</v>
      </c>
      <c r="B9" s="54" t="s">
        <v>144</v>
      </c>
      <c r="C9" s="20" t="s">
        <v>107</v>
      </c>
      <c r="D9" s="20">
        <v>117</v>
      </c>
      <c r="E9" s="20">
        <v>1.56</v>
      </c>
      <c r="F9" s="20">
        <v>1</v>
      </c>
      <c r="G9" s="20">
        <v>100</v>
      </c>
      <c r="H9" s="62">
        <v>40</v>
      </c>
      <c r="I9" s="20">
        <f>VLOOKUP($C9,兵士关于时代的建筑和勋号加成!$A$2:$K$11,2,0)</f>
        <v>2</v>
      </c>
      <c r="J9" s="20">
        <f>VLOOKUP($C9,兵士关于时代的建筑和勋号加成!$A$2:$K$11,6,0)</f>
        <v>1.6</v>
      </c>
      <c r="K9" s="62">
        <v>30</v>
      </c>
      <c r="L9" s="20">
        <f>VLOOKUP($C9,兵士关于时代的建筑和勋号加成!$A$2:$K$11,3,0)</f>
        <v>1.65</v>
      </c>
      <c r="M9" s="20">
        <f>VLOOKUP($C9,兵士关于时代的建筑和勋号加成!$A$2:$K$11,7,0)</f>
        <v>1.3</v>
      </c>
      <c r="N9" s="34">
        <f t="shared" si="0"/>
        <v>90.431066441670254</v>
      </c>
      <c r="O9" s="34">
        <f t="shared" si="1"/>
        <v>6782.329983125268</v>
      </c>
      <c r="P9" s="62">
        <v>0</v>
      </c>
      <c r="Q9" s="20">
        <f>VLOOKUP($C9,兵士关于时代的建筑和勋号加成!$A$2:$K$11,4,0)</f>
        <v>1</v>
      </c>
      <c r="R9" s="20">
        <f>VLOOKUP($C9,兵士关于时代的建筑和勋号加成!$A$2:$K$11,8,0)</f>
        <v>1</v>
      </c>
      <c r="S9" s="62">
        <v>30</v>
      </c>
      <c r="T9" s="20">
        <f>VLOOKUP($C9,兵士关于时代的建筑和勋号加成!$A$2:$K$11,5,0)</f>
        <v>1</v>
      </c>
      <c r="U9" s="20">
        <f>VLOOKUP($C9,兵士关于时代的建筑和勋号加成!$A$2:$K$11,9,0)</f>
        <v>1</v>
      </c>
      <c r="V9" s="60">
        <f t="shared" si="2"/>
        <v>147.20000000000002</v>
      </c>
      <c r="W9" s="60">
        <f t="shared" si="3"/>
        <v>76.05</v>
      </c>
      <c r="X9" s="60">
        <f t="shared" si="4"/>
        <v>0</v>
      </c>
      <c r="Y9" s="60">
        <f t="shared" si="5"/>
        <v>30</v>
      </c>
      <c r="Z9" s="23">
        <f t="shared" si="6"/>
        <v>105.8043477367542</v>
      </c>
      <c r="AA9" s="23">
        <f t="shared" si="7"/>
        <v>1.3912471760256961</v>
      </c>
      <c r="AB9" s="23">
        <f t="shared" si="8"/>
        <v>10580.434773675419</v>
      </c>
      <c r="AC9" s="20">
        <f>5</f>
        <v>5</v>
      </c>
      <c r="AD9" s="20">
        <f>VLOOKUP($C9,兵士关于时代的建筑和勋号加成!$A$2:$K$11,11,0)</f>
        <v>6</v>
      </c>
      <c r="AE9" s="39">
        <f t="shared" si="9"/>
        <v>116384.78251042961</v>
      </c>
      <c r="AF9" s="56">
        <f t="shared" si="10"/>
        <v>17.16</v>
      </c>
      <c r="AG9" s="20" t="s">
        <v>115</v>
      </c>
      <c r="AH9" s="20" t="s">
        <v>109</v>
      </c>
      <c r="AI9" s="20" t="s">
        <v>109</v>
      </c>
      <c r="AJ9" s="20" t="s">
        <v>245</v>
      </c>
      <c r="AK9" s="20"/>
      <c r="AL9" s="20" t="s">
        <v>140</v>
      </c>
    </row>
    <row r="10" spans="1:39" ht="24.75">
      <c r="A10" s="20" t="s">
        <v>200</v>
      </c>
      <c r="B10" s="54" t="s">
        <v>143</v>
      </c>
      <c r="C10" s="20" t="s">
        <v>119</v>
      </c>
      <c r="D10" s="20">
        <v>260</v>
      </c>
      <c r="E10" s="20">
        <v>2.73</v>
      </c>
      <c r="F10" s="20">
        <v>0.85</v>
      </c>
      <c r="G10" s="20">
        <v>50</v>
      </c>
      <c r="H10" s="62">
        <v>120</v>
      </c>
      <c r="I10" s="20">
        <f>VLOOKUP($C10,兵士关于时代的建筑和勋号加成!$A$2:$K$11,2,0)</f>
        <v>1.8</v>
      </c>
      <c r="J10" s="20">
        <f>VLOOKUP($C10,兵士关于时代的建筑和勋号加成!$A$2:$K$11,6,0)</f>
        <v>1.6</v>
      </c>
      <c r="K10" s="62">
        <v>35</v>
      </c>
      <c r="L10" s="20">
        <f>VLOOKUP($C10,兵士关于时代的建筑和勋号加成!$A$2:$K$11,3,0)</f>
        <v>1.4</v>
      </c>
      <c r="M10" s="20">
        <f>VLOOKUP($C10,兵士关于时代的建筑和勋号加成!$A$2:$K$11,7,0)</f>
        <v>1.3</v>
      </c>
      <c r="N10" s="34">
        <f t="shared" si="0"/>
        <v>33.961516682630879</v>
      </c>
      <c r="O10" s="34">
        <f t="shared" si="1"/>
        <v>3234.4301602505602</v>
      </c>
      <c r="P10" s="62">
        <v>25</v>
      </c>
      <c r="Q10" s="20">
        <f>VLOOKUP($C10,兵士关于时代的建筑和勋号加成!$A$2:$K$11,4,0)</f>
        <v>1</v>
      </c>
      <c r="R10" s="20">
        <f>VLOOKUP($C10,兵士关于时代的建筑和勋号加成!$A$2:$K$11,8,0)</f>
        <v>1</v>
      </c>
      <c r="S10" s="62">
        <v>10</v>
      </c>
      <c r="T10" s="20">
        <f>VLOOKUP($C10,兵士关于时代的建筑和勋号加成!$A$2:$K$11,5,0)</f>
        <v>1</v>
      </c>
      <c r="U10" s="20">
        <f>VLOOKUP($C10,兵士关于时代的建筑和勋号加成!$A$2:$K$11,9,0)</f>
        <v>1</v>
      </c>
      <c r="V10" s="60">
        <f t="shared" si="2"/>
        <v>403.20000000000005</v>
      </c>
      <c r="W10" s="60">
        <f t="shared" si="3"/>
        <v>77.350000000000009</v>
      </c>
      <c r="X10" s="60">
        <f t="shared" si="4"/>
        <v>25</v>
      </c>
      <c r="Y10" s="60">
        <f t="shared" si="5"/>
        <v>10</v>
      </c>
      <c r="Z10" s="23">
        <f t="shared" si="6"/>
        <v>176.59988674968059</v>
      </c>
      <c r="AA10" s="23">
        <f t="shared" si="7"/>
        <v>2.2831271719415716</v>
      </c>
      <c r="AB10" s="23">
        <f t="shared" si="8"/>
        <v>8829.9943374840295</v>
      </c>
      <c r="AC10" s="20">
        <f>5</f>
        <v>5</v>
      </c>
      <c r="AD10" s="20">
        <f>VLOOKUP($C10,兵士关于时代的建筑和勋号加成!$A$2:$K$11,11,0)+2</f>
        <v>8</v>
      </c>
      <c r="AE10" s="39">
        <f t="shared" si="9"/>
        <v>114789.92638729239</v>
      </c>
      <c r="AF10" s="56">
        <f t="shared" si="10"/>
        <v>35.49</v>
      </c>
      <c r="AG10" s="20" t="s">
        <v>110</v>
      </c>
      <c r="AH10" s="20" t="s">
        <v>113</v>
      </c>
      <c r="AI10" s="20" t="s">
        <v>120</v>
      </c>
      <c r="AJ10" s="20" t="s">
        <v>244</v>
      </c>
      <c r="AK10" s="20"/>
      <c r="AL10" s="20" t="s">
        <v>140</v>
      </c>
    </row>
    <row r="11" spans="1:39" ht="16.5" hidden="1">
      <c r="A11" s="20" t="s">
        <v>200</v>
      </c>
      <c r="B11" s="54" t="s">
        <v>159</v>
      </c>
      <c r="C11" s="20" t="s">
        <v>115</v>
      </c>
      <c r="D11" s="20">
        <v>112.5</v>
      </c>
      <c r="E11" s="20">
        <v>1.35</v>
      </c>
      <c r="F11" s="20">
        <v>1</v>
      </c>
      <c r="G11" s="20">
        <v>100</v>
      </c>
      <c r="H11" s="20">
        <v>36</v>
      </c>
      <c r="I11" s="20">
        <f>VLOOKUP($C11,兵士关于时代的建筑和勋号加成!$A$2:$K$11,2,0)</f>
        <v>2</v>
      </c>
      <c r="J11" s="20">
        <f>VLOOKUP($C11,兵士关于时代的建筑和勋号加成!$A$2:$K$11,6,0)</f>
        <v>1.5</v>
      </c>
      <c r="K11" s="20">
        <v>28</v>
      </c>
      <c r="L11" s="20">
        <f>VLOOKUP($C11,兵士关于时代的建筑和勋号加成!$A$2:$K$11,3,0)</f>
        <v>1.65</v>
      </c>
      <c r="M11" s="20">
        <f>VLOOKUP($C11,兵士关于时代的建筑和勋号加成!$A$2:$K$11,7,0)</f>
        <v>1.6</v>
      </c>
      <c r="N11" s="34">
        <f t="shared" si="0"/>
        <v>92.590107462946619</v>
      </c>
      <c r="O11" s="34">
        <f t="shared" si="1"/>
        <v>7715.8422885788841</v>
      </c>
      <c r="P11" s="20">
        <v>0</v>
      </c>
      <c r="Q11" s="20">
        <f>VLOOKUP($C11,兵士关于时代的建筑和勋号加成!$A$2:$K$11,4,0)</f>
        <v>1</v>
      </c>
      <c r="R11" s="20">
        <f>VLOOKUP($C11,兵士关于时代的建筑和勋号加成!$A$2:$K$11,8,0)</f>
        <v>1</v>
      </c>
      <c r="S11" s="20">
        <v>0</v>
      </c>
      <c r="T11" s="20">
        <f>VLOOKUP($C11,兵士关于时代的建筑和勋号加成!$A$2:$K$11,5,0)</f>
        <v>1</v>
      </c>
      <c r="U11" s="20">
        <f>VLOOKUP($C11,兵士关于时代的建筑和勋号加成!$A$2:$K$11,9,0)</f>
        <v>1</v>
      </c>
      <c r="V11" s="60">
        <f t="shared" si="2"/>
        <v>124.19999999999999</v>
      </c>
      <c r="W11" s="60">
        <f t="shared" si="3"/>
        <v>87.360000000000014</v>
      </c>
      <c r="X11" s="60">
        <f t="shared" si="4"/>
        <v>0</v>
      </c>
      <c r="Y11" s="60">
        <f t="shared" si="5"/>
        <v>0</v>
      </c>
      <c r="Z11" s="23">
        <f t="shared" si="6"/>
        <v>104.16387089581494</v>
      </c>
      <c r="AA11" s="23">
        <f t="shared" si="7"/>
        <v>1.1923520020125333</v>
      </c>
      <c r="AB11" s="23">
        <f t="shared" si="8"/>
        <v>10416.387089581494</v>
      </c>
      <c r="AC11" s="20">
        <f>5</f>
        <v>5</v>
      </c>
      <c r="AD11" s="20">
        <f>VLOOKUP($C11,兵士关于时代的建筑和勋号加成!$A$2:$K$11,11,0)</f>
        <v>6</v>
      </c>
      <c r="AE11" s="39">
        <f t="shared" si="9"/>
        <v>114580.25798539644</v>
      </c>
      <c r="AF11" s="56">
        <f t="shared" si="10"/>
        <v>14.850000000000001</v>
      </c>
      <c r="AG11" s="20" t="s">
        <v>183</v>
      </c>
      <c r="AH11" s="20" t="s">
        <v>184</v>
      </c>
      <c r="AI11" s="20" t="s">
        <v>109</v>
      </c>
      <c r="AJ11" s="20" t="s">
        <v>261</v>
      </c>
      <c r="AK11" s="20"/>
      <c r="AL11" s="20" t="s">
        <v>298</v>
      </c>
    </row>
    <row r="12" spans="1:39">
      <c r="A12" s="20" t="s">
        <v>200</v>
      </c>
      <c r="B12" s="54" t="s">
        <v>311</v>
      </c>
      <c r="C12" s="20" t="s">
        <v>107</v>
      </c>
      <c r="D12" s="20">
        <v>108</v>
      </c>
      <c r="E12" s="20">
        <v>1.44</v>
      </c>
      <c r="F12" s="20">
        <v>1</v>
      </c>
      <c r="G12" s="20">
        <v>100</v>
      </c>
      <c r="H12" s="62">
        <v>45</v>
      </c>
      <c r="I12" s="20">
        <f>VLOOKUP($C12,兵士关于时代的建筑和勋号加成!$A$2:$K$11,2,0)</f>
        <v>2</v>
      </c>
      <c r="J12" s="20">
        <f>VLOOKUP($C12,兵士关于时代的建筑和勋号加成!$A$2:$K$11,6,0)</f>
        <v>1.6</v>
      </c>
      <c r="K12" s="62">
        <v>25</v>
      </c>
      <c r="L12" s="20">
        <f>VLOOKUP($C12,兵士关于时代的建筑和勋号加成!$A$2:$K$11,3,0)</f>
        <v>1.65</v>
      </c>
      <c r="M12" s="20">
        <f>VLOOKUP($C12,兵士关于时代的建筑和勋号加成!$A$2:$K$11,7,0)</f>
        <v>1.3</v>
      </c>
      <c r="N12" s="34">
        <f t="shared" si="0"/>
        <v>94.856128875182264</v>
      </c>
      <c r="O12" s="34">
        <f t="shared" si="1"/>
        <v>7114.2096656386702</v>
      </c>
      <c r="P12" s="62">
        <v>0</v>
      </c>
      <c r="Q12" s="20">
        <f>VLOOKUP($C12,兵士关于时代的建筑和勋号加成!$A$2:$K$11,4,0)</f>
        <v>1</v>
      </c>
      <c r="R12" s="20">
        <f>VLOOKUP($C12,兵士关于时代的建筑和勋号加成!$A$2:$K$11,8,0)</f>
        <v>1</v>
      </c>
      <c r="S12" s="62">
        <v>0</v>
      </c>
      <c r="T12" s="20">
        <f>VLOOKUP($C12,兵士关于时代的建筑和勋号加成!$A$2:$K$11,5,0)</f>
        <v>1</v>
      </c>
      <c r="U12" s="20">
        <f>VLOOKUP($C12,兵士关于时代的建筑和勋号加成!$A$2:$K$11,9,0)</f>
        <v>1</v>
      </c>
      <c r="V12" s="60">
        <f t="shared" si="2"/>
        <v>165.6</v>
      </c>
      <c r="W12" s="60">
        <f t="shared" si="3"/>
        <v>63.375</v>
      </c>
      <c r="X12" s="60">
        <f t="shared" si="4"/>
        <v>0</v>
      </c>
      <c r="Y12" s="60">
        <f t="shared" si="5"/>
        <v>0</v>
      </c>
      <c r="Z12" s="23">
        <f t="shared" si="6"/>
        <v>102.44461918519684</v>
      </c>
      <c r="AA12" s="23">
        <f t="shared" si="7"/>
        <v>1.6164831429616859</v>
      </c>
      <c r="AB12" s="23">
        <f t="shared" si="8"/>
        <v>10244.461918519684</v>
      </c>
      <c r="AC12" s="20">
        <f>5</f>
        <v>5</v>
      </c>
      <c r="AD12" s="20">
        <f>VLOOKUP($C12,兵士关于时代的建筑和勋号加成!$A$2:$K$11,11,0)</f>
        <v>6</v>
      </c>
      <c r="AE12" s="39">
        <f t="shared" si="9"/>
        <v>112689.08110371653</v>
      </c>
      <c r="AF12" s="56">
        <f t="shared" si="10"/>
        <v>15.84</v>
      </c>
      <c r="AG12" s="20" t="s">
        <v>179</v>
      </c>
      <c r="AH12" s="20" t="s">
        <v>109</v>
      </c>
      <c r="AI12" s="20" t="s">
        <v>109</v>
      </c>
      <c r="AJ12" s="20" t="s">
        <v>257</v>
      </c>
      <c r="AK12" s="20"/>
      <c r="AL12" s="20" t="s">
        <v>140</v>
      </c>
    </row>
    <row r="13" spans="1:39" ht="33">
      <c r="A13" s="20" t="s">
        <v>287</v>
      </c>
      <c r="B13" s="54" t="s">
        <v>309</v>
      </c>
      <c r="C13" s="20" t="s">
        <v>289</v>
      </c>
      <c r="D13" s="20">
        <v>63</v>
      </c>
      <c r="E13" s="20">
        <v>0.63</v>
      </c>
      <c r="F13" s="20">
        <v>1</v>
      </c>
      <c r="G13" s="20">
        <v>100</v>
      </c>
      <c r="H13" s="62">
        <v>30</v>
      </c>
      <c r="I13" s="20">
        <f>VLOOKUP($C13,兵士关于时代的建筑和勋号加成!$A$2:$K$11,2,0)</f>
        <v>1.8</v>
      </c>
      <c r="J13" s="20">
        <f>VLOOKUP($C13,兵士关于时代的建筑和勋号加成!$A$2:$K$11,6,0)</f>
        <v>1.6</v>
      </c>
      <c r="K13" s="62">
        <v>30</v>
      </c>
      <c r="L13" s="20">
        <f>VLOOKUP($C13,兵士关于时代的建筑和勋号加成!$A$2:$K$11,3,0)</f>
        <v>1.6</v>
      </c>
      <c r="M13" s="20">
        <f>VLOOKUP($C13,兵士关于时代的建筑和勋号加成!$A$2:$K$11,7,0)</f>
        <v>1.3</v>
      </c>
      <c r="N13" s="34">
        <f t="shared" si="0"/>
        <v>137.18253394309215</v>
      </c>
      <c r="O13" s="34">
        <f t="shared" si="1"/>
        <v>13718.253394309215</v>
      </c>
      <c r="P13" s="62">
        <v>40</v>
      </c>
      <c r="Q13" s="20">
        <f>VLOOKUP($C13,兵士关于时代的建筑和勋号加成!$A$2:$K$11,4,0)</f>
        <v>1</v>
      </c>
      <c r="R13" s="20">
        <f>VLOOKUP($C13,兵士关于时代的建筑和勋号加成!$A$2:$K$11,8,0)</f>
        <v>1</v>
      </c>
      <c r="S13" s="62">
        <v>40</v>
      </c>
      <c r="T13" s="20">
        <f>VLOOKUP($C13,兵士关于时代的建筑和勋号加成!$A$2:$K$11,5,0)</f>
        <v>1</v>
      </c>
      <c r="U13" s="20">
        <f>VLOOKUP($C13,兵士关于时代的建筑和勋号加成!$A$2:$K$11,9,0)</f>
        <v>1.5</v>
      </c>
      <c r="V13" s="60">
        <f t="shared" si="2"/>
        <v>100.80000000000001</v>
      </c>
      <c r="W13" s="60">
        <f t="shared" si="3"/>
        <v>74.100000000000009</v>
      </c>
      <c r="X13" s="60">
        <f t="shared" si="4"/>
        <v>40</v>
      </c>
      <c r="Y13" s="60">
        <f t="shared" si="5"/>
        <v>60</v>
      </c>
      <c r="Z13" s="23">
        <f t="shared" si="6"/>
        <v>86.424996384148045</v>
      </c>
      <c r="AA13" s="23">
        <f t="shared" si="7"/>
        <v>1.1663292359534148</v>
      </c>
      <c r="AB13" s="23">
        <f t="shared" si="8"/>
        <v>8642.4996384148053</v>
      </c>
      <c r="AC13" s="20">
        <f>5</f>
        <v>5</v>
      </c>
      <c r="AD13" s="20">
        <f>VLOOKUP($C13,兵士关于时代的建筑和勋号加成!$A$2:$K$11,11,0)</f>
        <v>8</v>
      </c>
      <c r="AE13" s="39">
        <f t="shared" si="9"/>
        <v>112352.49529939247</v>
      </c>
      <c r="AF13" s="56">
        <f t="shared" si="10"/>
        <v>8.19</v>
      </c>
      <c r="AG13" s="20" t="s">
        <v>134</v>
      </c>
      <c r="AH13" s="20" t="s">
        <v>135</v>
      </c>
      <c r="AI13" s="20" t="s">
        <v>136</v>
      </c>
      <c r="AJ13" s="20" t="s">
        <v>137</v>
      </c>
      <c r="AK13" s="20"/>
      <c r="AL13" s="20" t="s">
        <v>194</v>
      </c>
    </row>
    <row r="14" spans="1:39" ht="16.5" hidden="1">
      <c r="A14" s="20" t="s">
        <v>200</v>
      </c>
      <c r="B14" s="54" t="s">
        <v>312</v>
      </c>
      <c r="C14" s="20" t="s">
        <v>115</v>
      </c>
      <c r="D14" s="20">
        <v>97.5</v>
      </c>
      <c r="E14" s="20">
        <v>1.17</v>
      </c>
      <c r="F14" s="20">
        <v>1</v>
      </c>
      <c r="G14" s="20">
        <v>100</v>
      </c>
      <c r="H14" s="20">
        <v>40</v>
      </c>
      <c r="I14" s="20">
        <f>VLOOKUP($C14,兵士关于时代的建筑和勋号加成!$A$2:$K$11,2,0)</f>
        <v>2</v>
      </c>
      <c r="J14" s="20">
        <f>VLOOKUP($C14,兵士关于时代的建筑和勋号加成!$A$2:$K$11,6,0)</f>
        <v>1.5</v>
      </c>
      <c r="K14" s="20">
        <v>24</v>
      </c>
      <c r="L14" s="20">
        <f>VLOOKUP($C14,兵士关于时代的建筑和勋号加成!$A$2:$K$11,3,0)</f>
        <v>1.65</v>
      </c>
      <c r="M14" s="20">
        <f>VLOOKUP($C14,兵士关于时代的建筑和勋号加成!$A$2:$K$11,7,0)</f>
        <v>1.6</v>
      </c>
      <c r="N14" s="34">
        <f t="shared" si="0"/>
        <v>104.26002995469473</v>
      </c>
      <c r="O14" s="34">
        <f t="shared" si="1"/>
        <v>8688.3358295578946</v>
      </c>
      <c r="P14" s="20">
        <v>0</v>
      </c>
      <c r="Q14" s="20">
        <f>VLOOKUP($C14,兵士关于时代的建筑和勋号加成!$A$2:$K$11,4,0)</f>
        <v>1</v>
      </c>
      <c r="R14" s="20">
        <f>VLOOKUP($C14,兵士关于时代的建筑和勋号加成!$A$2:$K$11,8,0)</f>
        <v>1</v>
      </c>
      <c r="S14" s="20">
        <v>0</v>
      </c>
      <c r="T14" s="20">
        <f>VLOOKUP($C14,兵士关于时代的建筑和勋号加成!$A$2:$K$11,5,0)</f>
        <v>1</v>
      </c>
      <c r="U14" s="20">
        <f>VLOOKUP($C14,兵士关于时代的建筑和勋号加成!$A$2:$K$11,9,0)</f>
        <v>1</v>
      </c>
      <c r="V14" s="60">
        <f t="shared" si="2"/>
        <v>138</v>
      </c>
      <c r="W14" s="60">
        <f t="shared" si="3"/>
        <v>74.88</v>
      </c>
      <c r="X14" s="60">
        <f t="shared" si="4"/>
        <v>0</v>
      </c>
      <c r="Y14" s="60">
        <f t="shared" si="5"/>
        <v>0</v>
      </c>
      <c r="Z14" s="23">
        <f t="shared" si="6"/>
        <v>101.65352920582737</v>
      </c>
      <c r="AA14" s="23">
        <f t="shared" si="7"/>
        <v>1.3575524733684212</v>
      </c>
      <c r="AB14" s="23">
        <f t="shared" si="8"/>
        <v>10165.352920582736</v>
      </c>
      <c r="AC14" s="20">
        <f>5</f>
        <v>5</v>
      </c>
      <c r="AD14" s="20">
        <f>VLOOKUP($C14,兵士关于时代的建筑和勋号加成!$A$2:$K$11,11,0)</f>
        <v>6</v>
      </c>
      <c r="AE14" s="39">
        <f t="shared" si="9"/>
        <v>111818.8821264101</v>
      </c>
      <c r="AF14" s="56">
        <f t="shared" si="10"/>
        <v>12.87</v>
      </c>
      <c r="AG14" s="20" t="s">
        <v>95</v>
      </c>
      <c r="AH14" s="20" t="s">
        <v>116</v>
      </c>
      <c r="AI14" s="20" t="s">
        <v>109</v>
      </c>
      <c r="AJ14" s="20" t="s">
        <v>259</v>
      </c>
      <c r="AK14" s="20"/>
      <c r="AL14" s="20" t="s">
        <v>315</v>
      </c>
    </row>
    <row r="15" spans="1:39" ht="16.5">
      <c r="A15" s="20" t="s">
        <v>200</v>
      </c>
      <c r="B15" s="54" t="s">
        <v>150</v>
      </c>
      <c r="C15" s="20" t="s">
        <v>150</v>
      </c>
      <c r="D15" s="20">
        <v>135</v>
      </c>
      <c r="E15" s="20">
        <v>1.35</v>
      </c>
      <c r="F15" s="20">
        <v>1</v>
      </c>
      <c r="G15" s="20">
        <v>100</v>
      </c>
      <c r="H15" s="62">
        <v>45</v>
      </c>
      <c r="I15" s="20">
        <f>VLOOKUP($C15,兵士关于时代的建筑和勋号加成!$A$2:$K$11,2,0)</f>
        <v>2.2000000000000002</v>
      </c>
      <c r="J15" s="20">
        <f>VLOOKUP($C15,兵士关于时代的建筑和勋号加成!$A$2:$K$11,6,0)</f>
        <v>1.6</v>
      </c>
      <c r="K15" s="62">
        <v>20</v>
      </c>
      <c r="L15" s="20">
        <f>VLOOKUP($C15,兵士关于时代的建筑和勋号加成!$A$2:$K$11,3,0)</f>
        <v>1.85</v>
      </c>
      <c r="M15" s="20">
        <f>VLOOKUP($C15,兵士关于时代的建筑和勋号加成!$A$2:$K$11,7,0)</f>
        <v>1.3</v>
      </c>
      <c r="N15" s="34">
        <f t="shared" si="0"/>
        <v>74.30334887689105</v>
      </c>
      <c r="O15" s="34">
        <f t="shared" si="1"/>
        <v>7430.334887689105</v>
      </c>
      <c r="P15" s="62">
        <v>40</v>
      </c>
      <c r="Q15" s="20">
        <f>VLOOKUP($C15,兵士关于时代的建筑和勋号加成!$A$2:$K$11,4,0)</f>
        <v>1.2</v>
      </c>
      <c r="R15" s="20">
        <f>VLOOKUP($C15,兵士关于时代的建筑和勋号加成!$A$2:$K$11,8,0)</f>
        <v>1.4</v>
      </c>
      <c r="S15" s="62">
        <v>30</v>
      </c>
      <c r="T15" s="20">
        <f>VLOOKUP($C15,兵士关于时代的建筑和勋号加成!$A$2:$K$11,5,0)</f>
        <v>1.2</v>
      </c>
      <c r="U15" s="20">
        <f>VLOOKUP($C15,兵士关于时代的建筑和勋号加成!$A$2:$K$11,9,0)</f>
        <v>1</v>
      </c>
      <c r="V15" s="60">
        <f t="shared" si="2"/>
        <v>180</v>
      </c>
      <c r="W15" s="60">
        <f t="shared" si="3"/>
        <v>55.9</v>
      </c>
      <c r="X15" s="60">
        <f t="shared" si="4"/>
        <v>67.199999999999989</v>
      </c>
      <c r="Y15" s="60">
        <f t="shared" si="5"/>
        <v>36</v>
      </c>
      <c r="Z15" s="23">
        <f t="shared" si="6"/>
        <v>100.30952098380293</v>
      </c>
      <c r="AA15" s="23">
        <f t="shared" si="7"/>
        <v>1.7944458136637376</v>
      </c>
      <c r="AB15" s="23">
        <f t="shared" si="8"/>
        <v>10030.952098380292</v>
      </c>
      <c r="AC15" s="20">
        <f>5</f>
        <v>5</v>
      </c>
      <c r="AD15" s="20">
        <f>VLOOKUP($C15,兵士关于时代的建筑和勋号加成!$A$2:$K$11,11,0)</f>
        <v>6</v>
      </c>
      <c r="AE15" s="39">
        <f t="shared" si="9"/>
        <v>110340.47308218322</v>
      </c>
      <c r="AF15" s="56">
        <f t="shared" si="10"/>
        <v>14.850000000000001</v>
      </c>
      <c r="AG15" s="20" t="s">
        <v>170</v>
      </c>
      <c r="AH15" s="20" t="s">
        <v>171</v>
      </c>
      <c r="AI15" s="20" t="s">
        <v>172</v>
      </c>
      <c r="AJ15" s="20" t="s">
        <v>250</v>
      </c>
      <c r="AK15" s="20"/>
      <c r="AL15" s="20" t="s">
        <v>140</v>
      </c>
    </row>
    <row r="16" spans="1:39" ht="16.5">
      <c r="A16" s="20" t="s">
        <v>200</v>
      </c>
      <c r="B16" s="54" t="s">
        <v>313</v>
      </c>
      <c r="C16" s="20" t="s">
        <v>107</v>
      </c>
      <c r="D16" s="20">
        <v>108</v>
      </c>
      <c r="E16" s="20">
        <v>1.44</v>
      </c>
      <c r="F16" s="20">
        <v>1</v>
      </c>
      <c r="G16" s="20">
        <v>100</v>
      </c>
      <c r="H16" s="62">
        <v>40</v>
      </c>
      <c r="I16" s="20">
        <f>VLOOKUP($C16,兵士关于时代的建筑和勋号加成!$A$2:$K$11,2,0)</f>
        <v>2</v>
      </c>
      <c r="J16" s="20">
        <f>VLOOKUP($C16,兵士关于时代的建筑和勋号加成!$A$2:$K$11,6,0)</f>
        <v>1.6</v>
      </c>
      <c r="K16" s="62">
        <v>26</v>
      </c>
      <c r="L16" s="20">
        <f>VLOOKUP($C16,兵士关于时代的建筑和勋号加成!$A$2:$K$11,3,0)</f>
        <v>1.65</v>
      </c>
      <c r="M16" s="20">
        <f>VLOOKUP($C16,兵士关于时代的建筑和勋号加成!$A$2:$K$11,7,0)</f>
        <v>1.3</v>
      </c>
      <c r="N16" s="34">
        <f t="shared" si="0"/>
        <v>91.202303053730645</v>
      </c>
      <c r="O16" s="34">
        <f t="shared" si="1"/>
        <v>6840.1727290297995</v>
      </c>
      <c r="P16" s="62">
        <v>0</v>
      </c>
      <c r="Q16" s="20">
        <f>VLOOKUP($C16,兵士关于时代的建筑和勋号加成!$A$2:$K$11,4,0)</f>
        <v>1</v>
      </c>
      <c r="R16" s="20">
        <f>VLOOKUP($C16,兵士关于时代的建筑和勋号加成!$A$2:$K$11,8,0)</f>
        <v>1</v>
      </c>
      <c r="S16" s="62">
        <v>0</v>
      </c>
      <c r="T16" s="20">
        <f>VLOOKUP($C16,兵士关于时代的建筑和勋号加成!$A$2:$K$11,5,0)</f>
        <v>1</v>
      </c>
      <c r="U16" s="20">
        <f>VLOOKUP($C16,兵士关于时代的建筑和勋号加成!$A$2:$K$11,9,0)</f>
        <v>1</v>
      </c>
      <c r="V16" s="60">
        <f t="shared" si="2"/>
        <v>147.20000000000002</v>
      </c>
      <c r="W16" s="60">
        <f t="shared" si="3"/>
        <v>65.91</v>
      </c>
      <c r="X16" s="60">
        <f t="shared" si="4"/>
        <v>0</v>
      </c>
      <c r="Y16" s="60">
        <f t="shared" si="5"/>
        <v>0</v>
      </c>
      <c r="Z16" s="23">
        <f t="shared" si="6"/>
        <v>98.498487298029104</v>
      </c>
      <c r="AA16" s="23">
        <f t="shared" si="7"/>
        <v>1.4944391943260371</v>
      </c>
      <c r="AB16" s="23">
        <f t="shared" si="8"/>
        <v>9849.8487298029104</v>
      </c>
      <c r="AC16" s="20">
        <f>5</f>
        <v>5</v>
      </c>
      <c r="AD16" s="20">
        <f>VLOOKUP($C16,兵士关于时代的建筑和勋号加成!$A$2:$K$11,11,0)</f>
        <v>6</v>
      </c>
      <c r="AE16" s="39">
        <f t="shared" si="9"/>
        <v>108348.33602783202</v>
      </c>
      <c r="AF16" s="56">
        <f t="shared" si="10"/>
        <v>15.84</v>
      </c>
      <c r="AG16" s="20" t="s">
        <v>115</v>
      </c>
      <c r="AH16" s="20" t="s">
        <v>178</v>
      </c>
      <c r="AI16" s="20" t="s">
        <v>109</v>
      </c>
      <c r="AJ16" s="20" t="s">
        <v>256</v>
      </c>
      <c r="AK16" s="20"/>
      <c r="AL16" s="20" t="s">
        <v>140</v>
      </c>
    </row>
    <row r="17" spans="1:38" ht="24.75" hidden="1">
      <c r="A17" s="20" t="s">
        <v>200</v>
      </c>
      <c r="B17" s="54" t="s">
        <v>145</v>
      </c>
      <c r="C17" s="20" t="s">
        <v>119</v>
      </c>
      <c r="D17" s="20">
        <v>240</v>
      </c>
      <c r="E17" s="20">
        <v>2.52</v>
      </c>
      <c r="F17" s="20">
        <v>1</v>
      </c>
      <c r="G17" s="20">
        <v>50</v>
      </c>
      <c r="H17" s="20">
        <v>125</v>
      </c>
      <c r="I17" s="20">
        <f>VLOOKUP($C17,兵士关于时代的建筑和勋号加成!$A$2:$K$11,2,0)</f>
        <v>1.8</v>
      </c>
      <c r="J17" s="20">
        <f>VLOOKUP($C17,兵士关于时代的建筑和勋号加成!$A$2:$K$11,6,0)</f>
        <v>1.6</v>
      </c>
      <c r="K17" s="20">
        <v>40</v>
      </c>
      <c r="L17" s="20">
        <f>VLOOKUP($C17,兵士关于时代的建筑和勋号加成!$A$2:$K$11,3,0)</f>
        <v>1.4</v>
      </c>
      <c r="M17" s="20">
        <f>VLOOKUP($C17,兵士关于时代的建筑和勋号加成!$A$2:$K$11,7,0)</f>
        <v>1.3</v>
      </c>
      <c r="N17" s="34">
        <f t="shared" si="0"/>
        <v>40.142973648365079</v>
      </c>
      <c r="O17" s="34">
        <f t="shared" si="1"/>
        <v>3823.1403474633407</v>
      </c>
      <c r="P17" s="20">
        <v>20</v>
      </c>
      <c r="Q17" s="20">
        <f>VLOOKUP($C17,兵士关于时代的建筑和勋号加成!$A$2:$K$11,4,0)</f>
        <v>1</v>
      </c>
      <c r="R17" s="20">
        <f>VLOOKUP($C17,兵士关于时代的建筑和勋号加成!$A$2:$K$11,8,0)</f>
        <v>1</v>
      </c>
      <c r="S17" s="20">
        <v>10</v>
      </c>
      <c r="T17" s="20">
        <f>VLOOKUP($C17,兵士关于时代的建筑和勋号加成!$A$2:$K$11,5,0)</f>
        <v>1</v>
      </c>
      <c r="U17" s="20">
        <f>VLOOKUP($C17,兵士关于时代的建筑和勋号加成!$A$2:$K$11,9,0)</f>
        <v>1</v>
      </c>
      <c r="V17" s="60">
        <f t="shared" si="2"/>
        <v>420</v>
      </c>
      <c r="W17" s="60">
        <f t="shared" si="3"/>
        <v>88.4</v>
      </c>
      <c r="X17" s="60">
        <f t="shared" si="4"/>
        <v>20</v>
      </c>
      <c r="Y17" s="60">
        <f t="shared" si="5"/>
        <v>10</v>
      </c>
      <c r="Z17" s="23">
        <f t="shared" si="6"/>
        <v>192.68627351215238</v>
      </c>
      <c r="AA17" s="23">
        <f t="shared" si="7"/>
        <v>2.1797089763818143</v>
      </c>
      <c r="AB17" s="23">
        <f t="shared" si="8"/>
        <v>9634.3136756076183</v>
      </c>
      <c r="AC17" s="20">
        <f>5</f>
        <v>5</v>
      </c>
      <c r="AD17" s="20">
        <f>VLOOKUP($C17,兵士关于时代的建筑和勋号加成!$A$2:$K$11,11,0)</f>
        <v>6</v>
      </c>
      <c r="AE17" s="39">
        <f t="shared" si="9"/>
        <v>105977.4504316838</v>
      </c>
      <c r="AF17" s="56">
        <f t="shared" si="10"/>
        <v>27.72</v>
      </c>
      <c r="AG17" s="20" t="s">
        <v>110</v>
      </c>
      <c r="AH17" s="20" t="s">
        <v>113</v>
      </c>
      <c r="AI17" s="20" t="s">
        <v>167</v>
      </c>
      <c r="AJ17" s="20" t="s">
        <v>246</v>
      </c>
      <c r="AK17" s="20"/>
      <c r="AL17" s="20" t="s">
        <v>146</v>
      </c>
    </row>
    <row r="18" spans="1:38" ht="16.5" hidden="1">
      <c r="A18" s="20" t="s">
        <v>127</v>
      </c>
      <c r="B18" s="54" t="s">
        <v>121</v>
      </c>
      <c r="C18" s="20" t="s">
        <v>197</v>
      </c>
      <c r="D18" s="20">
        <v>88</v>
      </c>
      <c r="E18" s="20">
        <v>0.9</v>
      </c>
      <c r="F18" s="20">
        <v>1</v>
      </c>
      <c r="G18" s="20">
        <v>100</v>
      </c>
      <c r="H18" s="20">
        <v>42</v>
      </c>
      <c r="I18" s="20">
        <f>VLOOKUP($C18,兵士关于时代的建筑和勋号加成!$A$2:$K$11,2,0)</f>
        <v>1.8</v>
      </c>
      <c r="J18" s="20">
        <f>VLOOKUP($C18,兵士关于时代的建筑和勋号加成!$A$2:$K$11,6,0)</f>
        <v>1.6</v>
      </c>
      <c r="K18" s="20">
        <v>18</v>
      </c>
      <c r="L18" s="20">
        <f>VLOOKUP($C18,兵士关于时代的建筑和勋号加成!$A$2:$K$11,3,0)</f>
        <v>1.6</v>
      </c>
      <c r="M18" s="20">
        <f>VLOOKUP($C18,兵士关于时代的建筑和勋号加成!$A$2:$K$11,7,0)</f>
        <v>1.3</v>
      </c>
      <c r="N18" s="34">
        <f t="shared" si="0"/>
        <v>90.011156333328003</v>
      </c>
      <c r="O18" s="34">
        <f t="shared" si="1"/>
        <v>8801.0908414809601</v>
      </c>
      <c r="P18" s="20">
        <v>0</v>
      </c>
      <c r="Q18" s="20">
        <f>VLOOKUP($C18,兵士关于时代的建筑和勋号加成!$A$2:$K$11,4,0)</f>
        <v>1</v>
      </c>
      <c r="R18" s="20">
        <f>VLOOKUP($C18,兵士关于时代的建筑和勋号加成!$A$2:$K$11,8,0)</f>
        <v>1</v>
      </c>
      <c r="S18" s="20">
        <v>0</v>
      </c>
      <c r="T18" s="20">
        <f>VLOOKUP($C18,兵士关于时代的建筑和勋号加成!$A$2:$K$11,5,0)</f>
        <v>1</v>
      </c>
      <c r="U18" s="20">
        <f>VLOOKUP($C18,兵士关于时代的建筑和勋号加成!$A$2:$K$11,9,0)</f>
        <v>1</v>
      </c>
      <c r="V18" s="60">
        <f t="shared" si="2"/>
        <v>141.12</v>
      </c>
      <c r="W18" s="60">
        <f t="shared" si="3"/>
        <v>44.460000000000008</v>
      </c>
      <c r="X18" s="60">
        <f t="shared" si="4"/>
        <v>0</v>
      </c>
      <c r="Y18" s="60">
        <f t="shared" si="5"/>
        <v>0</v>
      </c>
      <c r="Z18" s="23">
        <f t="shared" si="6"/>
        <v>79.209817573328635</v>
      </c>
      <c r="AA18" s="23">
        <f t="shared" si="7"/>
        <v>1.7815973363321778</v>
      </c>
      <c r="AB18" s="23">
        <f t="shared" si="8"/>
        <v>7920.9817573328637</v>
      </c>
      <c r="AC18" s="20">
        <f>5</f>
        <v>5</v>
      </c>
      <c r="AD18" s="20">
        <f>VLOOKUP($C18,兵士关于时代的建筑和勋号加成!$A$2:$K$11,11,0)</f>
        <v>8</v>
      </c>
      <c r="AE18" s="39">
        <f t="shared" si="9"/>
        <v>102972.76284532723</v>
      </c>
      <c r="AF18" s="56">
        <f t="shared" si="10"/>
        <v>11.700000000000001</v>
      </c>
      <c r="AG18" s="20" t="s">
        <v>122</v>
      </c>
      <c r="AH18" s="20" t="s">
        <v>123</v>
      </c>
      <c r="AI18" s="20" t="s">
        <v>281</v>
      </c>
      <c r="AJ18" s="20" t="s">
        <v>285</v>
      </c>
      <c r="AK18" s="20"/>
      <c r="AL18" s="20" t="s">
        <v>297</v>
      </c>
    </row>
    <row r="19" spans="1:38">
      <c r="A19" s="20" t="s">
        <v>287</v>
      </c>
      <c r="B19" s="54" t="s">
        <v>310</v>
      </c>
      <c r="C19" s="20" t="s">
        <v>133</v>
      </c>
      <c r="D19" s="20">
        <v>90</v>
      </c>
      <c r="E19" s="20">
        <v>1.2</v>
      </c>
      <c r="F19" s="20">
        <v>1</v>
      </c>
      <c r="G19" s="20">
        <v>100</v>
      </c>
      <c r="H19" s="62">
        <v>36</v>
      </c>
      <c r="I19" s="20">
        <f>VLOOKUP($C19,兵士关于时代的建筑和勋号加成!$A$2:$K$11,2,0)</f>
        <v>2</v>
      </c>
      <c r="J19" s="20">
        <f>VLOOKUP($C19,兵士关于时代的建筑和勋号加成!$A$2:$K$11,6,0)</f>
        <v>1.6</v>
      </c>
      <c r="K19" s="62">
        <v>26</v>
      </c>
      <c r="L19" s="20">
        <f>VLOOKUP($C19,兵士关于时代的建筑和勋号加成!$A$2:$K$11,3,0)</f>
        <v>1.65</v>
      </c>
      <c r="M19" s="20">
        <f>VLOOKUP($C19,兵士关于时代的建筑和勋号加成!$A$2:$K$11,7,0)</f>
        <v>1.3</v>
      </c>
      <c r="N19" s="34">
        <f t="shared" si="0"/>
        <v>103.82652198097875</v>
      </c>
      <c r="O19" s="34">
        <f t="shared" si="1"/>
        <v>7786.989148573407</v>
      </c>
      <c r="P19" s="62">
        <v>0</v>
      </c>
      <c r="Q19" s="20">
        <f>VLOOKUP($C19,兵士关于时代的建筑和勋号加成!$A$2:$K$11,4,0)</f>
        <v>1</v>
      </c>
      <c r="R19" s="20">
        <f>VLOOKUP($C19,兵士关于时代的建筑和勋号加成!$A$2:$K$11,8,0)</f>
        <v>1</v>
      </c>
      <c r="S19" s="62">
        <v>0</v>
      </c>
      <c r="T19" s="20">
        <f>VLOOKUP($C19,兵士关于时代的建筑和勋号加成!$A$2:$K$11,5,0)</f>
        <v>1</v>
      </c>
      <c r="U19" s="20">
        <f>VLOOKUP($C19,兵士关于时代的建筑和勋号加成!$A$2:$K$11,9,0)</f>
        <v>1</v>
      </c>
      <c r="V19" s="60">
        <f t="shared" si="2"/>
        <v>132.47999999999999</v>
      </c>
      <c r="W19" s="60">
        <f t="shared" si="3"/>
        <v>65.91</v>
      </c>
      <c r="X19" s="60">
        <f t="shared" si="4"/>
        <v>0</v>
      </c>
      <c r="Y19" s="60">
        <f t="shared" si="5"/>
        <v>0</v>
      </c>
      <c r="Z19" s="23">
        <f t="shared" si="6"/>
        <v>93.443869782880881</v>
      </c>
      <c r="AA19" s="23">
        <f t="shared" si="7"/>
        <v>1.4177495036091774</v>
      </c>
      <c r="AB19" s="23">
        <f t="shared" si="8"/>
        <v>9344.3869782880884</v>
      </c>
      <c r="AC19" s="20">
        <f>5</f>
        <v>5</v>
      </c>
      <c r="AD19" s="20">
        <f>VLOOKUP($C19,兵士关于时代的建筑和勋号加成!$A$2:$K$11,11,0)</f>
        <v>6</v>
      </c>
      <c r="AE19" s="39">
        <f t="shared" si="9"/>
        <v>102788.25676116897</v>
      </c>
      <c r="AF19" s="56">
        <f t="shared" si="10"/>
        <v>13.2</v>
      </c>
      <c r="AG19" s="20" t="s">
        <v>282</v>
      </c>
      <c r="AH19" s="20" t="s">
        <v>109</v>
      </c>
      <c r="AI19" s="20" t="s">
        <v>136</v>
      </c>
      <c r="AJ19" s="20" t="s">
        <v>131</v>
      </c>
      <c r="AK19" s="20"/>
      <c r="AL19" s="20" t="s">
        <v>194</v>
      </c>
    </row>
    <row r="20" spans="1:38">
      <c r="A20" s="20" t="s">
        <v>200</v>
      </c>
      <c r="B20" s="54" t="s">
        <v>152</v>
      </c>
      <c r="C20" s="20" t="s">
        <v>107</v>
      </c>
      <c r="D20" s="20">
        <v>108</v>
      </c>
      <c r="E20" s="20">
        <v>1.44</v>
      </c>
      <c r="F20" s="20">
        <v>1</v>
      </c>
      <c r="G20" s="20">
        <v>100</v>
      </c>
      <c r="H20" s="62">
        <v>42</v>
      </c>
      <c r="I20" s="20">
        <f>VLOOKUP($C20,兵士关于时代的建筑和勋号加成!$A$2:$K$11,2,0)</f>
        <v>2</v>
      </c>
      <c r="J20" s="20">
        <f>VLOOKUP($C20,兵士关于时代的建筑和勋号加成!$A$2:$K$11,6,0)</f>
        <v>1.6</v>
      </c>
      <c r="K20" s="62">
        <v>22</v>
      </c>
      <c r="L20" s="20">
        <f>VLOOKUP($C20,兵士关于时代的建筑和勋号加成!$A$2:$K$11,3,0)</f>
        <v>1.65</v>
      </c>
      <c r="M20" s="20">
        <f>VLOOKUP($C20,兵士关于时代的建筑和勋号加成!$A$2:$K$11,7,0)</f>
        <v>1.3</v>
      </c>
      <c r="N20" s="34">
        <f t="shared" si="0"/>
        <v>85.965683650117626</v>
      </c>
      <c r="O20" s="34">
        <f t="shared" si="1"/>
        <v>6447.4262737588224</v>
      </c>
      <c r="P20" s="62">
        <v>0</v>
      </c>
      <c r="Q20" s="20">
        <f>VLOOKUP($C20,兵士关于时代的建筑和勋号加成!$A$2:$K$11,4,0)</f>
        <v>1</v>
      </c>
      <c r="R20" s="20">
        <f>VLOOKUP($C20,兵士关于时代的建筑和勋号加成!$A$2:$K$11,8,0)</f>
        <v>1</v>
      </c>
      <c r="S20" s="62">
        <v>0</v>
      </c>
      <c r="T20" s="20">
        <f>VLOOKUP($C20,兵士关于时代的建筑和勋号加成!$A$2:$K$11,5,0)</f>
        <v>1</v>
      </c>
      <c r="U20" s="20">
        <f>VLOOKUP($C20,兵士关于时代的建筑和勋号加成!$A$2:$K$11,9,0)</f>
        <v>1</v>
      </c>
      <c r="V20" s="60">
        <f t="shared" si="2"/>
        <v>154.56</v>
      </c>
      <c r="W20" s="60">
        <f t="shared" si="3"/>
        <v>55.77</v>
      </c>
      <c r="X20" s="60">
        <f t="shared" si="4"/>
        <v>0</v>
      </c>
      <c r="Y20" s="60">
        <f t="shared" si="5"/>
        <v>0</v>
      </c>
      <c r="Z20" s="23">
        <f t="shared" si="6"/>
        <v>92.842938342127027</v>
      </c>
      <c r="AA20" s="23">
        <f t="shared" si="7"/>
        <v>1.664746966866183</v>
      </c>
      <c r="AB20" s="23">
        <f t="shared" si="8"/>
        <v>9284.2938342127036</v>
      </c>
      <c r="AC20" s="20">
        <f>5</f>
        <v>5</v>
      </c>
      <c r="AD20" s="20">
        <f>VLOOKUP($C20,兵士关于时代的建筑和勋号加成!$A$2:$K$11,11,0)</f>
        <v>6</v>
      </c>
      <c r="AE20" s="39">
        <f t="shared" si="9"/>
        <v>102127.23217633973</v>
      </c>
      <c r="AF20" s="56">
        <f t="shared" si="10"/>
        <v>15.84</v>
      </c>
      <c r="AG20" s="20" t="s">
        <v>175</v>
      </c>
      <c r="AH20" s="20" t="s">
        <v>176</v>
      </c>
      <c r="AI20" s="20" t="s">
        <v>109</v>
      </c>
      <c r="AJ20" s="20" t="s">
        <v>252</v>
      </c>
      <c r="AK20" s="20"/>
      <c r="AL20" s="20" t="s">
        <v>140</v>
      </c>
    </row>
    <row r="21" spans="1:38">
      <c r="A21" s="20" t="s">
        <v>200</v>
      </c>
      <c r="B21" s="54" t="s">
        <v>156</v>
      </c>
      <c r="C21" s="20" t="s">
        <v>107</v>
      </c>
      <c r="D21" s="20">
        <v>108</v>
      </c>
      <c r="E21" s="20">
        <v>1.44</v>
      </c>
      <c r="F21" s="20">
        <v>1</v>
      </c>
      <c r="G21" s="20">
        <v>100</v>
      </c>
      <c r="H21" s="62">
        <v>38</v>
      </c>
      <c r="I21" s="20">
        <f>VLOOKUP($C21,兵士关于时代的建筑和勋号加成!$A$2:$K$11,2,0)</f>
        <v>2</v>
      </c>
      <c r="J21" s="20">
        <f>VLOOKUP($C21,兵士关于时代的建筑和勋号加成!$A$2:$K$11,6,0)</f>
        <v>1.6</v>
      </c>
      <c r="K21" s="62">
        <v>24</v>
      </c>
      <c r="L21" s="20">
        <f>VLOOKUP($C21,兵士关于时代的建筑和勋号加成!$A$2:$K$11,3,0)</f>
        <v>1.65</v>
      </c>
      <c r="M21" s="20">
        <f>VLOOKUP($C21,兵士关于时代的建筑和勋号加成!$A$2:$K$11,7,0)</f>
        <v>1.3</v>
      </c>
      <c r="N21" s="34">
        <f t="shared" si="0"/>
        <v>85.405640661434788</v>
      </c>
      <c r="O21" s="34">
        <f t="shared" si="1"/>
        <v>6405.4230496076088</v>
      </c>
      <c r="P21" s="62">
        <v>0</v>
      </c>
      <c r="Q21" s="20">
        <f>VLOOKUP($C21,兵士关于时代的建筑和勋号加成!$A$2:$K$11,4,0)</f>
        <v>1</v>
      </c>
      <c r="R21" s="20">
        <f>VLOOKUP($C21,兵士关于时代的建筑和勋号加成!$A$2:$K$11,8,0)</f>
        <v>1</v>
      </c>
      <c r="S21" s="62">
        <v>20</v>
      </c>
      <c r="T21" s="20">
        <f>VLOOKUP($C21,兵士关于时代的建筑和勋号加成!$A$2:$K$11,5,0)</f>
        <v>1</v>
      </c>
      <c r="U21" s="20">
        <f>VLOOKUP($C21,兵士关于时代的建筑和勋号加成!$A$2:$K$11,9,0)</f>
        <v>1</v>
      </c>
      <c r="V21" s="60">
        <f t="shared" si="2"/>
        <v>139.84</v>
      </c>
      <c r="W21" s="60">
        <f t="shared" si="3"/>
        <v>60.839999999999996</v>
      </c>
      <c r="X21" s="60">
        <f t="shared" si="4"/>
        <v>0</v>
      </c>
      <c r="Y21" s="60">
        <f t="shared" si="5"/>
        <v>20</v>
      </c>
      <c r="Z21" s="23">
        <f t="shared" si="6"/>
        <v>92.238091914349567</v>
      </c>
      <c r="AA21" s="23">
        <f t="shared" si="7"/>
        <v>1.5160764614455882</v>
      </c>
      <c r="AB21" s="23">
        <f t="shared" si="8"/>
        <v>9223.809191434957</v>
      </c>
      <c r="AC21" s="20">
        <f>5</f>
        <v>5</v>
      </c>
      <c r="AD21" s="20">
        <f>VLOOKUP($C21,兵士关于时代的建筑和勋号加成!$A$2:$K$11,11,0)</f>
        <v>6</v>
      </c>
      <c r="AE21" s="39">
        <f t="shared" si="9"/>
        <v>101461.90110578452</v>
      </c>
      <c r="AF21" s="56">
        <f t="shared" si="10"/>
        <v>15.84</v>
      </c>
      <c r="AG21" s="20" t="s">
        <v>180</v>
      </c>
      <c r="AH21" s="20" t="s">
        <v>181</v>
      </c>
      <c r="AI21" s="20" t="s">
        <v>109</v>
      </c>
      <c r="AJ21" s="20" t="s">
        <v>258</v>
      </c>
      <c r="AK21" s="20"/>
      <c r="AL21" s="20" t="s">
        <v>140</v>
      </c>
    </row>
    <row r="22" spans="1:38" ht="16.5" hidden="1">
      <c r="A22" s="20" t="s">
        <v>200</v>
      </c>
      <c r="B22" s="54" t="s">
        <v>158</v>
      </c>
      <c r="C22" s="20" t="s">
        <v>107</v>
      </c>
      <c r="D22" s="20">
        <v>108</v>
      </c>
      <c r="E22" s="20">
        <v>1.44</v>
      </c>
      <c r="F22" s="20">
        <v>1</v>
      </c>
      <c r="G22" s="20">
        <v>100</v>
      </c>
      <c r="H22" s="20">
        <v>32</v>
      </c>
      <c r="I22" s="20">
        <f>VLOOKUP($C22,兵士关于时代的建筑和勋号加成!$A$2:$K$11,2,0)</f>
        <v>2</v>
      </c>
      <c r="J22" s="20">
        <f>VLOOKUP($C22,兵士关于时代的建筑和勋号加成!$A$2:$K$11,6,0)</f>
        <v>1.6</v>
      </c>
      <c r="K22" s="20">
        <v>26</v>
      </c>
      <c r="L22" s="20">
        <f>VLOOKUP($C22,兵士关于时代的建筑和勋号加成!$A$2:$K$11,3,0)</f>
        <v>1.65</v>
      </c>
      <c r="M22" s="20">
        <f>VLOOKUP($C22,兵士关于时代的建筑和勋号加成!$A$2:$K$11,7,0)</f>
        <v>1.3</v>
      </c>
      <c r="N22" s="34">
        <f t="shared" si="0"/>
        <v>81.573819733071346</v>
      </c>
      <c r="O22" s="34">
        <f t="shared" si="1"/>
        <v>6118.036479980351</v>
      </c>
      <c r="P22" s="20">
        <v>0</v>
      </c>
      <c r="Q22" s="20">
        <f>VLOOKUP($C22,兵士关于时代的建筑和勋号加成!$A$2:$K$11,4,0)</f>
        <v>1</v>
      </c>
      <c r="R22" s="20">
        <f>VLOOKUP($C22,兵士关于时代的建筑和勋号加成!$A$2:$K$11,8,0)</f>
        <v>1</v>
      </c>
      <c r="S22" s="20">
        <v>10</v>
      </c>
      <c r="T22" s="20">
        <f>VLOOKUP($C22,兵士关于时代的建筑和勋号加成!$A$2:$K$11,5,0)</f>
        <v>1</v>
      </c>
      <c r="U22" s="20">
        <f>VLOOKUP($C22,兵士关于时代的建筑和勋号加成!$A$2:$K$11,9,0)</f>
        <v>1</v>
      </c>
      <c r="V22" s="60">
        <f t="shared" si="2"/>
        <v>117.75999999999999</v>
      </c>
      <c r="W22" s="60">
        <f t="shared" si="3"/>
        <v>65.91</v>
      </c>
      <c r="X22" s="60">
        <f t="shared" si="4"/>
        <v>0</v>
      </c>
      <c r="Y22" s="60">
        <f t="shared" si="5"/>
        <v>10</v>
      </c>
      <c r="Z22" s="23">
        <f t="shared" si="6"/>
        <v>88.099725311717052</v>
      </c>
      <c r="AA22" s="23">
        <f t="shared" si="7"/>
        <v>1.3366670507012146</v>
      </c>
      <c r="AB22" s="23">
        <f t="shared" si="8"/>
        <v>8809.9725311717048</v>
      </c>
      <c r="AC22" s="20">
        <f>5</f>
        <v>5</v>
      </c>
      <c r="AD22" s="20">
        <f>VLOOKUP($C22,兵士关于时代的建筑和勋号加成!$A$2:$K$11,11,0)</f>
        <v>6</v>
      </c>
      <c r="AE22" s="39">
        <f t="shared" si="9"/>
        <v>96909.697842888752</v>
      </c>
      <c r="AF22" s="56">
        <f t="shared" si="10"/>
        <v>15.84</v>
      </c>
      <c r="AG22" s="20" t="s">
        <v>112</v>
      </c>
      <c r="AH22" s="20" t="s">
        <v>116</v>
      </c>
      <c r="AI22" s="20" t="s">
        <v>182</v>
      </c>
      <c r="AJ22" s="20" t="s">
        <v>260</v>
      </c>
      <c r="AK22" s="20"/>
      <c r="AL22" s="20" t="s">
        <v>315</v>
      </c>
    </row>
    <row r="23" spans="1:38" ht="16.5" hidden="1">
      <c r="A23" s="20" t="s">
        <v>231</v>
      </c>
      <c r="B23" s="54" t="s">
        <v>314</v>
      </c>
      <c r="C23" s="20" t="s">
        <v>115</v>
      </c>
      <c r="D23" s="20">
        <v>90</v>
      </c>
      <c r="E23" s="20">
        <v>1.08</v>
      </c>
      <c r="F23" s="20">
        <v>1</v>
      </c>
      <c r="G23" s="20">
        <v>100</v>
      </c>
      <c r="H23" s="20">
        <v>30</v>
      </c>
      <c r="I23" s="20">
        <f>VLOOKUP($C23,兵士关于时代的建筑和勋号加成!$A$2:$K$11,2,0)</f>
        <v>2</v>
      </c>
      <c r="J23" s="20">
        <f>VLOOKUP($C23,兵士关于时代的建筑和勋号加成!$A$2:$K$11,6,0)</f>
        <v>1.5</v>
      </c>
      <c r="K23" s="20">
        <v>24</v>
      </c>
      <c r="L23" s="20">
        <f>VLOOKUP($C23,兵士关于时代的建筑和勋号加成!$A$2:$K$11,3,0)</f>
        <v>1.65</v>
      </c>
      <c r="M23" s="20">
        <f>VLOOKUP($C23,兵士关于时代的建筑和勋号加成!$A$2:$K$11,7,0)</f>
        <v>1.6</v>
      </c>
      <c r="N23" s="34">
        <f t="shared" si="0"/>
        <v>97.816154085099882</v>
      </c>
      <c r="O23" s="34">
        <f t="shared" si="1"/>
        <v>8151.3461737583229</v>
      </c>
      <c r="P23" s="20">
        <v>0</v>
      </c>
      <c r="Q23" s="20">
        <f>VLOOKUP($C23,兵士关于时代的建筑和勋号加成!$A$2:$K$11,4,0)</f>
        <v>1</v>
      </c>
      <c r="R23" s="20">
        <f>VLOOKUP($C23,兵士关于时代的建筑和勋号加成!$A$2:$K$11,8,0)</f>
        <v>1</v>
      </c>
      <c r="S23" s="20">
        <v>0</v>
      </c>
      <c r="T23" s="20">
        <f>VLOOKUP($C23,兵士关于时代的建筑和勋号加成!$A$2:$K$11,5,0)</f>
        <v>1</v>
      </c>
      <c r="U23" s="20">
        <f>VLOOKUP($C23,兵士关于时代的建筑和勋号加成!$A$2:$K$11,9,0)</f>
        <v>1</v>
      </c>
      <c r="V23" s="60">
        <f t="shared" si="2"/>
        <v>103.5</v>
      </c>
      <c r="W23" s="60">
        <f t="shared" si="3"/>
        <v>74.88</v>
      </c>
      <c r="X23" s="60">
        <f t="shared" si="4"/>
        <v>0</v>
      </c>
      <c r="Y23" s="60">
        <f t="shared" si="5"/>
        <v>0</v>
      </c>
      <c r="Z23" s="23">
        <f t="shared" si="6"/>
        <v>88.034538676589889</v>
      </c>
      <c r="AA23" s="23">
        <f t="shared" si="7"/>
        <v>1.1756749289074504</v>
      </c>
      <c r="AB23" s="23">
        <f t="shared" si="8"/>
        <v>8803.4538676589891</v>
      </c>
      <c r="AC23" s="20">
        <f>5</f>
        <v>5</v>
      </c>
      <c r="AD23" s="20">
        <f>VLOOKUP($C23,兵士关于时代的建筑和勋号加成!$A$2:$K$11,11,0)</f>
        <v>6</v>
      </c>
      <c r="AE23" s="39">
        <f t="shared" si="9"/>
        <v>96837.992544248875</v>
      </c>
      <c r="AF23" s="56">
        <f t="shared" si="10"/>
        <v>11.88</v>
      </c>
      <c r="AG23" s="20" t="s">
        <v>210</v>
      </c>
      <c r="AH23" s="20" t="s">
        <v>116</v>
      </c>
      <c r="AI23" s="20" t="s">
        <v>109</v>
      </c>
      <c r="AJ23" s="20" t="s">
        <v>268</v>
      </c>
      <c r="AK23" s="20" t="s">
        <v>213</v>
      </c>
      <c r="AL23" s="20" t="s">
        <v>146</v>
      </c>
    </row>
    <row r="24" spans="1:38">
      <c r="A24" s="20" t="s">
        <v>200</v>
      </c>
      <c r="B24" s="54" t="s">
        <v>141</v>
      </c>
      <c r="C24" s="20" t="s">
        <v>107</v>
      </c>
      <c r="D24" s="20">
        <v>75</v>
      </c>
      <c r="E24" s="20">
        <v>1.08</v>
      </c>
      <c r="F24" s="20">
        <v>1</v>
      </c>
      <c r="G24" s="20">
        <v>100</v>
      </c>
      <c r="H24" s="62">
        <v>35</v>
      </c>
      <c r="I24" s="20">
        <f>VLOOKUP($C24,兵士关于时代的建筑和勋号加成!$A$2:$K$11,2,0)</f>
        <v>2</v>
      </c>
      <c r="J24" s="20">
        <f>VLOOKUP($C24,兵士关于时代的建筑和勋号加成!$A$2:$K$11,6,0)</f>
        <v>1.6</v>
      </c>
      <c r="K24" s="62">
        <v>22</v>
      </c>
      <c r="L24" s="20">
        <f>VLOOKUP($C24,兵士关于时代的建筑和勋号加成!$A$2:$K$11,3,0)</f>
        <v>1.65</v>
      </c>
      <c r="M24" s="20">
        <f>VLOOKUP($C24,兵士关于时代的建筑和勋号加成!$A$2:$K$11,7,0)</f>
        <v>1.3</v>
      </c>
      <c r="N24" s="34">
        <f t="shared" si="0"/>
        <v>113.00482585565393</v>
      </c>
      <c r="O24" s="34">
        <f t="shared" si="1"/>
        <v>7847.5573510870781</v>
      </c>
      <c r="P24" s="62">
        <v>12</v>
      </c>
      <c r="Q24" s="20">
        <f>VLOOKUP($C24,兵士关于时代的建筑和勋号加成!$A$2:$K$11,4,0)</f>
        <v>1</v>
      </c>
      <c r="R24" s="20">
        <f>VLOOKUP($C24,兵士关于时代的建筑和勋号加成!$A$2:$K$11,8,0)</f>
        <v>1</v>
      </c>
      <c r="S24" s="62">
        <v>0</v>
      </c>
      <c r="T24" s="20">
        <f>VLOOKUP($C24,兵士关于时代的建筑和勋号加成!$A$2:$K$11,5,0)</f>
        <v>1</v>
      </c>
      <c r="U24" s="20">
        <f>VLOOKUP($C24,兵士关于时代的建筑和勋号加成!$A$2:$K$11,9,0)</f>
        <v>1</v>
      </c>
      <c r="V24" s="60">
        <f t="shared" si="2"/>
        <v>128.80000000000001</v>
      </c>
      <c r="W24" s="60">
        <f t="shared" si="3"/>
        <v>55.77</v>
      </c>
      <c r="X24" s="60">
        <f t="shared" si="4"/>
        <v>12</v>
      </c>
      <c r="Y24" s="60">
        <f t="shared" si="5"/>
        <v>0</v>
      </c>
      <c r="Z24" s="23">
        <f t="shared" si="6"/>
        <v>84.753619391740443</v>
      </c>
      <c r="AA24" s="23">
        <f t="shared" si="7"/>
        <v>1.5196991104848563</v>
      </c>
      <c r="AB24" s="23">
        <f t="shared" si="8"/>
        <v>8475.3619391740449</v>
      </c>
      <c r="AC24" s="20">
        <f>5</f>
        <v>5</v>
      </c>
      <c r="AD24" s="20">
        <f>VLOOKUP($C24,兵士关于时代的建筑和勋号加成!$A$2:$K$11,11,0)</f>
        <v>6</v>
      </c>
      <c r="AE24" s="39">
        <f t="shared" si="9"/>
        <v>93228.981330914496</v>
      </c>
      <c r="AF24" s="56">
        <f t="shared" si="10"/>
        <v>11.88</v>
      </c>
      <c r="AG24" s="20" t="s">
        <v>115</v>
      </c>
      <c r="AH24" s="20" t="s">
        <v>109</v>
      </c>
      <c r="AI24" s="20" t="s">
        <v>109</v>
      </c>
      <c r="AJ24" s="20" t="s">
        <v>242</v>
      </c>
      <c r="AK24" s="20"/>
      <c r="AL24" s="20" t="s">
        <v>140</v>
      </c>
    </row>
    <row r="25" spans="1:38" ht="16.5" hidden="1">
      <c r="A25" s="20" t="s">
        <v>200</v>
      </c>
      <c r="B25" s="54" t="s">
        <v>201</v>
      </c>
      <c r="C25" s="20" t="s">
        <v>110</v>
      </c>
      <c r="D25" s="20">
        <v>66</v>
      </c>
      <c r="E25" s="20">
        <v>0.72</v>
      </c>
      <c r="F25" s="20">
        <v>1</v>
      </c>
      <c r="G25" s="20">
        <v>100</v>
      </c>
      <c r="H25" s="20">
        <v>44</v>
      </c>
      <c r="I25" s="20">
        <f>VLOOKUP($C25,兵士关于时代的建筑和勋号加成!$A$2:$K$11,2,0)</f>
        <v>1.8</v>
      </c>
      <c r="J25" s="20">
        <f>VLOOKUP($C25,兵士关于时代的建筑和勋号加成!$A$2:$K$11,6,0)</f>
        <v>1.6</v>
      </c>
      <c r="K25" s="20">
        <v>14</v>
      </c>
      <c r="L25" s="20">
        <f>VLOOKUP($C25,兵士关于时代的建筑和勋号加成!$A$2:$K$11,3,0)</f>
        <v>1.6</v>
      </c>
      <c r="M25" s="20">
        <f>VLOOKUP($C25,兵士关于时代的建筑和勋号加成!$A$2:$K$11,7,0)</f>
        <v>1.3</v>
      </c>
      <c r="N25" s="34">
        <f t="shared" si="0"/>
        <v>108.33393939224415</v>
      </c>
      <c r="O25" s="34">
        <f t="shared" si="1"/>
        <v>9930.611110955715</v>
      </c>
      <c r="P25" s="20">
        <v>0</v>
      </c>
      <c r="Q25" s="20">
        <f>VLOOKUP($C25,兵士关于时代的建筑和勋号加成!$A$2:$K$11,4,0)</f>
        <v>1</v>
      </c>
      <c r="R25" s="20">
        <f>VLOOKUP($C25,兵士关于时代的建筑和勋号加成!$A$2:$K$11,8,0)</f>
        <v>1</v>
      </c>
      <c r="S25" s="20">
        <v>0</v>
      </c>
      <c r="T25" s="20">
        <f>VLOOKUP($C25,兵士关于时代的建筑和勋号加成!$A$2:$K$11,5,0)</f>
        <v>1</v>
      </c>
      <c r="U25" s="20">
        <f>VLOOKUP($C25,兵士关于时代的建筑和勋号加成!$A$2:$K$11,9,0)</f>
        <v>1</v>
      </c>
      <c r="V25" s="60">
        <f t="shared" si="2"/>
        <v>147.84</v>
      </c>
      <c r="W25" s="60">
        <f t="shared" si="3"/>
        <v>34.580000000000005</v>
      </c>
      <c r="X25" s="60">
        <f t="shared" si="4"/>
        <v>0</v>
      </c>
      <c r="Y25" s="60">
        <f t="shared" si="5"/>
        <v>0</v>
      </c>
      <c r="Z25" s="23">
        <f t="shared" si="6"/>
        <v>71.500399998881136</v>
      </c>
      <c r="AA25" s="23">
        <f t="shared" si="7"/>
        <v>2.0676807402799628</v>
      </c>
      <c r="AB25" s="23">
        <f t="shared" si="8"/>
        <v>7150.0399998881139</v>
      </c>
      <c r="AC25" s="20">
        <f>5</f>
        <v>5</v>
      </c>
      <c r="AD25" s="20">
        <f>VLOOKUP($C25,兵士关于时代的建筑和勋号加成!$A$2:$K$11,11,0)</f>
        <v>8</v>
      </c>
      <c r="AE25" s="39">
        <f t="shared" si="9"/>
        <v>92950.519998545482</v>
      </c>
      <c r="AF25" s="56">
        <f t="shared" si="10"/>
        <v>9.36</v>
      </c>
      <c r="AG25" s="20" t="s">
        <v>177</v>
      </c>
      <c r="AH25" s="20" t="s">
        <v>123</v>
      </c>
      <c r="AI25" s="20" t="s">
        <v>109</v>
      </c>
      <c r="AJ25" s="20" t="s">
        <v>254</v>
      </c>
      <c r="AK25" s="20"/>
      <c r="AL25" s="20" t="s">
        <v>298</v>
      </c>
    </row>
    <row r="26" spans="1:38">
      <c r="A26" s="20" t="s">
        <v>127</v>
      </c>
      <c r="B26" s="54" t="s">
        <v>117</v>
      </c>
      <c r="C26" s="20" t="s">
        <v>107</v>
      </c>
      <c r="D26" s="20">
        <v>90</v>
      </c>
      <c r="E26" s="20">
        <v>1.2</v>
      </c>
      <c r="F26" s="20">
        <v>1</v>
      </c>
      <c r="G26" s="20">
        <v>100</v>
      </c>
      <c r="H26" s="62">
        <v>32</v>
      </c>
      <c r="I26" s="20">
        <f>VLOOKUP($C26,兵士关于时代的建筑和勋号加成!$A$2:$K$11,2,0)</f>
        <v>2</v>
      </c>
      <c r="J26" s="20">
        <f>VLOOKUP($C26,兵士关于时代的建筑和勋号加成!$A$2:$K$11,6,0)</f>
        <v>1.6</v>
      </c>
      <c r="K26" s="62">
        <v>22</v>
      </c>
      <c r="L26" s="20">
        <f>VLOOKUP($C26,兵士关于时代的建筑和勋号加成!$A$2:$K$11,3,0)</f>
        <v>1.65</v>
      </c>
      <c r="M26" s="20">
        <f>VLOOKUP($C26,兵士关于时代的建筑和勋号加成!$A$2:$K$11,7,0)</f>
        <v>1.3</v>
      </c>
      <c r="N26" s="34">
        <f t="shared" si="0"/>
        <v>90.044400570352366</v>
      </c>
      <c r="O26" s="34">
        <f t="shared" si="1"/>
        <v>6753.3300427764279</v>
      </c>
      <c r="P26" s="62">
        <v>0</v>
      </c>
      <c r="Q26" s="20">
        <f>VLOOKUP($C26,兵士关于时代的建筑和勋号加成!$A$2:$K$11,4,0)</f>
        <v>1</v>
      </c>
      <c r="R26" s="20">
        <f>VLOOKUP($C26,兵士关于时代的建筑和勋号加成!$A$2:$K$11,8,0)</f>
        <v>1</v>
      </c>
      <c r="S26" s="62">
        <v>0</v>
      </c>
      <c r="T26" s="20">
        <f>VLOOKUP($C26,兵士关于时代的建筑和勋号加成!$A$2:$K$11,5,0)</f>
        <v>1</v>
      </c>
      <c r="U26" s="20">
        <f>VLOOKUP($C26,兵士关于时代的建筑和勋号加成!$A$2:$K$11,9,0)</f>
        <v>1</v>
      </c>
      <c r="V26" s="60">
        <f t="shared" si="2"/>
        <v>117.75999999999999</v>
      </c>
      <c r="W26" s="60">
        <f t="shared" si="3"/>
        <v>55.77</v>
      </c>
      <c r="X26" s="60">
        <f t="shared" si="4"/>
        <v>0</v>
      </c>
      <c r="Y26" s="60">
        <f t="shared" si="5"/>
        <v>0</v>
      </c>
      <c r="Z26" s="23">
        <f t="shared" si="6"/>
        <v>81.039960513317126</v>
      </c>
      <c r="AA26" s="23">
        <f t="shared" si="7"/>
        <v>1.4531102835452236</v>
      </c>
      <c r="AB26" s="23">
        <f t="shared" si="8"/>
        <v>8103.9960513317128</v>
      </c>
      <c r="AC26" s="20">
        <f>5</f>
        <v>5</v>
      </c>
      <c r="AD26" s="20">
        <f>VLOOKUP($C26,兵士关于时代的建筑和勋号加成!$A$2:$K$11,11,0)</f>
        <v>6</v>
      </c>
      <c r="AE26" s="39">
        <f t="shared" si="9"/>
        <v>89143.956564648834</v>
      </c>
      <c r="AF26" s="56">
        <f t="shared" si="10"/>
        <v>13.2</v>
      </c>
      <c r="AG26" s="20" t="s">
        <v>115</v>
      </c>
      <c r="AH26" s="20" t="s">
        <v>109</v>
      </c>
      <c r="AI26" s="20" t="s">
        <v>109</v>
      </c>
      <c r="AJ26" s="20" t="s">
        <v>283</v>
      </c>
      <c r="AK26" s="20"/>
      <c r="AL26" s="20" t="s">
        <v>194</v>
      </c>
    </row>
    <row r="27" spans="1:38" ht="24.75" hidden="1">
      <c r="A27" s="20" t="s">
        <v>127</v>
      </c>
      <c r="B27" s="54" t="s">
        <v>118</v>
      </c>
      <c r="C27" s="20" t="s">
        <v>119</v>
      </c>
      <c r="D27" s="20">
        <v>200</v>
      </c>
      <c r="E27" s="20">
        <v>2.1</v>
      </c>
      <c r="F27" s="20">
        <v>1</v>
      </c>
      <c r="G27" s="20">
        <v>50</v>
      </c>
      <c r="H27" s="20">
        <v>100</v>
      </c>
      <c r="I27" s="20">
        <f>VLOOKUP($C27,兵士关于时代的建筑和勋号加成!$A$2:$K$11,2,0)</f>
        <v>1.8</v>
      </c>
      <c r="J27" s="20">
        <f>VLOOKUP($C27,兵士关于时代的建筑和勋号加成!$A$2:$K$11,6,0)</f>
        <v>1.6</v>
      </c>
      <c r="K27" s="20">
        <v>35</v>
      </c>
      <c r="L27" s="20">
        <f>VLOOKUP($C27,兵士关于时代的建筑和勋号加成!$A$2:$K$11,3,0)</f>
        <v>1.4</v>
      </c>
      <c r="M27" s="20">
        <f>VLOOKUP($C27,兵士关于时代的建筑和勋号加成!$A$2:$K$11,7,0)</f>
        <v>1.3</v>
      </c>
      <c r="N27" s="34">
        <f t="shared" si="0"/>
        <v>40.303225677357389</v>
      </c>
      <c r="O27" s="34">
        <f t="shared" si="1"/>
        <v>3838.4024454626083</v>
      </c>
      <c r="P27" s="20">
        <v>20</v>
      </c>
      <c r="Q27" s="20">
        <f>VLOOKUP($C27,兵士关于时代的建筑和勋号加成!$A$2:$K$11,4,0)</f>
        <v>1</v>
      </c>
      <c r="R27" s="20">
        <f>VLOOKUP($C27,兵士关于时代的建筑和勋号加成!$A$2:$K$11,8,0)</f>
        <v>1</v>
      </c>
      <c r="S27" s="20">
        <v>0</v>
      </c>
      <c r="T27" s="20">
        <f>VLOOKUP($C27,兵士关于时代的建筑和勋号加成!$A$2:$K$11,5,0)</f>
        <v>1</v>
      </c>
      <c r="U27" s="20">
        <f>VLOOKUP($C27,兵士关于时代的建筑和勋号加成!$A$2:$K$11,9,0)</f>
        <v>1</v>
      </c>
      <c r="V27" s="60">
        <f t="shared" si="2"/>
        <v>336</v>
      </c>
      <c r="W27" s="60">
        <f t="shared" si="3"/>
        <v>77.350000000000009</v>
      </c>
      <c r="X27" s="60">
        <f t="shared" si="4"/>
        <v>20</v>
      </c>
      <c r="Y27" s="60">
        <f t="shared" si="5"/>
        <v>0</v>
      </c>
      <c r="Z27" s="23">
        <f t="shared" si="6"/>
        <v>161.21290270942956</v>
      </c>
      <c r="AA27" s="23">
        <f t="shared" si="7"/>
        <v>2.0842004228756243</v>
      </c>
      <c r="AB27" s="23">
        <f t="shared" si="8"/>
        <v>8060.6451354714782</v>
      </c>
      <c r="AC27" s="20">
        <f>5</f>
        <v>5</v>
      </c>
      <c r="AD27" s="20">
        <f>VLOOKUP($C27,兵士关于时代的建筑和勋号加成!$A$2:$K$11,11,0)</f>
        <v>6</v>
      </c>
      <c r="AE27" s="39">
        <f t="shared" si="9"/>
        <v>88667.096490186261</v>
      </c>
      <c r="AF27" s="56">
        <f t="shared" si="10"/>
        <v>23.1</v>
      </c>
      <c r="AG27" s="20" t="s">
        <v>110</v>
      </c>
      <c r="AH27" s="20" t="s">
        <v>113</v>
      </c>
      <c r="AI27" s="20" t="s">
        <v>120</v>
      </c>
      <c r="AJ27" s="20" t="s">
        <v>284</v>
      </c>
      <c r="AK27" s="20"/>
      <c r="AL27" s="20" t="s">
        <v>195</v>
      </c>
    </row>
    <row r="28" spans="1:38">
      <c r="A28" s="20" t="s">
        <v>200</v>
      </c>
      <c r="B28" s="54" t="s">
        <v>161</v>
      </c>
      <c r="C28" s="20" t="s">
        <v>107</v>
      </c>
      <c r="D28" s="20">
        <v>99</v>
      </c>
      <c r="E28" s="20">
        <v>1.32</v>
      </c>
      <c r="F28" s="20">
        <v>1</v>
      </c>
      <c r="G28" s="20">
        <v>100</v>
      </c>
      <c r="H28" s="62">
        <v>34</v>
      </c>
      <c r="I28" s="20">
        <f>VLOOKUP($C28,兵士关于时代的建筑和勋号加成!$A$2:$K$11,2,0)</f>
        <v>2</v>
      </c>
      <c r="J28" s="20">
        <f>VLOOKUP($C28,兵士关于时代的建筑和勋号加成!$A$2:$K$11,6,0)</f>
        <v>1.6</v>
      </c>
      <c r="K28" s="62">
        <v>20</v>
      </c>
      <c r="L28" s="20">
        <f>VLOOKUP($C28,兵士关于时代的建筑和勋号加成!$A$2:$K$11,3,0)</f>
        <v>1.65</v>
      </c>
      <c r="M28" s="20">
        <f>VLOOKUP($C28,兵士关于时代的建筑和勋号加成!$A$2:$K$11,7,0)</f>
        <v>1.3</v>
      </c>
      <c r="N28" s="34">
        <f t="shared" si="0"/>
        <v>80.451130822172217</v>
      </c>
      <c r="O28" s="34">
        <f t="shared" si="1"/>
        <v>6033.8348116629168</v>
      </c>
      <c r="P28" s="62">
        <v>0</v>
      </c>
      <c r="Q28" s="20">
        <f>VLOOKUP($C28,兵士关于时代的建筑和勋号加成!$A$2:$K$11,4,0)</f>
        <v>1</v>
      </c>
      <c r="R28" s="20">
        <f>VLOOKUP($C28,兵士关于时代的建筑和勋号加成!$A$2:$K$11,8,0)</f>
        <v>1</v>
      </c>
      <c r="S28" s="62">
        <v>10</v>
      </c>
      <c r="T28" s="20">
        <f>VLOOKUP($C28,兵士关于时代的建筑和勋号加成!$A$2:$K$11,5,0)</f>
        <v>1</v>
      </c>
      <c r="U28" s="20">
        <f>VLOOKUP($C28,兵士关于时代的建筑和勋号加成!$A$2:$K$11,9,0)</f>
        <v>1</v>
      </c>
      <c r="V28" s="60">
        <f t="shared" si="2"/>
        <v>125.11999999999999</v>
      </c>
      <c r="W28" s="60">
        <f t="shared" si="3"/>
        <v>50.7</v>
      </c>
      <c r="X28" s="60">
        <f t="shared" si="4"/>
        <v>0</v>
      </c>
      <c r="Y28" s="60">
        <f t="shared" si="5"/>
        <v>10</v>
      </c>
      <c r="Z28" s="23">
        <f t="shared" si="6"/>
        <v>79.646619513950498</v>
      </c>
      <c r="AA28" s="23">
        <f t="shared" si="7"/>
        <v>1.5709392409063214</v>
      </c>
      <c r="AB28" s="23">
        <f t="shared" si="8"/>
        <v>7964.66195139505</v>
      </c>
      <c r="AC28" s="20">
        <f>5</f>
        <v>5</v>
      </c>
      <c r="AD28" s="20">
        <f>VLOOKUP($C28,兵士关于时代的建筑和勋号加成!$A$2:$K$11,11,0)</f>
        <v>6</v>
      </c>
      <c r="AE28" s="39">
        <f t="shared" si="9"/>
        <v>87611.281465345557</v>
      </c>
      <c r="AF28" s="56">
        <f t="shared" si="10"/>
        <v>14.520000000000001</v>
      </c>
      <c r="AG28" s="20" t="s">
        <v>185</v>
      </c>
      <c r="AH28" s="20" t="s">
        <v>186</v>
      </c>
      <c r="AI28" s="20" t="s">
        <v>187</v>
      </c>
      <c r="AJ28" s="20" t="s">
        <v>263</v>
      </c>
      <c r="AK28" s="20"/>
      <c r="AL28" s="20" t="s">
        <v>154</v>
      </c>
    </row>
    <row r="29" spans="1:38" ht="16.5">
      <c r="A29" s="20" t="s">
        <v>200</v>
      </c>
      <c r="B29" s="54" t="s">
        <v>290</v>
      </c>
      <c r="C29" s="20" t="s">
        <v>291</v>
      </c>
      <c r="D29" s="20">
        <v>250</v>
      </c>
      <c r="E29" s="20">
        <f>2.1*1.25</f>
        <v>2.625</v>
      </c>
      <c r="F29" s="20">
        <v>1</v>
      </c>
      <c r="G29" s="20">
        <v>50</v>
      </c>
      <c r="H29" s="62">
        <v>110</v>
      </c>
      <c r="I29" s="20">
        <f>VLOOKUP($C29,兵士关于时代的建筑和勋号加成!$A$2:$K$11,2,0)</f>
        <v>1.8</v>
      </c>
      <c r="J29" s="20">
        <f>VLOOKUP($C29,兵士关于时代的建筑和勋号加成!$A$2:$K$11,6,0)</f>
        <v>1.6</v>
      </c>
      <c r="K29" s="62">
        <v>30</v>
      </c>
      <c r="L29" s="20">
        <f>VLOOKUP($C29,兵士关于时代的建筑和勋号加成!$A$2:$K$11,3,0)</f>
        <v>1.4</v>
      </c>
      <c r="M29" s="20">
        <f>VLOOKUP($C29,兵士关于时代的建筑和勋号加成!$A$2:$K$11,7,0)</f>
        <v>1.3</v>
      </c>
      <c r="N29" s="34">
        <f t="shared" si="0"/>
        <v>31.307813721178295</v>
      </c>
      <c r="O29" s="34">
        <f t="shared" si="1"/>
        <v>2981.6965448741234</v>
      </c>
      <c r="P29" s="62">
        <v>25</v>
      </c>
      <c r="Q29" s="20">
        <f>VLOOKUP($C29,兵士关于时代的建筑和勋号加成!$A$2:$K$11,4,0)</f>
        <v>1</v>
      </c>
      <c r="R29" s="20">
        <f>VLOOKUP($C29,兵士关于时代的建筑和勋号加成!$A$2:$K$11,8,0)</f>
        <v>1</v>
      </c>
      <c r="S29" s="62">
        <v>10</v>
      </c>
      <c r="T29" s="20">
        <f>VLOOKUP($C29,兵士关于时代的建筑和勋号加成!$A$2:$K$11,5,0)</f>
        <v>1</v>
      </c>
      <c r="U29" s="20">
        <f>VLOOKUP($C29,兵士关于时代的建筑和勋号加成!$A$2:$K$11,9,0)</f>
        <v>1</v>
      </c>
      <c r="V29" s="60">
        <f t="shared" si="2"/>
        <v>369.6</v>
      </c>
      <c r="W29" s="60">
        <f t="shared" si="3"/>
        <v>66.3</v>
      </c>
      <c r="X29" s="60">
        <f t="shared" si="4"/>
        <v>25</v>
      </c>
      <c r="Y29" s="60">
        <f t="shared" si="5"/>
        <v>10</v>
      </c>
      <c r="Z29" s="23">
        <f t="shared" si="6"/>
        <v>156.53906860589149</v>
      </c>
      <c r="AA29" s="23">
        <f t="shared" si="7"/>
        <v>2.3610719246740799</v>
      </c>
      <c r="AB29" s="23">
        <f t="shared" si="8"/>
        <v>7826.953430294574</v>
      </c>
      <c r="AC29" s="20">
        <f>5</f>
        <v>5</v>
      </c>
      <c r="AD29" s="20">
        <f>VLOOKUP($C29,兵士关于时代的建筑和勋号加成!$A$2:$K$11,11,0)</f>
        <v>6</v>
      </c>
      <c r="AE29" s="39">
        <f t="shared" si="9"/>
        <v>86096.487733240312</v>
      </c>
      <c r="AF29" s="56">
        <f t="shared" si="10"/>
        <v>28.875</v>
      </c>
      <c r="AG29" s="20" t="s">
        <v>197</v>
      </c>
      <c r="AH29" s="20" t="s">
        <v>292</v>
      </c>
      <c r="AI29" s="20" t="s">
        <v>293</v>
      </c>
      <c r="AJ29" s="20" t="s">
        <v>299</v>
      </c>
      <c r="AL29" s="20" t="s">
        <v>194</v>
      </c>
    </row>
    <row r="30" spans="1:38" ht="16.5">
      <c r="A30" s="20" t="s">
        <v>127</v>
      </c>
      <c r="B30" s="54" t="s">
        <v>115</v>
      </c>
      <c r="C30" s="20" t="s">
        <v>115</v>
      </c>
      <c r="D30" s="20">
        <v>75</v>
      </c>
      <c r="E30" s="20">
        <v>0.9</v>
      </c>
      <c r="F30" s="20">
        <v>1</v>
      </c>
      <c r="G30" s="20">
        <v>100</v>
      </c>
      <c r="H30" s="62">
        <v>22</v>
      </c>
      <c r="I30" s="20">
        <f>VLOOKUP($C30,兵士关于时代的建筑和勋号加成!$A$2:$K$11,2,0)</f>
        <v>2</v>
      </c>
      <c r="J30" s="20">
        <f>VLOOKUP($C30,兵士关于时代的建筑和勋号加成!$A$2:$K$11,6,0)</f>
        <v>1.5</v>
      </c>
      <c r="K30" s="62">
        <v>24</v>
      </c>
      <c r="L30" s="20">
        <f>VLOOKUP($C30,兵士关于时代的建筑和勋号加成!$A$2:$K$11,3,0)</f>
        <v>1.65</v>
      </c>
      <c r="M30" s="20">
        <f>VLOOKUP($C30,兵士关于时代的建筑和勋号加成!$A$2:$K$11,7,0)</f>
        <v>1.6</v>
      </c>
      <c r="N30" s="34">
        <f t="shared" si="0"/>
        <v>100.51769993389223</v>
      </c>
      <c r="O30" s="34">
        <f t="shared" si="1"/>
        <v>8376.4749944910182</v>
      </c>
      <c r="P30" s="62">
        <v>0</v>
      </c>
      <c r="Q30" s="20">
        <f>VLOOKUP($C30,兵士关于时代的建筑和勋号加成!$A$2:$K$11,4,0)</f>
        <v>1</v>
      </c>
      <c r="R30" s="20">
        <f>VLOOKUP($C30,兵士关于时代的建筑和勋号加成!$A$2:$K$11,8,0)</f>
        <v>1</v>
      </c>
      <c r="S30" s="62">
        <v>0</v>
      </c>
      <c r="T30" s="20">
        <f>VLOOKUP($C30,兵士关于时代的建筑和勋号加成!$A$2:$K$11,5,0)</f>
        <v>1</v>
      </c>
      <c r="U30" s="20">
        <f>VLOOKUP($C30,兵士关于时代的建筑和勋号加成!$A$2:$K$11,9,0)</f>
        <v>1</v>
      </c>
      <c r="V30" s="60">
        <f t="shared" si="2"/>
        <v>75.899999999999991</v>
      </c>
      <c r="W30" s="60">
        <f t="shared" si="3"/>
        <v>74.88</v>
      </c>
      <c r="X30" s="60">
        <f t="shared" si="4"/>
        <v>0</v>
      </c>
      <c r="Y30" s="60">
        <f t="shared" si="5"/>
        <v>0</v>
      </c>
      <c r="Z30" s="23">
        <f t="shared" si="6"/>
        <v>75.388274950419174</v>
      </c>
      <c r="AA30" s="23">
        <f t="shared" si="7"/>
        <v>1.0067878599147859</v>
      </c>
      <c r="AB30" s="23">
        <f t="shared" si="8"/>
        <v>7538.8274950419172</v>
      </c>
      <c r="AC30" s="20">
        <f>5</f>
        <v>5</v>
      </c>
      <c r="AD30" s="20">
        <f>VLOOKUP($C30,兵士关于时代的建筑和勋号加成!$A$2:$K$11,11,0)</f>
        <v>6</v>
      </c>
      <c r="AE30" s="39">
        <f t="shared" si="9"/>
        <v>82927.102445461089</v>
      </c>
      <c r="AF30" s="56">
        <f t="shared" si="10"/>
        <v>9.9</v>
      </c>
      <c r="AG30" s="20" t="s">
        <v>95</v>
      </c>
      <c r="AH30" s="20" t="s">
        <v>116</v>
      </c>
      <c r="AI30" s="20" t="s">
        <v>109</v>
      </c>
      <c r="AJ30" s="20" t="s">
        <v>109</v>
      </c>
      <c r="AK30" s="20"/>
      <c r="AL30" s="20" t="s">
        <v>194</v>
      </c>
    </row>
    <row r="31" spans="1:38">
      <c r="A31" s="20" t="s">
        <v>232</v>
      </c>
      <c r="B31" s="54" t="s">
        <v>224</v>
      </c>
      <c r="C31" s="20" t="s">
        <v>110</v>
      </c>
      <c r="D31" s="20">
        <v>76</v>
      </c>
      <c r="E31" s="20">
        <v>0.66</v>
      </c>
      <c r="F31" s="20">
        <v>1</v>
      </c>
      <c r="G31" s="20">
        <v>100</v>
      </c>
      <c r="H31" s="62">
        <v>28</v>
      </c>
      <c r="I31" s="20">
        <f>VLOOKUP($C31,兵士关于时代的建筑和勋号加成!$A$2:$K$11,2,0)</f>
        <v>1.8</v>
      </c>
      <c r="J31" s="20">
        <f>VLOOKUP($C31,兵士关于时代的建筑和勋号加成!$A$2:$K$11,6,0)</f>
        <v>1.6</v>
      </c>
      <c r="K31" s="62">
        <v>16</v>
      </c>
      <c r="L31" s="20">
        <f>VLOOKUP($C31,兵士关于时代的建筑和勋号加成!$A$2:$K$11,3,0)</f>
        <v>1.6</v>
      </c>
      <c r="M31" s="20">
        <f>VLOOKUP($C31,兵士关于时代的建筑和勋号加成!$A$2:$K$11,7,0)</f>
        <v>1.3</v>
      </c>
      <c r="N31" s="34">
        <f t="shared" si="0"/>
        <v>80.231244734074451</v>
      </c>
      <c r="O31" s="34">
        <f t="shared" si="1"/>
        <v>9238.7493936206938</v>
      </c>
      <c r="P31" s="62">
        <v>10</v>
      </c>
      <c r="Q31" s="20">
        <f>VLOOKUP($C31,兵士关于时代的建筑和勋号加成!$A$2:$K$11,4,0)</f>
        <v>1</v>
      </c>
      <c r="R31" s="20">
        <f>VLOOKUP($C31,兵士关于时代的建筑和勋号加成!$A$2:$K$11,8,0)</f>
        <v>1</v>
      </c>
      <c r="S31" s="62">
        <v>10</v>
      </c>
      <c r="T31" s="20">
        <f>VLOOKUP($C31,兵士关于时代的建筑和勋号加成!$A$2:$K$11,5,0)</f>
        <v>1</v>
      </c>
      <c r="U31" s="20">
        <f>VLOOKUP($C31,兵士关于时代的建筑和勋号加成!$A$2:$K$11,9,0)</f>
        <v>1</v>
      </c>
      <c r="V31" s="60">
        <f t="shared" si="2"/>
        <v>94.080000000000013</v>
      </c>
      <c r="W31" s="60">
        <f t="shared" si="3"/>
        <v>39.520000000000003</v>
      </c>
      <c r="X31" s="60">
        <f t="shared" si="4"/>
        <v>10</v>
      </c>
      <c r="Y31" s="60">
        <f t="shared" si="5"/>
        <v>10</v>
      </c>
      <c r="Z31" s="23">
        <f t="shared" si="6"/>
        <v>60.975745997896581</v>
      </c>
      <c r="AA31" s="23">
        <f t="shared" si="7"/>
        <v>1.5429085525783546</v>
      </c>
      <c r="AB31" s="23">
        <f t="shared" si="8"/>
        <v>6097.5745997896584</v>
      </c>
      <c r="AC31" s="20">
        <f>5</f>
        <v>5</v>
      </c>
      <c r="AD31" s="20">
        <f>VLOOKUP($C31,兵士关于时代的建筑和勋号加成!$A$2:$K$11,11,0)</f>
        <v>8</v>
      </c>
      <c r="AE31" s="39">
        <f t="shared" si="9"/>
        <v>79268.469797265556</v>
      </c>
      <c r="AF31" s="56">
        <f t="shared" si="10"/>
        <v>8.58</v>
      </c>
      <c r="AG31" s="20" t="s">
        <v>225</v>
      </c>
      <c r="AH31" s="20" t="s">
        <v>226</v>
      </c>
      <c r="AI31" s="20" t="s">
        <v>109</v>
      </c>
      <c r="AJ31" s="20" t="s">
        <v>275</v>
      </c>
      <c r="AK31" s="20" t="s">
        <v>239</v>
      </c>
      <c r="AL31" s="20" t="s">
        <v>140</v>
      </c>
    </row>
    <row r="32" spans="1:38" ht="16.5" hidden="1">
      <c r="A32" s="20" t="s">
        <v>200</v>
      </c>
      <c r="B32" s="54" t="s">
        <v>196</v>
      </c>
      <c r="C32" s="20" t="s">
        <v>110</v>
      </c>
      <c r="D32" s="20">
        <v>66</v>
      </c>
      <c r="E32" s="20">
        <v>0.72</v>
      </c>
      <c r="F32" s="20">
        <v>1</v>
      </c>
      <c r="G32" s="20">
        <v>100</v>
      </c>
      <c r="H32" s="20">
        <v>36</v>
      </c>
      <c r="I32" s="20">
        <f>VLOOKUP($C32,兵士关于时代的建筑和勋号加成!$A$2:$K$11,2,0)</f>
        <v>1.8</v>
      </c>
      <c r="J32" s="20">
        <f>VLOOKUP($C32,兵士关于时代的建筑和勋号加成!$A$2:$K$11,6,0)</f>
        <v>1.6</v>
      </c>
      <c r="K32" s="20">
        <v>12</v>
      </c>
      <c r="L32" s="20">
        <f>VLOOKUP($C32,兵士关于时代的建筑和勋号加成!$A$2:$K$11,3,0)</f>
        <v>1.6</v>
      </c>
      <c r="M32" s="20">
        <f>VLOOKUP($C32,兵士关于时代的建筑和勋号加成!$A$2:$K$11,7,0)</f>
        <v>1.3</v>
      </c>
      <c r="N32" s="34">
        <f t="shared" si="0"/>
        <v>90.722718049273283</v>
      </c>
      <c r="O32" s="34">
        <f t="shared" si="1"/>
        <v>8316.2491545167177</v>
      </c>
      <c r="P32" s="20">
        <v>0</v>
      </c>
      <c r="Q32" s="20">
        <f>VLOOKUP($C32,兵士关于时代的建筑和勋号加成!$A$2:$K$11,4,0)</f>
        <v>1</v>
      </c>
      <c r="R32" s="20">
        <f>VLOOKUP($C32,兵士关于时代的建筑和勋号加成!$A$2:$K$11,8,0)</f>
        <v>1</v>
      </c>
      <c r="S32" s="20">
        <v>0</v>
      </c>
      <c r="T32" s="20">
        <f>VLOOKUP($C32,兵士关于时代的建筑和勋号加成!$A$2:$K$11,5,0)</f>
        <v>1</v>
      </c>
      <c r="U32" s="20">
        <f>VLOOKUP($C32,兵士关于时代的建筑和勋号加成!$A$2:$K$11,9,0)</f>
        <v>1</v>
      </c>
      <c r="V32" s="60">
        <f t="shared" si="2"/>
        <v>120.96000000000002</v>
      </c>
      <c r="W32" s="60">
        <f t="shared" si="3"/>
        <v>29.64</v>
      </c>
      <c r="X32" s="60">
        <f t="shared" si="4"/>
        <v>0</v>
      </c>
      <c r="Y32" s="60">
        <f t="shared" si="5"/>
        <v>0</v>
      </c>
      <c r="Z32" s="23">
        <f t="shared" si="6"/>
        <v>59.876993912520362</v>
      </c>
      <c r="AA32" s="23">
        <f t="shared" si="7"/>
        <v>2.0201414950243035</v>
      </c>
      <c r="AB32" s="23">
        <f t="shared" si="8"/>
        <v>5987.6993912520365</v>
      </c>
      <c r="AC32" s="20">
        <f>5</f>
        <v>5</v>
      </c>
      <c r="AD32" s="20">
        <f>VLOOKUP($C32,兵士关于时代的建筑和勋号加成!$A$2:$K$11,11,0)</f>
        <v>8</v>
      </c>
      <c r="AE32" s="39">
        <f t="shared" si="9"/>
        <v>77840.092086276476</v>
      </c>
      <c r="AF32" s="56">
        <f t="shared" si="10"/>
        <v>9.36</v>
      </c>
      <c r="AG32" s="20" t="s">
        <v>177</v>
      </c>
      <c r="AH32" s="20" t="s">
        <v>123</v>
      </c>
      <c r="AI32" s="20" t="s">
        <v>109</v>
      </c>
      <c r="AJ32" s="20" t="s">
        <v>254</v>
      </c>
      <c r="AK32" s="20"/>
      <c r="AL32" s="20" t="s">
        <v>297</v>
      </c>
    </row>
    <row r="33" spans="1:38" ht="24.75" hidden="1">
      <c r="A33" s="20" t="s">
        <v>231</v>
      </c>
      <c r="B33" s="54" t="s">
        <v>202</v>
      </c>
      <c r="C33" s="20" t="s">
        <v>112</v>
      </c>
      <c r="D33" s="20">
        <v>111</v>
      </c>
      <c r="E33" s="20">
        <v>1.36</v>
      </c>
      <c r="F33" s="20">
        <v>1</v>
      </c>
      <c r="G33" s="20">
        <v>100</v>
      </c>
      <c r="H33" s="20">
        <v>40</v>
      </c>
      <c r="I33" s="20">
        <f>VLOOKUP($C33,兵士关于时代的建筑和勋号加成!$A$2:$K$11,2,0)</f>
        <v>1.9</v>
      </c>
      <c r="J33" s="20">
        <f>VLOOKUP($C33,兵士关于时代的建筑和勋号加成!$A$2:$K$11,6,0)</f>
        <v>1.6</v>
      </c>
      <c r="K33" s="20">
        <v>15</v>
      </c>
      <c r="L33" s="20">
        <f>VLOOKUP($C33,兵士关于时代的建筑和勋号加成!$A$2:$K$11,3,0)</f>
        <v>1.5</v>
      </c>
      <c r="M33" s="20">
        <f>VLOOKUP($C33,兵士关于时代的建筑和勋号加成!$A$2:$K$11,7,0)</f>
        <v>1.3</v>
      </c>
      <c r="N33" s="34">
        <f t="shared" si="0"/>
        <v>63.333269257845657</v>
      </c>
      <c r="O33" s="34">
        <f t="shared" si="1"/>
        <v>5169.1124173682847</v>
      </c>
      <c r="P33" s="20">
        <v>40</v>
      </c>
      <c r="Q33" s="20">
        <f>VLOOKUP($C33,兵士关于时代的建筑和勋号加成!$A$2:$K$11,4,0)</f>
        <v>1.2</v>
      </c>
      <c r="R33" s="20">
        <f>VLOOKUP($C33,兵士关于时代的建筑和勋号加成!$A$2:$K$11,8,0)</f>
        <v>1.4</v>
      </c>
      <c r="S33" s="20">
        <v>15</v>
      </c>
      <c r="T33" s="20">
        <f>VLOOKUP($C33,兵士关于时代的建筑和勋号加成!$A$2:$K$11,5,0)</f>
        <v>1</v>
      </c>
      <c r="U33" s="20">
        <f>VLOOKUP($C33,兵士关于时代的建筑和勋号加成!$A$2:$K$11,9,0)</f>
        <v>1</v>
      </c>
      <c r="V33" s="60">
        <f t="shared" si="2"/>
        <v>140.79999999999998</v>
      </c>
      <c r="W33" s="60">
        <f t="shared" si="3"/>
        <v>35.1</v>
      </c>
      <c r="X33" s="60">
        <f t="shared" si="4"/>
        <v>67.199999999999989</v>
      </c>
      <c r="Y33" s="60">
        <f t="shared" si="5"/>
        <v>15</v>
      </c>
      <c r="Z33" s="23">
        <f t="shared" si="6"/>
        <v>70.299928876208682</v>
      </c>
      <c r="AA33" s="23">
        <f t="shared" si="7"/>
        <v>2.002846976530162</v>
      </c>
      <c r="AB33" s="23">
        <f t="shared" si="8"/>
        <v>7029.9928876208678</v>
      </c>
      <c r="AC33" s="20">
        <f>5</f>
        <v>5</v>
      </c>
      <c r="AD33" s="20">
        <f>VLOOKUP($C33,兵士关于时代的建筑和勋号加成!$A$2:$K$11,11,0)</f>
        <v>6</v>
      </c>
      <c r="AE33" s="39">
        <f t="shared" si="9"/>
        <v>77329.921763829552</v>
      </c>
      <c r="AF33" s="56">
        <f t="shared" si="10"/>
        <v>14.96</v>
      </c>
      <c r="AG33" s="20" t="s">
        <v>110</v>
      </c>
      <c r="AH33" s="20" t="s">
        <v>124</v>
      </c>
      <c r="AI33" s="20" t="s">
        <v>114</v>
      </c>
      <c r="AJ33" s="20" t="s">
        <v>266</v>
      </c>
      <c r="AK33" s="20" t="s">
        <v>203</v>
      </c>
      <c r="AL33" s="20" t="s">
        <v>315</v>
      </c>
    </row>
    <row r="34" spans="1:38" ht="16.5">
      <c r="A34" s="20" t="s">
        <v>200</v>
      </c>
      <c r="B34" s="54" t="s">
        <v>155</v>
      </c>
      <c r="C34" s="20" t="s">
        <v>110</v>
      </c>
      <c r="D34" s="20">
        <v>60.5</v>
      </c>
      <c r="E34" s="20">
        <v>0.66</v>
      </c>
      <c r="F34" s="20">
        <v>1</v>
      </c>
      <c r="G34" s="20">
        <v>100</v>
      </c>
      <c r="H34" s="62">
        <v>30</v>
      </c>
      <c r="I34" s="20">
        <f>VLOOKUP($C34,兵士关于时代的建筑和勋号加成!$A$2:$K$11,2,0)</f>
        <v>1.8</v>
      </c>
      <c r="J34" s="20">
        <f>VLOOKUP($C34,兵士关于时代的建筑和勋号加成!$A$2:$K$11,6,0)</f>
        <v>1.6</v>
      </c>
      <c r="K34" s="62">
        <v>14</v>
      </c>
      <c r="L34" s="20">
        <f>VLOOKUP($C34,兵士关于时代的建筑和勋号加成!$A$2:$K$11,3,0)</f>
        <v>1.6</v>
      </c>
      <c r="M34" s="20">
        <f>VLOOKUP($C34,兵士关于时代的建筑和勋号加成!$A$2:$K$11,7,0)</f>
        <v>1.3</v>
      </c>
      <c r="N34" s="34">
        <f t="shared" si="0"/>
        <v>97.585970567118594</v>
      </c>
      <c r="O34" s="34">
        <f t="shared" si="1"/>
        <v>8945.3806353192031</v>
      </c>
      <c r="P34" s="62">
        <v>10</v>
      </c>
      <c r="Q34" s="20">
        <f>VLOOKUP($C34,兵士关于时代的建筑和勋号加成!$A$2:$K$11,4,0)</f>
        <v>1</v>
      </c>
      <c r="R34" s="20">
        <f>VLOOKUP($C34,兵士关于时代的建筑和勋号加成!$A$2:$K$11,8,0)</f>
        <v>1</v>
      </c>
      <c r="S34" s="62">
        <v>10</v>
      </c>
      <c r="T34" s="20">
        <f>VLOOKUP($C34,兵士关于时代的建筑和勋号加成!$A$2:$K$11,5,0)</f>
        <v>1</v>
      </c>
      <c r="U34" s="20">
        <f>VLOOKUP($C34,兵士关于时代的建筑和勋号加成!$A$2:$K$11,9,0)</f>
        <v>1</v>
      </c>
      <c r="V34" s="60">
        <f t="shared" si="2"/>
        <v>100.80000000000001</v>
      </c>
      <c r="W34" s="60">
        <f t="shared" si="3"/>
        <v>34.580000000000005</v>
      </c>
      <c r="X34" s="60">
        <f t="shared" si="4"/>
        <v>10</v>
      </c>
      <c r="Y34" s="60">
        <f t="shared" si="5"/>
        <v>10</v>
      </c>
      <c r="Z34" s="23">
        <f t="shared" si="6"/>
        <v>59.039512193106752</v>
      </c>
      <c r="AA34" s="23">
        <f t="shared" si="7"/>
        <v>1.7073311796734165</v>
      </c>
      <c r="AB34" s="23">
        <f t="shared" si="8"/>
        <v>5903.9512193106748</v>
      </c>
      <c r="AC34" s="20">
        <f>5</f>
        <v>5</v>
      </c>
      <c r="AD34" s="20">
        <f>VLOOKUP($C34,兵士关于时代的建筑和勋号加成!$A$2:$K$11,11,0)</f>
        <v>8</v>
      </c>
      <c r="AE34" s="39">
        <f t="shared" si="9"/>
        <v>76751.365851038776</v>
      </c>
      <c r="AF34" s="56">
        <f t="shared" si="10"/>
        <v>8.58</v>
      </c>
      <c r="AG34" s="20" t="s">
        <v>106</v>
      </c>
      <c r="AH34" s="20" t="s">
        <v>174</v>
      </c>
      <c r="AI34" s="20" t="s">
        <v>109</v>
      </c>
      <c r="AJ34" s="20" t="s">
        <v>255</v>
      </c>
      <c r="AK34" s="20"/>
      <c r="AL34" s="20" t="s">
        <v>140</v>
      </c>
    </row>
    <row r="35" spans="1:38" ht="24.75">
      <c r="A35" s="20" t="s">
        <v>200</v>
      </c>
      <c r="B35" s="54" t="s">
        <v>162</v>
      </c>
      <c r="C35" s="20" t="s">
        <v>110</v>
      </c>
      <c r="D35" s="20">
        <v>61</v>
      </c>
      <c r="E35" s="20">
        <v>0.66</v>
      </c>
      <c r="F35" s="20">
        <v>1</v>
      </c>
      <c r="G35" s="20">
        <v>100</v>
      </c>
      <c r="H35" s="62">
        <v>18</v>
      </c>
      <c r="I35" s="20">
        <f>VLOOKUP($C35,兵士关于时代的建筑和勋号加成!$A$2:$K$11,2,0)</f>
        <v>1.8</v>
      </c>
      <c r="J35" s="20">
        <f>VLOOKUP($C35,兵士关于时代的建筑和勋号加成!$A$2:$K$11,6,0)</f>
        <v>1.6</v>
      </c>
      <c r="K35" s="62">
        <v>20</v>
      </c>
      <c r="L35" s="20">
        <f>0.2+VLOOKUP($C35,兵士关于时代的建筑和勋号加成!$A$2:$K$11,3,0)</f>
        <v>1.8</v>
      </c>
      <c r="M35" s="20">
        <f>VLOOKUP($C35,兵士关于时代的建筑和勋号加成!$A$2:$K$11,7,0)</f>
        <v>1.3</v>
      </c>
      <c r="N35" s="34">
        <f t="shared" si="0"/>
        <v>94.204658073764847</v>
      </c>
      <c r="O35" s="34">
        <f t="shared" si="1"/>
        <v>8706.7941553025084</v>
      </c>
      <c r="P35" s="62">
        <v>0</v>
      </c>
      <c r="Q35" s="20">
        <f>VLOOKUP($C35,兵士关于时代的建筑和勋号加成!$A$2:$K$11,4,0)</f>
        <v>1</v>
      </c>
      <c r="R35" s="20">
        <f>VLOOKUP($C35,兵士关于时代的建筑和勋号加成!$A$2:$K$11,8,0)</f>
        <v>1</v>
      </c>
      <c r="S35" s="62">
        <v>22</v>
      </c>
      <c r="T35" s="20">
        <f>VLOOKUP($C35,兵士关于时代的建筑和勋号加成!$A$2:$K$11,5,0)</f>
        <v>1</v>
      </c>
      <c r="U35" s="20">
        <f>VLOOKUP($C35,兵士关于时代的建筑和勋号加成!$A$2:$K$11,9,0)</f>
        <v>1</v>
      </c>
      <c r="V35" s="60">
        <f t="shared" si="2"/>
        <v>60.480000000000011</v>
      </c>
      <c r="W35" s="60">
        <f t="shared" si="3"/>
        <v>54.6</v>
      </c>
      <c r="X35" s="60">
        <f t="shared" si="4"/>
        <v>0</v>
      </c>
      <c r="Y35" s="60">
        <f t="shared" si="5"/>
        <v>22</v>
      </c>
      <c r="Z35" s="23">
        <f t="shared" si="6"/>
        <v>57.464841424996557</v>
      </c>
      <c r="AA35" s="23">
        <f t="shared" si="7"/>
        <v>1.0524696231684352</v>
      </c>
      <c r="AB35" s="23">
        <f t="shared" si="8"/>
        <v>5746.4841424996557</v>
      </c>
      <c r="AC35" s="20">
        <f>5</f>
        <v>5</v>
      </c>
      <c r="AD35" s="20">
        <f>VLOOKUP($C35,兵士关于时代的建筑和勋号加成!$A$2:$K$11,11,0)</f>
        <v>8</v>
      </c>
      <c r="AE35" s="39">
        <f t="shared" si="9"/>
        <v>74704.293852495524</v>
      </c>
      <c r="AF35" s="56">
        <f t="shared" si="10"/>
        <v>8.58</v>
      </c>
      <c r="AG35" s="20" t="s">
        <v>106</v>
      </c>
      <c r="AH35" s="20" t="s">
        <v>188</v>
      </c>
      <c r="AI35" s="20" t="s">
        <v>109</v>
      </c>
      <c r="AJ35" s="20" t="s">
        <v>264</v>
      </c>
      <c r="AK35" s="20"/>
      <c r="AL35" s="20" t="s">
        <v>140</v>
      </c>
    </row>
    <row r="36" spans="1:38">
      <c r="A36" s="20" t="s">
        <v>200</v>
      </c>
      <c r="B36" s="54" t="s">
        <v>142</v>
      </c>
      <c r="C36" s="20" t="s">
        <v>110</v>
      </c>
      <c r="D36" s="20">
        <v>55</v>
      </c>
      <c r="E36" s="20">
        <v>0.66</v>
      </c>
      <c r="F36" s="20">
        <v>1</v>
      </c>
      <c r="G36" s="20">
        <v>100</v>
      </c>
      <c r="H36" s="62">
        <v>30</v>
      </c>
      <c r="I36" s="20">
        <f>VLOOKUP($C36,兵士关于时代的建筑和勋号加成!$A$2:$K$11,2,0)</f>
        <v>1.8</v>
      </c>
      <c r="J36" s="20">
        <f>VLOOKUP($C36,兵士关于时代的建筑和勋号加成!$A$2:$K$11,6,0)</f>
        <v>1.6</v>
      </c>
      <c r="K36" s="62">
        <v>12</v>
      </c>
      <c r="L36" s="20">
        <f>VLOOKUP($C36,兵士关于时代的建筑和勋号加成!$A$2:$K$11,3,0)</f>
        <v>1.6</v>
      </c>
      <c r="M36" s="20">
        <f>VLOOKUP($C36,兵士关于时代的建筑和勋号加成!$A$2:$K$11,7,0)</f>
        <v>1.3</v>
      </c>
      <c r="N36" s="34">
        <f t="shared" ref="N36:N54" si="11">AB36/D36</f>
        <v>99.381758307536103</v>
      </c>
      <c r="O36" s="34">
        <f t="shared" ref="O36:O54" si="12">AB36/E36</f>
        <v>8281.8131922946759</v>
      </c>
      <c r="P36" s="62">
        <v>5</v>
      </c>
      <c r="Q36" s="20">
        <f>VLOOKUP($C36,兵士关于时代的建筑和勋号加成!$A$2:$K$11,4,0)</f>
        <v>1</v>
      </c>
      <c r="R36" s="20">
        <f>VLOOKUP($C36,兵士关于时代的建筑和勋号加成!$A$2:$K$11,8,0)</f>
        <v>1</v>
      </c>
      <c r="S36" s="62">
        <v>0</v>
      </c>
      <c r="T36" s="20">
        <f>VLOOKUP($C36,兵士关于时代的建筑和勋号加成!$A$2:$K$11,5,0)</f>
        <v>1</v>
      </c>
      <c r="U36" s="20">
        <f>VLOOKUP($C36,兵士关于时代的建筑和勋号加成!$A$2:$K$11,9,0)</f>
        <v>1</v>
      </c>
      <c r="V36" s="60">
        <f t="shared" ref="V36:V54" si="13">H36*(I36+$B$1/100)*J36</f>
        <v>100.80000000000001</v>
      </c>
      <c r="W36" s="60">
        <f t="shared" ref="W36:W54" si="14">K36*(L36+$B$1/100)*M36</f>
        <v>29.64</v>
      </c>
      <c r="X36" s="60">
        <f t="shared" ref="X36:X54" si="15">P36*Q36*R36</f>
        <v>5</v>
      </c>
      <c r="Y36" s="60">
        <f t="shared" ref="Y36:Y54" si="16">S36*T36*U36</f>
        <v>0</v>
      </c>
      <c r="Z36" s="23">
        <f t="shared" ref="Z36:Z54" si="17">SQRT(V36*W36)</f>
        <v>54.659967069144862</v>
      </c>
      <c r="AA36" s="23">
        <f t="shared" ref="AA36:AA54" si="18">SQRT(V36/W36)</f>
        <v>1.8441284436283689</v>
      </c>
      <c r="AB36" s="23">
        <f t="shared" ref="AB36:AB54" si="19">Z36*G36</f>
        <v>5465.9967069144859</v>
      </c>
      <c r="AC36" s="20">
        <f>5</f>
        <v>5</v>
      </c>
      <c r="AD36" s="20">
        <f>VLOOKUP($C36,兵士关于时代的建筑和勋号加成!$A$2:$K$11,11,0)</f>
        <v>8</v>
      </c>
      <c r="AE36" s="39">
        <f t="shared" ref="AE36:AE54" si="20">AB36*SUM(AC36:AD36)</f>
        <v>71057.957189888315</v>
      </c>
      <c r="AF36" s="56">
        <f t="shared" ref="AF36:AF54" si="21">E36*SUM(AC36:AD36)</f>
        <v>8.58</v>
      </c>
      <c r="AG36" s="20" t="s">
        <v>106</v>
      </c>
      <c r="AH36" s="20" t="s">
        <v>166</v>
      </c>
      <c r="AI36" s="20" t="s">
        <v>109</v>
      </c>
      <c r="AJ36" s="20" t="s">
        <v>243</v>
      </c>
      <c r="AK36" s="20"/>
      <c r="AL36" s="20" t="s">
        <v>140</v>
      </c>
    </row>
    <row r="37" spans="1:38" ht="16.5">
      <c r="A37" s="20" t="s">
        <v>200</v>
      </c>
      <c r="B37" s="54" t="s">
        <v>139</v>
      </c>
      <c r="C37" s="20" t="s">
        <v>106</v>
      </c>
      <c r="D37" s="20">
        <v>81</v>
      </c>
      <c r="E37" s="20">
        <v>0.81</v>
      </c>
      <c r="F37" s="20">
        <v>1</v>
      </c>
      <c r="G37" s="20">
        <v>100</v>
      </c>
      <c r="H37" s="62">
        <v>20</v>
      </c>
      <c r="I37" s="20">
        <f>VLOOKUP($C37,兵士关于时代的建筑和勋号加成!$A$2:$K$11,2,0)</f>
        <v>1.8</v>
      </c>
      <c r="J37" s="20">
        <f>VLOOKUP($C37,兵士关于时代的建筑和勋号加成!$A$2:$K$11,6,0)</f>
        <v>1.6</v>
      </c>
      <c r="K37" s="62">
        <v>16</v>
      </c>
      <c r="L37" s="20">
        <f>VLOOKUP($C37,兵士关于时代的建筑和勋号加成!$A$2:$K$11,3,0)</f>
        <v>1.6</v>
      </c>
      <c r="M37" s="20">
        <f>VLOOKUP($C37,兵士关于时代的建筑和勋号加成!$A$2:$K$11,7,0)</f>
        <v>1.3</v>
      </c>
      <c r="N37" s="34">
        <f t="shared" si="11"/>
        <v>63.622112549836551</v>
      </c>
      <c r="O37" s="34">
        <f t="shared" si="12"/>
        <v>6362.2112549836547</v>
      </c>
      <c r="P37" s="62">
        <v>20</v>
      </c>
      <c r="Q37" s="20">
        <f>VLOOKUP($C37,兵士关于时代的建筑和勋号加成!$A$2:$K$11,4,0)</f>
        <v>1</v>
      </c>
      <c r="R37" s="20">
        <f>VLOOKUP($C37,兵士关于时代的建筑和勋号加成!$A$2:$K$11,8,0)</f>
        <v>1</v>
      </c>
      <c r="S37" s="62">
        <v>10</v>
      </c>
      <c r="T37" s="20">
        <f>VLOOKUP($C37,兵士关于时代的建筑和勋号加成!$A$2:$K$11,5,0)</f>
        <v>1</v>
      </c>
      <c r="U37" s="20">
        <f>VLOOKUP($C37,兵士关于时代的建筑和勋号加成!$A$2:$K$11,9,0)</f>
        <v>1.5</v>
      </c>
      <c r="V37" s="60">
        <f t="shared" si="13"/>
        <v>67.2</v>
      </c>
      <c r="W37" s="60">
        <f t="shared" si="14"/>
        <v>39.520000000000003</v>
      </c>
      <c r="X37" s="60">
        <f t="shared" si="15"/>
        <v>20</v>
      </c>
      <c r="Y37" s="60">
        <f t="shared" si="16"/>
        <v>15</v>
      </c>
      <c r="Z37" s="23">
        <f t="shared" si="17"/>
        <v>51.533911165367606</v>
      </c>
      <c r="AA37" s="23">
        <f t="shared" si="18"/>
        <v>1.3039957278686134</v>
      </c>
      <c r="AB37" s="23">
        <f t="shared" si="19"/>
        <v>5153.3911165367608</v>
      </c>
      <c r="AC37" s="20">
        <f>5</f>
        <v>5</v>
      </c>
      <c r="AD37" s="20">
        <f>VLOOKUP($C37,兵士关于时代的建筑和勋号加成!$A$2:$K$11,11,0)</f>
        <v>8</v>
      </c>
      <c r="AE37" s="39">
        <f t="shared" si="20"/>
        <v>66994.084514977891</v>
      </c>
      <c r="AF37" s="56">
        <f t="shared" si="21"/>
        <v>10.530000000000001</v>
      </c>
      <c r="AG37" s="20" t="s">
        <v>165</v>
      </c>
      <c r="AH37" s="20" t="s">
        <v>116</v>
      </c>
      <c r="AI37" s="20" t="s">
        <v>2</v>
      </c>
      <c r="AJ37" s="20" t="s">
        <v>241</v>
      </c>
      <c r="AK37" s="20"/>
      <c r="AL37" s="20" t="s">
        <v>194</v>
      </c>
    </row>
    <row r="38" spans="1:38" ht="16.5" hidden="1">
      <c r="A38" s="20" t="s">
        <v>200</v>
      </c>
      <c r="B38" s="54" t="s">
        <v>199</v>
      </c>
      <c r="C38" s="20" t="s">
        <v>110</v>
      </c>
      <c r="D38" s="20">
        <v>66</v>
      </c>
      <c r="E38" s="20">
        <v>0.72</v>
      </c>
      <c r="F38" s="20">
        <v>1</v>
      </c>
      <c r="G38" s="20">
        <v>100</v>
      </c>
      <c r="H38" s="20">
        <v>28</v>
      </c>
      <c r="I38" s="20">
        <f>VLOOKUP($C38,兵士关于时代的建筑和勋号加成!$A$2:$K$11,2,0)</f>
        <v>1.8</v>
      </c>
      <c r="J38" s="20">
        <f>VLOOKUP($C38,兵士关于时代的建筑和勋号加成!$A$2:$K$11,6,0)</f>
        <v>1.6</v>
      </c>
      <c r="K38" s="20">
        <v>10</v>
      </c>
      <c r="L38" s="20">
        <f>VLOOKUP($C38,兵士关于时代的建筑和勋号加成!$A$2:$K$11,3,0)</f>
        <v>1.6</v>
      </c>
      <c r="M38" s="20">
        <f>VLOOKUP($C38,兵士关于时代的建筑和勋号加成!$A$2:$K$11,7,0)</f>
        <v>1.3</v>
      </c>
      <c r="N38" s="34">
        <f t="shared" si="11"/>
        <v>73.038727038352206</v>
      </c>
      <c r="O38" s="34">
        <f t="shared" si="12"/>
        <v>6695.2166451822859</v>
      </c>
      <c r="P38" s="20">
        <v>0</v>
      </c>
      <c r="Q38" s="20">
        <f>VLOOKUP($C38,兵士关于时代的建筑和勋号加成!$A$2:$K$11,4,0)</f>
        <v>1</v>
      </c>
      <c r="R38" s="20">
        <f>VLOOKUP($C38,兵士关于时代的建筑和勋号加成!$A$2:$K$11,8,0)</f>
        <v>1</v>
      </c>
      <c r="S38" s="20">
        <v>0</v>
      </c>
      <c r="T38" s="20">
        <f>VLOOKUP($C38,兵士关于时代的建筑和勋号加成!$A$2:$K$11,5,0)</f>
        <v>1</v>
      </c>
      <c r="U38" s="20">
        <f>VLOOKUP($C38,兵士关于时代的建筑和勋号加成!$A$2:$K$11,9,0)</f>
        <v>1</v>
      </c>
      <c r="V38" s="60">
        <f t="shared" si="13"/>
        <v>94.080000000000013</v>
      </c>
      <c r="W38" s="60">
        <f t="shared" si="14"/>
        <v>24.7</v>
      </c>
      <c r="X38" s="60">
        <f t="shared" si="15"/>
        <v>0</v>
      </c>
      <c r="Y38" s="60">
        <f t="shared" si="16"/>
        <v>0</v>
      </c>
      <c r="Z38" s="23">
        <f t="shared" si="17"/>
        <v>48.20555984531245</v>
      </c>
      <c r="AA38" s="23">
        <f t="shared" si="18"/>
        <v>1.9516420990005041</v>
      </c>
      <c r="AB38" s="23">
        <f t="shared" si="19"/>
        <v>4820.5559845312455</v>
      </c>
      <c r="AC38" s="20">
        <f>5</f>
        <v>5</v>
      </c>
      <c r="AD38" s="20">
        <f>VLOOKUP($C38,兵士关于时代的建筑和勋号加成!$A$2:$K$11,11,0)</f>
        <v>8</v>
      </c>
      <c r="AE38" s="39">
        <f t="shared" si="20"/>
        <v>62667.227798906191</v>
      </c>
      <c r="AF38" s="56">
        <f t="shared" si="21"/>
        <v>9.36</v>
      </c>
      <c r="AG38" s="20" t="s">
        <v>177</v>
      </c>
      <c r="AH38" s="20" t="s">
        <v>123</v>
      </c>
      <c r="AI38" s="20" t="s">
        <v>109</v>
      </c>
      <c r="AJ38" s="20" t="s">
        <v>254</v>
      </c>
      <c r="AK38" s="20"/>
      <c r="AL38" s="20" t="s">
        <v>195</v>
      </c>
    </row>
    <row r="39" spans="1:38" ht="16.5">
      <c r="A39" s="20" t="s">
        <v>200</v>
      </c>
      <c r="B39" s="54" t="s">
        <v>153</v>
      </c>
      <c r="C39" s="20" t="s">
        <v>112</v>
      </c>
      <c r="D39" s="20">
        <v>110.5</v>
      </c>
      <c r="E39" s="20">
        <v>1.36</v>
      </c>
      <c r="F39" s="20">
        <v>1</v>
      </c>
      <c r="G39" s="20">
        <v>100</v>
      </c>
      <c r="H39" s="62">
        <v>25</v>
      </c>
      <c r="I39" s="20">
        <f>VLOOKUP($C39,兵士关于时代的建筑和勋号加成!$A$2:$K$11,2,0)</f>
        <v>1.9</v>
      </c>
      <c r="J39" s="20">
        <f>VLOOKUP($C39,兵士关于时代的建筑和勋号加成!$A$2:$K$11,6,0)</f>
        <v>1.6</v>
      </c>
      <c r="K39" s="62">
        <v>15</v>
      </c>
      <c r="L39" s="20">
        <f>VLOOKUP($C39,兵士关于时代的建筑和勋号加成!$A$2:$K$11,3,0)</f>
        <v>1.5</v>
      </c>
      <c r="M39" s="20">
        <f>VLOOKUP($C39,兵士关于时代的建筑和勋号加成!$A$2:$K$11,7,0)</f>
        <v>1.3</v>
      </c>
      <c r="N39" s="34">
        <f t="shared" si="11"/>
        <v>50.295903754900614</v>
      </c>
      <c r="O39" s="34">
        <f t="shared" si="12"/>
        <v>4086.5421800856743</v>
      </c>
      <c r="P39" s="62">
        <v>60</v>
      </c>
      <c r="Q39" s="20">
        <f>VLOOKUP($C39,兵士关于时代的建筑和勋号加成!$A$2:$K$11,4,0)</f>
        <v>1.2</v>
      </c>
      <c r="R39" s="20">
        <f>VLOOKUP($C39,兵士关于时代的建筑和勋号加成!$A$2:$K$11,8,0)</f>
        <v>1.4</v>
      </c>
      <c r="S39" s="62">
        <v>20</v>
      </c>
      <c r="T39" s="20">
        <f>VLOOKUP($C39,兵士关于时代的建筑和勋号加成!$A$2:$K$11,5,0)</f>
        <v>1</v>
      </c>
      <c r="U39" s="20">
        <f>VLOOKUP($C39,兵士关于时代的建筑和勋号加成!$A$2:$K$11,9,0)</f>
        <v>1</v>
      </c>
      <c r="V39" s="60">
        <f t="shared" si="13"/>
        <v>88</v>
      </c>
      <c r="W39" s="60">
        <f t="shared" si="14"/>
        <v>35.1</v>
      </c>
      <c r="X39" s="60">
        <f t="shared" si="15"/>
        <v>100.8</v>
      </c>
      <c r="Y39" s="60">
        <f t="shared" si="16"/>
        <v>20</v>
      </c>
      <c r="Z39" s="23">
        <f t="shared" si="17"/>
        <v>55.576973649165176</v>
      </c>
      <c r="AA39" s="23">
        <f t="shared" si="18"/>
        <v>1.5833895626542784</v>
      </c>
      <c r="AB39" s="23">
        <f t="shared" si="19"/>
        <v>5557.6973649165175</v>
      </c>
      <c r="AC39" s="20">
        <f>5</f>
        <v>5</v>
      </c>
      <c r="AD39" s="20">
        <f>VLOOKUP($C39,兵士关于时代的建筑和勋号加成!$A$2:$K$11,11,0)</f>
        <v>6</v>
      </c>
      <c r="AE39" s="39">
        <f t="shared" si="20"/>
        <v>61134.671014081694</v>
      </c>
      <c r="AF39" s="56">
        <f t="shared" si="21"/>
        <v>14.96</v>
      </c>
      <c r="AG39" s="20" t="s">
        <v>110</v>
      </c>
      <c r="AH39" s="20" t="s">
        <v>113</v>
      </c>
      <c r="AI39" s="20" t="s">
        <v>114</v>
      </c>
      <c r="AJ39" s="20" t="s">
        <v>253</v>
      </c>
      <c r="AK39" s="20"/>
      <c r="AL39" s="20" t="s">
        <v>154</v>
      </c>
    </row>
    <row r="40" spans="1:38" ht="16.5">
      <c r="A40" s="20" t="s">
        <v>200</v>
      </c>
      <c r="B40" s="54" t="s">
        <v>163</v>
      </c>
      <c r="C40" s="20" t="s">
        <v>115</v>
      </c>
      <c r="D40" s="20">
        <v>50.2</v>
      </c>
      <c r="E40" s="20">
        <v>0.6</v>
      </c>
      <c r="F40" s="20">
        <v>1</v>
      </c>
      <c r="G40" s="20">
        <v>100</v>
      </c>
      <c r="H40" s="62">
        <v>14</v>
      </c>
      <c r="I40" s="20">
        <f>VLOOKUP($C40,兵士关于时代的建筑和勋号加成!$A$2:$K$11,2,0)</f>
        <v>2</v>
      </c>
      <c r="J40" s="20">
        <f>VLOOKUP($C40,兵士关于时代的建筑和勋号加成!$A$2:$K$11,6,0)</f>
        <v>1.5</v>
      </c>
      <c r="K40" s="62">
        <v>18</v>
      </c>
      <c r="L40" s="20">
        <f>0.2+VLOOKUP($C40,兵士关于时代的建筑和勋号加成!$A$2:$K$11,3,0)</f>
        <v>1.8499999999999999</v>
      </c>
      <c r="M40" s="20">
        <f>VLOOKUP($C40,兵士关于时代的建筑和勋号加成!$A$2:$K$11,7,0)</f>
        <v>1.6</v>
      </c>
      <c r="N40" s="34">
        <f t="shared" si="11"/>
        <v>108.9394860555058</v>
      </c>
      <c r="O40" s="34">
        <f t="shared" si="12"/>
        <v>9114.6036666439868</v>
      </c>
      <c r="P40" s="62">
        <v>12</v>
      </c>
      <c r="Q40" s="20">
        <f>VLOOKUP($C40,兵士关于时代的建筑和勋号加成!$A$2:$K$11,4,0)</f>
        <v>1</v>
      </c>
      <c r="R40" s="20">
        <f>VLOOKUP($C40,兵士关于时代的建筑和勋号加成!$A$2:$K$11,8,0)</f>
        <v>1</v>
      </c>
      <c r="S40" s="62">
        <v>0</v>
      </c>
      <c r="T40" s="20">
        <f>VLOOKUP($C40,兵士关于时代的建筑和勋号加成!$A$2:$K$11,5,0)</f>
        <v>1</v>
      </c>
      <c r="U40" s="20">
        <f>VLOOKUP($C40,兵士关于时代的建筑和勋号加成!$A$2:$K$11,9,0)</f>
        <v>1</v>
      </c>
      <c r="V40" s="60">
        <f t="shared" si="13"/>
        <v>48.3</v>
      </c>
      <c r="W40" s="60">
        <f t="shared" si="14"/>
        <v>61.919999999999995</v>
      </c>
      <c r="X40" s="60">
        <f t="shared" si="15"/>
        <v>12</v>
      </c>
      <c r="Y40" s="60">
        <f t="shared" si="16"/>
        <v>0</v>
      </c>
      <c r="Z40" s="23">
        <f t="shared" si="17"/>
        <v>54.687621999863914</v>
      </c>
      <c r="AA40" s="23">
        <f t="shared" si="18"/>
        <v>0.88319802971356465</v>
      </c>
      <c r="AB40" s="23">
        <f t="shared" si="19"/>
        <v>5468.7621999863914</v>
      </c>
      <c r="AC40" s="20">
        <f>5</f>
        <v>5</v>
      </c>
      <c r="AD40" s="20">
        <f>VLOOKUP($C40,兵士关于时代的建筑和勋号加成!$A$2:$K$11,11,0)</f>
        <v>6</v>
      </c>
      <c r="AE40" s="39">
        <f t="shared" si="20"/>
        <v>60156.384199850305</v>
      </c>
      <c r="AF40" s="56">
        <f t="shared" si="21"/>
        <v>6.6</v>
      </c>
      <c r="AG40" s="20" t="s">
        <v>189</v>
      </c>
      <c r="AH40" s="20" t="s">
        <v>190</v>
      </c>
      <c r="AI40" s="20" t="s">
        <v>191</v>
      </c>
      <c r="AJ40" s="20" t="s">
        <v>265</v>
      </c>
      <c r="AK40" s="20"/>
      <c r="AL40" s="20" t="s">
        <v>140</v>
      </c>
    </row>
    <row r="41" spans="1:38">
      <c r="A41" s="20" t="s">
        <v>200</v>
      </c>
      <c r="B41" s="54" t="s">
        <v>148</v>
      </c>
      <c r="C41" s="20" t="s">
        <v>106</v>
      </c>
      <c r="D41" s="20">
        <v>54</v>
      </c>
      <c r="E41" s="20">
        <v>0.54</v>
      </c>
      <c r="F41" s="20">
        <v>1</v>
      </c>
      <c r="G41" s="20">
        <v>100</v>
      </c>
      <c r="H41" s="62">
        <v>18</v>
      </c>
      <c r="I41" s="20">
        <f>VLOOKUP($C41,兵士关于时代的建筑和勋号加成!$A$2:$K$11,2,0)</f>
        <v>1.8</v>
      </c>
      <c r="J41" s="20">
        <f>VLOOKUP($C41,兵士关于时代的建筑和勋号加成!$A$2:$K$11,6,0)</f>
        <v>1.6</v>
      </c>
      <c r="K41" s="62">
        <v>14</v>
      </c>
      <c r="L41" s="20">
        <f>VLOOKUP($C41,兵士关于时代的建筑和勋号加成!$A$2:$K$11,3,0)</f>
        <v>1.6</v>
      </c>
      <c r="M41" s="20">
        <f>VLOOKUP($C41,兵士关于时代的建筑和勋号加成!$A$2:$K$11,7,0)</f>
        <v>1.3</v>
      </c>
      <c r="N41" s="34">
        <f t="shared" si="11"/>
        <v>84.688536108189695</v>
      </c>
      <c r="O41" s="34">
        <f t="shared" si="12"/>
        <v>8468.8536108189692</v>
      </c>
      <c r="P41" s="62">
        <v>0</v>
      </c>
      <c r="Q41" s="20">
        <f>VLOOKUP($C41,兵士关于时代的建筑和勋号加成!$A$2:$K$11,4,0)</f>
        <v>1</v>
      </c>
      <c r="R41" s="20">
        <f>VLOOKUP($C41,兵士关于时代的建筑和勋号加成!$A$2:$K$11,8,0)</f>
        <v>1</v>
      </c>
      <c r="S41" s="62">
        <v>20</v>
      </c>
      <c r="T41" s="20">
        <f>VLOOKUP($C41,兵士关于时代的建筑和勋号加成!$A$2:$K$11,5,0)</f>
        <v>1</v>
      </c>
      <c r="U41" s="20">
        <f>VLOOKUP($C41,兵士关于时代的建筑和勋号加成!$A$2:$K$11,9,0)</f>
        <v>1.5</v>
      </c>
      <c r="V41" s="60">
        <f t="shared" si="13"/>
        <v>60.480000000000011</v>
      </c>
      <c r="W41" s="60">
        <f t="shared" si="14"/>
        <v>34.580000000000005</v>
      </c>
      <c r="X41" s="60">
        <f t="shared" si="15"/>
        <v>0</v>
      </c>
      <c r="Y41" s="60">
        <f t="shared" si="16"/>
        <v>30</v>
      </c>
      <c r="Z41" s="23">
        <f t="shared" si="17"/>
        <v>45.731809498422436</v>
      </c>
      <c r="AA41" s="23">
        <f t="shared" si="18"/>
        <v>1.322493045067161</v>
      </c>
      <c r="AB41" s="23">
        <f t="shared" si="19"/>
        <v>4573.1809498422435</v>
      </c>
      <c r="AC41" s="20">
        <f>5</f>
        <v>5</v>
      </c>
      <c r="AD41" s="20">
        <f>VLOOKUP($C41,兵士关于时代的建筑和勋号加成!$A$2:$K$11,11,0)</f>
        <v>8</v>
      </c>
      <c r="AE41" s="39">
        <f t="shared" si="20"/>
        <v>59451.352347949163</v>
      </c>
      <c r="AF41" s="56">
        <f t="shared" si="21"/>
        <v>7.0200000000000005</v>
      </c>
      <c r="AG41" s="20" t="s">
        <v>107</v>
      </c>
      <c r="AH41" s="20" t="s">
        <v>169</v>
      </c>
      <c r="AI41" s="20" t="s">
        <v>109</v>
      </c>
      <c r="AJ41" s="20" t="s">
        <v>248</v>
      </c>
      <c r="AK41" s="20"/>
      <c r="AL41" s="20" t="s">
        <v>140</v>
      </c>
    </row>
    <row r="42" spans="1:38" ht="16.5">
      <c r="A42" s="20" t="s">
        <v>232</v>
      </c>
      <c r="B42" s="54" t="s">
        <v>214</v>
      </c>
      <c r="C42" s="20" t="s">
        <v>112</v>
      </c>
      <c r="D42" s="20">
        <v>85</v>
      </c>
      <c r="E42" s="20">
        <v>1.1499999999999999</v>
      </c>
      <c r="F42" s="20">
        <v>1</v>
      </c>
      <c r="G42" s="20">
        <v>100</v>
      </c>
      <c r="H42" s="62">
        <v>22</v>
      </c>
      <c r="I42" s="20">
        <f>VLOOKUP($C42,兵士关于时代的建筑和勋号加成!$A$2:$K$11,2,0)</f>
        <v>1.9</v>
      </c>
      <c r="J42" s="20">
        <f>VLOOKUP($C42,兵士关于时代的建筑和勋号加成!$A$2:$K$11,6,0)</f>
        <v>1.6</v>
      </c>
      <c r="K42" s="62">
        <v>16</v>
      </c>
      <c r="L42" s="20">
        <f>VLOOKUP($C42,兵士关于时代的建筑和勋号加成!$A$2:$K$11,3,0)</f>
        <v>1.5</v>
      </c>
      <c r="M42" s="20">
        <f>VLOOKUP($C42,兵士关于时代的建筑和勋号加成!$A$2:$K$11,7,0)</f>
        <v>1.3</v>
      </c>
      <c r="N42" s="34">
        <f t="shared" si="11"/>
        <v>63.347818898282128</v>
      </c>
      <c r="O42" s="34">
        <f t="shared" si="12"/>
        <v>4682.2300924817227</v>
      </c>
      <c r="P42" s="62">
        <v>30</v>
      </c>
      <c r="Q42" s="20">
        <f>VLOOKUP($C42,兵士关于时代的建筑和勋号加成!$A$2:$K$11,4,0)</f>
        <v>1.2</v>
      </c>
      <c r="R42" s="20">
        <f>VLOOKUP($C42,兵士关于时代的建筑和勋号加成!$A$2:$K$11,8,0)</f>
        <v>1.4</v>
      </c>
      <c r="S42" s="62">
        <v>50</v>
      </c>
      <c r="T42" s="20">
        <f>VLOOKUP($C42,兵士关于时代的建筑和勋号加成!$A$2:$K$11,5,0)</f>
        <v>1</v>
      </c>
      <c r="U42" s="20">
        <f>VLOOKUP($C42,兵士关于时代的建筑和勋号加成!$A$2:$K$11,9,0)</f>
        <v>1</v>
      </c>
      <c r="V42" s="60">
        <f t="shared" si="13"/>
        <v>77.44</v>
      </c>
      <c r="W42" s="60">
        <f t="shared" si="14"/>
        <v>37.440000000000005</v>
      </c>
      <c r="X42" s="60">
        <f t="shared" si="15"/>
        <v>50.4</v>
      </c>
      <c r="Y42" s="60">
        <f t="shared" si="16"/>
        <v>50</v>
      </c>
      <c r="Z42" s="23">
        <f t="shared" si="17"/>
        <v>53.84564606353981</v>
      </c>
      <c r="AA42" s="23">
        <f t="shared" si="18"/>
        <v>1.4381849910133495</v>
      </c>
      <c r="AB42" s="23">
        <f t="shared" si="19"/>
        <v>5384.5646063539807</v>
      </c>
      <c r="AC42" s="20">
        <f>5</f>
        <v>5</v>
      </c>
      <c r="AD42" s="20">
        <f>VLOOKUP($C42,兵士关于时代的建筑和勋号加成!$A$2:$K$11,11,0)</f>
        <v>6</v>
      </c>
      <c r="AE42" s="39">
        <f t="shared" si="20"/>
        <v>59230.210669893786</v>
      </c>
      <c r="AF42" s="56">
        <f t="shared" si="21"/>
        <v>12.649999999999999</v>
      </c>
      <c r="AG42" s="20" t="s">
        <v>110</v>
      </c>
      <c r="AH42" s="20" t="s">
        <v>215</v>
      </c>
      <c r="AI42" s="20" t="s">
        <v>216</v>
      </c>
      <c r="AJ42" s="20" t="s">
        <v>271</v>
      </c>
      <c r="AK42" s="20" t="s">
        <v>235</v>
      </c>
      <c r="AL42" s="20" t="s">
        <v>140</v>
      </c>
    </row>
    <row r="43" spans="1:38" ht="16.5">
      <c r="A43" s="20" t="s">
        <v>127</v>
      </c>
      <c r="B43" s="54" t="s">
        <v>110</v>
      </c>
      <c r="C43" s="20" t="s">
        <v>110</v>
      </c>
      <c r="D43" s="20">
        <v>55</v>
      </c>
      <c r="E43" s="20">
        <v>0.6</v>
      </c>
      <c r="F43" s="20">
        <v>1</v>
      </c>
      <c r="G43" s="20">
        <v>100</v>
      </c>
      <c r="H43" s="62">
        <v>25</v>
      </c>
      <c r="I43" s="20">
        <f>VLOOKUP($C43,兵士关于时代的建筑和勋号加成!$A$2:$K$11,2,0)</f>
        <v>1.8</v>
      </c>
      <c r="J43" s="20">
        <f>VLOOKUP($C43,兵士关于时代的建筑和勋号加成!$A$2:$K$11,6,0)</f>
        <v>1.6</v>
      </c>
      <c r="K43" s="62">
        <v>10</v>
      </c>
      <c r="L43" s="20">
        <f>VLOOKUP($C43,兵士关于时代的建筑和勋号加成!$A$2:$K$11,3,0)</f>
        <v>1.6</v>
      </c>
      <c r="M43" s="20">
        <f>VLOOKUP($C43,兵士关于时代的建筑和勋号加成!$A$2:$K$11,7,0)</f>
        <v>1.3</v>
      </c>
      <c r="N43" s="34">
        <f t="shared" si="11"/>
        <v>82.818131922946748</v>
      </c>
      <c r="O43" s="34">
        <f t="shared" si="12"/>
        <v>7591.6620929367855</v>
      </c>
      <c r="P43" s="62">
        <v>0</v>
      </c>
      <c r="Q43" s="20">
        <f>VLOOKUP($C43,兵士关于时代的建筑和勋号加成!$A$2:$K$11,4,0)</f>
        <v>1</v>
      </c>
      <c r="R43" s="20">
        <f>VLOOKUP($C43,兵士关于时代的建筑和勋号加成!$A$2:$K$11,8,0)</f>
        <v>1</v>
      </c>
      <c r="S43" s="62">
        <v>0</v>
      </c>
      <c r="T43" s="20">
        <f>VLOOKUP($C43,兵士关于时代的建筑和勋号加成!$A$2:$K$11,5,0)</f>
        <v>1</v>
      </c>
      <c r="U43" s="20">
        <f>VLOOKUP($C43,兵士关于时代的建筑和勋号加成!$A$2:$K$11,9,0)</f>
        <v>1</v>
      </c>
      <c r="V43" s="60">
        <f t="shared" si="13"/>
        <v>84</v>
      </c>
      <c r="W43" s="60">
        <f t="shared" si="14"/>
        <v>24.7</v>
      </c>
      <c r="X43" s="60">
        <f t="shared" si="15"/>
        <v>0</v>
      </c>
      <c r="Y43" s="60">
        <f t="shared" si="16"/>
        <v>0</v>
      </c>
      <c r="Z43" s="23">
        <f t="shared" si="17"/>
        <v>45.549972557620713</v>
      </c>
      <c r="AA43" s="23">
        <f t="shared" si="18"/>
        <v>1.8441284436283689</v>
      </c>
      <c r="AB43" s="23">
        <f t="shared" si="19"/>
        <v>4554.9972557620713</v>
      </c>
      <c r="AC43" s="20">
        <f>5</f>
        <v>5</v>
      </c>
      <c r="AD43" s="20">
        <f>VLOOKUP($C43,兵士关于时代的建筑和勋号加成!$A$2:$K$11,11,0)</f>
        <v>8</v>
      </c>
      <c r="AE43" s="39">
        <f t="shared" si="20"/>
        <v>59214.964324906927</v>
      </c>
      <c r="AF43" s="56">
        <f t="shared" si="21"/>
        <v>7.8</v>
      </c>
      <c r="AG43" s="20" t="s">
        <v>106</v>
      </c>
      <c r="AH43" s="20" t="s">
        <v>111</v>
      </c>
      <c r="AI43" s="20" t="s">
        <v>109</v>
      </c>
      <c r="AJ43" s="20" t="s">
        <v>109</v>
      </c>
      <c r="AK43" s="20"/>
      <c r="AL43" s="20" t="s">
        <v>194</v>
      </c>
    </row>
    <row r="44" spans="1:38">
      <c r="A44" s="20" t="s">
        <v>200</v>
      </c>
      <c r="B44" s="54" t="s">
        <v>160</v>
      </c>
      <c r="C44" s="20" t="s">
        <v>106</v>
      </c>
      <c r="D44" s="20">
        <v>45</v>
      </c>
      <c r="E44" s="20">
        <v>0.45</v>
      </c>
      <c r="F44" s="20">
        <v>1</v>
      </c>
      <c r="G44" s="20">
        <v>100</v>
      </c>
      <c r="H44" s="62">
        <v>10</v>
      </c>
      <c r="I44" s="20">
        <f>VLOOKUP($C44,兵士关于时代的建筑和勋号加成!$A$2:$K$11,2,0)</f>
        <v>1.8</v>
      </c>
      <c r="J44" s="20">
        <f>VLOOKUP($C44,兵士关于时代的建筑和勋号加成!$A$2:$K$11,6,0)</f>
        <v>1.6</v>
      </c>
      <c r="K44" s="62">
        <v>24</v>
      </c>
      <c r="L44" s="20">
        <f>VLOOKUP($C44,兵士关于时代的建筑和勋号加成!$A$2:$K$11,3,0)</f>
        <v>1.6</v>
      </c>
      <c r="M44" s="20">
        <f>VLOOKUP($C44,兵士关于时代的建筑和勋号加成!$A$2:$K$11,7,0)</f>
        <v>1.3</v>
      </c>
      <c r="N44" s="34">
        <f t="shared" si="11"/>
        <v>99.17705827906417</v>
      </c>
      <c r="O44" s="34">
        <f t="shared" si="12"/>
        <v>9917.7058279064167</v>
      </c>
      <c r="P44" s="62">
        <v>0</v>
      </c>
      <c r="Q44" s="20">
        <f>VLOOKUP($C44,兵士关于时代的建筑和勋号加成!$A$2:$K$11,4,0)</f>
        <v>1</v>
      </c>
      <c r="R44" s="20">
        <f>VLOOKUP($C44,兵士关于时代的建筑和勋号加成!$A$2:$K$11,8,0)</f>
        <v>1</v>
      </c>
      <c r="S44" s="62">
        <v>40</v>
      </c>
      <c r="T44" s="20">
        <f>VLOOKUP($C44,兵士关于时代的建筑和勋号加成!$A$2:$K$11,5,0)</f>
        <v>1</v>
      </c>
      <c r="U44" s="20">
        <f>VLOOKUP($C44,兵士关于时代的建筑和勋号加成!$A$2:$K$11,9,0)</f>
        <v>1.5</v>
      </c>
      <c r="V44" s="60">
        <f t="shared" si="13"/>
        <v>33.6</v>
      </c>
      <c r="W44" s="60">
        <f t="shared" si="14"/>
        <v>59.28</v>
      </c>
      <c r="X44" s="60">
        <f t="shared" si="15"/>
        <v>0</v>
      </c>
      <c r="Y44" s="60">
        <f t="shared" si="16"/>
        <v>60</v>
      </c>
      <c r="Z44" s="23">
        <f t="shared" si="17"/>
        <v>44.629676225578876</v>
      </c>
      <c r="AA44" s="23">
        <f t="shared" si="18"/>
        <v>0.75286228450706605</v>
      </c>
      <c r="AB44" s="23">
        <f t="shared" si="19"/>
        <v>4462.9676225578878</v>
      </c>
      <c r="AC44" s="20">
        <f>5</f>
        <v>5</v>
      </c>
      <c r="AD44" s="20">
        <f>VLOOKUP($C44,兵士关于时代的建筑和勋号加成!$A$2:$K$11,11,0)</f>
        <v>8</v>
      </c>
      <c r="AE44" s="39">
        <f t="shared" si="20"/>
        <v>58018.579093252541</v>
      </c>
      <c r="AF44" s="56">
        <f t="shared" si="21"/>
        <v>5.8500000000000005</v>
      </c>
      <c r="AG44" s="20" t="s">
        <v>107</v>
      </c>
      <c r="AH44" s="20" t="s">
        <v>109</v>
      </c>
      <c r="AI44" s="20" t="s">
        <v>109</v>
      </c>
      <c r="AJ44" s="20" t="s">
        <v>262</v>
      </c>
      <c r="AK44" s="20"/>
      <c r="AL44" s="20" t="s">
        <v>140</v>
      </c>
    </row>
    <row r="45" spans="1:38" ht="16.5">
      <c r="A45" s="20" t="s">
        <v>232</v>
      </c>
      <c r="B45" s="54" t="s">
        <v>217</v>
      </c>
      <c r="C45" s="20" t="s">
        <v>112</v>
      </c>
      <c r="D45" s="20">
        <v>90</v>
      </c>
      <c r="E45" s="20">
        <v>1.1499999999999999</v>
      </c>
      <c r="F45" s="20">
        <v>1</v>
      </c>
      <c r="G45" s="20">
        <v>100</v>
      </c>
      <c r="H45" s="62">
        <v>22</v>
      </c>
      <c r="I45" s="20">
        <f>VLOOKUP($C45,兵士关于时代的建筑和勋号加成!$A$2:$K$11,2,0)</f>
        <v>1.9</v>
      </c>
      <c r="J45" s="20">
        <f>VLOOKUP($C45,兵士关于时代的建筑和勋号加成!$A$2:$K$11,6,0)</f>
        <v>1.6</v>
      </c>
      <c r="K45" s="62">
        <v>15</v>
      </c>
      <c r="L45" s="20">
        <f>VLOOKUP($C45,兵士关于时代的建筑和勋号加成!$A$2:$K$11,3,0)</f>
        <v>1.5</v>
      </c>
      <c r="M45" s="20">
        <f>VLOOKUP($C45,兵士关于时代的建筑和勋号加成!$A$2:$K$11,7,0)</f>
        <v>1.3</v>
      </c>
      <c r="N45" s="34">
        <f t="shared" si="11"/>
        <v>57.928691797185742</v>
      </c>
      <c r="O45" s="34">
        <f t="shared" si="12"/>
        <v>4533.5497928232326</v>
      </c>
      <c r="P45" s="62">
        <v>30</v>
      </c>
      <c r="Q45" s="20">
        <f>VLOOKUP($C45,兵士关于时代的建筑和勋号加成!$A$2:$K$11,4,0)</f>
        <v>1.2</v>
      </c>
      <c r="R45" s="20">
        <f>VLOOKUP($C45,兵士关于时代的建筑和勋号加成!$A$2:$K$11,8,0)</f>
        <v>1.4</v>
      </c>
      <c r="S45" s="62">
        <v>30</v>
      </c>
      <c r="T45" s="20">
        <f>VLOOKUP($C45,兵士关于时代的建筑和勋号加成!$A$2:$K$11,5,0)</f>
        <v>1</v>
      </c>
      <c r="U45" s="20">
        <f>VLOOKUP($C45,兵士关于时代的建筑和勋号加成!$A$2:$K$11,9,0)</f>
        <v>1</v>
      </c>
      <c r="V45" s="60">
        <f t="shared" si="13"/>
        <v>77.44</v>
      </c>
      <c r="W45" s="60">
        <f t="shared" si="14"/>
        <v>35.1</v>
      </c>
      <c r="X45" s="60">
        <f t="shared" si="15"/>
        <v>50.4</v>
      </c>
      <c r="Y45" s="60">
        <f t="shared" si="16"/>
        <v>30</v>
      </c>
      <c r="Z45" s="23">
        <f t="shared" si="17"/>
        <v>52.135822617467163</v>
      </c>
      <c r="AA45" s="23">
        <f t="shared" si="18"/>
        <v>1.485351071722711</v>
      </c>
      <c r="AB45" s="23">
        <f t="shared" si="19"/>
        <v>5213.5822617467165</v>
      </c>
      <c r="AC45" s="20">
        <f>5</f>
        <v>5</v>
      </c>
      <c r="AD45" s="20">
        <f>VLOOKUP($C45,兵士关于时代的建筑和勋号加成!$A$2:$K$11,11,0)</f>
        <v>6</v>
      </c>
      <c r="AE45" s="39">
        <f t="shared" si="20"/>
        <v>57349.404879213878</v>
      </c>
      <c r="AF45" s="56">
        <f t="shared" si="21"/>
        <v>12.649999999999999</v>
      </c>
      <c r="AG45" s="20" t="s">
        <v>218</v>
      </c>
      <c r="AH45" s="20" t="s">
        <v>219</v>
      </c>
      <c r="AI45" s="20" t="s">
        <v>114</v>
      </c>
      <c r="AJ45" s="20" t="s">
        <v>272</v>
      </c>
      <c r="AK45" s="20" t="s">
        <v>236</v>
      </c>
      <c r="AL45" s="20" t="s">
        <v>140</v>
      </c>
    </row>
    <row r="46" spans="1:38" ht="16.5">
      <c r="A46" s="20" t="s">
        <v>127</v>
      </c>
      <c r="B46" s="54" t="s">
        <v>112</v>
      </c>
      <c r="C46" s="20" t="s">
        <v>112</v>
      </c>
      <c r="D46" s="20">
        <v>85</v>
      </c>
      <c r="E46" s="20">
        <v>1.05</v>
      </c>
      <c r="F46" s="20">
        <v>1</v>
      </c>
      <c r="G46" s="20">
        <v>100</v>
      </c>
      <c r="H46" s="62">
        <v>22</v>
      </c>
      <c r="I46" s="20">
        <f>VLOOKUP($C46,兵士关于时代的建筑和勋号加成!$A$2:$K$11,2,0)</f>
        <v>1.9</v>
      </c>
      <c r="J46" s="20">
        <f>VLOOKUP($C46,兵士关于时代的建筑和勋号加成!$A$2:$K$11,6,0)</f>
        <v>1.6</v>
      </c>
      <c r="K46" s="62">
        <v>15</v>
      </c>
      <c r="L46" s="20">
        <f>VLOOKUP($C46,兵士关于时代的建筑和勋号加成!$A$2:$K$11,3,0)</f>
        <v>1.5</v>
      </c>
      <c r="M46" s="20">
        <f>VLOOKUP($C46,兵士关于时代的建筑和勋号加成!$A$2:$K$11,7,0)</f>
        <v>1.3</v>
      </c>
      <c r="N46" s="34">
        <f t="shared" si="11"/>
        <v>61.33626190290255</v>
      </c>
      <c r="O46" s="34">
        <f t="shared" si="12"/>
        <v>4965.3164397587771</v>
      </c>
      <c r="P46" s="62">
        <v>30</v>
      </c>
      <c r="Q46" s="20">
        <f>VLOOKUP($C46,兵士关于时代的建筑和勋号加成!$A$2:$K$11,4,0)</f>
        <v>1.2</v>
      </c>
      <c r="R46" s="20">
        <f>VLOOKUP($C46,兵士关于时代的建筑和勋号加成!$A$2:$K$11,8,0)</f>
        <v>1.4</v>
      </c>
      <c r="S46" s="62">
        <v>30</v>
      </c>
      <c r="T46" s="20">
        <f>VLOOKUP($C46,兵士关于时代的建筑和勋号加成!$A$2:$K$11,5,0)</f>
        <v>1</v>
      </c>
      <c r="U46" s="20">
        <f>VLOOKUP($C46,兵士关于时代的建筑和勋号加成!$A$2:$K$11,9,0)</f>
        <v>1</v>
      </c>
      <c r="V46" s="60">
        <f t="shared" si="13"/>
        <v>77.44</v>
      </c>
      <c r="W46" s="60">
        <f t="shared" si="14"/>
        <v>35.1</v>
      </c>
      <c r="X46" s="60">
        <f t="shared" si="15"/>
        <v>50.4</v>
      </c>
      <c r="Y46" s="60">
        <f t="shared" si="16"/>
        <v>30</v>
      </c>
      <c r="Z46" s="23">
        <f t="shared" si="17"/>
        <v>52.135822617467163</v>
      </c>
      <c r="AA46" s="23">
        <f t="shared" si="18"/>
        <v>1.485351071722711</v>
      </c>
      <c r="AB46" s="23">
        <f t="shared" si="19"/>
        <v>5213.5822617467165</v>
      </c>
      <c r="AC46" s="20">
        <f>5</f>
        <v>5</v>
      </c>
      <c r="AD46" s="20">
        <f>VLOOKUP($C46,兵士关于时代的建筑和勋号加成!$A$2:$K$11,11,0)</f>
        <v>6</v>
      </c>
      <c r="AE46" s="39">
        <f t="shared" si="20"/>
        <v>57349.404879213878</v>
      </c>
      <c r="AF46" s="56">
        <f t="shared" si="21"/>
        <v>11.55</v>
      </c>
      <c r="AG46" s="20" t="s">
        <v>197</v>
      </c>
      <c r="AH46" s="20" t="s">
        <v>113</v>
      </c>
      <c r="AI46" s="20" t="s">
        <v>114</v>
      </c>
      <c r="AJ46" s="20" t="s">
        <v>136</v>
      </c>
      <c r="AK46" s="20"/>
      <c r="AL46" s="20" t="s">
        <v>194</v>
      </c>
    </row>
    <row r="47" spans="1:38" ht="16.5" hidden="1">
      <c r="A47" s="20" t="s">
        <v>232</v>
      </c>
      <c r="B47" s="54" t="s">
        <v>220</v>
      </c>
      <c r="C47" s="20" t="s">
        <v>112</v>
      </c>
      <c r="D47" s="20">
        <v>94</v>
      </c>
      <c r="E47" s="20">
        <v>0.92</v>
      </c>
      <c r="F47" s="20">
        <v>1</v>
      </c>
      <c r="G47" s="20">
        <v>100</v>
      </c>
      <c r="H47" s="20">
        <v>22</v>
      </c>
      <c r="I47" s="20">
        <f>VLOOKUP($C47,兵士关于时代的建筑和勋号加成!$A$2:$K$11,2,0)</f>
        <v>1.9</v>
      </c>
      <c r="J47" s="20">
        <f>VLOOKUP($C47,兵士关于时代的建筑和勋号加成!$A$2:$K$11,6,0)</f>
        <v>1.6</v>
      </c>
      <c r="K47" s="20">
        <v>15</v>
      </c>
      <c r="L47" s="20">
        <f>VLOOKUP($C47,兵士关于时代的建筑和勋号加成!$A$2:$K$11,3,0)</f>
        <v>1.5</v>
      </c>
      <c r="M47" s="20">
        <f>VLOOKUP($C47,兵士关于时代的建筑和勋号加成!$A$2:$K$11,7,0)</f>
        <v>1.3</v>
      </c>
      <c r="N47" s="34">
        <f t="shared" si="11"/>
        <v>55.463641082411876</v>
      </c>
      <c r="O47" s="34">
        <f t="shared" si="12"/>
        <v>5666.9372410290398</v>
      </c>
      <c r="P47" s="20">
        <v>52</v>
      </c>
      <c r="Q47" s="20">
        <f>VLOOKUP($C47,兵士关于时代的建筑和勋号加成!$A$2:$K$11,4,0)</f>
        <v>1.2</v>
      </c>
      <c r="R47" s="20">
        <f>VLOOKUP($C47,兵士关于时代的建筑和勋号加成!$A$2:$K$11,8,0)</f>
        <v>1.4</v>
      </c>
      <c r="S47" s="20">
        <v>30</v>
      </c>
      <c r="T47" s="20">
        <f>VLOOKUP($C47,兵士关于时代的建筑和勋号加成!$A$2:$K$11,5,0)</f>
        <v>1</v>
      </c>
      <c r="U47" s="20">
        <f>VLOOKUP($C47,兵士关于时代的建筑和勋号加成!$A$2:$K$11,9,0)</f>
        <v>1</v>
      </c>
      <c r="V47" s="60">
        <f t="shared" si="13"/>
        <v>77.44</v>
      </c>
      <c r="W47" s="60">
        <f t="shared" si="14"/>
        <v>35.1</v>
      </c>
      <c r="X47" s="60">
        <f t="shared" si="15"/>
        <v>87.36</v>
      </c>
      <c r="Y47" s="60">
        <f t="shared" si="16"/>
        <v>30</v>
      </c>
      <c r="Z47" s="23">
        <f t="shared" si="17"/>
        <v>52.135822617467163</v>
      </c>
      <c r="AA47" s="23">
        <f t="shared" si="18"/>
        <v>1.485351071722711</v>
      </c>
      <c r="AB47" s="23">
        <f t="shared" si="19"/>
        <v>5213.5822617467165</v>
      </c>
      <c r="AC47" s="20">
        <f>5</f>
        <v>5</v>
      </c>
      <c r="AD47" s="20">
        <f>VLOOKUP($C47,兵士关于时代的建筑和勋号加成!$A$2:$K$11,11,0)</f>
        <v>6</v>
      </c>
      <c r="AE47" s="39">
        <f t="shared" si="20"/>
        <v>57349.404879213878</v>
      </c>
      <c r="AF47" s="56">
        <f t="shared" si="21"/>
        <v>10.120000000000001</v>
      </c>
      <c r="AG47" s="20" t="s">
        <v>110</v>
      </c>
      <c r="AH47" s="20" t="s">
        <v>221</v>
      </c>
      <c r="AI47" s="20" t="s">
        <v>216</v>
      </c>
      <c r="AJ47" s="20" t="s">
        <v>273</v>
      </c>
      <c r="AK47" s="20" t="s">
        <v>237</v>
      </c>
      <c r="AL47" s="20" t="s">
        <v>315</v>
      </c>
    </row>
    <row r="48" spans="1:38" hidden="1">
      <c r="A48" s="20" t="s">
        <v>200</v>
      </c>
      <c r="B48" s="54" t="s">
        <v>147</v>
      </c>
      <c r="C48" s="20" t="s">
        <v>106</v>
      </c>
      <c r="D48" s="20">
        <v>45</v>
      </c>
      <c r="E48" s="20">
        <v>0.45</v>
      </c>
      <c r="F48" s="20">
        <v>1</v>
      </c>
      <c r="G48" s="20">
        <v>100</v>
      </c>
      <c r="H48" s="20">
        <v>13</v>
      </c>
      <c r="I48" s="20">
        <f>VLOOKUP($C48,兵士关于时代的建筑和勋号加成!$A$2:$K$11,2,0)</f>
        <v>1.8</v>
      </c>
      <c r="J48" s="20">
        <f>VLOOKUP($C48,兵士关于时代的建筑和勋号加成!$A$2:$K$11,6,0)</f>
        <v>1.6</v>
      </c>
      <c r="K48" s="20">
        <v>18</v>
      </c>
      <c r="L48" s="20">
        <f>VLOOKUP($C48,兵士关于时代的建筑和勋号加成!$A$2:$K$11,3,0)</f>
        <v>1.6</v>
      </c>
      <c r="M48" s="20">
        <f>VLOOKUP($C48,兵士关于时代的建筑和勋号加成!$A$2:$K$11,7,0)</f>
        <v>1.3</v>
      </c>
      <c r="N48" s="34">
        <f t="shared" si="11"/>
        <v>97.92949844999039</v>
      </c>
      <c r="O48" s="34">
        <f t="shared" si="12"/>
        <v>9792.9498449990388</v>
      </c>
      <c r="P48" s="20">
        <v>0</v>
      </c>
      <c r="Q48" s="20">
        <f>VLOOKUP($C48,兵士关于时代的建筑和勋号加成!$A$2:$K$11,4,0)</f>
        <v>1</v>
      </c>
      <c r="R48" s="20">
        <f>VLOOKUP($C48,兵士关于时代的建筑和勋号加成!$A$2:$K$11,8,0)</f>
        <v>1</v>
      </c>
      <c r="S48" s="20">
        <v>16</v>
      </c>
      <c r="T48" s="20">
        <f>VLOOKUP($C48,兵士关于时代的建筑和勋号加成!$A$2:$K$11,5,0)</f>
        <v>1</v>
      </c>
      <c r="U48" s="20">
        <f>VLOOKUP($C48,兵士关于时代的建筑和勋号加成!$A$2:$K$11,9,0)</f>
        <v>1.5</v>
      </c>
      <c r="V48" s="60">
        <f t="shared" si="13"/>
        <v>43.680000000000007</v>
      </c>
      <c r="W48" s="60">
        <f t="shared" si="14"/>
        <v>44.460000000000008</v>
      </c>
      <c r="X48" s="60">
        <f t="shared" si="15"/>
        <v>0</v>
      </c>
      <c r="Y48" s="60">
        <f t="shared" si="16"/>
        <v>24</v>
      </c>
      <c r="Z48" s="23">
        <f t="shared" si="17"/>
        <v>44.068274302495674</v>
      </c>
      <c r="AA48" s="23">
        <f t="shared" si="18"/>
        <v>0.99118925556670412</v>
      </c>
      <c r="AB48" s="23">
        <f t="shared" si="19"/>
        <v>4406.8274302495674</v>
      </c>
      <c r="AC48" s="20">
        <f>5</f>
        <v>5</v>
      </c>
      <c r="AD48" s="20">
        <f>VLOOKUP($C48,兵士关于时代的建筑和勋号加成!$A$2:$K$11,11,0)</f>
        <v>8</v>
      </c>
      <c r="AE48" s="39">
        <f t="shared" si="20"/>
        <v>57288.756593244376</v>
      </c>
      <c r="AF48" s="56">
        <f t="shared" si="21"/>
        <v>5.8500000000000005</v>
      </c>
      <c r="AG48" s="20" t="s">
        <v>168</v>
      </c>
      <c r="AH48" s="20" t="s">
        <v>109</v>
      </c>
      <c r="AI48" s="20" t="s">
        <v>109</v>
      </c>
      <c r="AJ48" s="20" t="s">
        <v>247</v>
      </c>
      <c r="AK48" s="20"/>
      <c r="AL48" s="20" t="s">
        <v>146</v>
      </c>
    </row>
    <row r="49" spans="1:38" ht="24.75">
      <c r="A49" s="20" t="s">
        <v>232</v>
      </c>
      <c r="B49" s="54" t="s">
        <v>222</v>
      </c>
      <c r="C49" s="20" t="s">
        <v>352</v>
      </c>
      <c r="D49" s="20">
        <v>85</v>
      </c>
      <c r="E49" s="20">
        <v>0.84</v>
      </c>
      <c r="F49" s="20">
        <v>1</v>
      </c>
      <c r="G49" s="20">
        <v>100</v>
      </c>
      <c r="H49" s="62">
        <v>22</v>
      </c>
      <c r="I49" s="20">
        <f>VLOOKUP($C49,兵士关于时代的建筑和勋号加成!$A$2:$K$11,2,0)</f>
        <v>1.9</v>
      </c>
      <c r="J49" s="20">
        <f>VLOOKUP($C49,兵士关于时代的建筑和勋号加成!$A$2:$K$11,6,0)</f>
        <v>1.6</v>
      </c>
      <c r="K49" s="62">
        <v>15</v>
      </c>
      <c r="L49" s="20">
        <f>VLOOKUP($C49,兵士关于时代的建筑和勋号加成!$A$2:$K$11,3,0)</f>
        <v>1.3</v>
      </c>
      <c r="M49" s="20">
        <f>VLOOKUP($C49,兵士关于时代的建筑和勋号加成!$A$2:$K$11,7,0)</f>
        <v>1.3</v>
      </c>
      <c r="N49" s="34">
        <f t="shared" si="11"/>
        <v>57.828382298901971</v>
      </c>
      <c r="O49" s="34">
        <f t="shared" si="12"/>
        <v>5851.6815421507945</v>
      </c>
      <c r="P49" s="62">
        <v>20</v>
      </c>
      <c r="Q49" s="20">
        <f>VLOOKUP($C49,兵士关于时代的建筑和勋号加成!$A$2:$K$11,4,0)</f>
        <v>1.2</v>
      </c>
      <c r="R49" s="20">
        <f>VLOOKUP($C49,兵士关于时代的建筑和勋号加成!$A$2:$K$11,8,0)</f>
        <v>1.3</v>
      </c>
      <c r="S49" s="62">
        <v>20</v>
      </c>
      <c r="T49" s="20">
        <f>VLOOKUP($C49,兵士关于时代的建筑和勋号加成!$A$2:$K$11,5,0)</f>
        <v>1</v>
      </c>
      <c r="U49" s="20">
        <f>VLOOKUP($C49,兵士关于时代的建筑和勋号加成!$A$2:$K$11,9,0)</f>
        <v>1.3</v>
      </c>
      <c r="V49" s="60">
        <f t="shared" si="13"/>
        <v>77.44</v>
      </c>
      <c r="W49" s="60">
        <f t="shared" si="14"/>
        <v>31.200000000000003</v>
      </c>
      <c r="X49" s="60">
        <f t="shared" si="15"/>
        <v>31.200000000000003</v>
      </c>
      <c r="Y49" s="60">
        <f t="shared" si="16"/>
        <v>26</v>
      </c>
      <c r="Z49" s="23">
        <f t="shared" si="17"/>
        <v>49.154124954066674</v>
      </c>
      <c r="AA49" s="23">
        <f t="shared" si="18"/>
        <v>1.5754527228867523</v>
      </c>
      <c r="AB49" s="23">
        <f t="shared" si="19"/>
        <v>4915.4124954066674</v>
      </c>
      <c r="AC49" s="20">
        <f>5</f>
        <v>5</v>
      </c>
      <c r="AD49" s="20">
        <f>VLOOKUP($C49,兵士关于时代的建筑和勋号加成!$A$2:$K$11,11,0)</f>
        <v>6</v>
      </c>
      <c r="AE49" s="39">
        <f t="shared" si="20"/>
        <v>54069.537449473341</v>
      </c>
      <c r="AF49" s="56">
        <f t="shared" si="21"/>
        <v>9.24</v>
      </c>
      <c r="AG49" s="20" t="s">
        <v>112</v>
      </c>
      <c r="AH49" s="20" t="s">
        <v>223</v>
      </c>
      <c r="AI49" s="20" t="s">
        <v>120</v>
      </c>
      <c r="AJ49" s="20" t="s">
        <v>274</v>
      </c>
      <c r="AK49" s="20" t="s">
        <v>238</v>
      </c>
      <c r="AL49" s="20" t="s">
        <v>140</v>
      </c>
    </row>
    <row r="50" spans="1:38" ht="16.5">
      <c r="A50" s="20" t="s">
        <v>200</v>
      </c>
      <c r="B50" s="54" t="s">
        <v>149</v>
      </c>
      <c r="C50" s="20" t="s">
        <v>106</v>
      </c>
      <c r="D50" s="20">
        <v>45</v>
      </c>
      <c r="E50" s="20">
        <v>0.45</v>
      </c>
      <c r="F50" s="20">
        <v>1</v>
      </c>
      <c r="G50" s="20">
        <v>100</v>
      </c>
      <c r="H50" s="62">
        <v>12</v>
      </c>
      <c r="I50" s="20">
        <f>VLOOKUP($C50,兵士关于时代的建筑和勋号加成!$A$2:$K$11,2,0)</f>
        <v>1.8</v>
      </c>
      <c r="J50" s="20">
        <f>VLOOKUP($C50,兵士关于时代的建筑和勋号加成!$A$2:$K$11,6,0)</f>
        <v>1.6</v>
      </c>
      <c r="K50" s="62">
        <v>16</v>
      </c>
      <c r="L50" s="20">
        <f>VLOOKUP($C50,兵士关于时代的建筑和勋号加成!$A$2:$K$11,3,0)</f>
        <v>1.6</v>
      </c>
      <c r="M50" s="20">
        <f>VLOOKUP($C50,兵士关于时代的建筑和勋号加成!$A$2:$K$11,7,0)</f>
        <v>1.3</v>
      </c>
      <c r="N50" s="34">
        <f t="shared" si="11"/>
        <v>88.706657648178322</v>
      </c>
      <c r="O50" s="34">
        <f t="shared" si="12"/>
        <v>8870.6657648178316</v>
      </c>
      <c r="P50" s="62">
        <v>0</v>
      </c>
      <c r="Q50" s="20">
        <f>VLOOKUP($C50,兵士关于时代的建筑和勋号加成!$A$2:$K$11,4,0)</f>
        <v>1</v>
      </c>
      <c r="R50" s="20">
        <f>VLOOKUP($C50,兵士关于时代的建筑和勋号加成!$A$2:$K$11,8,0)</f>
        <v>1</v>
      </c>
      <c r="S50" s="62">
        <v>20</v>
      </c>
      <c r="T50" s="20">
        <f>VLOOKUP($C50,兵士关于时代的建筑和勋号加成!$A$2:$K$11,5,0)</f>
        <v>1</v>
      </c>
      <c r="U50" s="20">
        <f>VLOOKUP($C50,兵士关于时代的建筑和勋号加成!$A$2:$K$11,9,0)</f>
        <v>1.5</v>
      </c>
      <c r="V50" s="60">
        <f t="shared" si="13"/>
        <v>40.320000000000007</v>
      </c>
      <c r="W50" s="60">
        <f t="shared" si="14"/>
        <v>39.520000000000003</v>
      </c>
      <c r="X50" s="60">
        <f t="shared" si="15"/>
        <v>0</v>
      </c>
      <c r="Y50" s="60">
        <f t="shared" si="16"/>
        <v>30</v>
      </c>
      <c r="Z50" s="23">
        <f t="shared" si="17"/>
        <v>39.917995941680246</v>
      </c>
      <c r="AA50" s="23">
        <f t="shared" si="18"/>
        <v>1.0100707475121518</v>
      </c>
      <c r="AB50" s="23">
        <f t="shared" si="19"/>
        <v>3991.7995941680247</v>
      </c>
      <c r="AC50" s="20">
        <f>5</f>
        <v>5</v>
      </c>
      <c r="AD50" s="20">
        <f>VLOOKUP($C50,兵士关于时代的建筑和勋号加成!$A$2:$K$11,11,0)</f>
        <v>8</v>
      </c>
      <c r="AE50" s="39">
        <f t="shared" si="20"/>
        <v>51893.39472418432</v>
      </c>
      <c r="AF50" s="56">
        <f t="shared" si="21"/>
        <v>5.8500000000000005</v>
      </c>
      <c r="AG50" s="20" t="s">
        <v>107</v>
      </c>
      <c r="AH50" s="20" t="s">
        <v>116</v>
      </c>
      <c r="AI50" s="20" t="s">
        <v>109</v>
      </c>
      <c r="AJ50" s="20" t="s">
        <v>249</v>
      </c>
      <c r="AK50" s="20"/>
      <c r="AL50" s="20" t="s">
        <v>140</v>
      </c>
    </row>
    <row r="51" spans="1:38" ht="24.75">
      <c r="A51" s="20" t="s">
        <v>232</v>
      </c>
      <c r="B51" s="54" t="s">
        <v>227</v>
      </c>
      <c r="C51" s="20" t="s">
        <v>225</v>
      </c>
      <c r="D51" s="20">
        <v>400</v>
      </c>
      <c r="E51" s="20">
        <v>2.94</v>
      </c>
      <c r="F51" s="20">
        <v>0.8</v>
      </c>
      <c r="G51" s="20">
        <v>25</v>
      </c>
      <c r="H51" s="62">
        <v>250</v>
      </c>
      <c r="I51" s="20">
        <f>VLOOKUP($C51,兵士关于时代的建筑和勋号加成!$A$2:$K$11,2,0)</f>
        <v>1.7</v>
      </c>
      <c r="J51" s="20">
        <f>VLOOKUP($C51,兵士关于时代的建筑和勋号加成!$A$2:$K$11,6,0)</f>
        <v>1.2</v>
      </c>
      <c r="K51" s="62">
        <v>50</v>
      </c>
      <c r="L51" s="20">
        <f>VLOOKUP($C51,兵士关于时代的建筑和勋号加成!$A$2:$K$11,3,0)</f>
        <v>1.5</v>
      </c>
      <c r="M51" s="20">
        <f>VLOOKUP($C51,兵士关于时代的建筑和勋号加成!$A$2:$K$11,7,0)</f>
        <v>1.2</v>
      </c>
      <c r="N51" s="34">
        <f t="shared" si="11"/>
        <v>15.90990257669732</v>
      </c>
      <c r="O51" s="34">
        <f t="shared" si="12"/>
        <v>2164.6125954690233</v>
      </c>
      <c r="P51" s="62">
        <v>0</v>
      </c>
      <c r="Q51" s="20">
        <f>VLOOKUP($C51,兵士关于时代的建筑和勋号加成!$A$2:$K$11,4,0)</f>
        <v>1</v>
      </c>
      <c r="R51" s="20">
        <f>VLOOKUP($C51,兵士关于时代的建筑和勋号加成!$A$2:$K$11,8,0)</f>
        <v>1</v>
      </c>
      <c r="S51" s="62">
        <v>0</v>
      </c>
      <c r="T51" s="20">
        <f>VLOOKUP($C51,兵士关于时代的建筑和勋号加成!$A$2:$K$11,5,0)</f>
        <v>1</v>
      </c>
      <c r="U51" s="20">
        <f>VLOOKUP($C51,兵士关于时代的建筑和勋号加成!$A$2:$K$11,9,0)</f>
        <v>1</v>
      </c>
      <c r="V51" s="60">
        <f t="shared" si="13"/>
        <v>600</v>
      </c>
      <c r="W51" s="60">
        <f t="shared" si="14"/>
        <v>108</v>
      </c>
      <c r="X51" s="60">
        <f t="shared" si="15"/>
        <v>0</v>
      </c>
      <c r="Y51" s="60">
        <f t="shared" si="16"/>
        <v>0</v>
      </c>
      <c r="Z51" s="23">
        <f t="shared" si="17"/>
        <v>254.55844122715712</v>
      </c>
      <c r="AA51" s="23">
        <f t="shared" si="18"/>
        <v>2.3570226039551585</v>
      </c>
      <c r="AB51" s="23">
        <f t="shared" si="19"/>
        <v>6363.9610306789282</v>
      </c>
      <c r="AC51" s="20">
        <f>5</f>
        <v>5</v>
      </c>
      <c r="AD51" s="20">
        <f>VLOOKUP($C51,兵士关于时代的建筑和勋号加成!$A$2:$K$11,11,0)</f>
        <v>3</v>
      </c>
      <c r="AE51" s="39">
        <f t="shared" si="20"/>
        <v>50911.688245431425</v>
      </c>
      <c r="AF51" s="56">
        <f t="shared" si="21"/>
        <v>23.52</v>
      </c>
      <c r="AG51" s="20" t="s">
        <v>228</v>
      </c>
      <c r="AH51" s="20" t="s">
        <v>176</v>
      </c>
      <c r="AI51" s="20" t="s">
        <v>229</v>
      </c>
      <c r="AJ51" s="20" t="s">
        <v>276</v>
      </c>
      <c r="AK51" s="20" t="s">
        <v>240</v>
      </c>
      <c r="AL51" s="20" t="s">
        <v>140</v>
      </c>
    </row>
    <row r="52" spans="1:38" ht="16.5">
      <c r="A52" s="20" t="s">
        <v>200</v>
      </c>
      <c r="B52" s="54" t="s">
        <v>198</v>
      </c>
      <c r="C52" s="20" t="s">
        <v>110</v>
      </c>
      <c r="D52" s="20">
        <v>66</v>
      </c>
      <c r="E52" s="20">
        <v>0.72</v>
      </c>
      <c r="F52" s="20">
        <v>1</v>
      </c>
      <c r="G52" s="20">
        <v>100</v>
      </c>
      <c r="H52" s="62">
        <v>20</v>
      </c>
      <c r="I52" s="20">
        <f>VLOOKUP($C52,兵士关于时代的建筑和勋号加成!$A$2:$K$11,2,0)</f>
        <v>1.8</v>
      </c>
      <c r="J52" s="20">
        <f>VLOOKUP($C52,兵士关于时代的建筑和勋号加成!$A$2:$K$11,6,0)</f>
        <v>1.6</v>
      </c>
      <c r="K52" s="62">
        <v>8</v>
      </c>
      <c r="L52" s="20">
        <f>VLOOKUP($C52,兵士关于时代的建筑和勋号加成!$A$2:$K$11,3,0)</f>
        <v>1.6</v>
      </c>
      <c r="M52" s="20">
        <f>VLOOKUP($C52,兵士关于时代的建筑和勋号加成!$A$2:$K$11,7,0)</f>
        <v>1.3</v>
      </c>
      <c r="N52" s="34">
        <f t="shared" si="11"/>
        <v>55.212087948631165</v>
      </c>
      <c r="O52" s="34">
        <f t="shared" si="12"/>
        <v>5061.108061957857</v>
      </c>
      <c r="P52" s="62">
        <v>0</v>
      </c>
      <c r="Q52" s="20">
        <f>VLOOKUP($C52,兵士关于时代的建筑和勋号加成!$A$2:$K$11,4,0)</f>
        <v>1</v>
      </c>
      <c r="R52" s="20">
        <f>VLOOKUP($C52,兵士关于时代的建筑和勋号加成!$A$2:$K$11,8,0)</f>
        <v>1</v>
      </c>
      <c r="S52" s="62">
        <v>0</v>
      </c>
      <c r="T52" s="20">
        <f>VLOOKUP($C52,兵士关于时代的建筑和勋号加成!$A$2:$K$11,5,0)</f>
        <v>1</v>
      </c>
      <c r="U52" s="20">
        <f>VLOOKUP($C52,兵士关于时代的建筑和勋号加成!$A$2:$K$11,9,0)</f>
        <v>1</v>
      </c>
      <c r="V52" s="60">
        <f t="shared" si="13"/>
        <v>67.2</v>
      </c>
      <c r="W52" s="60">
        <f t="shared" si="14"/>
        <v>19.760000000000002</v>
      </c>
      <c r="X52" s="60">
        <f t="shared" si="15"/>
        <v>0</v>
      </c>
      <c r="Y52" s="60">
        <f t="shared" si="16"/>
        <v>0</v>
      </c>
      <c r="Z52" s="23">
        <f t="shared" si="17"/>
        <v>36.43997804609657</v>
      </c>
      <c r="AA52" s="23">
        <f t="shared" si="18"/>
        <v>1.8441284436283689</v>
      </c>
      <c r="AB52" s="23">
        <f t="shared" si="19"/>
        <v>3643.9978046096571</v>
      </c>
      <c r="AC52" s="20">
        <f>5</f>
        <v>5</v>
      </c>
      <c r="AD52" s="20">
        <f>VLOOKUP($C52,兵士关于时代的建筑和勋号加成!$A$2:$K$11,11,0)</f>
        <v>8</v>
      </c>
      <c r="AE52" s="39">
        <f t="shared" si="20"/>
        <v>47371.971459925546</v>
      </c>
      <c r="AF52" s="56">
        <f t="shared" si="21"/>
        <v>9.36</v>
      </c>
      <c r="AG52" s="20" t="s">
        <v>177</v>
      </c>
      <c r="AH52" s="20" t="s">
        <v>123</v>
      </c>
      <c r="AI52" s="20" t="s">
        <v>109</v>
      </c>
      <c r="AJ52" s="20" t="s">
        <v>254</v>
      </c>
      <c r="AK52" s="20"/>
      <c r="AL52" s="20" t="s">
        <v>140</v>
      </c>
    </row>
    <row r="53" spans="1:38" ht="16.5">
      <c r="A53" s="20" t="s">
        <v>127</v>
      </c>
      <c r="B53" s="54" t="s">
        <v>105</v>
      </c>
      <c r="C53" s="20" t="s">
        <v>289</v>
      </c>
      <c r="D53" s="20">
        <v>45</v>
      </c>
      <c r="E53" s="20">
        <v>0.45</v>
      </c>
      <c r="F53" s="20">
        <v>1</v>
      </c>
      <c r="G53" s="20">
        <v>100</v>
      </c>
      <c r="H53" s="62">
        <v>10</v>
      </c>
      <c r="I53" s="20">
        <f>VLOOKUP($C53,兵士关于时代的建筑和勋号加成!$A$2:$K$11,2,0)</f>
        <v>1.8</v>
      </c>
      <c r="J53" s="20">
        <f>VLOOKUP($C53,兵士关于时代的建筑和勋号加成!$A$2:$K$11,6,0)</f>
        <v>1.6</v>
      </c>
      <c r="K53" s="62">
        <v>16</v>
      </c>
      <c r="L53" s="20">
        <f>VLOOKUP($C53,兵士关于时代的建筑和勋号加成!$A$2:$K$11,3,0)</f>
        <v>1.6</v>
      </c>
      <c r="M53" s="20">
        <f>VLOOKUP($C53,兵士关于时代的建筑和勋号加成!$A$2:$K$11,7,0)</f>
        <v>1.3</v>
      </c>
      <c r="N53" s="34">
        <f t="shared" si="11"/>
        <v>80.977728991325719</v>
      </c>
      <c r="O53" s="34">
        <f t="shared" si="12"/>
        <v>8097.7728991325712</v>
      </c>
      <c r="P53" s="62">
        <v>10</v>
      </c>
      <c r="Q53" s="20">
        <f>VLOOKUP($C53,兵士关于时代的建筑和勋号加成!$A$2:$K$11,4,0)</f>
        <v>1</v>
      </c>
      <c r="R53" s="20">
        <f>VLOOKUP($C53,兵士关于时代的建筑和勋号加成!$A$2:$K$11,8,0)</f>
        <v>1</v>
      </c>
      <c r="S53" s="62">
        <v>16</v>
      </c>
      <c r="T53" s="20">
        <f>VLOOKUP($C53,兵士关于时代的建筑和勋号加成!$A$2:$K$11,5,0)</f>
        <v>1</v>
      </c>
      <c r="U53" s="20">
        <f>VLOOKUP($C53,兵士关于时代的建筑和勋号加成!$A$2:$K$11,9,0)</f>
        <v>1.5</v>
      </c>
      <c r="V53" s="60">
        <f t="shared" si="13"/>
        <v>33.6</v>
      </c>
      <c r="W53" s="60">
        <f t="shared" si="14"/>
        <v>39.520000000000003</v>
      </c>
      <c r="X53" s="60">
        <f t="shared" si="15"/>
        <v>10</v>
      </c>
      <c r="Y53" s="60">
        <f t="shared" si="16"/>
        <v>24</v>
      </c>
      <c r="Z53" s="23">
        <f t="shared" si="17"/>
        <v>36.43997804609657</v>
      </c>
      <c r="AA53" s="23">
        <f t="shared" si="18"/>
        <v>0.92206422181418446</v>
      </c>
      <c r="AB53" s="23">
        <f t="shared" si="19"/>
        <v>3643.9978046096571</v>
      </c>
      <c r="AC53" s="20">
        <f>5</f>
        <v>5</v>
      </c>
      <c r="AD53" s="20">
        <f>VLOOKUP($C53,兵士关于时代的建筑和勋号加成!$A$2:$K$11,11,0)</f>
        <v>8</v>
      </c>
      <c r="AE53" s="39">
        <f t="shared" si="20"/>
        <v>47371.971459925546</v>
      </c>
      <c r="AF53" s="56">
        <f t="shared" si="21"/>
        <v>5.8500000000000005</v>
      </c>
      <c r="AG53" s="20" t="s">
        <v>107</v>
      </c>
      <c r="AH53" s="20" t="s">
        <v>108</v>
      </c>
      <c r="AI53" s="20" t="s">
        <v>109</v>
      </c>
      <c r="AJ53" s="20" t="s">
        <v>109</v>
      </c>
      <c r="AK53" s="20"/>
      <c r="AL53" s="20" t="s">
        <v>194</v>
      </c>
    </row>
    <row r="54" spans="1:38" ht="16.5">
      <c r="A54" s="20" t="s">
        <v>231</v>
      </c>
      <c r="B54" s="54" t="s">
        <v>208</v>
      </c>
      <c r="C54" s="20" t="s">
        <v>289</v>
      </c>
      <c r="D54" s="20">
        <v>54</v>
      </c>
      <c r="E54" s="20">
        <v>0.54</v>
      </c>
      <c r="F54" s="20">
        <v>1</v>
      </c>
      <c r="G54" s="20">
        <v>100</v>
      </c>
      <c r="H54" s="62">
        <v>10</v>
      </c>
      <c r="I54" s="20">
        <f>VLOOKUP($C54,兵士关于时代的建筑和勋号加成!$A$2:$K$11,2,0)</f>
        <v>1.8</v>
      </c>
      <c r="J54" s="20">
        <f>VLOOKUP($C54,兵士关于时代的建筑和勋号加成!$A$2:$K$11,6,0)</f>
        <v>1.6</v>
      </c>
      <c r="K54" s="62">
        <v>12</v>
      </c>
      <c r="L54" s="20">
        <f>VLOOKUP($C54,兵士关于时代的建筑和勋号加成!$A$2:$K$11,3,0)</f>
        <v>1.6</v>
      </c>
      <c r="M54" s="20">
        <f>VLOOKUP($C54,兵士关于时代的建筑和勋号加成!$A$2:$K$11,7,0)</f>
        <v>1.3</v>
      </c>
      <c r="N54" s="34">
        <f t="shared" si="11"/>
        <v>58.440642039383086</v>
      </c>
      <c r="O54" s="34">
        <f t="shared" si="12"/>
        <v>5844.0642039383083</v>
      </c>
      <c r="P54" s="62">
        <v>15</v>
      </c>
      <c r="Q54" s="20">
        <f>VLOOKUP($C54,兵士关于时代的建筑和勋号加成!$A$2:$K$11,4,0)</f>
        <v>1</v>
      </c>
      <c r="R54" s="20">
        <f>VLOOKUP($C54,兵士关于时代的建筑和勋号加成!$A$2:$K$11,8,0)</f>
        <v>1</v>
      </c>
      <c r="S54" s="62">
        <v>20</v>
      </c>
      <c r="T54" s="20">
        <f>VLOOKUP($C54,兵士关于时代的建筑和勋号加成!$A$2:$K$11,5,0)</f>
        <v>1</v>
      </c>
      <c r="U54" s="20">
        <f>VLOOKUP($C54,兵士关于时代的建筑和勋号加成!$A$2:$K$11,9,0)</f>
        <v>1.5</v>
      </c>
      <c r="V54" s="60">
        <f t="shared" si="13"/>
        <v>33.6</v>
      </c>
      <c r="W54" s="60">
        <f t="shared" si="14"/>
        <v>29.64</v>
      </c>
      <c r="X54" s="60">
        <f t="shared" si="15"/>
        <v>15</v>
      </c>
      <c r="Y54" s="60">
        <f t="shared" si="16"/>
        <v>30</v>
      </c>
      <c r="Z54" s="23">
        <f t="shared" si="17"/>
        <v>31.557946701266864</v>
      </c>
      <c r="AA54" s="23">
        <f t="shared" si="18"/>
        <v>1.0647080533490845</v>
      </c>
      <c r="AB54" s="23">
        <f t="shared" si="19"/>
        <v>3155.7946701266865</v>
      </c>
      <c r="AC54" s="20">
        <f>5</f>
        <v>5</v>
      </c>
      <c r="AD54" s="20">
        <f>VLOOKUP($C54,兵士关于时代的建筑和勋号加成!$A$2:$K$11,11,0)</f>
        <v>8</v>
      </c>
      <c r="AE54" s="39">
        <f t="shared" si="20"/>
        <v>41025.330711646922</v>
      </c>
      <c r="AF54" s="56">
        <f t="shared" si="21"/>
        <v>7.0200000000000005</v>
      </c>
      <c r="AG54" s="20" t="s">
        <v>107</v>
      </c>
      <c r="AH54" s="20" t="s">
        <v>211</v>
      </c>
      <c r="AI54" s="20" t="s">
        <v>109</v>
      </c>
      <c r="AJ54" s="20" t="s">
        <v>270</v>
      </c>
      <c r="AK54" s="20" t="s">
        <v>209</v>
      </c>
      <c r="AL54" s="20" t="s">
        <v>140</v>
      </c>
    </row>
  </sheetData>
  <autoFilter ref="A3:AL54">
    <filterColumn colId="37">
      <filters>
        <filter val="部落时期"/>
      </filters>
    </filterColumn>
    <sortState ref="A4:AL54">
      <sortCondition descending="1" ref="AE3:AE54"/>
    </sortState>
  </autoFilter>
  <mergeCells count="4">
    <mergeCell ref="AJ2:AL2"/>
    <mergeCell ref="A2:AF2"/>
    <mergeCell ref="AG2:AI2"/>
    <mergeCell ref="C1:A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54"/>
  <sheetViews>
    <sheetView zoomScale="205" zoomScaleNormal="205" workbookViewId="0">
      <pane ySplit="3" topLeftCell="A4" activePane="bottomLeft" state="frozen"/>
      <selection pane="bottomLeft" activeCell="B54" sqref="B54"/>
    </sheetView>
  </sheetViews>
  <sheetFormatPr defaultRowHeight="14.25"/>
  <cols>
    <col min="1" max="1" width="9.25" customWidth="1"/>
    <col min="2" max="2" width="7.375" style="55" customWidth="1"/>
    <col min="3" max="3" width="4.625" customWidth="1"/>
    <col min="4" max="4" width="5.25" hidden="1" customWidth="1"/>
    <col min="5" max="5" width="7.75" hidden="1" customWidth="1"/>
    <col min="6" max="6" width="3.125" hidden="1" customWidth="1"/>
    <col min="7" max="7" width="4.625" customWidth="1"/>
    <col min="8" max="8" width="4.375" style="63" customWidth="1"/>
    <col min="9" max="9" width="4.75" customWidth="1"/>
    <col min="10" max="10" width="2.875" customWidth="1"/>
    <col min="11" max="11" width="5.375" style="63" customWidth="1"/>
    <col min="12" max="12" width="5.75" customWidth="1"/>
    <col min="13" max="13" width="2.75" customWidth="1"/>
    <col min="14" max="14" width="5.875" style="35" hidden="1" customWidth="1"/>
    <col min="15" max="15" width="5.75" style="35" hidden="1" customWidth="1"/>
    <col min="16" max="16" width="3" style="63" customWidth="1"/>
    <col min="17" max="18" width="4.25" customWidth="1"/>
    <col min="19" max="19" width="3.125" style="63" customWidth="1"/>
    <col min="20" max="21" width="4" customWidth="1"/>
    <col min="22" max="25" width="4" style="61" customWidth="1"/>
    <col min="26" max="26" width="5.25" customWidth="1"/>
    <col min="27" max="27" width="6.125" customWidth="1"/>
    <col min="28" max="28" width="6.875" customWidth="1"/>
    <col min="29" max="29" width="3.75" style="35" customWidth="1"/>
    <col min="30" max="30" width="3.875" style="35" customWidth="1"/>
    <col min="31" max="31" width="5" style="40" customWidth="1"/>
    <col min="32" max="32" width="5.5" style="57" customWidth="1"/>
    <col min="34" max="34" width="7.375" customWidth="1"/>
    <col min="35" max="35" width="7.25" customWidth="1"/>
  </cols>
  <sheetData>
    <row r="1" spans="1:39">
      <c r="A1" s="59" t="s">
        <v>370</v>
      </c>
      <c r="B1" s="20">
        <v>30</v>
      </c>
      <c r="C1" s="80" t="s">
        <v>374</v>
      </c>
      <c r="D1" s="80"/>
      <c r="E1" s="80"/>
      <c r="F1" s="80"/>
      <c r="G1" s="80"/>
      <c r="H1" s="81"/>
      <c r="I1" s="80"/>
      <c r="J1" s="80"/>
      <c r="K1" s="81"/>
      <c r="L1" s="80"/>
      <c r="M1" s="80"/>
      <c r="N1" s="80"/>
      <c r="O1" s="80"/>
      <c r="P1" s="81"/>
      <c r="Q1" s="80"/>
      <c r="R1" s="80"/>
      <c r="S1" s="81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53"/>
      <c r="AG1" s="53"/>
      <c r="AH1" s="53"/>
      <c r="AI1" s="53"/>
      <c r="AJ1" s="53"/>
      <c r="AK1" s="53"/>
      <c r="AL1" s="53"/>
      <c r="AM1" s="53"/>
    </row>
    <row r="2" spans="1:39">
      <c r="A2" s="78" t="s">
        <v>277</v>
      </c>
      <c r="B2" s="78"/>
      <c r="C2" s="78"/>
      <c r="D2" s="78"/>
      <c r="E2" s="78"/>
      <c r="F2" s="78"/>
      <c r="G2" s="78"/>
      <c r="H2" s="79"/>
      <c r="I2" s="78"/>
      <c r="J2" s="78"/>
      <c r="K2" s="79"/>
      <c r="L2" s="78"/>
      <c r="M2" s="78"/>
      <c r="N2" s="78"/>
      <c r="O2" s="78"/>
      <c r="P2" s="79"/>
      <c r="Q2" s="78"/>
      <c r="R2" s="78"/>
      <c r="S2" s="79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 t="s">
        <v>368</v>
      </c>
      <c r="AH2" s="78"/>
      <c r="AI2" s="78"/>
      <c r="AJ2" s="78" t="s">
        <v>279</v>
      </c>
      <c r="AK2" s="78"/>
      <c r="AL2" s="78"/>
      <c r="AM2" s="21"/>
    </row>
    <row r="3" spans="1:39" ht="41.25">
      <c r="A3" s="20" t="s">
        <v>230</v>
      </c>
      <c r="B3" s="54" t="s">
        <v>288</v>
      </c>
      <c r="C3" s="20" t="s">
        <v>97</v>
      </c>
      <c r="D3" s="20" t="s">
        <v>98</v>
      </c>
      <c r="E3" s="20" t="s">
        <v>307</v>
      </c>
      <c r="F3" s="20" t="s">
        <v>319</v>
      </c>
      <c r="G3" s="20" t="s">
        <v>306</v>
      </c>
      <c r="H3" s="62" t="s">
        <v>358</v>
      </c>
      <c r="I3" s="20" t="s">
        <v>357</v>
      </c>
      <c r="J3" s="20" t="s">
        <v>324</v>
      </c>
      <c r="K3" s="62" t="s">
        <v>359</v>
      </c>
      <c r="L3" s="20" t="s">
        <v>356</v>
      </c>
      <c r="M3" s="20" t="s">
        <v>325</v>
      </c>
      <c r="N3" s="33" t="s">
        <v>130</v>
      </c>
      <c r="O3" s="33" t="s">
        <v>129</v>
      </c>
      <c r="P3" s="62" t="s">
        <v>360</v>
      </c>
      <c r="Q3" s="20" t="s">
        <v>355</v>
      </c>
      <c r="R3" s="20" t="s">
        <v>326</v>
      </c>
      <c r="S3" s="62" t="s">
        <v>361</v>
      </c>
      <c r="T3" s="20" t="s">
        <v>353</v>
      </c>
      <c r="U3" s="20" t="s">
        <v>327</v>
      </c>
      <c r="V3" s="60" t="s">
        <v>364</v>
      </c>
      <c r="W3" s="60" t="s">
        <v>365</v>
      </c>
      <c r="X3" s="60" t="s">
        <v>366</v>
      </c>
      <c r="Y3" s="60" t="s">
        <v>367</v>
      </c>
      <c r="Z3" s="20" t="s">
        <v>80</v>
      </c>
      <c r="AA3" s="20" t="s">
        <v>79</v>
      </c>
      <c r="AB3" s="20" t="s">
        <v>128</v>
      </c>
      <c r="AC3" s="33" t="s">
        <v>318</v>
      </c>
      <c r="AD3" s="33" t="s">
        <v>317</v>
      </c>
      <c r="AE3" s="39" t="s">
        <v>321</v>
      </c>
      <c r="AF3" s="56" t="s">
        <v>371</v>
      </c>
      <c r="AG3" s="20" t="s">
        <v>103</v>
      </c>
      <c r="AH3" s="20" t="s">
        <v>104</v>
      </c>
      <c r="AI3" s="20" t="s">
        <v>132</v>
      </c>
      <c r="AJ3" s="20" t="s">
        <v>233</v>
      </c>
      <c r="AK3" s="20" t="s">
        <v>234</v>
      </c>
      <c r="AL3" s="20" t="s">
        <v>138</v>
      </c>
    </row>
    <row r="4" spans="1:39" ht="16.5">
      <c r="A4" s="20" t="s">
        <v>231</v>
      </c>
      <c r="B4" s="54" t="s">
        <v>204</v>
      </c>
      <c r="C4" s="20" t="s">
        <v>110</v>
      </c>
      <c r="D4" s="20">
        <v>82.5</v>
      </c>
      <c r="E4" s="20">
        <v>0.9</v>
      </c>
      <c r="F4" s="20">
        <v>1</v>
      </c>
      <c r="G4" s="20">
        <v>100</v>
      </c>
      <c r="H4" s="62">
        <v>30</v>
      </c>
      <c r="I4" s="20">
        <f>VLOOKUP($C4,兵士关于时代的建筑和勋号加成!$A$26:$K$35,2,0)</f>
        <v>2.8</v>
      </c>
      <c r="J4" s="20">
        <v>2.2000000000000002</v>
      </c>
      <c r="K4" s="62">
        <v>20</v>
      </c>
      <c r="L4" s="20">
        <f>VLOOKUP($C4,兵士关于时代的建筑和勋号加成!$A$26:$K$35,3,0)</f>
        <v>2.2000000000000002</v>
      </c>
      <c r="M4" s="20">
        <v>1.6</v>
      </c>
      <c r="N4" s="34">
        <f t="shared" ref="N4:N35" si="0">AB4/D4</f>
        <v>155.07573907121918</v>
      </c>
      <c r="O4" s="34">
        <f t="shared" ref="O4:O35" si="1">AB4/E4</f>
        <v>14215.276081528424</v>
      </c>
      <c r="P4" s="62">
        <v>0</v>
      </c>
      <c r="Q4" s="20">
        <f>VLOOKUP($C4,兵士关于时代的建筑和勋号加成!$A$26:$K$35,4,0)</f>
        <v>1</v>
      </c>
      <c r="R4" s="20">
        <f>VLOOKUP($C4,兵士关于时代的建筑和勋号加成!$A$26:$K$35,8,0)</f>
        <v>1</v>
      </c>
      <c r="S4" s="62">
        <v>0</v>
      </c>
      <c r="T4" s="20">
        <f>VLOOKUP($C4,兵士关于时代的建筑和勋号加成!$A$26:$K$35,5,0)</f>
        <v>1</v>
      </c>
      <c r="U4" s="20">
        <f>VLOOKUP($C4,兵士关于时代的建筑和勋号加成!$A$26:$K$35,9,0)</f>
        <v>1</v>
      </c>
      <c r="V4" s="60">
        <f t="shared" ref="V4:V35" si="2">H4*(I4+$B$1/100)*J4</f>
        <v>204.6</v>
      </c>
      <c r="W4" s="60">
        <f t="shared" ref="W4:W35" si="3">K4*(L4+$B$1/100)*M4</f>
        <v>80</v>
      </c>
      <c r="X4" s="60">
        <f t="shared" ref="X4:X35" si="4">P4*Q4*R4</f>
        <v>0</v>
      </c>
      <c r="Y4" s="60">
        <f t="shared" ref="Y4:Y35" si="5">S4*T4*U4</f>
        <v>0</v>
      </c>
      <c r="Z4" s="23">
        <f t="shared" ref="Z4:Z35" si="6">SQRT(V4*W4)</f>
        <v>127.93748473375581</v>
      </c>
      <c r="AA4" s="23">
        <f t="shared" ref="AA4:AA35" si="7">SQRT(V4/W4)</f>
        <v>1.5992185591719477</v>
      </c>
      <c r="AB4" s="23">
        <f t="shared" ref="AB4:AB35" si="8">Z4*G4</f>
        <v>12793.748473375581</v>
      </c>
      <c r="AC4" s="20">
        <f>8</f>
        <v>8</v>
      </c>
      <c r="AD4" s="20">
        <v>16</v>
      </c>
      <c r="AE4" s="39">
        <f t="shared" ref="AE4:AE35" si="9">AB4*SUM(AC4:AD4)</f>
        <v>307049.96336101391</v>
      </c>
      <c r="AF4" s="56">
        <f t="shared" ref="AF4:AF35" si="10">E4*SUM(AC4:AD4)</f>
        <v>21.6</v>
      </c>
      <c r="AG4" s="20" t="s">
        <v>212</v>
      </c>
      <c r="AH4" s="20" t="s">
        <v>116</v>
      </c>
      <c r="AI4" s="20" t="s">
        <v>109</v>
      </c>
      <c r="AJ4" s="20" t="s">
        <v>267</v>
      </c>
      <c r="AK4" s="20" t="s">
        <v>205</v>
      </c>
      <c r="AL4" s="20" t="s">
        <v>140</v>
      </c>
    </row>
    <row r="5" spans="1:39" ht="16.5">
      <c r="A5" s="20" t="s">
        <v>200</v>
      </c>
      <c r="B5" s="54" t="s">
        <v>164</v>
      </c>
      <c r="C5" s="20" t="s">
        <v>107</v>
      </c>
      <c r="D5" s="20">
        <v>150</v>
      </c>
      <c r="E5" s="20">
        <v>2</v>
      </c>
      <c r="F5" s="20">
        <v>1</v>
      </c>
      <c r="G5" s="20">
        <v>100</v>
      </c>
      <c r="H5" s="62">
        <v>45</v>
      </c>
      <c r="I5" s="20">
        <f>VLOOKUP($C5,兵士关于时代的建筑和勋号加成!$A$26:$K$35,2,0)</f>
        <v>2.8</v>
      </c>
      <c r="J5" s="20">
        <f>VLOOKUP($C5,兵士关于时代的建筑和勋号加成!$A$26:$K$35,6,0)</f>
        <v>1.6</v>
      </c>
      <c r="K5" s="62">
        <v>30</v>
      </c>
      <c r="L5" s="20">
        <f>0.4+VLOOKUP($C5,兵士关于时代的建筑和勋号加成!$A$26:$K$35,3,0)</f>
        <v>2.6</v>
      </c>
      <c r="M5" s="20">
        <f>VLOOKUP($C5,兵士关于时代的建筑和勋号加成!$A$26:$K$35,7,0)</f>
        <v>1.3</v>
      </c>
      <c r="N5" s="34">
        <f t="shared" si="0"/>
        <v>105.92223562595343</v>
      </c>
      <c r="O5" s="34">
        <f t="shared" si="1"/>
        <v>7944.1676719465077</v>
      </c>
      <c r="P5" s="62">
        <v>10</v>
      </c>
      <c r="Q5" s="20">
        <f>VLOOKUP($C5,兵士关于时代的建筑和勋号加成!$A$26:$K$35,4,0)</f>
        <v>1</v>
      </c>
      <c r="R5" s="20">
        <f>VLOOKUP($C5,兵士关于时代的建筑和勋号加成!$A$26:$K$35,8,0)</f>
        <v>1</v>
      </c>
      <c r="S5" s="62">
        <v>0</v>
      </c>
      <c r="T5" s="20">
        <f>VLOOKUP($C5,兵士关于时代的建筑和勋号加成!$A$26:$K$35,5,0)</f>
        <v>1</v>
      </c>
      <c r="U5" s="20">
        <f>VLOOKUP($C5,兵士关于时代的建筑和勋号加成!$A$26:$K$35,9,0)</f>
        <v>1</v>
      </c>
      <c r="V5" s="60">
        <f t="shared" si="2"/>
        <v>223.19999999999996</v>
      </c>
      <c r="W5" s="60">
        <f t="shared" si="3"/>
        <v>113.10000000000001</v>
      </c>
      <c r="X5" s="60">
        <f t="shared" si="4"/>
        <v>10</v>
      </c>
      <c r="Y5" s="60">
        <f t="shared" si="5"/>
        <v>0</v>
      </c>
      <c r="Z5" s="23">
        <f t="shared" si="6"/>
        <v>158.88335343893016</v>
      </c>
      <c r="AA5" s="23">
        <f t="shared" si="7"/>
        <v>1.4048041860206024</v>
      </c>
      <c r="AB5" s="23">
        <f t="shared" si="8"/>
        <v>15888.335343893015</v>
      </c>
      <c r="AC5" s="20">
        <f>8</f>
        <v>8</v>
      </c>
      <c r="AD5" s="20">
        <f>VLOOKUP($C5,兵士关于时代的建筑和勋号加成!$A$26:$K$35,11,0)+2</f>
        <v>8</v>
      </c>
      <c r="AE5" s="39">
        <f t="shared" si="9"/>
        <v>254213.36550228824</v>
      </c>
      <c r="AF5" s="56">
        <f t="shared" si="10"/>
        <v>32</v>
      </c>
      <c r="AG5" s="20" t="s">
        <v>192</v>
      </c>
      <c r="AH5" s="20" t="s">
        <v>193</v>
      </c>
      <c r="AI5" s="20" t="s">
        <v>109</v>
      </c>
      <c r="AJ5" s="20" t="s">
        <v>265</v>
      </c>
      <c r="AK5" s="20"/>
      <c r="AL5" s="20" t="s">
        <v>194</v>
      </c>
    </row>
    <row r="6" spans="1:39" hidden="1">
      <c r="A6" s="20" t="s">
        <v>231</v>
      </c>
      <c r="B6" s="54" t="s">
        <v>206</v>
      </c>
      <c r="C6" s="20" t="s">
        <v>107</v>
      </c>
      <c r="D6" s="20">
        <v>180</v>
      </c>
      <c r="E6" s="20">
        <v>2.4</v>
      </c>
      <c r="F6" s="20">
        <v>1</v>
      </c>
      <c r="G6" s="20">
        <v>100</v>
      </c>
      <c r="H6" s="20">
        <v>60</v>
      </c>
      <c r="I6" s="20">
        <f>VLOOKUP($C6,兵士关于时代的建筑和勋号加成!$A$26:$K$35,2,0)</f>
        <v>2.8</v>
      </c>
      <c r="J6" s="20">
        <f>VLOOKUP($C6,兵士关于时代的建筑和勋号加成!$A$26:$K$35,6,0)</f>
        <v>1.6</v>
      </c>
      <c r="K6" s="20">
        <v>30</v>
      </c>
      <c r="L6" s="20">
        <f>VLOOKUP($C6,兵士关于时代的建筑和勋号加成!$A$26:$K$35,3,0)</f>
        <v>2.2000000000000002</v>
      </c>
      <c r="M6" s="20">
        <f>VLOOKUP($C6,兵士关于时代的建筑和勋号加成!$A$26:$K$35,7,0)</f>
        <v>1.3</v>
      </c>
      <c r="N6" s="34">
        <f t="shared" si="0"/>
        <v>94.633797110522593</v>
      </c>
      <c r="O6" s="34">
        <f t="shared" si="1"/>
        <v>7097.5347832891948</v>
      </c>
      <c r="P6" s="20">
        <v>0</v>
      </c>
      <c r="Q6" s="20">
        <f>VLOOKUP($C6,兵士关于时代的建筑和勋号加成!$A$26:$K$35,4,0)</f>
        <v>1</v>
      </c>
      <c r="R6" s="20">
        <f>VLOOKUP($C6,兵士关于时代的建筑和勋号加成!$A$26:$K$35,8,0)</f>
        <v>1</v>
      </c>
      <c r="S6" s="20">
        <v>20</v>
      </c>
      <c r="T6" s="20">
        <f>VLOOKUP($C6,兵士关于时代的建筑和勋号加成!$A$26:$K$35,5,0)</f>
        <v>1</v>
      </c>
      <c r="U6" s="20">
        <f>VLOOKUP($C6,兵士关于时代的建筑和勋号加成!$A$26:$K$35,9,0)</f>
        <v>1</v>
      </c>
      <c r="V6" s="60">
        <f t="shared" si="2"/>
        <v>297.59999999999997</v>
      </c>
      <c r="W6" s="60">
        <f t="shared" si="3"/>
        <v>97.5</v>
      </c>
      <c r="X6" s="60">
        <f t="shared" si="4"/>
        <v>0</v>
      </c>
      <c r="Y6" s="60">
        <f t="shared" si="5"/>
        <v>20</v>
      </c>
      <c r="Z6" s="23">
        <f t="shared" si="6"/>
        <v>170.34083479894068</v>
      </c>
      <c r="AA6" s="23">
        <f t="shared" si="7"/>
        <v>1.7470854851173403</v>
      </c>
      <c r="AB6" s="23">
        <f t="shared" si="8"/>
        <v>17034.083479894067</v>
      </c>
      <c r="AC6" s="20">
        <f>8</f>
        <v>8</v>
      </c>
      <c r="AD6" s="20">
        <f>VLOOKUP($C6,兵士关于时代的建筑和勋号加成!$A$26:$K$35,11,0)</f>
        <v>6</v>
      </c>
      <c r="AE6" s="39">
        <f t="shared" si="9"/>
        <v>238477.16871851694</v>
      </c>
      <c r="AF6" s="56">
        <f t="shared" si="10"/>
        <v>33.6</v>
      </c>
      <c r="AG6" s="20" t="s">
        <v>115</v>
      </c>
      <c r="AH6" s="20" t="s">
        <v>109</v>
      </c>
      <c r="AI6" s="20" t="s">
        <v>109</v>
      </c>
      <c r="AJ6" s="20" t="s">
        <v>269</v>
      </c>
      <c r="AK6" s="20" t="s">
        <v>207</v>
      </c>
      <c r="AL6" s="20" t="s">
        <v>146</v>
      </c>
    </row>
    <row r="7" spans="1:39" ht="24.75">
      <c r="A7" s="20" t="s">
        <v>200</v>
      </c>
      <c r="B7" s="54" t="s">
        <v>143</v>
      </c>
      <c r="C7" s="20" t="s">
        <v>119</v>
      </c>
      <c r="D7" s="20">
        <v>260</v>
      </c>
      <c r="E7" s="20">
        <v>2.73</v>
      </c>
      <c r="F7" s="20">
        <v>0.85</v>
      </c>
      <c r="G7" s="20">
        <v>50</v>
      </c>
      <c r="H7" s="62">
        <v>120</v>
      </c>
      <c r="I7" s="20">
        <f>VLOOKUP($C7,兵士关于时代的建筑和勋号加成!$A$26:$K$35,2,0)</f>
        <v>3</v>
      </c>
      <c r="J7" s="20">
        <f>VLOOKUP($C7,兵士关于时代的建筑和勋号加成!$A$26:$K$35,6,0)</f>
        <v>1.6</v>
      </c>
      <c r="K7" s="62">
        <v>35</v>
      </c>
      <c r="L7" s="20">
        <f>VLOOKUP($C7,兵士关于时代的建筑和勋号加成!$A$26:$K$35,3,0)</f>
        <v>2.4</v>
      </c>
      <c r="M7" s="20">
        <f>VLOOKUP($C7,兵士关于时代的建筑和勋号加成!$A$26:$K$35,7,0)</f>
        <v>1.3</v>
      </c>
      <c r="N7" s="34">
        <f t="shared" si="0"/>
        <v>53.652729516916324</v>
      </c>
      <c r="O7" s="34">
        <f t="shared" si="1"/>
        <v>5109.7837635158403</v>
      </c>
      <c r="P7" s="62">
        <v>25</v>
      </c>
      <c r="Q7" s="20">
        <f>VLOOKUP($C7,兵士关于时代的建筑和勋号加成!$A$26:$K$35,4,0)</f>
        <v>1</v>
      </c>
      <c r="R7" s="20">
        <f>VLOOKUP($C7,兵士关于时代的建筑和勋号加成!$A$26:$K$35,8,0)</f>
        <v>1</v>
      </c>
      <c r="S7" s="62">
        <v>10</v>
      </c>
      <c r="T7" s="20">
        <f>VLOOKUP($C7,兵士关于时代的建筑和勋号加成!$A$26:$K$35,5,0)</f>
        <v>1</v>
      </c>
      <c r="U7" s="20">
        <f>VLOOKUP($C7,兵士关于时代的建筑和勋号加成!$A$26:$K$35,9,0)</f>
        <v>1</v>
      </c>
      <c r="V7" s="60">
        <f t="shared" si="2"/>
        <v>633.6</v>
      </c>
      <c r="W7" s="60">
        <f t="shared" si="3"/>
        <v>122.84999999999998</v>
      </c>
      <c r="X7" s="60">
        <f t="shared" si="4"/>
        <v>25</v>
      </c>
      <c r="Y7" s="60">
        <f t="shared" si="5"/>
        <v>10</v>
      </c>
      <c r="Z7" s="23">
        <f t="shared" si="6"/>
        <v>278.99419348796488</v>
      </c>
      <c r="AA7" s="23">
        <f t="shared" si="7"/>
        <v>2.2710150060070404</v>
      </c>
      <c r="AB7" s="23">
        <f t="shared" si="8"/>
        <v>13949.709674398244</v>
      </c>
      <c r="AC7" s="20">
        <f>8</f>
        <v>8</v>
      </c>
      <c r="AD7" s="20">
        <f>VLOOKUP($C7,兵士关于时代的建筑和勋号加成!$A$26:$K$35,11,0)+2</f>
        <v>8</v>
      </c>
      <c r="AE7" s="39">
        <f t="shared" si="9"/>
        <v>223195.3547903719</v>
      </c>
      <c r="AF7" s="56">
        <f t="shared" si="10"/>
        <v>43.68</v>
      </c>
      <c r="AG7" s="20" t="s">
        <v>110</v>
      </c>
      <c r="AH7" s="20" t="s">
        <v>113</v>
      </c>
      <c r="AI7" s="20" t="s">
        <v>120</v>
      </c>
      <c r="AJ7" s="20" t="s">
        <v>244</v>
      </c>
      <c r="AK7" s="20"/>
      <c r="AL7" s="20" t="s">
        <v>140</v>
      </c>
    </row>
    <row r="8" spans="1:39" ht="16.5">
      <c r="A8" s="20" t="s">
        <v>200</v>
      </c>
      <c r="B8" s="54" t="s">
        <v>151</v>
      </c>
      <c r="C8" s="20" t="s">
        <v>107</v>
      </c>
      <c r="D8" s="20">
        <v>115</v>
      </c>
      <c r="E8" s="20">
        <v>1.53</v>
      </c>
      <c r="F8" s="20">
        <v>1</v>
      </c>
      <c r="G8" s="20">
        <v>100</v>
      </c>
      <c r="H8" s="62">
        <v>40</v>
      </c>
      <c r="I8" s="20">
        <f>VLOOKUP($C8,兵士关于时代的建筑和勋号加成!$A$26:$K$35,2,0)</f>
        <v>2.8</v>
      </c>
      <c r="J8" s="20">
        <f>VLOOKUP($C8,兵士关于时代的建筑和勋号加成!$A$26:$K$35,6,0)</f>
        <v>1.6</v>
      </c>
      <c r="K8" s="62">
        <v>26</v>
      </c>
      <c r="L8" s="20">
        <f>0.4+VLOOKUP($C8,兵士关于时代的建筑和勋号加成!$A$26:$K$35,3,0)</f>
        <v>2.6</v>
      </c>
      <c r="M8" s="20">
        <f>VLOOKUP($C8,兵士关于时代的建筑和勋号加成!$A$26:$K$35,7,0)</f>
        <v>1.3</v>
      </c>
      <c r="N8" s="34">
        <f t="shared" si="0"/>
        <v>121.26356802459966</v>
      </c>
      <c r="O8" s="34">
        <f t="shared" si="1"/>
        <v>9114.581910345727</v>
      </c>
      <c r="P8" s="62">
        <v>0</v>
      </c>
      <c r="Q8" s="20">
        <f>VLOOKUP($C8,兵士关于时代的建筑和勋号加成!$A$26:$K$35,4,0)</f>
        <v>1</v>
      </c>
      <c r="R8" s="20">
        <f>VLOOKUP($C8,兵士关于时代的建筑和勋号加成!$A$26:$K$35,8,0)</f>
        <v>1</v>
      </c>
      <c r="S8" s="62">
        <v>24</v>
      </c>
      <c r="T8" s="20">
        <f>VLOOKUP($C8,兵士关于时代的建筑和勋号加成!$A$26:$K$35,5,0)</f>
        <v>1</v>
      </c>
      <c r="U8" s="20">
        <f>VLOOKUP($C8,兵士关于时代的建筑和勋号加成!$A$26:$K$35,9,0)</f>
        <v>1</v>
      </c>
      <c r="V8" s="60">
        <f t="shared" si="2"/>
        <v>198.39999999999998</v>
      </c>
      <c r="W8" s="60">
        <f t="shared" si="3"/>
        <v>98.02</v>
      </c>
      <c r="X8" s="60">
        <f t="shared" si="4"/>
        <v>0</v>
      </c>
      <c r="Y8" s="60">
        <f t="shared" si="5"/>
        <v>24</v>
      </c>
      <c r="Z8" s="23">
        <f t="shared" si="6"/>
        <v>139.45310322828962</v>
      </c>
      <c r="AA8" s="23">
        <f t="shared" si="7"/>
        <v>1.4227005022269905</v>
      </c>
      <c r="AB8" s="23">
        <f t="shared" si="8"/>
        <v>13945.310322828962</v>
      </c>
      <c r="AC8" s="20">
        <f>8</f>
        <v>8</v>
      </c>
      <c r="AD8" s="20">
        <f>2+VLOOKUP($C8,兵士关于时代的建筑和勋号加成!$A$26:$K$35,11,0)</f>
        <v>8</v>
      </c>
      <c r="AE8" s="39">
        <f t="shared" si="9"/>
        <v>223124.96516526339</v>
      </c>
      <c r="AF8" s="56">
        <f t="shared" si="10"/>
        <v>24.48</v>
      </c>
      <c r="AG8" s="20" t="s">
        <v>173</v>
      </c>
      <c r="AH8" s="20" t="s">
        <v>174</v>
      </c>
      <c r="AI8" s="20" t="s">
        <v>109</v>
      </c>
      <c r="AJ8" s="20" t="s">
        <v>251</v>
      </c>
      <c r="AK8" s="20"/>
      <c r="AL8" s="20" t="s">
        <v>140</v>
      </c>
    </row>
    <row r="9" spans="1:39" ht="24.75" hidden="1">
      <c r="A9" s="20" t="s">
        <v>200</v>
      </c>
      <c r="B9" s="54" t="s">
        <v>145</v>
      </c>
      <c r="C9" s="20" t="s">
        <v>119</v>
      </c>
      <c r="D9" s="20">
        <v>240</v>
      </c>
      <c r="E9" s="20">
        <v>2.52</v>
      </c>
      <c r="F9" s="20">
        <v>1</v>
      </c>
      <c r="G9" s="20">
        <v>50</v>
      </c>
      <c r="H9" s="20">
        <v>125</v>
      </c>
      <c r="I9" s="20">
        <f>VLOOKUP($C9,兵士关于时代的建筑和勋号加成!$A$26:$K$35,2,0)</f>
        <v>3</v>
      </c>
      <c r="J9" s="20">
        <f>VLOOKUP($C9,兵士关于时代的建筑和勋号加成!$A$26:$K$35,6,0)</f>
        <v>1.6</v>
      </c>
      <c r="K9" s="20">
        <v>40</v>
      </c>
      <c r="L9" s="20">
        <f>VLOOKUP($C9,兵士关于时代的建筑和勋号加成!$A$26:$K$35,3,0)</f>
        <v>2.4</v>
      </c>
      <c r="M9" s="20">
        <f>VLOOKUP($C9,兵士关于时代的建筑和勋号加成!$A$26:$K$35,7,0)</f>
        <v>1.3</v>
      </c>
      <c r="N9" s="34">
        <f t="shared" si="0"/>
        <v>63.418254469829108</v>
      </c>
      <c r="O9" s="34">
        <f t="shared" si="1"/>
        <v>6039.833759031344</v>
      </c>
      <c r="P9" s="20">
        <v>20</v>
      </c>
      <c r="Q9" s="20">
        <f>VLOOKUP($C9,兵士关于时代的建筑和勋号加成!$A$26:$K$35,4,0)</f>
        <v>1</v>
      </c>
      <c r="R9" s="20">
        <f>VLOOKUP($C9,兵士关于时代的建筑和勋号加成!$A$26:$K$35,8,0)</f>
        <v>1</v>
      </c>
      <c r="S9" s="20">
        <v>10</v>
      </c>
      <c r="T9" s="20">
        <f>VLOOKUP($C9,兵士关于时代的建筑和勋号加成!$A$26:$K$35,5,0)</f>
        <v>1</v>
      </c>
      <c r="U9" s="20">
        <f>VLOOKUP($C9,兵士关于时代的建筑和勋号加成!$A$26:$K$35,9,0)</f>
        <v>1</v>
      </c>
      <c r="V9" s="60">
        <f t="shared" si="2"/>
        <v>660</v>
      </c>
      <c r="W9" s="60">
        <f t="shared" si="3"/>
        <v>140.39999999999998</v>
      </c>
      <c r="X9" s="60">
        <f t="shared" si="4"/>
        <v>20</v>
      </c>
      <c r="Y9" s="60">
        <f t="shared" si="5"/>
        <v>10</v>
      </c>
      <c r="Z9" s="23">
        <f t="shared" si="6"/>
        <v>304.40762145517971</v>
      </c>
      <c r="AA9" s="23">
        <f t="shared" si="7"/>
        <v>2.1681454519599699</v>
      </c>
      <c r="AB9" s="23">
        <f t="shared" si="8"/>
        <v>15220.381072758986</v>
      </c>
      <c r="AC9" s="20">
        <f>8</f>
        <v>8</v>
      </c>
      <c r="AD9" s="20">
        <f>VLOOKUP($C9,兵士关于时代的建筑和勋号加成!$A$26:$K$35,11,0)</f>
        <v>6</v>
      </c>
      <c r="AE9" s="39">
        <f t="shared" si="9"/>
        <v>213085.3350186258</v>
      </c>
      <c r="AF9" s="56">
        <f t="shared" si="10"/>
        <v>35.28</v>
      </c>
      <c r="AG9" s="20" t="s">
        <v>110</v>
      </c>
      <c r="AH9" s="20" t="s">
        <v>113</v>
      </c>
      <c r="AI9" s="20" t="s">
        <v>167</v>
      </c>
      <c r="AJ9" s="20" t="s">
        <v>246</v>
      </c>
      <c r="AK9" s="20"/>
      <c r="AL9" s="20" t="s">
        <v>146</v>
      </c>
    </row>
    <row r="10" spans="1:39" ht="33">
      <c r="A10" s="20" t="s">
        <v>287</v>
      </c>
      <c r="B10" s="64" t="s">
        <v>309</v>
      </c>
      <c r="C10" s="20" t="s">
        <v>289</v>
      </c>
      <c r="D10" s="20">
        <v>63</v>
      </c>
      <c r="E10" s="20">
        <v>0.63</v>
      </c>
      <c r="F10" s="20">
        <v>1</v>
      </c>
      <c r="G10" s="20">
        <v>100</v>
      </c>
      <c r="H10" s="62">
        <v>30</v>
      </c>
      <c r="I10" s="20">
        <f>VLOOKUP($C10,兵士关于时代的建筑和勋号加成!$A$26:$K$35,2,0)</f>
        <v>2.8</v>
      </c>
      <c r="J10" s="20">
        <f>VLOOKUP($C10,兵士关于时代的建筑和勋号加成!$A$26:$K$35,6,0)</f>
        <v>1.6</v>
      </c>
      <c r="K10" s="62">
        <v>30</v>
      </c>
      <c r="L10" s="20">
        <f>VLOOKUP($C10,兵士关于时代的建筑和勋号加成!$A$26:$K$35,3,0)</f>
        <v>2.4</v>
      </c>
      <c r="M10" s="20">
        <f>VLOOKUP($C10,兵士关于时代的建筑和勋号加成!$A$26:$K$35,7,0)</f>
        <v>1.3</v>
      </c>
      <c r="N10" s="34">
        <f t="shared" si="0"/>
        <v>198.68958457958522</v>
      </c>
      <c r="O10" s="34">
        <f t="shared" si="1"/>
        <v>19868.958457958524</v>
      </c>
      <c r="P10" s="62">
        <v>40</v>
      </c>
      <c r="Q10" s="20">
        <f>VLOOKUP($C10,兵士关于时代的建筑和勋号加成!$A$26:$K$35,4,0)</f>
        <v>1.8</v>
      </c>
      <c r="R10" s="20">
        <f>VLOOKUP($C10,兵士关于时代的建筑和勋号加成!$A$26:$K$35,8,0)</f>
        <v>1</v>
      </c>
      <c r="S10" s="62">
        <v>40</v>
      </c>
      <c r="T10" s="20">
        <f>VLOOKUP($C10,兵士关于时代的建筑和勋号加成!$A$26:$K$35,5,0)</f>
        <v>1.6</v>
      </c>
      <c r="U10" s="20">
        <f>VLOOKUP($C10,兵士关于时代的建筑和勋号加成!$A$26:$K$35,9,0)</f>
        <v>1.5</v>
      </c>
      <c r="V10" s="60">
        <f t="shared" si="2"/>
        <v>148.79999999999998</v>
      </c>
      <c r="W10" s="60">
        <f t="shared" si="3"/>
        <v>105.29999999999998</v>
      </c>
      <c r="X10" s="60">
        <f t="shared" si="4"/>
        <v>72</v>
      </c>
      <c r="Y10" s="60">
        <f t="shared" si="5"/>
        <v>96</v>
      </c>
      <c r="Z10" s="23">
        <f t="shared" si="6"/>
        <v>125.17443828513869</v>
      </c>
      <c r="AA10" s="23">
        <f t="shared" si="7"/>
        <v>1.1887411043223051</v>
      </c>
      <c r="AB10" s="23">
        <f t="shared" si="8"/>
        <v>12517.443828513869</v>
      </c>
      <c r="AC10" s="20">
        <f>8</f>
        <v>8</v>
      </c>
      <c r="AD10" s="20">
        <f>VLOOKUP($C10,兵士关于时代的建筑和勋号加成!$A$26:$K$35,11,0)</f>
        <v>8</v>
      </c>
      <c r="AE10" s="39">
        <f t="shared" si="9"/>
        <v>200279.10125622191</v>
      </c>
      <c r="AF10" s="56">
        <f t="shared" si="10"/>
        <v>10.08</v>
      </c>
      <c r="AG10" s="20" t="s">
        <v>134</v>
      </c>
      <c r="AH10" s="20" t="s">
        <v>135</v>
      </c>
      <c r="AI10" s="20" t="s">
        <v>136</v>
      </c>
      <c r="AJ10" s="20" t="s">
        <v>137</v>
      </c>
      <c r="AK10" s="20"/>
      <c r="AL10" s="20" t="s">
        <v>194</v>
      </c>
    </row>
    <row r="11" spans="1:39" ht="16.5" hidden="1">
      <c r="A11" s="20" t="s">
        <v>200</v>
      </c>
      <c r="B11" s="54" t="s">
        <v>159</v>
      </c>
      <c r="C11" s="20" t="s">
        <v>115</v>
      </c>
      <c r="D11" s="20">
        <v>112.5</v>
      </c>
      <c r="E11" s="20">
        <v>1.35</v>
      </c>
      <c r="F11" s="20">
        <v>1</v>
      </c>
      <c r="G11" s="20">
        <v>100</v>
      </c>
      <c r="H11" s="20">
        <v>36</v>
      </c>
      <c r="I11" s="20">
        <f>VLOOKUP($C11,兵士关于时代的建筑和勋号加成!$A$26:$K$35,2,0)</f>
        <v>3</v>
      </c>
      <c r="J11" s="20">
        <f>VLOOKUP($C11,兵士关于时代的建筑和勋号加成!$A$26:$K$35,6,0)</f>
        <v>1.5</v>
      </c>
      <c r="K11" s="20">
        <v>28</v>
      </c>
      <c r="L11" s="20">
        <f>VLOOKUP($C11,兵士关于时代的建筑和勋号加成!$A$26:$K$35,3,0)</f>
        <v>2.25</v>
      </c>
      <c r="M11" s="20">
        <f>VLOOKUP($C11,兵士关于时代的建筑和勋号加成!$A$26:$K$35,7,0)</f>
        <v>1.6</v>
      </c>
      <c r="N11" s="34">
        <f t="shared" si="0"/>
        <v>126.82662181103777</v>
      </c>
      <c r="O11" s="34">
        <f t="shared" si="1"/>
        <v>10568.885150919814</v>
      </c>
      <c r="P11" s="20">
        <v>0</v>
      </c>
      <c r="Q11" s="20">
        <f>VLOOKUP($C11,兵士关于时代的建筑和勋号加成!$A$26:$K$35,4,0)</f>
        <v>1</v>
      </c>
      <c r="R11" s="20">
        <f>VLOOKUP($C11,兵士关于时代的建筑和勋号加成!$A$26:$K$35,8,0)</f>
        <v>1</v>
      </c>
      <c r="S11" s="20">
        <v>0</v>
      </c>
      <c r="T11" s="20">
        <f>VLOOKUP($C11,兵士关于时代的建筑和勋号加成!$A$26:$K$35,5,0)</f>
        <v>1</v>
      </c>
      <c r="U11" s="20">
        <f>VLOOKUP($C11,兵士关于时代的建筑和勋号加成!$A$26:$K$35,9,0)</f>
        <v>1</v>
      </c>
      <c r="V11" s="60">
        <f t="shared" si="2"/>
        <v>178.2</v>
      </c>
      <c r="W11" s="60">
        <f t="shared" si="3"/>
        <v>114.24</v>
      </c>
      <c r="X11" s="60">
        <f t="shared" si="4"/>
        <v>0</v>
      </c>
      <c r="Y11" s="60">
        <f t="shared" si="5"/>
        <v>0</v>
      </c>
      <c r="Z11" s="23">
        <f t="shared" si="6"/>
        <v>142.67994953741749</v>
      </c>
      <c r="AA11" s="23">
        <f t="shared" si="7"/>
        <v>1.2489491381076461</v>
      </c>
      <c r="AB11" s="23">
        <f t="shared" si="8"/>
        <v>14267.994953741749</v>
      </c>
      <c r="AC11" s="20">
        <f>8</f>
        <v>8</v>
      </c>
      <c r="AD11" s="20">
        <f>VLOOKUP($C11,兵士关于时代的建筑和勋号加成!$A$26:$K$35,11,0)</f>
        <v>6</v>
      </c>
      <c r="AE11" s="39">
        <f t="shared" si="9"/>
        <v>199751.92935238447</v>
      </c>
      <c r="AF11" s="56">
        <f t="shared" si="10"/>
        <v>18.900000000000002</v>
      </c>
      <c r="AG11" s="20" t="s">
        <v>183</v>
      </c>
      <c r="AH11" s="20" t="s">
        <v>184</v>
      </c>
      <c r="AI11" s="20" t="s">
        <v>109</v>
      </c>
      <c r="AJ11" s="20" t="s">
        <v>261</v>
      </c>
      <c r="AK11" s="20"/>
      <c r="AL11" s="20" t="s">
        <v>298</v>
      </c>
    </row>
    <row r="12" spans="1:39" ht="16.5" hidden="1">
      <c r="A12" s="20" t="s">
        <v>200</v>
      </c>
      <c r="B12" s="54" t="s">
        <v>312</v>
      </c>
      <c r="C12" s="20" t="s">
        <v>115</v>
      </c>
      <c r="D12" s="20">
        <v>97.5</v>
      </c>
      <c r="E12" s="20">
        <v>1.17</v>
      </c>
      <c r="F12" s="20">
        <v>1</v>
      </c>
      <c r="G12" s="20">
        <v>100</v>
      </c>
      <c r="H12" s="20">
        <v>40</v>
      </c>
      <c r="I12" s="20">
        <f>VLOOKUP($C12,兵士关于时代的建筑和勋号加成!$A$26:$K$35,2,0)</f>
        <v>3</v>
      </c>
      <c r="J12" s="20">
        <f>VLOOKUP($C12,兵士关于时代的建筑和勋号加成!$A$26:$K$35,6,0)</f>
        <v>1.5</v>
      </c>
      <c r="K12" s="20">
        <v>24</v>
      </c>
      <c r="L12" s="20">
        <f>VLOOKUP($C12,兵士关于时代的建筑和勋号加成!$A$26:$K$35,3,0)</f>
        <v>2.25</v>
      </c>
      <c r="M12" s="20">
        <f>VLOOKUP($C12,兵士关于时代的建筑和勋号加成!$A$26:$K$35,7,0)</f>
        <v>1.6</v>
      </c>
      <c r="N12" s="34">
        <f t="shared" si="0"/>
        <v>142.8116647813936</v>
      </c>
      <c r="O12" s="34">
        <f t="shared" si="1"/>
        <v>11900.972065116133</v>
      </c>
      <c r="P12" s="20">
        <v>0</v>
      </c>
      <c r="Q12" s="20">
        <f>VLOOKUP($C12,兵士关于时代的建筑和勋号加成!$A$26:$K$35,4,0)</f>
        <v>1</v>
      </c>
      <c r="R12" s="20">
        <f>VLOOKUP($C12,兵士关于时代的建筑和勋号加成!$A$26:$K$35,8,0)</f>
        <v>1</v>
      </c>
      <c r="S12" s="20">
        <v>0</v>
      </c>
      <c r="T12" s="20">
        <f>VLOOKUP($C12,兵士关于时代的建筑和勋号加成!$A$26:$K$35,5,0)</f>
        <v>1</v>
      </c>
      <c r="U12" s="20">
        <f>VLOOKUP($C12,兵士关于时代的建筑和勋号加成!$A$26:$K$35,9,0)</f>
        <v>1</v>
      </c>
      <c r="V12" s="60">
        <f t="shared" si="2"/>
        <v>198</v>
      </c>
      <c r="W12" s="60">
        <f t="shared" si="3"/>
        <v>97.92</v>
      </c>
      <c r="X12" s="60">
        <f t="shared" si="4"/>
        <v>0</v>
      </c>
      <c r="Y12" s="60">
        <f t="shared" si="5"/>
        <v>0</v>
      </c>
      <c r="Z12" s="23">
        <f t="shared" si="6"/>
        <v>139.24137316185875</v>
      </c>
      <c r="AA12" s="23">
        <f t="shared" si="7"/>
        <v>1.4219911474863027</v>
      </c>
      <c r="AB12" s="23">
        <f t="shared" si="8"/>
        <v>13924.137316185876</v>
      </c>
      <c r="AC12" s="20">
        <f>8</f>
        <v>8</v>
      </c>
      <c r="AD12" s="20">
        <f>VLOOKUP($C12,兵士关于时代的建筑和勋号加成!$A$26:$K$35,11,0)</f>
        <v>6</v>
      </c>
      <c r="AE12" s="39">
        <f t="shared" si="9"/>
        <v>194937.92242660225</v>
      </c>
      <c r="AF12" s="56">
        <f t="shared" si="10"/>
        <v>16.38</v>
      </c>
      <c r="AG12" s="20" t="s">
        <v>95</v>
      </c>
      <c r="AH12" s="20" t="s">
        <v>116</v>
      </c>
      <c r="AI12" s="20" t="s">
        <v>109</v>
      </c>
      <c r="AJ12" s="20" t="s">
        <v>259</v>
      </c>
      <c r="AK12" s="20"/>
      <c r="AL12" s="20" t="s">
        <v>315</v>
      </c>
    </row>
    <row r="13" spans="1:39">
      <c r="A13" s="20" t="s">
        <v>200</v>
      </c>
      <c r="B13" s="54" t="s">
        <v>144</v>
      </c>
      <c r="C13" s="20" t="s">
        <v>107</v>
      </c>
      <c r="D13" s="20">
        <v>117</v>
      </c>
      <c r="E13" s="20">
        <v>1.56</v>
      </c>
      <c r="F13" s="20">
        <v>1</v>
      </c>
      <c r="G13" s="20">
        <v>100</v>
      </c>
      <c r="H13" s="62">
        <v>40</v>
      </c>
      <c r="I13" s="20">
        <f>VLOOKUP($C13,兵士关于时代的建筑和勋号加成!$A$26:$K$35,2,0)</f>
        <v>2.8</v>
      </c>
      <c r="J13" s="20">
        <f>VLOOKUP($C13,兵士关于时代的建筑和勋号加成!$A$26:$K$35,6,0)</f>
        <v>1.6</v>
      </c>
      <c r="K13" s="62">
        <v>30</v>
      </c>
      <c r="L13" s="20">
        <f>VLOOKUP($C13,兵士关于时代的建筑和勋号加成!$A$26:$K$35,3,0)</f>
        <v>2.2000000000000002</v>
      </c>
      <c r="M13" s="20">
        <f>VLOOKUP($C13,兵士关于时代的建筑和勋号加成!$A$26:$K$35,7,0)</f>
        <v>1.3</v>
      </c>
      <c r="N13" s="34">
        <f t="shared" si="0"/>
        <v>118.87411043223048</v>
      </c>
      <c r="O13" s="34">
        <f t="shared" si="1"/>
        <v>8915.558282417287</v>
      </c>
      <c r="P13" s="62">
        <v>0</v>
      </c>
      <c r="Q13" s="20">
        <f>VLOOKUP($C13,兵士关于时代的建筑和勋号加成!$A$26:$K$35,4,0)</f>
        <v>1</v>
      </c>
      <c r="R13" s="20">
        <f>VLOOKUP($C13,兵士关于时代的建筑和勋号加成!$A$26:$K$35,8,0)</f>
        <v>1</v>
      </c>
      <c r="S13" s="62">
        <v>30</v>
      </c>
      <c r="T13" s="20">
        <f>VLOOKUP($C13,兵士关于时代的建筑和勋号加成!$A$26:$K$35,5,0)</f>
        <v>1</v>
      </c>
      <c r="U13" s="20">
        <f>VLOOKUP($C13,兵士关于时代的建筑和勋号加成!$A$26:$K$35,9,0)</f>
        <v>1</v>
      </c>
      <c r="V13" s="60">
        <f t="shared" si="2"/>
        <v>198.39999999999998</v>
      </c>
      <c r="W13" s="60">
        <f t="shared" si="3"/>
        <v>97.5</v>
      </c>
      <c r="X13" s="60">
        <f t="shared" si="4"/>
        <v>0</v>
      </c>
      <c r="Y13" s="60">
        <f t="shared" si="5"/>
        <v>30</v>
      </c>
      <c r="Z13" s="23">
        <f t="shared" si="6"/>
        <v>139.08270920570968</v>
      </c>
      <c r="AA13" s="23">
        <f t="shared" si="7"/>
        <v>1.4264893251867659</v>
      </c>
      <c r="AB13" s="23">
        <f t="shared" si="8"/>
        <v>13908.270920570967</v>
      </c>
      <c r="AC13" s="20">
        <f>8</f>
        <v>8</v>
      </c>
      <c r="AD13" s="20">
        <f>VLOOKUP($C13,兵士关于时代的建筑和勋号加成!$A$26:$K$35,11,0)</f>
        <v>6</v>
      </c>
      <c r="AE13" s="39">
        <f t="shared" si="9"/>
        <v>194715.79288799354</v>
      </c>
      <c r="AF13" s="56">
        <f t="shared" si="10"/>
        <v>21.84</v>
      </c>
      <c r="AG13" s="20" t="s">
        <v>115</v>
      </c>
      <c r="AH13" s="20" t="s">
        <v>109</v>
      </c>
      <c r="AI13" s="20" t="s">
        <v>109</v>
      </c>
      <c r="AJ13" s="20" t="s">
        <v>245</v>
      </c>
      <c r="AK13" s="20"/>
      <c r="AL13" s="20" t="s">
        <v>140</v>
      </c>
    </row>
    <row r="14" spans="1:39">
      <c r="A14" s="20" t="s">
        <v>200</v>
      </c>
      <c r="B14" s="54" t="s">
        <v>311</v>
      </c>
      <c r="C14" s="20" t="s">
        <v>107</v>
      </c>
      <c r="D14" s="20">
        <v>108</v>
      </c>
      <c r="E14" s="20">
        <v>1.44</v>
      </c>
      <c r="F14" s="20">
        <v>1</v>
      </c>
      <c r="G14" s="20">
        <v>100</v>
      </c>
      <c r="H14" s="62">
        <v>45</v>
      </c>
      <c r="I14" s="20">
        <f>VLOOKUP($C14,兵士关于时代的建筑和勋号加成!$A$26:$K$35,2,0)</f>
        <v>2.8</v>
      </c>
      <c r="J14" s="20">
        <f>VLOOKUP($C14,兵士关于时代的建筑和勋号加成!$A$26:$K$35,6,0)</f>
        <v>1.6</v>
      </c>
      <c r="K14" s="62">
        <v>25</v>
      </c>
      <c r="L14" s="20">
        <f>VLOOKUP($C14,兵士关于时代的建筑和勋号加成!$A$26:$K$35,3,0)</f>
        <v>2.2000000000000002</v>
      </c>
      <c r="M14" s="20">
        <f>VLOOKUP($C14,兵士关于时代的建筑和勋号加成!$A$26:$K$35,7,0)</f>
        <v>1.3</v>
      </c>
      <c r="N14" s="34">
        <f t="shared" si="0"/>
        <v>124.69097604146356</v>
      </c>
      <c r="O14" s="34">
        <f t="shared" si="1"/>
        <v>9351.8232031097668</v>
      </c>
      <c r="P14" s="62">
        <v>0</v>
      </c>
      <c r="Q14" s="20">
        <f>VLOOKUP($C14,兵士关于时代的建筑和勋号加成!$A$26:$K$35,4,0)</f>
        <v>1</v>
      </c>
      <c r="R14" s="20">
        <f>VLOOKUP($C14,兵士关于时代的建筑和勋号加成!$A$26:$K$35,8,0)</f>
        <v>1</v>
      </c>
      <c r="S14" s="62">
        <v>0</v>
      </c>
      <c r="T14" s="20">
        <f>VLOOKUP($C14,兵士关于时代的建筑和勋号加成!$A$26:$K$35,5,0)</f>
        <v>1</v>
      </c>
      <c r="U14" s="20">
        <f>VLOOKUP($C14,兵士关于时代的建筑和勋号加成!$A$26:$K$35,9,0)</f>
        <v>1</v>
      </c>
      <c r="V14" s="60">
        <f t="shared" si="2"/>
        <v>223.19999999999996</v>
      </c>
      <c r="W14" s="60">
        <f t="shared" si="3"/>
        <v>81.25</v>
      </c>
      <c r="X14" s="60">
        <f t="shared" si="4"/>
        <v>0</v>
      </c>
      <c r="Y14" s="60">
        <f t="shared" si="5"/>
        <v>0</v>
      </c>
      <c r="Z14" s="23">
        <f t="shared" si="6"/>
        <v>134.66625412478064</v>
      </c>
      <c r="AA14" s="23">
        <f t="shared" si="7"/>
        <v>1.6574308199973002</v>
      </c>
      <c r="AB14" s="23">
        <f t="shared" si="8"/>
        <v>13466.625412478064</v>
      </c>
      <c r="AC14" s="20">
        <f>8</f>
        <v>8</v>
      </c>
      <c r="AD14" s="20">
        <f>VLOOKUP($C14,兵士关于时代的建筑和勋号加成!$A$26:$K$35,11,0)</f>
        <v>6</v>
      </c>
      <c r="AE14" s="39">
        <f t="shared" si="9"/>
        <v>188532.75577469289</v>
      </c>
      <c r="AF14" s="56">
        <f t="shared" si="10"/>
        <v>20.16</v>
      </c>
      <c r="AG14" s="20" t="s">
        <v>179</v>
      </c>
      <c r="AH14" s="20" t="s">
        <v>109</v>
      </c>
      <c r="AI14" s="20" t="s">
        <v>109</v>
      </c>
      <c r="AJ14" s="20" t="s">
        <v>257</v>
      </c>
      <c r="AK14" s="20"/>
      <c r="AL14" s="20" t="s">
        <v>140</v>
      </c>
    </row>
    <row r="15" spans="1:39" ht="16.5">
      <c r="A15" s="20" t="s">
        <v>200</v>
      </c>
      <c r="B15" s="54" t="s">
        <v>313</v>
      </c>
      <c r="C15" s="20" t="s">
        <v>107</v>
      </c>
      <c r="D15" s="20">
        <v>108</v>
      </c>
      <c r="E15" s="20">
        <v>1.44</v>
      </c>
      <c r="F15" s="20">
        <v>1</v>
      </c>
      <c r="G15" s="20">
        <v>100</v>
      </c>
      <c r="H15" s="62">
        <v>40</v>
      </c>
      <c r="I15" s="20">
        <f>VLOOKUP($C15,兵士关于时代的建筑和勋号加成!$A$26:$K$35,2,0)</f>
        <v>2.8</v>
      </c>
      <c r="J15" s="20">
        <f>VLOOKUP($C15,兵士关于时代的建筑和勋号加成!$A$26:$K$35,6,0)</f>
        <v>1.6</v>
      </c>
      <c r="K15" s="62">
        <v>26</v>
      </c>
      <c r="L15" s="20">
        <f>VLOOKUP($C15,兵士关于时代的建筑和勋号加成!$A$26:$K$35,3,0)</f>
        <v>2.2000000000000002</v>
      </c>
      <c r="M15" s="20">
        <f>VLOOKUP($C15,兵士关于时代的建筑和勋号加成!$A$26:$K$35,7,0)</f>
        <v>1.3</v>
      </c>
      <c r="N15" s="34">
        <f t="shared" si="0"/>
        <v>119.88792205470632</v>
      </c>
      <c r="O15" s="34">
        <f t="shared" si="1"/>
        <v>8991.5941541029733</v>
      </c>
      <c r="P15" s="62">
        <v>0</v>
      </c>
      <c r="Q15" s="20">
        <f>VLOOKUP($C15,兵士关于时代的建筑和勋号加成!$A$26:$K$35,4,0)</f>
        <v>1</v>
      </c>
      <c r="R15" s="20">
        <f>VLOOKUP($C15,兵士关于时代的建筑和勋号加成!$A$26:$K$35,8,0)</f>
        <v>1</v>
      </c>
      <c r="S15" s="62">
        <v>0</v>
      </c>
      <c r="T15" s="20">
        <f>VLOOKUP($C15,兵士关于时代的建筑和勋号加成!$A$26:$K$35,5,0)</f>
        <v>1</v>
      </c>
      <c r="U15" s="20">
        <f>VLOOKUP($C15,兵士关于时代的建筑和勋号加成!$A$26:$K$35,9,0)</f>
        <v>1</v>
      </c>
      <c r="V15" s="60">
        <f t="shared" si="2"/>
        <v>198.39999999999998</v>
      </c>
      <c r="W15" s="60">
        <f t="shared" si="3"/>
        <v>84.5</v>
      </c>
      <c r="X15" s="60">
        <f t="shared" si="4"/>
        <v>0</v>
      </c>
      <c r="Y15" s="60">
        <f t="shared" si="5"/>
        <v>0</v>
      </c>
      <c r="Z15" s="23">
        <f t="shared" si="6"/>
        <v>129.47895581908281</v>
      </c>
      <c r="AA15" s="23">
        <f t="shared" si="7"/>
        <v>1.5322953351370747</v>
      </c>
      <c r="AB15" s="23">
        <f t="shared" si="8"/>
        <v>12947.895581908282</v>
      </c>
      <c r="AC15" s="20">
        <f>8</f>
        <v>8</v>
      </c>
      <c r="AD15" s="20">
        <f>VLOOKUP($C15,兵士关于时代的建筑和勋号加成!$A$26:$K$35,11,0)</f>
        <v>6</v>
      </c>
      <c r="AE15" s="39">
        <f t="shared" si="9"/>
        <v>181270.53814671596</v>
      </c>
      <c r="AF15" s="56">
        <f t="shared" si="10"/>
        <v>20.16</v>
      </c>
      <c r="AG15" s="20" t="s">
        <v>115</v>
      </c>
      <c r="AH15" s="20" t="s">
        <v>178</v>
      </c>
      <c r="AI15" s="20" t="s">
        <v>109</v>
      </c>
      <c r="AJ15" s="20" t="s">
        <v>256</v>
      </c>
      <c r="AK15" s="20"/>
      <c r="AL15" s="20" t="s">
        <v>140</v>
      </c>
    </row>
    <row r="16" spans="1:39" ht="16.5" hidden="1">
      <c r="A16" s="20" t="s">
        <v>200</v>
      </c>
      <c r="B16" s="54" t="s">
        <v>201</v>
      </c>
      <c r="C16" s="20" t="s">
        <v>110</v>
      </c>
      <c r="D16" s="20">
        <v>66</v>
      </c>
      <c r="E16" s="20">
        <v>0.72</v>
      </c>
      <c r="F16" s="20">
        <v>1</v>
      </c>
      <c r="G16" s="20">
        <v>100</v>
      </c>
      <c r="H16" s="20">
        <v>44</v>
      </c>
      <c r="I16" s="20">
        <f>VLOOKUP($C16,兵士关于时代的建筑和勋号加成!$A$26:$K$35,2,0)</f>
        <v>2.8</v>
      </c>
      <c r="J16" s="20">
        <f>VLOOKUP($C16,兵士关于时代的建筑和勋号加成!$A$26:$K$35,6,0)</f>
        <v>1.6</v>
      </c>
      <c r="K16" s="20">
        <v>14</v>
      </c>
      <c r="L16" s="20">
        <f>VLOOKUP($C16,兵士关于时代的建筑和勋号加成!$A$26:$K$35,3,0)</f>
        <v>2.2000000000000002</v>
      </c>
      <c r="M16" s="20">
        <f>VLOOKUP($C16,兵士关于时代的建筑和勋号加成!$A$26:$K$35,7,0)</f>
        <v>1.3</v>
      </c>
      <c r="N16" s="34">
        <f t="shared" si="0"/>
        <v>150.98330899791407</v>
      </c>
      <c r="O16" s="34">
        <f t="shared" si="1"/>
        <v>13840.136658142123</v>
      </c>
      <c r="P16" s="20">
        <v>0</v>
      </c>
      <c r="Q16" s="20">
        <f>VLOOKUP($C16,兵士关于时代的建筑和勋号加成!$A$26:$K$35,4,0)</f>
        <v>1</v>
      </c>
      <c r="R16" s="20">
        <f>VLOOKUP($C16,兵士关于时代的建筑和勋号加成!$A$26:$K$35,8,0)</f>
        <v>1</v>
      </c>
      <c r="S16" s="20">
        <v>0</v>
      </c>
      <c r="T16" s="20">
        <f>VLOOKUP($C16,兵士关于时代的建筑和勋号加成!$A$26:$K$35,5,0)</f>
        <v>1</v>
      </c>
      <c r="U16" s="20">
        <f>VLOOKUP($C16,兵士关于时代的建筑和勋号加成!$A$26:$K$35,9,0)</f>
        <v>1</v>
      </c>
      <c r="V16" s="60">
        <f t="shared" si="2"/>
        <v>218.23999999999998</v>
      </c>
      <c r="W16" s="60">
        <f t="shared" si="3"/>
        <v>45.5</v>
      </c>
      <c r="X16" s="60">
        <f t="shared" si="4"/>
        <v>0</v>
      </c>
      <c r="Y16" s="60">
        <f t="shared" si="5"/>
        <v>0</v>
      </c>
      <c r="Z16" s="23">
        <f t="shared" si="6"/>
        <v>99.648983938623275</v>
      </c>
      <c r="AA16" s="23">
        <f t="shared" si="7"/>
        <v>2.1900875590906215</v>
      </c>
      <c r="AB16" s="23">
        <f t="shared" si="8"/>
        <v>9964.8983938623278</v>
      </c>
      <c r="AC16" s="20">
        <f>8</f>
        <v>8</v>
      </c>
      <c r="AD16" s="20">
        <f>2+VLOOKUP($C16,兵士关于时代的建筑和勋号加成!$A$26:$K$35,11,0)</f>
        <v>10</v>
      </c>
      <c r="AE16" s="39">
        <f t="shared" si="9"/>
        <v>179368.1710895219</v>
      </c>
      <c r="AF16" s="56">
        <f t="shared" si="10"/>
        <v>12.959999999999999</v>
      </c>
      <c r="AG16" s="20" t="s">
        <v>177</v>
      </c>
      <c r="AH16" s="20" t="s">
        <v>123</v>
      </c>
      <c r="AI16" s="20" t="s">
        <v>109</v>
      </c>
      <c r="AJ16" s="20" t="s">
        <v>254</v>
      </c>
      <c r="AK16" s="20"/>
      <c r="AL16" s="20" t="s">
        <v>298</v>
      </c>
    </row>
    <row r="17" spans="1:38" ht="24.75">
      <c r="A17" s="20" t="s">
        <v>127</v>
      </c>
      <c r="B17" s="54" t="s">
        <v>118</v>
      </c>
      <c r="C17" s="20" t="s">
        <v>119</v>
      </c>
      <c r="D17" s="20">
        <v>200</v>
      </c>
      <c r="E17" s="20">
        <v>2.1</v>
      </c>
      <c r="F17" s="20">
        <v>1</v>
      </c>
      <c r="G17" s="20">
        <v>50</v>
      </c>
      <c r="H17" s="20">
        <v>100</v>
      </c>
      <c r="I17" s="20">
        <f>VLOOKUP($C17,兵士关于时代的建筑和勋号加成!$A$26:$K$35,2,0)</f>
        <v>3</v>
      </c>
      <c r="J17" s="20">
        <f>VLOOKUP($C17,兵士关于时代的建筑和勋号加成!$A$26:$K$35,6,0)</f>
        <v>1.6</v>
      </c>
      <c r="K17" s="20">
        <v>35</v>
      </c>
      <c r="L17" s="20">
        <f>VLOOKUP($C17,兵士关于时代的建筑和勋号加成!$A$26:$K$35,3,0)</f>
        <v>2.4</v>
      </c>
      <c r="M17" s="20">
        <f>VLOOKUP($C17,兵士关于时代的建筑和勋号加成!$A$26:$K$35,7,0)</f>
        <v>1.3</v>
      </c>
      <c r="N17" s="34">
        <f t="shared" si="0"/>
        <v>63.67142216096638</v>
      </c>
      <c r="O17" s="34">
        <f t="shared" si="1"/>
        <v>6063.9449677110833</v>
      </c>
      <c r="P17" s="20">
        <v>20</v>
      </c>
      <c r="Q17" s="20">
        <f>VLOOKUP($C17,兵士关于时代的建筑和勋号加成!$A$26:$K$35,4,0)</f>
        <v>1</v>
      </c>
      <c r="R17" s="20">
        <f>VLOOKUP($C17,兵士关于时代的建筑和勋号加成!$A$26:$K$35,8,0)</f>
        <v>1</v>
      </c>
      <c r="S17" s="20">
        <v>0</v>
      </c>
      <c r="T17" s="20">
        <f>VLOOKUP($C17,兵士关于时代的建筑和勋号加成!$A$26:$K$35,5,0)</f>
        <v>1</v>
      </c>
      <c r="U17" s="20">
        <f>VLOOKUP($C17,兵士关于时代的建筑和勋号加成!$A$26:$K$35,9,0)</f>
        <v>1</v>
      </c>
      <c r="V17" s="60">
        <f t="shared" si="2"/>
        <v>528</v>
      </c>
      <c r="W17" s="60">
        <f t="shared" si="3"/>
        <v>122.84999999999998</v>
      </c>
      <c r="X17" s="60">
        <f t="shared" si="4"/>
        <v>20</v>
      </c>
      <c r="Y17" s="60">
        <f t="shared" si="5"/>
        <v>0</v>
      </c>
      <c r="Z17" s="23">
        <f t="shared" si="6"/>
        <v>254.68568864386549</v>
      </c>
      <c r="AA17" s="23">
        <f t="shared" si="7"/>
        <v>2.0731435787046442</v>
      </c>
      <c r="AB17" s="23">
        <f t="shared" si="8"/>
        <v>12734.284432193275</v>
      </c>
      <c r="AC17" s="20">
        <f>8</f>
        <v>8</v>
      </c>
      <c r="AD17" s="20">
        <f>VLOOKUP($C17,兵士关于时代的建筑和勋号加成!$A$26:$K$35,11,0)</f>
        <v>6</v>
      </c>
      <c r="AE17" s="39">
        <f t="shared" si="9"/>
        <v>178279.98205070585</v>
      </c>
      <c r="AF17" s="56">
        <f t="shared" si="10"/>
        <v>29.400000000000002</v>
      </c>
      <c r="AG17" s="20" t="s">
        <v>110</v>
      </c>
      <c r="AH17" s="20" t="s">
        <v>113</v>
      </c>
      <c r="AI17" s="20" t="s">
        <v>120</v>
      </c>
      <c r="AJ17" s="20" t="s">
        <v>284</v>
      </c>
      <c r="AK17" s="20"/>
      <c r="AL17" s="20" t="s">
        <v>195</v>
      </c>
    </row>
    <row r="18" spans="1:38" ht="16.5" hidden="1">
      <c r="A18" s="20" t="s">
        <v>127</v>
      </c>
      <c r="B18" s="54" t="s">
        <v>121</v>
      </c>
      <c r="C18" s="20" t="s">
        <v>197</v>
      </c>
      <c r="D18" s="20">
        <v>88</v>
      </c>
      <c r="E18" s="20">
        <v>0.9</v>
      </c>
      <c r="F18" s="20">
        <v>1</v>
      </c>
      <c r="G18" s="20">
        <v>100</v>
      </c>
      <c r="H18" s="20">
        <v>42</v>
      </c>
      <c r="I18" s="20">
        <f>VLOOKUP($C18,兵士关于时代的建筑和勋号加成!$A$26:$K$35,2,0)</f>
        <v>2.8</v>
      </c>
      <c r="J18" s="20">
        <f>VLOOKUP($C18,兵士关于时代的建筑和勋号加成!$A$26:$K$35,6,0)</f>
        <v>1.6</v>
      </c>
      <c r="K18" s="20">
        <v>18</v>
      </c>
      <c r="L18" s="20">
        <f>VLOOKUP($C18,兵士关于时代的建筑和勋号加成!$A$26:$K$35,3,0)</f>
        <v>2.2000000000000002</v>
      </c>
      <c r="M18" s="20">
        <f>VLOOKUP($C18,兵士关于时代的建筑和勋号加成!$A$26:$K$35,7,0)</f>
        <v>1.3</v>
      </c>
      <c r="N18" s="34">
        <f t="shared" si="0"/>
        <v>125.44713416843916</v>
      </c>
      <c r="O18" s="34">
        <f t="shared" si="1"/>
        <v>12265.942007580719</v>
      </c>
      <c r="P18" s="20">
        <v>0</v>
      </c>
      <c r="Q18" s="20">
        <f>VLOOKUP($C18,兵士关于时代的建筑和勋号加成!$A$26:$K$35,4,0)</f>
        <v>1</v>
      </c>
      <c r="R18" s="20">
        <f>VLOOKUP($C18,兵士关于时代的建筑和勋号加成!$A$26:$K$35,8,0)</f>
        <v>1</v>
      </c>
      <c r="S18" s="20">
        <v>0</v>
      </c>
      <c r="T18" s="20">
        <f>VLOOKUP($C18,兵士关于时代的建筑和勋号加成!$A$26:$K$35,5,0)</f>
        <v>1</v>
      </c>
      <c r="U18" s="20">
        <f>VLOOKUP($C18,兵士关于时代的建筑和勋号加成!$A$26:$K$35,9,0)</f>
        <v>1</v>
      </c>
      <c r="V18" s="60">
        <f t="shared" si="2"/>
        <v>208.32</v>
      </c>
      <c r="W18" s="60">
        <f t="shared" si="3"/>
        <v>58.5</v>
      </c>
      <c r="X18" s="60">
        <f t="shared" si="4"/>
        <v>0</v>
      </c>
      <c r="Y18" s="60">
        <f t="shared" si="5"/>
        <v>0</v>
      </c>
      <c r="Z18" s="23">
        <f t="shared" si="6"/>
        <v>110.39347806822647</v>
      </c>
      <c r="AA18" s="23">
        <f t="shared" si="7"/>
        <v>1.8870680011662646</v>
      </c>
      <c r="AB18" s="23">
        <f t="shared" si="8"/>
        <v>11039.347806822647</v>
      </c>
      <c r="AC18" s="20">
        <f>8</f>
        <v>8</v>
      </c>
      <c r="AD18" s="20">
        <f>VLOOKUP($C18,兵士关于时代的建筑和勋号加成!$A$26:$K$35,11,0)</f>
        <v>8</v>
      </c>
      <c r="AE18" s="39">
        <f t="shared" si="9"/>
        <v>176629.56490916235</v>
      </c>
      <c r="AF18" s="56">
        <f t="shared" si="10"/>
        <v>14.4</v>
      </c>
      <c r="AG18" s="20" t="s">
        <v>122</v>
      </c>
      <c r="AH18" s="20" t="s">
        <v>123</v>
      </c>
      <c r="AI18" s="20" t="s">
        <v>281</v>
      </c>
      <c r="AJ18" s="20" t="s">
        <v>285</v>
      </c>
      <c r="AK18" s="20"/>
      <c r="AL18" s="20" t="s">
        <v>297</v>
      </c>
    </row>
    <row r="19" spans="1:38" ht="16.5">
      <c r="A19" s="20" t="s">
        <v>200</v>
      </c>
      <c r="B19" s="54" t="s">
        <v>290</v>
      </c>
      <c r="C19" s="20" t="s">
        <v>291</v>
      </c>
      <c r="D19" s="20">
        <v>250</v>
      </c>
      <c r="E19" s="20">
        <f>2.1*1.25</f>
        <v>2.625</v>
      </c>
      <c r="F19" s="20">
        <v>1</v>
      </c>
      <c r="G19" s="20">
        <v>50</v>
      </c>
      <c r="H19" s="62">
        <v>110</v>
      </c>
      <c r="I19" s="20">
        <f>VLOOKUP($C19,兵士关于时代的建筑和勋号加成!$A$26:$K$35,2,0)</f>
        <v>3</v>
      </c>
      <c r="J19" s="20">
        <f>VLOOKUP($C19,兵士关于时代的建筑和勋号加成!$A$26:$K$35,6,0)</f>
        <v>1.6</v>
      </c>
      <c r="K19" s="62">
        <v>30</v>
      </c>
      <c r="L19" s="20">
        <f>VLOOKUP($C19,兵士关于时代的建筑和勋号加成!$A$26:$K$35,3,0)</f>
        <v>2.4</v>
      </c>
      <c r="M19" s="20">
        <f>VLOOKUP($C19,兵士关于时代的建筑和勋号加成!$A$26:$K$35,7,0)</f>
        <v>1.3</v>
      </c>
      <c r="N19" s="34">
        <f t="shared" si="0"/>
        <v>49.460384147315317</v>
      </c>
      <c r="O19" s="34">
        <f t="shared" si="1"/>
        <v>4710.5127759347915</v>
      </c>
      <c r="P19" s="62">
        <v>25</v>
      </c>
      <c r="Q19" s="20">
        <f>VLOOKUP($C19,兵士关于时代的建筑和勋号加成!$A$26:$K$35,4,0)</f>
        <v>1</v>
      </c>
      <c r="R19" s="20">
        <f>VLOOKUP($C19,兵士关于时代的建筑和勋号加成!$A$26:$K$35,8,0)</f>
        <v>1</v>
      </c>
      <c r="S19" s="62">
        <v>10</v>
      </c>
      <c r="T19" s="20">
        <f>VLOOKUP($C19,兵士关于时代的建筑和勋号加成!$A$26:$K$35,5,0)</f>
        <v>1</v>
      </c>
      <c r="U19" s="20">
        <f>VLOOKUP($C19,兵士关于时代的建筑和勋号加成!$A$26:$K$35,9,0)</f>
        <v>1</v>
      </c>
      <c r="V19" s="60">
        <f t="shared" si="2"/>
        <v>580.80000000000007</v>
      </c>
      <c r="W19" s="60">
        <f t="shared" si="3"/>
        <v>105.29999999999998</v>
      </c>
      <c r="X19" s="60">
        <f t="shared" si="4"/>
        <v>25</v>
      </c>
      <c r="Y19" s="60">
        <f t="shared" si="5"/>
        <v>10</v>
      </c>
      <c r="Z19" s="23">
        <f t="shared" si="6"/>
        <v>247.30192073657656</v>
      </c>
      <c r="AA19" s="23">
        <f t="shared" si="7"/>
        <v>2.3485462558079448</v>
      </c>
      <c r="AB19" s="23">
        <f t="shared" si="8"/>
        <v>12365.096036828829</v>
      </c>
      <c r="AC19" s="20">
        <f>8</f>
        <v>8</v>
      </c>
      <c r="AD19" s="20">
        <f>VLOOKUP($C19,兵士关于时代的建筑和勋号加成!$A$26:$K$35,11,0)</f>
        <v>6</v>
      </c>
      <c r="AE19" s="39">
        <f t="shared" si="9"/>
        <v>173111.34451560362</v>
      </c>
      <c r="AF19" s="56">
        <f t="shared" si="10"/>
        <v>36.75</v>
      </c>
      <c r="AG19" s="20" t="s">
        <v>197</v>
      </c>
      <c r="AH19" s="20" t="s">
        <v>292</v>
      </c>
      <c r="AI19" s="20" t="s">
        <v>293</v>
      </c>
      <c r="AJ19" s="20" t="s">
        <v>299</v>
      </c>
      <c r="AL19" s="20" t="s">
        <v>194</v>
      </c>
    </row>
    <row r="20" spans="1:38">
      <c r="A20" s="20" t="s">
        <v>287</v>
      </c>
      <c r="B20" s="64" t="s">
        <v>310</v>
      </c>
      <c r="C20" s="20" t="s">
        <v>133</v>
      </c>
      <c r="D20" s="20">
        <v>90</v>
      </c>
      <c r="E20" s="20">
        <v>1.2</v>
      </c>
      <c r="F20" s="20">
        <v>1</v>
      </c>
      <c r="G20" s="20">
        <v>100</v>
      </c>
      <c r="H20" s="62">
        <v>36</v>
      </c>
      <c r="I20" s="20">
        <f>VLOOKUP($C20,兵士关于时代的建筑和勋号加成!$A$26:$K$35,2,0)</f>
        <v>2.8</v>
      </c>
      <c r="J20" s="20">
        <f>VLOOKUP($C20,兵士关于时代的建筑和勋号加成!$A$26:$K$35,6,0)</f>
        <v>1.6</v>
      </c>
      <c r="K20" s="62">
        <v>26</v>
      </c>
      <c r="L20" s="20">
        <f>VLOOKUP($C20,兵士关于时代的建筑和勋号加成!$A$26:$K$35,3,0)</f>
        <v>2.2000000000000002</v>
      </c>
      <c r="M20" s="20">
        <f>VLOOKUP($C20,兵士关于时代的建筑和勋号加成!$A$26:$K$35,7,0)</f>
        <v>1.3</v>
      </c>
      <c r="N20" s="34">
        <f t="shared" si="0"/>
        <v>136.48280314953806</v>
      </c>
      <c r="O20" s="34">
        <f t="shared" si="1"/>
        <v>10236.210236215355</v>
      </c>
      <c r="P20" s="62">
        <v>0</v>
      </c>
      <c r="Q20" s="20">
        <f>VLOOKUP($C20,兵士关于时代的建筑和勋号加成!$A$26:$K$35,4,0)</f>
        <v>1</v>
      </c>
      <c r="R20" s="20">
        <f>VLOOKUP($C20,兵士关于时代的建筑和勋号加成!$A$26:$K$35,8,0)</f>
        <v>1</v>
      </c>
      <c r="S20" s="62">
        <v>0</v>
      </c>
      <c r="T20" s="20">
        <f>VLOOKUP($C20,兵士关于时代的建筑和勋号加成!$A$26:$K$35,5,0)</f>
        <v>1</v>
      </c>
      <c r="U20" s="20">
        <f>VLOOKUP($C20,兵士关于时代的建筑和勋号加成!$A$26:$K$35,9,0)</f>
        <v>1</v>
      </c>
      <c r="V20" s="60">
        <f t="shared" si="2"/>
        <v>178.56</v>
      </c>
      <c r="W20" s="60">
        <f t="shared" si="3"/>
        <v>84.5</v>
      </c>
      <c r="X20" s="60">
        <f t="shared" si="4"/>
        <v>0</v>
      </c>
      <c r="Y20" s="60">
        <f t="shared" si="5"/>
        <v>0</v>
      </c>
      <c r="Z20" s="23">
        <f t="shared" si="6"/>
        <v>122.83452283458425</v>
      </c>
      <c r="AA20" s="23">
        <f t="shared" si="7"/>
        <v>1.4536629921252573</v>
      </c>
      <c r="AB20" s="23">
        <f t="shared" si="8"/>
        <v>12283.452283458424</v>
      </c>
      <c r="AC20" s="20">
        <f>8</f>
        <v>8</v>
      </c>
      <c r="AD20" s="20">
        <f>VLOOKUP($C20,兵士关于时代的建筑和勋号加成!$A$26:$K$35,11,0)</f>
        <v>6</v>
      </c>
      <c r="AE20" s="39">
        <f t="shared" si="9"/>
        <v>171968.33196841794</v>
      </c>
      <c r="AF20" s="56">
        <f t="shared" si="10"/>
        <v>16.8</v>
      </c>
      <c r="AG20" s="20" t="s">
        <v>282</v>
      </c>
      <c r="AH20" s="20" t="s">
        <v>109</v>
      </c>
      <c r="AI20" s="20" t="s">
        <v>136</v>
      </c>
      <c r="AJ20" s="20" t="s">
        <v>131</v>
      </c>
      <c r="AK20" s="20"/>
      <c r="AL20" s="20" t="s">
        <v>194</v>
      </c>
    </row>
    <row r="21" spans="1:38">
      <c r="A21" s="20" t="s">
        <v>200</v>
      </c>
      <c r="B21" s="54" t="s">
        <v>152</v>
      </c>
      <c r="C21" s="20" t="s">
        <v>107</v>
      </c>
      <c r="D21" s="20">
        <v>108</v>
      </c>
      <c r="E21" s="20">
        <v>1.44</v>
      </c>
      <c r="F21" s="20">
        <v>1</v>
      </c>
      <c r="G21" s="20">
        <v>100</v>
      </c>
      <c r="H21" s="62">
        <v>42</v>
      </c>
      <c r="I21" s="20">
        <f>VLOOKUP($C21,兵士关于时代的建筑和勋号加成!$A$26:$K$35,2,0)</f>
        <v>2.8</v>
      </c>
      <c r="J21" s="20">
        <f>VLOOKUP($C21,兵士关于时代的建筑和勋号加成!$A$26:$K$35,6,0)</f>
        <v>1.6</v>
      </c>
      <c r="K21" s="62">
        <v>22</v>
      </c>
      <c r="L21" s="20">
        <f>VLOOKUP($C21,兵士关于时代的建筑和勋号加成!$A$26:$K$35,3,0)</f>
        <v>2.2000000000000002</v>
      </c>
      <c r="M21" s="20">
        <f>VLOOKUP($C21,兵士关于时代的建筑和勋号加成!$A$26:$K$35,7,0)</f>
        <v>1.3</v>
      </c>
      <c r="N21" s="34">
        <f t="shared" si="0"/>
        <v>113.00424260945526</v>
      </c>
      <c r="O21" s="34">
        <f t="shared" si="1"/>
        <v>8475.3181957091438</v>
      </c>
      <c r="P21" s="62">
        <v>0</v>
      </c>
      <c r="Q21" s="20">
        <f>VLOOKUP($C21,兵士关于时代的建筑和勋号加成!$A$26:$K$35,4,0)</f>
        <v>1</v>
      </c>
      <c r="R21" s="20">
        <f>VLOOKUP($C21,兵士关于时代的建筑和勋号加成!$A$26:$K$35,8,0)</f>
        <v>1</v>
      </c>
      <c r="S21" s="62">
        <v>0</v>
      </c>
      <c r="T21" s="20">
        <f>VLOOKUP($C21,兵士关于时代的建筑和勋号加成!$A$26:$K$35,5,0)</f>
        <v>1</v>
      </c>
      <c r="U21" s="20">
        <f>VLOOKUP($C21,兵士关于时代的建筑和勋号加成!$A$26:$K$35,9,0)</f>
        <v>1</v>
      </c>
      <c r="V21" s="60">
        <f t="shared" si="2"/>
        <v>208.32</v>
      </c>
      <c r="W21" s="60">
        <f t="shared" si="3"/>
        <v>71.5</v>
      </c>
      <c r="X21" s="60">
        <f t="shared" si="4"/>
        <v>0</v>
      </c>
      <c r="Y21" s="60">
        <f t="shared" si="5"/>
        <v>0</v>
      </c>
      <c r="Z21" s="23">
        <f t="shared" si="6"/>
        <v>122.04458201821168</v>
      </c>
      <c r="AA21" s="23">
        <f t="shared" si="7"/>
        <v>1.7069172310239396</v>
      </c>
      <c r="AB21" s="23">
        <f t="shared" si="8"/>
        <v>12204.458201821168</v>
      </c>
      <c r="AC21" s="20">
        <f>8</f>
        <v>8</v>
      </c>
      <c r="AD21" s="20">
        <f>VLOOKUP($C21,兵士关于时代的建筑和勋号加成!$A$26:$K$35,11,0)</f>
        <v>6</v>
      </c>
      <c r="AE21" s="39">
        <f t="shared" si="9"/>
        <v>170862.41482549635</v>
      </c>
      <c r="AF21" s="56">
        <f t="shared" si="10"/>
        <v>20.16</v>
      </c>
      <c r="AG21" s="20" t="s">
        <v>175</v>
      </c>
      <c r="AH21" s="20" t="s">
        <v>176</v>
      </c>
      <c r="AI21" s="20" t="s">
        <v>109</v>
      </c>
      <c r="AJ21" s="20" t="s">
        <v>252</v>
      </c>
      <c r="AK21" s="20"/>
      <c r="AL21" s="20" t="s">
        <v>140</v>
      </c>
    </row>
    <row r="22" spans="1:38">
      <c r="A22" s="20" t="s">
        <v>200</v>
      </c>
      <c r="B22" s="54" t="s">
        <v>156</v>
      </c>
      <c r="C22" s="20" t="s">
        <v>107</v>
      </c>
      <c r="D22" s="20">
        <v>108</v>
      </c>
      <c r="E22" s="20">
        <v>1.44</v>
      </c>
      <c r="F22" s="20">
        <v>1</v>
      </c>
      <c r="G22" s="20">
        <v>100</v>
      </c>
      <c r="H22" s="62">
        <v>38</v>
      </c>
      <c r="I22" s="20">
        <f>VLOOKUP($C22,兵士关于时代的建筑和勋号加成!$A$26:$K$35,2,0)</f>
        <v>2.8</v>
      </c>
      <c r="J22" s="20">
        <f>VLOOKUP($C22,兵士关于时代的建筑和勋号加成!$A$26:$K$35,6,0)</f>
        <v>1.6</v>
      </c>
      <c r="K22" s="62">
        <v>24</v>
      </c>
      <c r="L22" s="20">
        <f>VLOOKUP($C22,兵士关于时代的建筑和勋号加成!$A$26:$K$35,3,0)</f>
        <v>2.2000000000000002</v>
      </c>
      <c r="M22" s="20">
        <f>VLOOKUP($C22,兵士关于时代的建筑和勋号加成!$A$26:$K$35,7,0)</f>
        <v>1.3</v>
      </c>
      <c r="N22" s="34">
        <f t="shared" si="0"/>
        <v>112.26805078176714</v>
      </c>
      <c r="O22" s="34">
        <f t="shared" si="1"/>
        <v>8420.103808632537</v>
      </c>
      <c r="P22" s="62">
        <v>0</v>
      </c>
      <c r="Q22" s="20">
        <f>VLOOKUP($C22,兵士关于时代的建筑和勋号加成!$A$26:$K$35,4,0)</f>
        <v>1</v>
      </c>
      <c r="R22" s="20">
        <f>VLOOKUP($C22,兵士关于时代的建筑和勋号加成!$A$26:$K$35,8,0)</f>
        <v>1</v>
      </c>
      <c r="S22" s="62">
        <v>20</v>
      </c>
      <c r="T22" s="20">
        <f>VLOOKUP($C22,兵士关于时代的建筑和勋号加成!$A$26:$K$35,5,0)</f>
        <v>1</v>
      </c>
      <c r="U22" s="20">
        <f>VLOOKUP($C22,兵士关于时代的建筑和勋号加成!$A$26:$K$35,9,0)</f>
        <v>1</v>
      </c>
      <c r="V22" s="60">
        <f t="shared" si="2"/>
        <v>188.48</v>
      </c>
      <c r="W22" s="60">
        <f t="shared" si="3"/>
        <v>78</v>
      </c>
      <c r="X22" s="60">
        <f t="shared" si="4"/>
        <v>0</v>
      </c>
      <c r="Y22" s="60">
        <f t="shared" si="5"/>
        <v>20</v>
      </c>
      <c r="Z22" s="23">
        <f t="shared" si="6"/>
        <v>121.24949484430851</v>
      </c>
      <c r="AA22" s="23">
        <f t="shared" si="7"/>
        <v>1.5544807031321606</v>
      </c>
      <c r="AB22" s="23">
        <f t="shared" si="8"/>
        <v>12124.949484430852</v>
      </c>
      <c r="AC22" s="20">
        <f>8</f>
        <v>8</v>
      </c>
      <c r="AD22" s="20">
        <f>VLOOKUP($C22,兵士关于时代的建筑和勋号加成!$A$26:$K$35,11,0)</f>
        <v>6</v>
      </c>
      <c r="AE22" s="39">
        <f t="shared" si="9"/>
        <v>169749.29278203193</v>
      </c>
      <c r="AF22" s="56">
        <f t="shared" si="10"/>
        <v>20.16</v>
      </c>
      <c r="AG22" s="20" t="s">
        <v>180</v>
      </c>
      <c r="AH22" s="20" t="s">
        <v>181</v>
      </c>
      <c r="AI22" s="20" t="s">
        <v>109</v>
      </c>
      <c r="AJ22" s="20" t="s">
        <v>258</v>
      </c>
      <c r="AK22" s="20"/>
      <c r="AL22" s="20" t="s">
        <v>140</v>
      </c>
    </row>
    <row r="23" spans="1:38" ht="16.5" hidden="1">
      <c r="A23" s="20" t="s">
        <v>231</v>
      </c>
      <c r="B23" s="54" t="s">
        <v>314</v>
      </c>
      <c r="C23" s="20" t="s">
        <v>115</v>
      </c>
      <c r="D23" s="20">
        <v>90</v>
      </c>
      <c r="E23" s="20">
        <v>1.08</v>
      </c>
      <c r="F23" s="20">
        <v>1</v>
      </c>
      <c r="G23" s="20">
        <v>100</v>
      </c>
      <c r="H23" s="20">
        <v>30</v>
      </c>
      <c r="I23" s="20">
        <f>VLOOKUP($C23,兵士关于时代的建筑和勋号加成!$A$26:$K$35,2,0)</f>
        <v>3</v>
      </c>
      <c r="J23" s="20">
        <f>VLOOKUP($C23,兵士关于时代的建筑和勋号加成!$A$26:$K$35,6,0)</f>
        <v>1.5</v>
      </c>
      <c r="K23" s="20">
        <v>24</v>
      </c>
      <c r="L23" s="20">
        <f>VLOOKUP($C23,兵士关于时代的建筑和勋号加成!$A$26:$K$35,3,0)</f>
        <v>2.25</v>
      </c>
      <c r="M23" s="20">
        <f>VLOOKUP($C23,兵士关于时代的建筑和勋号加成!$A$26:$K$35,7,0)</f>
        <v>1.6</v>
      </c>
      <c r="N23" s="34">
        <f t="shared" si="0"/>
        <v>133.98507379555383</v>
      </c>
      <c r="O23" s="34">
        <f t="shared" si="1"/>
        <v>11165.422816296152</v>
      </c>
      <c r="P23" s="20">
        <v>0</v>
      </c>
      <c r="Q23" s="20">
        <f>VLOOKUP($C23,兵士关于时代的建筑和勋号加成!$A$26:$K$35,4,0)</f>
        <v>1</v>
      </c>
      <c r="R23" s="20">
        <f>VLOOKUP($C23,兵士关于时代的建筑和勋号加成!$A$26:$K$35,8,0)</f>
        <v>1</v>
      </c>
      <c r="S23" s="20">
        <v>0</v>
      </c>
      <c r="T23" s="20">
        <f>VLOOKUP($C23,兵士关于时代的建筑和勋号加成!$A$26:$K$35,5,0)</f>
        <v>1</v>
      </c>
      <c r="U23" s="20">
        <f>VLOOKUP($C23,兵士关于时代的建筑和勋号加成!$A$26:$K$35,9,0)</f>
        <v>1</v>
      </c>
      <c r="V23" s="60">
        <f t="shared" si="2"/>
        <v>148.5</v>
      </c>
      <c r="W23" s="60">
        <f t="shared" si="3"/>
        <v>97.92</v>
      </c>
      <c r="X23" s="60">
        <f t="shared" si="4"/>
        <v>0</v>
      </c>
      <c r="Y23" s="60">
        <f t="shared" si="5"/>
        <v>0</v>
      </c>
      <c r="Z23" s="23">
        <f t="shared" si="6"/>
        <v>120.58656641599843</v>
      </c>
      <c r="AA23" s="23">
        <f t="shared" si="7"/>
        <v>1.2314804576797225</v>
      </c>
      <c r="AB23" s="23">
        <f t="shared" si="8"/>
        <v>12058.656641599844</v>
      </c>
      <c r="AC23" s="20">
        <f>8</f>
        <v>8</v>
      </c>
      <c r="AD23" s="20">
        <f>VLOOKUP($C23,兵士关于时代的建筑和勋号加成!$A$26:$K$35,11,0)</f>
        <v>6</v>
      </c>
      <c r="AE23" s="39">
        <f t="shared" si="9"/>
        <v>168821.19298239783</v>
      </c>
      <c r="AF23" s="56">
        <f t="shared" si="10"/>
        <v>15.120000000000001</v>
      </c>
      <c r="AG23" s="20" t="s">
        <v>210</v>
      </c>
      <c r="AH23" s="20" t="s">
        <v>116</v>
      </c>
      <c r="AI23" s="20" t="s">
        <v>109</v>
      </c>
      <c r="AJ23" s="20" t="s">
        <v>268</v>
      </c>
      <c r="AK23" s="20" t="s">
        <v>213</v>
      </c>
      <c r="AL23" s="20" t="s">
        <v>146</v>
      </c>
    </row>
    <row r="24" spans="1:38" ht="16.5" hidden="1">
      <c r="A24" s="20" t="s">
        <v>200</v>
      </c>
      <c r="B24" s="54" t="s">
        <v>158</v>
      </c>
      <c r="C24" s="20" t="s">
        <v>107</v>
      </c>
      <c r="D24" s="20">
        <v>108</v>
      </c>
      <c r="E24" s="20">
        <v>1.44</v>
      </c>
      <c r="F24" s="20">
        <v>1</v>
      </c>
      <c r="G24" s="20">
        <v>100</v>
      </c>
      <c r="H24" s="20">
        <v>32</v>
      </c>
      <c r="I24" s="20">
        <f>VLOOKUP($C24,兵士关于时代的建筑和勋号加成!$A$26:$K$35,2,0)</f>
        <v>2.8</v>
      </c>
      <c r="J24" s="20">
        <f>VLOOKUP($C24,兵士关于时代的建筑和勋号加成!$A$26:$K$35,6,0)</f>
        <v>1.6</v>
      </c>
      <c r="K24" s="20">
        <v>26</v>
      </c>
      <c r="L24" s="20">
        <f>VLOOKUP($C24,兵士关于时代的建筑和勋号加成!$A$26:$K$35,3,0)</f>
        <v>2.2000000000000002</v>
      </c>
      <c r="M24" s="20">
        <f>VLOOKUP($C24,兵士关于时代的建筑和勋号加成!$A$26:$K$35,7,0)</f>
        <v>1.3</v>
      </c>
      <c r="N24" s="34">
        <f t="shared" si="0"/>
        <v>107.23101735820784</v>
      </c>
      <c r="O24" s="34">
        <f t="shared" si="1"/>
        <v>8042.326301865588</v>
      </c>
      <c r="P24" s="20">
        <v>0</v>
      </c>
      <c r="Q24" s="20">
        <f>VLOOKUP($C24,兵士关于时代的建筑和勋号加成!$A$26:$K$35,4,0)</f>
        <v>1</v>
      </c>
      <c r="R24" s="20">
        <f>VLOOKUP($C24,兵士关于时代的建筑和勋号加成!$A$26:$K$35,8,0)</f>
        <v>1</v>
      </c>
      <c r="S24" s="20">
        <v>10</v>
      </c>
      <c r="T24" s="20">
        <f>VLOOKUP($C24,兵士关于时代的建筑和勋号加成!$A$26:$K$35,5,0)</f>
        <v>1</v>
      </c>
      <c r="U24" s="20">
        <f>VLOOKUP($C24,兵士关于时代的建筑和勋号加成!$A$26:$K$35,9,0)</f>
        <v>1</v>
      </c>
      <c r="V24" s="60">
        <f t="shared" si="2"/>
        <v>158.72</v>
      </c>
      <c r="W24" s="60">
        <f t="shared" si="3"/>
        <v>84.5</v>
      </c>
      <c r="X24" s="60">
        <f t="shared" si="4"/>
        <v>0</v>
      </c>
      <c r="Y24" s="60">
        <f t="shared" si="5"/>
        <v>10</v>
      </c>
      <c r="Z24" s="23">
        <f t="shared" si="6"/>
        <v>115.80949874686446</v>
      </c>
      <c r="AA24" s="23">
        <f t="shared" si="7"/>
        <v>1.3705266123889284</v>
      </c>
      <c r="AB24" s="23">
        <f t="shared" si="8"/>
        <v>11580.949874686446</v>
      </c>
      <c r="AC24" s="20">
        <f>8</f>
        <v>8</v>
      </c>
      <c r="AD24" s="20">
        <f>VLOOKUP($C24,兵士关于时代的建筑和勋号加成!$A$26:$K$35,11,0)</f>
        <v>6</v>
      </c>
      <c r="AE24" s="39">
        <f t="shared" si="9"/>
        <v>162133.29824561026</v>
      </c>
      <c r="AF24" s="56">
        <f t="shared" si="10"/>
        <v>20.16</v>
      </c>
      <c r="AG24" s="20" t="s">
        <v>112</v>
      </c>
      <c r="AH24" s="20" t="s">
        <v>116</v>
      </c>
      <c r="AI24" s="20" t="s">
        <v>182</v>
      </c>
      <c r="AJ24" s="20" t="s">
        <v>260</v>
      </c>
      <c r="AK24" s="20"/>
      <c r="AL24" s="20" t="s">
        <v>315</v>
      </c>
    </row>
    <row r="25" spans="1:38" ht="16.5">
      <c r="A25" s="20" t="s">
        <v>200</v>
      </c>
      <c r="B25" s="54" t="s">
        <v>150</v>
      </c>
      <c r="C25" s="20" t="s">
        <v>150</v>
      </c>
      <c r="D25" s="20">
        <v>135</v>
      </c>
      <c r="E25" s="20">
        <v>1.35</v>
      </c>
      <c r="F25" s="20">
        <v>1</v>
      </c>
      <c r="G25" s="20">
        <v>100</v>
      </c>
      <c r="H25" s="62">
        <v>45</v>
      </c>
      <c r="I25" s="20">
        <f>VLOOKUP($C25,兵士关于时代的建筑和勋号加成!$A$26:$K$35,2,0)</f>
        <v>2.4</v>
      </c>
      <c r="J25" s="20">
        <f>VLOOKUP($C25,兵士关于时代的建筑和勋号加成!$A$26:$K$35,6,0)</f>
        <v>1.6</v>
      </c>
      <c r="K25" s="62">
        <v>20</v>
      </c>
      <c r="L25" s="20">
        <f>VLOOKUP($C25,兵士关于时代的建筑和勋号加成!$A$26:$K$35,3,0)</f>
        <v>2.2000000000000002</v>
      </c>
      <c r="M25" s="20">
        <f>VLOOKUP($C25,兵士关于时代的建筑和勋号加成!$A$26:$K$35,7,0)</f>
        <v>1.3</v>
      </c>
      <c r="N25" s="34">
        <f t="shared" si="0"/>
        <v>83.266639978645301</v>
      </c>
      <c r="O25" s="34">
        <f t="shared" si="1"/>
        <v>8326.6639978645308</v>
      </c>
      <c r="P25" s="62">
        <v>40</v>
      </c>
      <c r="Q25" s="20">
        <f>VLOOKUP($C25,兵士关于时代的建筑和勋号加成!$A$26:$K$35,4,0)</f>
        <v>1.4</v>
      </c>
      <c r="R25" s="20">
        <f>VLOOKUP($C25,兵士关于时代的建筑和勋号加成!$A$26:$K$35,8,0)</f>
        <v>1.4</v>
      </c>
      <c r="S25" s="62">
        <v>30</v>
      </c>
      <c r="T25" s="20">
        <f>VLOOKUP($C25,兵士关于时代的建筑和勋号加成!$A$26:$K$35,5,0)</f>
        <v>1.4</v>
      </c>
      <c r="U25" s="20">
        <f>VLOOKUP($C25,兵士关于时代的建筑和勋号加成!$A$26:$K$35,9,0)</f>
        <v>1</v>
      </c>
      <c r="V25" s="60">
        <f t="shared" si="2"/>
        <v>194.39999999999998</v>
      </c>
      <c r="W25" s="60">
        <f t="shared" si="3"/>
        <v>65</v>
      </c>
      <c r="X25" s="60">
        <f t="shared" si="4"/>
        <v>78.399999999999991</v>
      </c>
      <c r="Y25" s="60">
        <f t="shared" si="5"/>
        <v>42</v>
      </c>
      <c r="Z25" s="23">
        <f t="shared" si="6"/>
        <v>112.40996397117117</v>
      </c>
      <c r="AA25" s="23">
        <f t="shared" si="7"/>
        <v>1.7293840610949409</v>
      </c>
      <c r="AB25" s="23">
        <f t="shared" si="8"/>
        <v>11240.996397117116</v>
      </c>
      <c r="AC25" s="20">
        <f>8</f>
        <v>8</v>
      </c>
      <c r="AD25" s="20">
        <f>VLOOKUP($C25,兵士关于时代的建筑和勋号加成!$A$26:$K$35,11,0)</f>
        <v>6</v>
      </c>
      <c r="AE25" s="39">
        <f t="shared" si="9"/>
        <v>157373.94955963962</v>
      </c>
      <c r="AF25" s="56">
        <f t="shared" si="10"/>
        <v>18.900000000000002</v>
      </c>
      <c r="AG25" s="20" t="s">
        <v>170</v>
      </c>
      <c r="AH25" s="20" t="s">
        <v>171</v>
      </c>
      <c r="AI25" s="20" t="s">
        <v>172</v>
      </c>
      <c r="AJ25" s="20" t="s">
        <v>250</v>
      </c>
      <c r="AK25" s="20"/>
      <c r="AL25" s="20" t="s">
        <v>140</v>
      </c>
    </row>
    <row r="26" spans="1:38">
      <c r="A26" s="20" t="s">
        <v>200</v>
      </c>
      <c r="B26" s="54" t="s">
        <v>141</v>
      </c>
      <c r="C26" s="20" t="s">
        <v>107</v>
      </c>
      <c r="D26" s="20">
        <v>75</v>
      </c>
      <c r="E26" s="20">
        <v>1.08</v>
      </c>
      <c r="F26" s="20">
        <v>1</v>
      </c>
      <c r="G26" s="20">
        <v>100</v>
      </c>
      <c r="H26" s="62">
        <v>35</v>
      </c>
      <c r="I26" s="20">
        <f>VLOOKUP($C26,兵士关于时代的建筑和勋号加成!$A$26:$K$35,2,0)</f>
        <v>2.8</v>
      </c>
      <c r="J26" s="20">
        <f>VLOOKUP($C26,兵士关于时代的建筑和勋号加成!$A$26:$K$35,6,0)</f>
        <v>1.6</v>
      </c>
      <c r="K26" s="62">
        <v>22</v>
      </c>
      <c r="L26" s="20">
        <f>VLOOKUP($C26,兵士关于时代的建筑和勋号加成!$A$26:$K$35,3,0)</f>
        <v>2.2000000000000002</v>
      </c>
      <c r="M26" s="20">
        <f>VLOOKUP($C26,兵士关于时代的建筑和勋号加成!$A$26:$K$35,7,0)</f>
        <v>1.3</v>
      </c>
      <c r="N26" s="34">
        <f t="shared" si="0"/>
        <v>148.54793465036425</v>
      </c>
      <c r="O26" s="34">
        <f t="shared" si="1"/>
        <v>10315.828795164183</v>
      </c>
      <c r="P26" s="62">
        <v>12</v>
      </c>
      <c r="Q26" s="20">
        <f>VLOOKUP($C26,兵士关于时代的建筑和勋号加成!$A$26:$K$35,4,0)</f>
        <v>1</v>
      </c>
      <c r="R26" s="20">
        <f>VLOOKUP($C26,兵士关于时代的建筑和勋号加成!$A$26:$K$35,8,0)</f>
        <v>1</v>
      </c>
      <c r="S26" s="62">
        <v>0</v>
      </c>
      <c r="T26" s="20">
        <f>VLOOKUP($C26,兵士关于时代的建筑和勋号加成!$A$26:$K$35,5,0)</f>
        <v>1</v>
      </c>
      <c r="U26" s="20">
        <f>VLOOKUP($C26,兵士关于时代的建筑和勋号加成!$A$26:$K$35,9,0)</f>
        <v>1</v>
      </c>
      <c r="V26" s="60">
        <f t="shared" si="2"/>
        <v>173.6</v>
      </c>
      <c r="W26" s="60">
        <f t="shared" si="3"/>
        <v>71.5</v>
      </c>
      <c r="X26" s="60">
        <f t="shared" si="4"/>
        <v>12</v>
      </c>
      <c r="Y26" s="60">
        <f t="shared" si="5"/>
        <v>0</v>
      </c>
      <c r="Z26" s="23">
        <f t="shared" si="6"/>
        <v>111.41095098777319</v>
      </c>
      <c r="AA26" s="23">
        <f t="shared" si="7"/>
        <v>1.5581951187101144</v>
      </c>
      <c r="AB26" s="23">
        <f t="shared" si="8"/>
        <v>11141.095098777319</v>
      </c>
      <c r="AC26" s="20">
        <f>8</f>
        <v>8</v>
      </c>
      <c r="AD26" s="20">
        <f>VLOOKUP($C26,兵士关于时代的建筑和勋号加成!$A$26:$K$35,11,0)</f>
        <v>6</v>
      </c>
      <c r="AE26" s="39">
        <f t="shared" si="9"/>
        <v>155975.33138288246</v>
      </c>
      <c r="AF26" s="56">
        <f t="shared" si="10"/>
        <v>15.120000000000001</v>
      </c>
      <c r="AG26" s="20" t="s">
        <v>115</v>
      </c>
      <c r="AH26" s="20" t="s">
        <v>109</v>
      </c>
      <c r="AI26" s="20" t="s">
        <v>109</v>
      </c>
      <c r="AJ26" s="20" t="s">
        <v>242</v>
      </c>
      <c r="AK26" s="20"/>
      <c r="AL26" s="20" t="s">
        <v>140</v>
      </c>
    </row>
    <row r="27" spans="1:38" ht="16.5" hidden="1">
      <c r="A27" s="20" t="s">
        <v>200</v>
      </c>
      <c r="B27" s="54" t="s">
        <v>196</v>
      </c>
      <c r="C27" s="20" t="s">
        <v>110</v>
      </c>
      <c r="D27" s="20">
        <v>66</v>
      </c>
      <c r="E27" s="20">
        <v>0.72</v>
      </c>
      <c r="F27" s="20">
        <v>1</v>
      </c>
      <c r="G27" s="20">
        <v>100</v>
      </c>
      <c r="H27" s="20">
        <v>36</v>
      </c>
      <c r="I27" s="20">
        <f>VLOOKUP($C27,兵士关于时代的建筑和勋号加成!$A$26:$K$35,2,0)</f>
        <v>2.8</v>
      </c>
      <c r="J27" s="20">
        <f>VLOOKUP($C27,兵士关于时代的建筑和勋号加成!$A$26:$K$35,6,0)</f>
        <v>1.6</v>
      </c>
      <c r="K27" s="20">
        <v>12</v>
      </c>
      <c r="L27" s="20">
        <f>VLOOKUP($C27,兵士关于时代的建筑和勋号加成!$A$26:$K$35,3,0)</f>
        <v>2.2000000000000002</v>
      </c>
      <c r="M27" s="20">
        <f>VLOOKUP($C27,兵士关于时代的建筑和勋号加成!$A$26:$K$35,7,0)</f>
        <v>1.3</v>
      </c>
      <c r="N27" s="34">
        <f t="shared" si="0"/>
        <v>126.43882655064516</v>
      </c>
      <c r="O27" s="34">
        <f t="shared" si="1"/>
        <v>11590.225767142472</v>
      </c>
      <c r="P27" s="20">
        <v>0</v>
      </c>
      <c r="Q27" s="20">
        <f>VLOOKUP($C27,兵士关于时代的建筑和勋号加成!$A$26:$K$35,4,0)</f>
        <v>1</v>
      </c>
      <c r="R27" s="20">
        <f>VLOOKUP($C27,兵士关于时代的建筑和勋号加成!$A$26:$K$35,8,0)</f>
        <v>1</v>
      </c>
      <c r="S27" s="20">
        <v>0</v>
      </c>
      <c r="T27" s="20">
        <f>VLOOKUP($C27,兵士关于时代的建筑和勋号加成!$A$26:$K$35,5,0)</f>
        <v>1</v>
      </c>
      <c r="U27" s="20">
        <f>VLOOKUP($C27,兵士关于时代的建筑和勋号加成!$A$26:$K$35,9,0)</f>
        <v>1</v>
      </c>
      <c r="V27" s="60">
        <f t="shared" si="2"/>
        <v>178.56</v>
      </c>
      <c r="W27" s="60">
        <f t="shared" si="3"/>
        <v>39</v>
      </c>
      <c r="X27" s="60">
        <f t="shared" si="4"/>
        <v>0</v>
      </c>
      <c r="Y27" s="60">
        <f t="shared" si="5"/>
        <v>0</v>
      </c>
      <c r="Z27" s="23">
        <f t="shared" si="6"/>
        <v>83.449625523425809</v>
      </c>
      <c r="AA27" s="23">
        <f t="shared" si="7"/>
        <v>2.1397339877801489</v>
      </c>
      <c r="AB27" s="23">
        <f t="shared" si="8"/>
        <v>8344.9625523425802</v>
      </c>
      <c r="AC27" s="20">
        <f>8</f>
        <v>8</v>
      </c>
      <c r="AD27" s="20">
        <f>2+VLOOKUP($C27,兵士关于时代的建筑和勋号加成!$A$26:$K$35,11,0)</f>
        <v>10</v>
      </c>
      <c r="AE27" s="39">
        <f t="shared" si="9"/>
        <v>150209.32594216644</v>
      </c>
      <c r="AF27" s="56">
        <f t="shared" si="10"/>
        <v>12.959999999999999</v>
      </c>
      <c r="AG27" s="20" t="s">
        <v>177</v>
      </c>
      <c r="AH27" s="20" t="s">
        <v>123</v>
      </c>
      <c r="AI27" s="20" t="s">
        <v>109</v>
      </c>
      <c r="AJ27" s="20" t="s">
        <v>254</v>
      </c>
      <c r="AK27" s="20"/>
      <c r="AL27" s="20" t="s">
        <v>297</v>
      </c>
    </row>
    <row r="28" spans="1:38" ht="24.75" hidden="1">
      <c r="A28" s="20" t="s">
        <v>231</v>
      </c>
      <c r="B28" s="54" t="s">
        <v>202</v>
      </c>
      <c r="C28" s="20" t="s">
        <v>112</v>
      </c>
      <c r="D28" s="20">
        <v>111</v>
      </c>
      <c r="E28" s="20">
        <v>1.36</v>
      </c>
      <c r="F28" s="20">
        <v>1</v>
      </c>
      <c r="G28" s="20">
        <v>100</v>
      </c>
      <c r="H28" s="20">
        <v>40</v>
      </c>
      <c r="I28" s="20">
        <f>VLOOKUP($C28,兵士关于时代的建筑和勋号加成!$A$26:$K$35,2,0)</f>
        <v>3.2</v>
      </c>
      <c r="J28" s="20">
        <f>VLOOKUP($C28,兵士关于时代的建筑和勋号加成!$A$26:$K$35,6,0)</f>
        <v>1.6</v>
      </c>
      <c r="K28" s="20">
        <v>15</v>
      </c>
      <c r="L28" s="20">
        <f>VLOOKUP($C28,兵士关于时代的建筑和勋号加成!$A$26:$K$35,3,0)</f>
        <v>2.2999999999999998</v>
      </c>
      <c r="M28" s="20">
        <f>VLOOKUP($C28,兵士关于时代的建筑和勋号加成!$A$26:$K$35,7,0)</f>
        <v>1.3</v>
      </c>
      <c r="N28" s="34">
        <f t="shared" si="0"/>
        <v>96.007466636017853</v>
      </c>
      <c r="O28" s="34">
        <f t="shared" si="1"/>
        <v>7835.9035269102797</v>
      </c>
      <c r="P28" s="20">
        <v>40</v>
      </c>
      <c r="Q28" s="20">
        <f>VLOOKUP($C28,兵士关于时代的建筑和勋号加成!$A$26:$K$35,4,0)</f>
        <v>1.6</v>
      </c>
      <c r="R28" s="20">
        <f>VLOOKUP($C28,兵士关于时代的建筑和勋号加成!$A$26:$K$35,8,0)</f>
        <v>1.4</v>
      </c>
      <c r="S28" s="20">
        <v>15</v>
      </c>
      <c r="T28" s="20">
        <f>VLOOKUP($C28,兵士关于时代的建筑和勋号加成!$A$26:$K$35,5,0)</f>
        <v>1.1000000000000001</v>
      </c>
      <c r="U28" s="20">
        <f>VLOOKUP($C28,兵士关于时代的建筑和勋号加成!$A$26:$K$35,9,0)</f>
        <v>1</v>
      </c>
      <c r="V28" s="60">
        <f t="shared" si="2"/>
        <v>224</v>
      </c>
      <c r="W28" s="60">
        <f t="shared" si="3"/>
        <v>50.699999999999996</v>
      </c>
      <c r="X28" s="60">
        <f t="shared" si="4"/>
        <v>89.6</v>
      </c>
      <c r="Y28" s="60">
        <f t="shared" si="5"/>
        <v>16.5</v>
      </c>
      <c r="Z28" s="23">
        <f t="shared" si="6"/>
        <v>106.56828796597982</v>
      </c>
      <c r="AA28" s="23">
        <f t="shared" si="7"/>
        <v>2.1019386186583793</v>
      </c>
      <c r="AB28" s="23">
        <f t="shared" si="8"/>
        <v>10656.828796597982</v>
      </c>
      <c r="AC28" s="20">
        <f>8</f>
        <v>8</v>
      </c>
      <c r="AD28" s="20">
        <f>VLOOKUP($C28,兵士关于时代的建筑和勋号加成!$A$26:$K$35,11,0)</f>
        <v>6</v>
      </c>
      <c r="AE28" s="39">
        <f t="shared" si="9"/>
        <v>149195.60315237174</v>
      </c>
      <c r="AF28" s="56">
        <f t="shared" si="10"/>
        <v>19.040000000000003</v>
      </c>
      <c r="AG28" s="20" t="s">
        <v>110</v>
      </c>
      <c r="AH28" s="20" t="s">
        <v>124</v>
      </c>
      <c r="AI28" s="20" t="s">
        <v>114</v>
      </c>
      <c r="AJ28" s="20" t="s">
        <v>266</v>
      </c>
      <c r="AK28" s="20" t="s">
        <v>203</v>
      </c>
      <c r="AL28" s="20" t="s">
        <v>315</v>
      </c>
    </row>
    <row r="29" spans="1:38">
      <c r="A29" s="20" t="s">
        <v>127</v>
      </c>
      <c r="B29" s="54" t="s">
        <v>117</v>
      </c>
      <c r="C29" s="20" t="s">
        <v>107</v>
      </c>
      <c r="D29" s="20">
        <v>90</v>
      </c>
      <c r="E29" s="20">
        <v>1.2</v>
      </c>
      <c r="F29" s="20">
        <v>1</v>
      </c>
      <c r="G29" s="20">
        <v>100</v>
      </c>
      <c r="H29" s="62">
        <v>32</v>
      </c>
      <c r="I29" s="20">
        <f>VLOOKUP($C29,兵士关于时代的建筑和勋号加成!$A$26:$K$35,2,0)</f>
        <v>2.8</v>
      </c>
      <c r="J29" s="20">
        <f>VLOOKUP($C29,兵士关于时代的建筑和勋号加成!$A$26:$K$35,6,0)</f>
        <v>1.6</v>
      </c>
      <c r="K29" s="62">
        <v>22</v>
      </c>
      <c r="L29" s="20">
        <f>VLOOKUP($C29,兵士关于时代的建筑和勋号加成!$A$26:$K$35,3,0)</f>
        <v>2.2000000000000002</v>
      </c>
      <c r="M29" s="20">
        <f>VLOOKUP($C29,兵士关于时代的建筑和勋号加成!$A$26:$K$35,7,0)</f>
        <v>1.3</v>
      </c>
      <c r="N29" s="34">
        <f t="shared" si="0"/>
        <v>118.3658275677675</v>
      </c>
      <c r="O29" s="34">
        <f t="shared" si="1"/>
        <v>8877.437067582563</v>
      </c>
      <c r="P29" s="62">
        <v>0</v>
      </c>
      <c r="Q29" s="20">
        <f>VLOOKUP($C29,兵士关于时代的建筑和勋号加成!$A$26:$K$35,4,0)</f>
        <v>1</v>
      </c>
      <c r="R29" s="20">
        <f>VLOOKUP($C29,兵士关于时代的建筑和勋号加成!$A$26:$K$35,8,0)</f>
        <v>1</v>
      </c>
      <c r="S29" s="62">
        <v>0</v>
      </c>
      <c r="T29" s="20">
        <f>VLOOKUP($C29,兵士关于时代的建筑和勋号加成!$A$26:$K$35,5,0)</f>
        <v>1</v>
      </c>
      <c r="U29" s="20">
        <f>VLOOKUP($C29,兵士关于时代的建筑和勋号加成!$A$26:$K$35,9,0)</f>
        <v>1</v>
      </c>
      <c r="V29" s="60">
        <f t="shared" si="2"/>
        <v>158.72</v>
      </c>
      <c r="W29" s="60">
        <f t="shared" si="3"/>
        <v>71.5</v>
      </c>
      <c r="X29" s="60">
        <f t="shared" si="4"/>
        <v>0</v>
      </c>
      <c r="Y29" s="60">
        <f t="shared" si="5"/>
        <v>0</v>
      </c>
      <c r="Z29" s="23">
        <f t="shared" si="6"/>
        <v>106.52924481099075</v>
      </c>
      <c r="AA29" s="23">
        <f t="shared" si="7"/>
        <v>1.4899195078460243</v>
      </c>
      <c r="AB29" s="23">
        <f t="shared" si="8"/>
        <v>10652.924481099075</v>
      </c>
      <c r="AC29" s="20">
        <f>8</f>
        <v>8</v>
      </c>
      <c r="AD29" s="20">
        <f>VLOOKUP($C29,兵士关于时代的建筑和勋号加成!$A$26:$K$35,11,0)</f>
        <v>6</v>
      </c>
      <c r="AE29" s="39">
        <f t="shared" si="9"/>
        <v>149140.94273538704</v>
      </c>
      <c r="AF29" s="56">
        <f t="shared" si="10"/>
        <v>16.8</v>
      </c>
      <c r="AG29" s="20" t="s">
        <v>115</v>
      </c>
      <c r="AH29" s="20" t="s">
        <v>109</v>
      </c>
      <c r="AI29" s="20" t="s">
        <v>109</v>
      </c>
      <c r="AJ29" s="20" t="s">
        <v>283</v>
      </c>
      <c r="AK29" s="20"/>
      <c r="AL29" s="20" t="s">
        <v>194</v>
      </c>
    </row>
    <row r="30" spans="1:38">
      <c r="A30" s="20" t="s">
        <v>200</v>
      </c>
      <c r="B30" s="54" t="s">
        <v>161</v>
      </c>
      <c r="C30" s="20" t="s">
        <v>107</v>
      </c>
      <c r="D30" s="20">
        <v>99</v>
      </c>
      <c r="E30" s="20">
        <v>1.32</v>
      </c>
      <c r="F30" s="20">
        <v>1</v>
      </c>
      <c r="G30" s="20">
        <v>100</v>
      </c>
      <c r="H30" s="62">
        <v>34</v>
      </c>
      <c r="I30" s="20">
        <f>VLOOKUP($C30,兵士关于时代的建筑和勋号加成!$A$26:$K$35,2,0)</f>
        <v>2.8</v>
      </c>
      <c r="J30" s="20">
        <f>VLOOKUP($C30,兵士关于时代的建筑和勋号加成!$A$26:$K$35,6,0)</f>
        <v>1.6</v>
      </c>
      <c r="K30" s="62">
        <v>20</v>
      </c>
      <c r="L30" s="20">
        <f>VLOOKUP($C30,兵士关于时代的建筑和勋号加成!$A$26:$K$35,3,0)</f>
        <v>2.2000000000000002</v>
      </c>
      <c r="M30" s="20">
        <f>VLOOKUP($C30,兵士关于时代的建筑和勋号加成!$A$26:$K$35,7,0)</f>
        <v>1.3</v>
      </c>
      <c r="N30" s="34">
        <f t="shared" si="0"/>
        <v>105.75521207550283</v>
      </c>
      <c r="O30" s="34">
        <f t="shared" si="1"/>
        <v>7931.6409056627117</v>
      </c>
      <c r="P30" s="62">
        <v>0</v>
      </c>
      <c r="Q30" s="20">
        <f>VLOOKUP($C30,兵士关于时代的建筑和勋号加成!$A$26:$K$35,4,0)</f>
        <v>1</v>
      </c>
      <c r="R30" s="20">
        <f>VLOOKUP($C30,兵士关于时代的建筑和勋号加成!$A$26:$K$35,8,0)</f>
        <v>1</v>
      </c>
      <c r="S30" s="62">
        <v>10</v>
      </c>
      <c r="T30" s="20">
        <f>VLOOKUP($C30,兵士关于时代的建筑和勋号加成!$A$26:$K$35,5,0)</f>
        <v>1</v>
      </c>
      <c r="U30" s="20">
        <f>VLOOKUP($C30,兵士关于时代的建筑和勋号加成!$A$26:$K$35,9,0)</f>
        <v>1</v>
      </c>
      <c r="V30" s="60">
        <f t="shared" si="2"/>
        <v>168.64</v>
      </c>
      <c r="W30" s="60">
        <f t="shared" si="3"/>
        <v>65</v>
      </c>
      <c r="X30" s="60">
        <f t="shared" si="4"/>
        <v>0</v>
      </c>
      <c r="Y30" s="60">
        <f t="shared" si="5"/>
        <v>10</v>
      </c>
      <c r="Z30" s="23">
        <f t="shared" si="6"/>
        <v>104.69765995474779</v>
      </c>
      <c r="AA30" s="23">
        <f t="shared" si="7"/>
        <v>1.610733230073043</v>
      </c>
      <c r="AB30" s="23">
        <f t="shared" si="8"/>
        <v>10469.76599547478</v>
      </c>
      <c r="AC30" s="20">
        <f>8</f>
        <v>8</v>
      </c>
      <c r="AD30" s="20">
        <f>VLOOKUP($C30,兵士关于时代的建筑和勋号加成!$A$26:$K$35,11,0)</f>
        <v>6</v>
      </c>
      <c r="AE30" s="39">
        <f t="shared" si="9"/>
        <v>146576.72393664691</v>
      </c>
      <c r="AF30" s="56">
        <f t="shared" si="10"/>
        <v>18.48</v>
      </c>
      <c r="AG30" s="20" t="s">
        <v>185</v>
      </c>
      <c r="AH30" s="20" t="s">
        <v>186</v>
      </c>
      <c r="AI30" s="20" t="s">
        <v>187</v>
      </c>
      <c r="AJ30" s="20" t="s">
        <v>263</v>
      </c>
      <c r="AK30" s="20"/>
      <c r="AL30" s="20" t="s">
        <v>154</v>
      </c>
    </row>
    <row r="31" spans="1:38" ht="16.5">
      <c r="A31" s="20" t="s">
        <v>127</v>
      </c>
      <c r="B31" s="54" t="s">
        <v>115</v>
      </c>
      <c r="C31" s="20" t="s">
        <v>115</v>
      </c>
      <c r="D31" s="20">
        <v>75</v>
      </c>
      <c r="E31" s="20">
        <v>0.9</v>
      </c>
      <c r="F31" s="20">
        <v>1</v>
      </c>
      <c r="G31" s="20">
        <v>100</v>
      </c>
      <c r="H31" s="62">
        <v>22</v>
      </c>
      <c r="I31" s="20">
        <f>VLOOKUP($C31,兵士关于时代的建筑和勋号加成!$A$26:$K$35,2,0)</f>
        <v>3</v>
      </c>
      <c r="J31" s="20">
        <f>VLOOKUP($C31,兵士关于时代的建筑和勋号加成!$A$26:$K$35,6,0)</f>
        <v>1.5</v>
      </c>
      <c r="K31" s="62">
        <v>24</v>
      </c>
      <c r="L31" s="20">
        <f>VLOOKUP($C31,兵士关于时代的建筑和勋号加成!$A$26:$K$35,3,0)</f>
        <v>2.25</v>
      </c>
      <c r="M31" s="20">
        <f>VLOOKUP($C31,兵士关于时代的建筑和勋号加成!$A$26:$K$35,7,0)</f>
        <v>1.6</v>
      </c>
      <c r="N31" s="34">
        <f t="shared" si="0"/>
        <v>137.68555479787994</v>
      </c>
      <c r="O31" s="34">
        <f t="shared" si="1"/>
        <v>11473.796233156661</v>
      </c>
      <c r="P31" s="62">
        <v>0</v>
      </c>
      <c r="Q31" s="20">
        <f>VLOOKUP($C31,兵士关于时代的建筑和勋号加成!$A$26:$K$35,4,0)</f>
        <v>1</v>
      </c>
      <c r="R31" s="20">
        <f>VLOOKUP($C31,兵士关于时代的建筑和勋号加成!$A$26:$K$35,8,0)</f>
        <v>1</v>
      </c>
      <c r="S31" s="62">
        <v>0</v>
      </c>
      <c r="T31" s="20">
        <f>VLOOKUP($C31,兵士关于时代的建筑和勋号加成!$A$26:$K$35,5,0)</f>
        <v>1</v>
      </c>
      <c r="U31" s="20">
        <f>VLOOKUP($C31,兵士关于时代的建筑和勋号加成!$A$26:$K$35,9,0)</f>
        <v>1</v>
      </c>
      <c r="V31" s="60">
        <f t="shared" si="2"/>
        <v>108.89999999999999</v>
      </c>
      <c r="W31" s="60">
        <f t="shared" si="3"/>
        <v>97.92</v>
      </c>
      <c r="X31" s="60">
        <f t="shared" si="4"/>
        <v>0</v>
      </c>
      <c r="Y31" s="60">
        <f t="shared" si="5"/>
        <v>0</v>
      </c>
      <c r="Z31" s="23">
        <f t="shared" si="6"/>
        <v>103.26416609840996</v>
      </c>
      <c r="AA31" s="23">
        <f t="shared" si="7"/>
        <v>1.0545768596651344</v>
      </c>
      <c r="AB31" s="23">
        <f t="shared" si="8"/>
        <v>10326.416609840995</v>
      </c>
      <c r="AC31" s="20">
        <f>8</f>
        <v>8</v>
      </c>
      <c r="AD31" s="20">
        <f>VLOOKUP($C31,兵士关于时代的建筑和勋号加成!$A$26:$K$35,11,0)</f>
        <v>6</v>
      </c>
      <c r="AE31" s="39">
        <f t="shared" si="9"/>
        <v>144569.83253777394</v>
      </c>
      <c r="AF31" s="56">
        <f t="shared" si="10"/>
        <v>12.6</v>
      </c>
      <c r="AG31" s="20" t="s">
        <v>95</v>
      </c>
      <c r="AH31" s="20" t="s">
        <v>116</v>
      </c>
      <c r="AI31" s="20" t="s">
        <v>109</v>
      </c>
      <c r="AJ31" s="20" t="s">
        <v>109</v>
      </c>
      <c r="AK31" s="20"/>
      <c r="AL31" s="20" t="s">
        <v>194</v>
      </c>
    </row>
    <row r="32" spans="1:38">
      <c r="A32" s="20" t="s">
        <v>232</v>
      </c>
      <c r="B32" s="54" t="s">
        <v>224</v>
      </c>
      <c r="C32" s="20" t="s">
        <v>110</v>
      </c>
      <c r="D32" s="20">
        <v>76</v>
      </c>
      <c r="E32" s="20">
        <v>0.66</v>
      </c>
      <c r="F32" s="20">
        <v>1</v>
      </c>
      <c r="G32" s="20">
        <v>100</v>
      </c>
      <c r="H32" s="62">
        <v>28</v>
      </c>
      <c r="I32" s="20">
        <f>VLOOKUP($C32,兵士关于时代的建筑和勋号加成!$A$26:$K$35,2,0)</f>
        <v>2.8</v>
      </c>
      <c r="J32" s="20">
        <f>VLOOKUP($C32,兵士关于时代的建筑和勋号加成!$A$26:$K$35,6,0)</f>
        <v>1.6</v>
      </c>
      <c r="K32" s="62">
        <v>16</v>
      </c>
      <c r="L32" s="20">
        <f>VLOOKUP($C32,兵士关于时代的建筑和勋号加成!$A$26:$K$35,3,0)</f>
        <v>2.2000000000000002</v>
      </c>
      <c r="M32" s="20">
        <f>VLOOKUP($C32,兵士关于时代的建筑和勋号加成!$A$26:$K$35,7,0)</f>
        <v>1.3</v>
      </c>
      <c r="N32" s="34">
        <f t="shared" si="0"/>
        <v>111.81702505170104</v>
      </c>
      <c r="O32" s="34">
        <f t="shared" si="1"/>
        <v>12875.899854438301</v>
      </c>
      <c r="P32" s="62">
        <v>10</v>
      </c>
      <c r="Q32" s="20">
        <f>VLOOKUP($C32,兵士关于时代的建筑和勋号加成!$A$26:$K$35,4,0)</f>
        <v>1</v>
      </c>
      <c r="R32" s="20">
        <f>VLOOKUP($C32,兵士关于时代的建筑和勋号加成!$A$26:$K$35,8,0)</f>
        <v>1</v>
      </c>
      <c r="S32" s="62">
        <v>10</v>
      </c>
      <c r="T32" s="20">
        <f>VLOOKUP($C32,兵士关于时代的建筑和勋号加成!$A$26:$K$35,5,0)</f>
        <v>1</v>
      </c>
      <c r="U32" s="20">
        <f>VLOOKUP($C32,兵士关于时代的建筑和勋号加成!$A$26:$K$35,9,0)</f>
        <v>1</v>
      </c>
      <c r="V32" s="60">
        <f t="shared" si="2"/>
        <v>138.87999999999997</v>
      </c>
      <c r="W32" s="60">
        <f t="shared" si="3"/>
        <v>52</v>
      </c>
      <c r="X32" s="60">
        <f t="shared" si="4"/>
        <v>10</v>
      </c>
      <c r="Y32" s="60">
        <f t="shared" si="5"/>
        <v>10</v>
      </c>
      <c r="Z32" s="23">
        <f t="shared" si="6"/>
        <v>84.980939039292792</v>
      </c>
      <c r="AA32" s="23">
        <f t="shared" si="7"/>
        <v>1.6342488276787077</v>
      </c>
      <c r="AB32" s="23">
        <f t="shared" si="8"/>
        <v>8498.0939039292789</v>
      </c>
      <c r="AC32" s="20">
        <f>8</f>
        <v>8</v>
      </c>
      <c r="AD32" s="20">
        <f>VLOOKUP($C32,兵士关于时代的建筑和勋号加成!$A$26:$K$35,11,0)</f>
        <v>8</v>
      </c>
      <c r="AE32" s="39">
        <f t="shared" si="9"/>
        <v>135969.50246286846</v>
      </c>
      <c r="AF32" s="56">
        <f t="shared" si="10"/>
        <v>10.56</v>
      </c>
      <c r="AG32" s="20" t="s">
        <v>225</v>
      </c>
      <c r="AH32" s="20" t="s">
        <v>226</v>
      </c>
      <c r="AI32" s="20" t="s">
        <v>109</v>
      </c>
      <c r="AJ32" s="20" t="s">
        <v>275</v>
      </c>
      <c r="AK32" s="20" t="s">
        <v>239</v>
      </c>
      <c r="AL32" s="20" t="s">
        <v>140</v>
      </c>
    </row>
    <row r="33" spans="1:38" ht="16.5">
      <c r="A33" s="20" t="s">
        <v>200</v>
      </c>
      <c r="B33" s="54" t="s">
        <v>155</v>
      </c>
      <c r="C33" s="20" t="s">
        <v>110</v>
      </c>
      <c r="D33" s="20">
        <v>60.5</v>
      </c>
      <c r="E33" s="20">
        <v>0.66</v>
      </c>
      <c r="F33" s="20">
        <v>1</v>
      </c>
      <c r="G33" s="20">
        <v>100</v>
      </c>
      <c r="H33" s="62">
        <v>30</v>
      </c>
      <c r="I33" s="20">
        <f>VLOOKUP($C33,兵士关于时代的建筑和勋号加成!$A$26:$K$35,2,0)</f>
        <v>2.8</v>
      </c>
      <c r="J33" s="20">
        <f>VLOOKUP($C33,兵士关于时代的建筑和勋号加成!$A$26:$K$35,6,0)</f>
        <v>1.6</v>
      </c>
      <c r="K33" s="62">
        <v>14</v>
      </c>
      <c r="L33" s="20">
        <f>VLOOKUP($C33,兵士关于时代的建筑和勋号加成!$A$26:$K$35,3,0)</f>
        <v>2.2000000000000002</v>
      </c>
      <c r="M33" s="20">
        <f>VLOOKUP($C33,兵士关于时代的建筑和勋号加成!$A$26:$K$35,7,0)</f>
        <v>1.3</v>
      </c>
      <c r="N33" s="34">
        <f t="shared" si="0"/>
        <v>136.00403373729287</v>
      </c>
      <c r="O33" s="34">
        <f t="shared" si="1"/>
        <v>12467.036425918512</v>
      </c>
      <c r="P33" s="62">
        <v>10</v>
      </c>
      <c r="Q33" s="20">
        <f>VLOOKUP($C33,兵士关于时代的建筑和勋号加成!$A$26:$K$35,4,0)</f>
        <v>1</v>
      </c>
      <c r="R33" s="20">
        <f>VLOOKUP($C33,兵士关于时代的建筑和勋号加成!$A$26:$K$35,8,0)</f>
        <v>1</v>
      </c>
      <c r="S33" s="62">
        <v>10</v>
      </c>
      <c r="T33" s="20">
        <f>VLOOKUP($C33,兵士关于时代的建筑和勋号加成!$A$26:$K$35,5,0)</f>
        <v>1</v>
      </c>
      <c r="U33" s="20">
        <f>VLOOKUP($C33,兵士关于时代的建筑和勋号加成!$A$26:$K$35,9,0)</f>
        <v>1</v>
      </c>
      <c r="V33" s="60">
        <f t="shared" si="2"/>
        <v>148.79999999999998</v>
      </c>
      <c r="W33" s="60">
        <f t="shared" si="3"/>
        <v>45.5</v>
      </c>
      <c r="X33" s="60">
        <f t="shared" si="4"/>
        <v>10</v>
      </c>
      <c r="Y33" s="60">
        <f t="shared" si="5"/>
        <v>10</v>
      </c>
      <c r="Z33" s="23">
        <f t="shared" si="6"/>
        <v>82.282440411062183</v>
      </c>
      <c r="AA33" s="23">
        <f t="shared" si="7"/>
        <v>1.8084052837596085</v>
      </c>
      <c r="AB33" s="23">
        <f t="shared" si="8"/>
        <v>8228.244041106218</v>
      </c>
      <c r="AC33" s="20">
        <f>8</f>
        <v>8</v>
      </c>
      <c r="AD33" s="20">
        <f>VLOOKUP($C33,兵士关于时代的建筑和勋号加成!$A$26:$K$35,11,0)</f>
        <v>8</v>
      </c>
      <c r="AE33" s="39">
        <f t="shared" si="9"/>
        <v>131651.90465769949</v>
      </c>
      <c r="AF33" s="56">
        <f t="shared" si="10"/>
        <v>10.56</v>
      </c>
      <c r="AG33" s="20" t="s">
        <v>106</v>
      </c>
      <c r="AH33" s="20" t="s">
        <v>174</v>
      </c>
      <c r="AI33" s="20" t="s">
        <v>109</v>
      </c>
      <c r="AJ33" s="20" t="s">
        <v>255</v>
      </c>
      <c r="AK33" s="20"/>
      <c r="AL33" s="20" t="s">
        <v>140</v>
      </c>
    </row>
    <row r="34" spans="1:38" ht="24.75">
      <c r="A34" s="20" t="s">
        <v>200</v>
      </c>
      <c r="B34" s="54" t="s">
        <v>162</v>
      </c>
      <c r="C34" s="20" t="s">
        <v>110</v>
      </c>
      <c r="D34" s="20">
        <v>61</v>
      </c>
      <c r="E34" s="20">
        <v>0.66</v>
      </c>
      <c r="F34" s="20">
        <v>1</v>
      </c>
      <c r="G34" s="20">
        <v>100</v>
      </c>
      <c r="H34" s="62">
        <v>18</v>
      </c>
      <c r="I34" s="20">
        <f>VLOOKUP($C34,兵士关于时代的建筑和勋号加成!$A$26:$K$35,2,0)</f>
        <v>2.8</v>
      </c>
      <c r="J34" s="20">
        <f>VLOOKUP($C34,兵士关于时代的建筑和勋号加成!$A$26:$K$35,6,0)</f>
        <v>1.6</v>
      </c>
      <c r="K34" s="62">
        <v>20</v>
      </c>
      <c r="L34" s="20">
        <f>0.4+VLOOKUP($C34,兵士关于时代的建筑和勋号加成!$A$26:$K$35,3,0)</f>
        <v>2.6</v>
      </c>
      <c r="M34" s="20">
        <f>VLOOKUP($C34,兵士关于时代的建筑和勋号加成!$A$26:$K$35,7,0)</f>
        <v>1.3</v>
      </c>
      <c r="N34" s="34">
        <f t="shared" si="0"/>
        <v>134.50329658110675</v>
      </c>
      <c r="O34" s="34">
        <f t="shared" si="1"/>
        <v>12431.365290071988</v>
      </c>
      <c r="P34" s="62">
        <v>0</v>
      </c>
      <c r="Q34" s="20">
        <f>VLOOKUP($C34,兵士关于时代的建筑和勋号加成!$A$26:$K$35,4,0)</f>
        <v>1</v>
      </c>
      <c r="R34" s="20">
        <f>VLOOKUP($C34,兵士关于时代的建筑和勋号加成!$A$26:$K$35,8,0)</f>
        <v>1</v>
      </c>
      <c r="S34" s="62">
        <v>22</v>
      </c>
      <c r="T34" s="20">
        <f>VLOOKUP($C34,兵士关于时代的建筑和勋号加成!$A$26:$K$35,5,0)</f>
        <v>1</v>
      </c>
      <c r="U34" s="20">
        <f>VLOOKUP($C34,兵士关于时代的建筑和勋号加成!$A$26:$K$35,9,0)</f>
        <v>1</v>
      </c>
      <c r="V34" s="60">
        <f t="shared" si="2"/>
        <v>89.28</v>
      </c>
      <c r="W34" s="60">
        <f t="shared" si="3"/>
        <v>75.400000000000006</v>
      </c>
      <c r="X34" s="60">
        <f t="shared" si="4"/>
        <v>0</v>
      </c>
      <c r="Y34" s="60">
        <f t="shared" si="5"/>
        <v>22</v>
      </c>
      <c r="Z34" s="23">
        <f t="shared" si="6"/>
        <v>82.047010914475123</v>
      </c>
      <c r="AA34" s="23">
        <f t="shared" si="7"/>
        <v>1.0881566434280521</v>
      </c>
      <c r="AB34" s="23">
        <f t="shared" si="8"/>
        <v>8204.7010914475122</v>
      </c>
      <c r="AC34" s="20">
        <f>8</f>
        <v>8</v>
      </c>
      <c r="AD34" s="20">
        <f>VLOOKUP($C34,兵士关于时代的建筑和勋号加成!$A$26:$K$35,11,0)</f>
        <v>8</v>
      </c>
      <c r="AE34" s="39">
        <f t="shared" si="9"/>
        <v>131275.2174631602</v>
      </c>
      <c r="AF34" s="56">
        <f t="shared" si="10"/>
        <v>10.56</v>
      </c>
      <c r="AG34" s="20" t="s">
        <v>106</v>
      </c>
      <c r="AH34" s="20" t="s">
        <v>188</v>
      </c>
      <c r="AI34" s="20" t="s">
        <v>109</v>
      </c>
      <c r="AJ34" s="20" t="s">
        <v>264</v>
      </c>
      <c r="AK34" s="20"/>
      <c r="AL34" s="20" t="s">
        <v>140</v>
      </c>
    </row>
    <row r="35" spans="1:38">
      <c r="A35" s="20" t="s">
        <v>200</v>
      </c>
      <c r="B35" s="54" t="s">
        <v>142</v>
      </c>
      <c r="C35" s="20" t="s">
        <v>110</v>
      </c>
      <c r="D35" s="20">
        <v>55</v>
      </c>
      <c r="E35" s="20">
        <v>0.66</v>
      </c>
      <c r="F35" s="20">
        <v>1</v>
      </c>
      <c r="G35" s="20">
        <v>100</v>
      </c>
      <c r="H35" s="62">
        <v>30</v>
      </c>
      <c r="I35" s="20">
        <f>VLOOKUP($C35,兵士关于时代的建筑和勋号加成!$A$26:$K$35,2,0)</f>
        <v>2.8</v>
      </c>
      <c r="J35" s="20">
        <f>VLOOKUP($C35,兵士关于时代的建筑和勋号加成!$A$26:$K$35,6,0)</f>
        <v>1.6</v>
      </c>
      <c r="K35" s="62">
        <v>12</v>
      </c>
      <c r="L35" s="20">
        <f>VLOOKUP($C35,兵士关于时代的建筑和勋号加成!$A$26:$K$35,3,0)</f>
        <v>2.2000000000000002</v>
      </c>
      <c r="M35" s="20">
        <f>VLOOKUP($C35,兵士关于时代的建筑和勋号加成!$A$26:$K$35,7,0)</f>
        <v>1.3</v>
      </c>
      <c r="N35" s="34">
        <f t="shared" si="0"/>
        <v>138.50679489254296</v>
      </c>
      <c r="O35" s="34">
        <f t="shared" si="1"/>
        <v>11542.232907711912</v>
      </c>
      <c r="P35" s="62">
        <v>5</v>
      </c>
      <c r="Q35" s="20">
        <f>VLOOKUP($C35,兵士关于时代的建筑和勋号加成!$A$26:$K$35,4,0)</f>
        <v>1</v>
      </c>
      <c r="R35" s="20">
        <f>VLOOKUP($C35,兵士关于时代的建筑和勋号加成!$A$26:$K$35,8,0)</f>
        <v>1</v>
      </c>
      <c r="S35" s="62">
        <v>0</v>
      </c>
      <c r="T35" s="20">
        <f>VLOOKUP($C35,兵士关于时代的建筑和勋号加成!$A$26:$K$35,5,0)</f>
        <v>1</v>
      </c>
      <c r="U35" s="20">
        <f>VLOOKUP($C35,兵士关于时代的建筑和勋号加成!$A$26:$K$35,9,0)</f>
        <v>1</v>
      </c>
      <c r="V35" s="60">
        <f t="shared" si="2"/>
        <v>148.79999999999998</v>
      </c>
      <c r="W35" s="60">
        <f t="shared" si="3"/>
        <v>39</v>
      </c>
      <c r="X35" s="60">
        <f t="shared" si="4"/>
        <v>5</v>
      </c>
      <c r="Y35" s="60">
        <f t="shared" si="5"/>
        <v>0</v>
      </c>
      <c r="Z35" s="23">
        <f t="shared" si="6"/>
        <v>76.178737190898616</v>
      </c>
      <c r="AA35" s="23">
        <f t="shared" si="7"/>
        <v>1.953300953612785</v>
      </c>
      <c r="AB35" s="23">
        <f t="shared" si="8"/>
        <v>7617.8737190898619</v>
      </c>
      <c r="AC35" s="20">
        <f>8</f>
        <v>8</v>
      </c>
      <c r="AD35" s="20">
        <f>VLOOKUP($C35,兵士关于时代的建筑和勋号加成!$A$26:$K$35,11,0)</f>
        <v>8</v>
      </c>
      <c r="AE35" s="39">
        <f t="shared" si="9"/>
        <v>121885.97950543779</v>
      </c>
      <c r="AF35" s="56">
        <f t="shared" si="10"/>
        <v>10.56</v>
      </c>
      <c r="AG35" s="20" t="s">
        <v>106</v>
      </c>
      <c r="AH35" s="20" t="s">
        <v>166</v>
      </c>
      <c r="AI35" s="20" t="s">
        <v>109</v>
      </c>
      <c r="AJ35" s="20" t="s">
        <v>243</v>
      </c>
      <c r="AK35" s="20"/>
      <c r="AL35" s="20" t="s">
        <v>140</v>
      </c>
    </row>
    <row r="36" spans="1:38" ht="16.5">
      <c r="A36" s="20" t="s">
        <v>200</v>
      </c>
      <c r="B36" s="54" t="s">
        <v>199</v>
      </c>
      <c r="C36" s="20" t="s">
        <v>110</v>
      </c>
      <c r="D36" s="20">
        <v>66</v>
      </c>
      <c r="E36" s="20">
        <v>0.72</v>
      </c>
      <c r="F36" s="20">
        <v>1</v>
      </c>
      <c r="G36" s="20">
        <v>100</v>
      </c>
      <c r="H36" s="20">
        <v>28</v>
      </c>
      <c r="I36" s="20">
        <f>VLOOKUP($C36,兵士关于时代的建筑和勋号加成!$A$26:$K$35,2,0)</f>
        <v>2.8</v>
      </c>
      <c r="J36" s="20">
        <f>VLOOKUP($C36,兵士关于时代的建筑和勋号加成!$A$26:$K$35,6,0)</f>
        <v>1.6</v>
      </c>
      <c r="K36" s="20">
        <v>10</v>
      </c>
      <c r="L36" s="20">
        <f>VLOOKUP($C36,兵士关于时代的建筑和勋号加成!$A$26:$K$35,3,0)</f>
        <v>2.2000000000000002</v>
      </c>
      <c r="M36" s="20">
        <f>VLOOKUP($C36,兵士关于时代的建筑和勋号加成!$A$26:$K$35,7,0)</f>
        <v>1.3</v>
      </c>
      <c r="N36" s="34">
        <f t="shared" ref="N36:N54" si="11">AB36/D36</f>
        <v>101.79292616063883</v>
      </c>
      <c r="O36" s="34">
        <f t="shared" ref="O36:O54" si="12">AB36/E36</f>
        <v>9331.0182313918922</v>
      </c>
      <c r="P36" s="20">
        <v>0</v>
      </c>
      <c r="Q36" s="20">
        <f>VLOOKUP($C36,兵士关于时代的建筑和勋号加成!$A$26:$K$35,4,0)</f>
        <v>1</v>
      </c>
      <c r="R36" s="20">
        <f>VLOOKUP($C36,兵士关于时代的建筑和勋号加成!$A$26:$K$35,8,0)</f>
        <v>1</v>
      </c>
      <c r="S36" s="20">
        <v>0</v>
      </c>
      <c r="T36" s="20">
        <f>VLOOKUP($C36,兵士关于时代的建筑和勋号加成!$A$26:$K$35,5,0)</f>
        <v>1</v>
      </c>
      <c r="U36" s="20">
        <f>VLOOKUP($C36,兵士关于时代的建筑和勋号加成!$A$26:$K$35,9,0)</f>
        <v>1</v>
      </c>
      <c r="V36" s="60">
        <f t="shared" ref="V36:V54" si="13">H36*(I36+$B$1/100)*J36</f>
        <v>138.87999999999997</v>
      </c>
      <c r="W36" s="60">
        <f t="shared" ref="W36:W54" si="14">K36*(L36+$B$1/100)*M36</f>
        <v>32.5</v>
      </c>
      <c r="X36" s="60">
        <f t="shared" ref="X36:X54" si="15">P36*Q36*R36</f>
        <v>0</v>
      </c>
      <c r="Y36" s="60">
        <f t="shared" ref="Y36:Y54" si="16">S36*T36*U36</f>
        <v>0</v>
      </c>
      <c r="Z36" s="23">
        <f t="shared" ref="Z36:Z54" si="17">SQRT(V36*W36)</f>
        <v>67.183331266021625</v>
      </c>
      <c r="AA36" s="23">
        <f t="shared" ref="AA36:AA54" si="18">SQRT(V36/W36)</f>
        <v>2.0671794235698959</v>
      </c>
      <c r="AB36" s="23">
        <f t="shared" ref="AB36:AB54" si="19">Z36*G36</f>
        <v>6718.3331266021623</v>
      </c>
      <c r="AC36" s="20">
        <f>8</f>
        <v>8</v>
      </c>
      <c r="AD36" s="20">
        <f>2+VLOOKUP($C36,兵士关于时代的建筑和勋号加成!$A$26:$K$35,11,0)</f>
        <v>10</v>
      </c>
      <c r="AE36" s="39">
        <f t="shared" ref="AE36:AE54" si="20">AB36*SUM(AC36:AD36)</f>
        <v>120929.99627883892</v>
      </c>
      <c r="AF36" s="56">
        <f t="shared" ref="AF36:AF54" si="21">E36*SUM(AC36:AD36)</f>
        <v>12.959999999999999</v>
      </c>
      <c r="AG36" s="20" t="s">
        <v>177</v>
      </c>
      <c r="AH36" s="20" t="s">
        <v>123</v>
      </c>
      <c r="AI36" s="20" t="s">
        <v>109</v>
      </c>
      <c r="AJ36" s="20" t="s">
        <v>254</v>
      </c>
      <c r="AK36" s="20"/>
      <c r="AL36" s="20" t="s">
        <v>195</v>
      </c>
    </row>
    <row r="37" spans="1:38" ht="16.5">
      <c r="A37" s="20" t="s">
        <v>200</v>
      </c>
      <c r="B37" s="54" t="s">
        <v>139</v>
      </c>
      <c r="C37" s="20" t="s">
        <v>106</v>
      </c>
      <c r="D37" s="20">
        <v>81</v>
      </c>
      <c r="E37" s="20">
        <v>0.81</v>
      </c>
      <c r="F37" s="20">
        <v>1</v>
      </c>
      <c r="G37" s="20">
        <v>100</v>
      </c>
      <c r="H37" s="62">
        <v>20</v>
      </c>
      <c r="I37" s="20">
        <f>VLOOKUP($C37,兵士关于时代的建筑和勋号加成!$A$26:$K$35,2,0)</f>
        <v>2.8</v>
      </c>
      <c r="J37" s="20">
        <f>VLOOKUP($C37,兵士关于时代的建筑和勋号加成!$A$26:$K$35,6,0)</f>
        <v>1.6</v>
      </c>
      <c r="K37" s="62">
        <v>16</v>
      </c>
      <c r="L37" s="20">
        <f>VLOOKUP($C37,兵士关于时代的建筑和勋号加成!$A$26:$K$35,3,0)</f>
        <v>2.4</v>
      </c>
      <c r="M37" s="20">
        <f>VLOOKUP($C37,兵士关于时代的建筑和勋号加成!$A$26:$K$35,7,0)</f>
        <v>1.3</v>
      </c>
      <c r="N37" s="34">
        <f t="shared" si="11"/>
        <v>92.147671786311875</v>
      </c>
      <c r="O37" s="34">
        <f t="shared" si="12"/>
        <v>9214.7671786311876</v>
      </c>
      <c r="P37" s="62">
        <v>20</v>
      </c>
      <c r="Q37" s="20">
        <f>VLOOKUP($C37,兵士关于时代的建筑和勋号加成!$A$26:$K$35,4,0)</f>
        <v>1.8</v>
      </c>
      <c r="R37" s="20">
        <f>VLOOKUP($C37,兵士关于时代的建筑和勋号加成!$A$26:$K$35,8,0)</f>
        <v>1</v>
      </c>
      <c r="S37" s="62">
        <v>10</v>
      </c>
      <c r="T37" s="20">
        <f>VLOOKUP($C37,兵士关于时代的建筑和勋号加成!$A$26:$K$35,5,0)</f>
        <v>1.6</v>
      </c>
      <c r="U37" s="20">
        <f>VLOOKUP($C37,兵士关于时代的建筑和勋号加成!$A$26:$K$35,9,0)</f>
        <v>1.5</v>
      </c>
      <c r="V37" s="60">
        <f t="shared" si="13"/>
        <v>99.199999999999989</v>
      </c>
      <c r="W37" s="60">
        <f t="shared" si="14"/>
        <v>56.16</v>
      </c>
      <c r="X37" s="60">
        <f t="shared" si="15"/>
        <v>36</v>
      </c>
      <c r="Y37" s="60">
        <f t="shared" si="16"/>
        <v>24</v>
      </c>
      <c r="Z37" s="23">
        <f t="shared" si="17"/>
        <v>74.639614146912621</v>
      </c>
      <c r="AA37" s="23">
        <f t="shared" si="18"/>
        <v>1.3290529584564215</v>
      </c>
      <c r="AB37" s="23">
        <f t="shared" si="19"/>
        <v>7463.9614146912618</v>
      </c>
      <c r="AC37" s="20">
        <f>8</f>
        <v>8</v>
      </c>
      <c r="AD37" s="20">
        <f>VLOOKUP($C37,兵士关于时代的建筑和勋号加成!$A$26:$K$35,11,0)</f>
        <v>8</v>
      </c>
      <c r="AE37" s="39">
        <f t="shared" si="20"/>
        <v>119423.38263506019</v>
      </c>
      <c r="AF37" s="56">
        <f t="shared" si="21"/>
        <v>12.96</v>
      </c>
      <c r="AG37" s="20" t="s">
        <v>165</v>
      </c>
      <c r="AH37" s="20" t="s">
        <v>116</v>
      </c>
      <c r="AI37" s="20" t="s">
        <v>2</v>
      </c>
      <c r="AJ37" s="20" t="s">
        <v>241</v>
      </c>
      <c r="AK37" s="20"/>
      <c r="AL37" s="20" t="s">
        <v>194</v>
      </c>
    </row>
    <row r="38" spans="1:38" ht="16.5">
      <c r="A38" s="20" t="s">
        <v>200</v>
      </c>
      <c r="B38" s="54" t="s">
        <v>153</v>
      </c>
      <c r="C38" s="20" t="s">
        <v>112</v>
      </c>
      <c r="D38" s="20">
        <v>110.5</v>
      </c>
      <c r="E38" s="20">
        <v>1.36</v>
      </c>
      <c r="F38" s="20">
        <v>1</v>
      </c>
      <c r="G38" s="20">
        <v>100</v>
      </c>
      <c r="H38" s="62">
        <v>25</v>
      </c>
      <c r="I38" s="20">
        <f>VLOOKUP($C38,兵士关于时代的建筑和勋号加成!$A$26:$K$35,2,0)</f>
        <v>3.2</v>
      </c>
      <c r="J38" s="20">
        <f>VLOOKUP($C38,兵士关于时代的建筑和勋号加成!$A$26:$K$35,6,0)</f>
        <v>1.6</v>
      </c>
      <c r="K38" s="62">
        <v>15</v>
      </c>
      <c r="L38" s="20">
        <f>VLOOKUP($C38,兵士关于时代的建筑和勋号加成!$A$26:$K$35,3,0)</f>
        <v>2.2999999999999998</v>
      </c>
      <c r="M38" s="20">
        <f>VLOOKUP($C38,兵士关于时代的建筑和勋号加成!$A$26:$K$35,7,0)</f>
        <v>1.3</v>
      </c>
      <c r="N38" s="34">
        <f t="shared" si="11"/>
        <v>76.24400821656306</v>
      </c>
      <c r="O38" s="34">
        <f t="shared" si="12"/>
        <v>6194.8256675957482</v>
      </c>
      <c r="P38" s="62">
        <v>60</v>
      </c>
      <c r="Q38" s="20">
        <f>VLOOKUP($C38,兵士关于时代的建筑和勋号加成!$A$26:$K$35,4,0)</f>
        <v>1.6</v>
      </c>
      <c r="R38" s="20">
        <f>VLOOKUP($C38,兵士关于时代的建筑和勋号加成!$A$26:$K$35,8,0)</f>
        <v>1.4</v>
      </c>
      <c r="S38" s="62">
        <v>20</v>
      </c>
      <c r="T38" s="20">
        <f>VLOOKUP($C38,兵士关于时代的建筑和勋号加成!$A$26:$K$35,5,0)</f>
        <v>1.1000000000000001</v>
      </c>
      <c r="U38" s="20">
        <f>VLOOKUP($C38,兵士关于时代的建筑和勋号加成!$A$26:$K$35,9,0)</f>
        <v>1</v>
      </c>
      <c r="V38" s="60">
        <f t="shared" si="13"/>
        <v>140</v>
      </c>
      <c r="W38" s="60">
        <f t="shared" si="14"/>
        <v>50.699999999999996</v>
      </c>
      <c r="X38" s="60">
        <f t="shared" si="15"/>
        <v>134.39999999999998</v>
      </c>
      <c r="Y38" s="60">
        <f t="shared" si="16"/>
        <v>22</v>
      </c>
      <c r="Z38" s="23">
        <f t="shared" si="17"/>
        <v>84.249629079302181</v>
      </c>
      <c r="AA38" s="23">
        <f t="shared" si="18"/>
        <v>1.6617283842071437</v>
      </c>
      <c r="AB38" s="23">
        <f t="shared" si="19"/>
        <v>8424.9629079302176</v>
      </c>
      <c r="AC38" s="20">
        <f>8</f>
        <v>8</v>
      </c>
      <c r="AD38" s="20">
        <f>VLOOKUP($C38,兵士关于时代的建筑和勋号加成!$A$26:$K$35,11,0)</f>
        <v>6</v>
      </c>
      <c r="AE38" s="39">
        <f t="shared" si="20"/>
        <v>117949.48071102305</v>
      </c>
      <c r="AF38" s="56">
        <f t="shared" si="21"/>
        <v>19.040000000000003</v>
      </c>
      <c r="AG38" s="20" t="s">
        <v>110</v>
      </c>
      <c r="AH38" s="20" t="s">
        <v>113</v>
      </c>
      <c r="AI38" s="20" t="s">
        <v>114</v>
      </c>
      <c r="AJ38" s="20" t="s">
        <v>253</v>
      </c>
      <c r="AK38" s="20"/>
      <c r="AL38" s="20" t="s">
        <v>154</v>
      </c>
    </row>
    <row r="39" spans="1:38" ht="16.5">
      <c r="A39" s="20" t="s">
        <v>232</v>
      </c>
      <c r="B39" s="54" t="s">
        <v>214</v>
      </c>
      <c r="C39" s="20" t="s">
        <v>112</v>
      </c>
      <c r="D39" s="20">
        <v>85</v>
      </c>
      <c r="E39" s="20">
        <v>1.1499999999999999</v>
      </c>
      <c r="F39" s="20">
        <v>1</v>
      </c>
      <c r="G39" s="20">
        <v>100</v>
      </c>
      <c r="H39" s="62">
        <v>22</v>
      </c>
      <c r="I39" s="20">
        <f>VLOOKUP($C39,兵士关于时代的建筑和勋号加成!$A$26:$K$35,2,0)</f>
        <v>3.2</v>
      </c>
      <c r="J39" s="20">
        <f>VLOOKUP($C39,兵士关于时代的建筑和勋号加成!$A$26:$K$35,6,0)</f>
        <v>1.6</v>
      </c>
      <c r="K39" s="62">
        <v>16</v>
      </c>
      <c r="L39" s="20">
        <f>VLOOKUP($C39,兵士关于时代的建筑和勋号加成!$A$26:$K$35,3,0)</f>
        <v>2.2999999999999998</v>
      </c>
      <c r="M39" s="20">
        <f>VLOOKUP($C39,兵士关于时代的建筑和勋号加成!$A$26:$K$35,7,0)</f>
        <v>1.3</v>
      </c>
      <c r="N39" s="34">
        <f t="shared" si="11"/>
        <v>96.0295225654707</v>
      </c>
      <c r="O39" s="34">
        <f t="shared" si="12"/>
        <v>7097.83427657827</v>
      </c>
      <c r="P39" s="62">
        <v>30</v>
      </c>
      <c r="Q39" s="20">
        <f>VLOOKUP($C39,兵士关于时代的建筑和勋号加成!$A$26:$K$35,4,0)</f>
        <v>1.6</v>
      </c>
      <c r="R39" s="20">
        <f>VLOOKUP($C39,兵士关于时代的建筑和勋号加成!$A$26:$K$35,8,0)</f>
        <v>1.4</v>
      </c>
      <c r="S39" s="62">
        <v>50</v>
      </c>
      <c r="T39" s="20">
        <f>VLOOKUP($C39,兵士关于时代的建筑和勋号加成!$A$26:$K$35,5,0)</f>
        <v>1.1000000000000001</v>
      </c>
      <c r="U39" s="20">
        <f>VLOOKUP($C39,兵士关于时代的建筑和勋号加成!$A$26:$K$35,9,0)</f>
        <v>1</v>
      </c>
      <c r="V39" s="60">
        <f t="shared" si="13"/>
        <v>123.2</v>
      </c>
      <c r="W39" s="60">
        <f t="shared" si="14"/>
        <v>54.079999999999991</v>
      </c>
      <c r="X39" s="60">
        <f t="shared" si="15"/>
        <v>67.199999999999989</v>
      </c>
      <c r="Y39" s="60">
        <f t="shared" si="16"/>
        <v>55.000000000000007</v>
      </c>
      <c r="Z39" s="23">
        <f t="shared" si="17"/>
        <v>81.625094180650095</v>
      </c>
      <c r="AA39" s="23">
        <f t="shared" si="18"/>
        <v>1.5093397592575835</v>
      </c>
      <c r="AB39" s="23">
        <f t="shared" si="19"/>
        <v>8162.5094180650094</v>
      </c>
      <c r="AC39" s="20">
        <f>8</f>
        <v>8</v>
      </c>
      <c r="AD39" s="20">
        <f>VLOOKUP($C39,兵士关于时代的建筑和勋号加成!$A$26:$K$35,11,0)</f>
        <v>6</v>
      </c>
      <c r="AE39" s="39">
        <f t="shared" si="20"/>
        <v>114275.13185291013</v>
      </c>
      <c r="AF39" s="56">
        <f t="shared" si="21"/>
        <v>16.099999999999998</v>
      </c>
      <c r="AG39" s="20" t="s">
        <v>110</v>
      </c>
      <c r="AH39" s="20" t="s">
        <v>215</v>
      </c>
      <c r="AI39" s="20" t="s">
        <v>216</v>
      </c>
      <c r="AJ39" s="20" t="s">
        <v>271</v>
      </c>
      <c r="AK39" s="20" t="s">
        <v>235</v>
      </c>
      <c r="AL39" s="20" t="s">
        <v>140</v>
      </c>
    </row>
    <row r="40" spans="1:38" ht="16.5">
      <c r="A40" s="20" t="s">
        <v>232</v>
      </c>
      <c r="B40" s="54" t="s">
        <v>217</v>
      </c>
      <c r="C40" s="20" t="s">
        <v>112</v>
      </c>
      <c r="D40" s="20">
        <v>90</v>
      </c>
      <c r="E40" s="20">
        <v>1.1499999999999999</v>
      </c>
      <c r="F40" s="20">
        <v>1</v>
      </c>
      <c r="G40" s="20">
        <v>100</v>
      </c>
      <c r="H40" s="62">
        <v>22</v>
      </c>
      <c r="I40" s="20">
        <f>VLOOKUP($C40,兵士关于时代的建筑和勋号加成!$A$26:$K$35,2,0)</f>
        <v>3.2</v>
      </c>
      <c r="J40" s="20">
        <f>VLOOKUP($C40,兵士关于时代的建筑和勋号加成!$A$26:$K$35,6,0)</f>
        <v>1.6</v>
      </c>
      <c r="K40" s="62">
        <v>15</v>
      </c>
      <c r="L40" s="20">
        <f>VLOOKUP($C40,兵士关于时代的建筑和勋号加成!$A$26:$K$35,3,0)</f>
        <v>2.2999999999999998</v>
      </c>
      <c r="M40" s="20">
        <f>VLOOKUP($C40,兵士关于时代的建筑和勋号加成!$A$26:$K$35,7,0)</f>
        <v>1.3</v>
      </c>
      <c r="N40" s="34">
        <f t="shared" si="11"/>
        <v>87.814619553963837</v>
      </c>
      <c r="O40" s="34">
        <f t="shared" si="12"/>
        <v>6872.4484868319532</v>
      </c>
      <c r="P40" s="62">
        <v>30</v>
      </c>
      <c r="Q40" s="20">
        <f>VLOOKUP($C40,兵士关于时代的建筑和勋号加成!$A$26:$K$35,4,0)</f>
        <v>1.6</v>
      </c>
      <c r="R40" s="20">
        <f>VLOOKUP($C40,兵士关于时代的建筑和勋号加成!$A$26:$K$35,8,0)</f>
        <v>1.4</v>
      </c>
      <c r="S40" s="62">
        <v>30</v>
      </c>
      <c r="T40" s="20">
        <f>VLOOKUP($C40,兵士关于时代的建筑和勋号加成!$A$26:$K$35,5,0)</f>
        <v>1.1000000000000001</v>
      </c>
      <c r="U40" s="20">
        <f>VLOOKUP($C40,兵士关于时代的建筑和勋号加成!$A$26:$K$35,9,0)</f>
        <v>1</v>
      </c>
      <c r="V40" s="60">
        <f t="shared" si="13"/>
        <v>123.2</v>
      </c>
      <c r="W40" s="60">
        <f t="shared" si="14"/>
        <v>50.699999999999996</v>
      </c>
      <c r="X40" s="60">
        <f t="shared" si="15"/>
        <v>67.199999999999989</v>
      </c>
      <c r="Y40" s="60">
        <f t="shared" si="16"/>
        <v>33</v>
      </c>
      <c r="Z40" s="23">
        <f t="shared" si="17"/>
        <v>79.033157598567456</v>
      </c>
      <c r="AA40" s="23">
        <f t="shared" si="18"/>
        <v>1.558839400366222</v>
      </c>
      <c r="AB40" s="23">
        <f t="shared" si="19"/>
        <v>7903.3157598567459</v>
      </c>
      <c r="AC40" s="20">
        <f>8</f>
        <v>8</v>
      </c>
      <c r="AD40" s="20">
        <f>VLOOKUP($C40,兵士关于时代的建筑和勋号加成!$A$26:$K$35,11,0)</f>
        <v>6</v>
      </c>
      <c r="AE40" s="39">
        <f t="shared" si="20"/>
        <v>110646.42063799444</v>
      </c>
      <c r="AF40" s="56">
        <f t="shared" si="21"/>
        <v>16.099999999999998</v>
      </c>
      <c r="AG40" s="20" t="s">
        <v>218</v>
      </c>
      <c r="AH40" s="20" t="s">
        <v>219</v>
      </c>
      <c r="AI40" s="20" t="s">
        <v>114</v>
      </c>
      <c r="AJ40" s="20" t="s">
        <v>272</v>
      </c>
      <c r="AK40" s="20" t="s">
        <v>236</v>
      </c>
      <c r="AL40" s="20" t="s">
        <v>140</v>
      </c>
    </row>
    <row r="41" spans="1:38" ht="16.5">
      <c r="A41" s="20" t="s">
        <v>127</v>
      </c>
      <c r="B41" s="54" t="s">
        <v>112</v>
      </c>
      <c r="C41" s="20" t="s">
        <v>112</v>
      </c>
      <c r="D41" s="20">
        <v>85</v>
      </c>
      <c r="E41" s="20">
        <v>1.05</v>
      </c>
      <c r="F41" s="20">
        <v>1</v>
      </c>
      <c r="G41" s="20">
        <v>100</v>
      </c>
      <c r="H41" s="62">
        <v>22</v>
      </c>
      <c r="I41" s="20">
        <f>VLOOKUP($C41,兵士关于时代的建筑和勋号加成!$A$26:$K$35,2,0)</f>
        <v>3.2</v>
      </c>
      <c r="J41" s="20">
        <f>VLOOKUP($C41,兵士关于时代的建筑和勋号加成!$A$26:$K$35,6,0)</f>
        <v>1.6</v>
      </c>
      <c r="K41" s="62">
        <v>15</v>
      </c>
      <c r="L41" s="20">
        <f>VLOOKUP($C41,兵士关于时代的建筑和勋号加成!$A$26:$K$35,3,0)</f>
        <v>2.2999999999999998</v>
      </c>
      <c r="M41" s="20">
        <f>VLOOKUP($C41,兵士关于时代的建筑和勋号加成!$A$26:$K$35,7,0)</f>
        <v>1.3</v>
      </c>
      <c r="N41" s="34">
        <f t="shared" si="11"/>
        <v>92.980185410079358</v>
      </c>
      <c r="O41" s="34">
        <f t="shared" si="12"/>
        <v>7526.9673903397579</v>
      </c>
      <c r="P41" s="62">
        <v>30</v>
      </c>
      <c r="Q41" s="20">
        <f>VLOOKUP($C41,兵士关于时代的建筑和勋号加成!$A$26:$K$35,4,0)</f>
        <v>1.6</v>
      </c>
      <c r="R41" s="20">
        <f>VLOOKUP($C41,兵士关于时代的建筑和勋号加成!$A$26:$K$35,8,0)</f>
        <v>1.4</v>
      </c>
      <c r="S41" s="62">
        <v>30</v>
      </c>
      <c r="T41" s="20">
        <f>VLOOKUP($C41,兵士关于时代的建筑和勋号加成!$A$26:$K$35,5,0)</f>
        <v>1.1000000000000001</v>
      </c>
      <c r="U41" s="20">
        <f>VLOOKUP($C41,兵士关于时代的建筑和勋号加成!$A$26:$K$35,9,0)</f>
        <v>1</v>
      </c>
      <c r="V41" s="60">
        <f t="shared" si="13"/>
        <v>123.2</v>
      </c>
      <c r="W41" s="60">
        <f t="shared" si="14"/>
        <v>50.699999999999996</v>
      </c>
      <c r="X41" s="60">
        <f t="shared" si="15"/>
        <v>67.199999999999989</v>
      </c>
      <c r="Y41" s="60">
        <f t="shared" si="16"/>
        <v>33</v>
      </c>
      <c r="Z41" s="23">
        <f t="shared" si="17"/>
        <v>79.033157598567456</v>
      </c>
      <c r="AA41" s="23">
        <f t="shared" si="18"/>
        <v>1.558839400366222</v>
      </c>
      <c r="AB41" s="23">
        <f t="shared" si="19"/>
        <v>7903.3157598567459</v>
      </c>
      <c r="AC41" s="20">
        <f>8</f>
        <v>8</v>
      </c>
      <c r="AD41" s="20">
        <f>VLOOKUP($C41,兵士关于时代的建筑和勋号加成!$A$26:$K$35,11,0)</f>
        <v>6</v>
      </c>
      <c r="AE41" s="39">
        <f t="shared" si="20"/>
        <v>110646.42063799444</v>
      </c>
      <c r="AF41" s="56">
        <f t="shared" si="21"/>
        <v>14.700000000000001</v>
      </c>
      <c r="AG41" s="20" t="s">
        <v>197</v>
      </c>
      <c r="AH41" s="20" t="s">
        <v>113</v>
      </c>
      <c r="AI41" s="20" t="s">
        <v>114</v>
      </c>
      <c r="AJ41" s="20" t="s">
        <v>136</v>
      </c>
      <c r="AK41" s="20"/>
      <c r="AL41" s="20" t="s">
        <v>194</v>
      </c>
    </row>
    <row r="42" spans="1:38" ht="16.5" hidden="1">
      <c r="A42" s="20" t="s">
        <v>232</v>
      </c>
      <c r="B42" s="54" t="s">
        <v>220</v>
      </c>
      <c r="C42" s="20" t="s">
        <v>112</v>
      </c>
      <c r="D42" s="20">
        <v>94</v>
      </c>
      <c r="E42" s="20">
        <v>0.92</v>
      </c>
      <c r="F42" s="20">
        <v>1</v>
      </c>
      <c r="G42" s="20">
        <v>100</v>
      </c>
      <c r="H42" s="20">
        <v>22</v>
      </c>
      <c r="I42" s="20">
        <f>VLOOKUP($C42,兵士关于时代的建筑和勋号加成!$A$26:$K$35,2,0)</f>
        <v>3.2</v>
      </c>
      <c r="J42" s="20">
        <f>VLOOKUP($C42,兵士关于时代的建筑和勋号加成!$A$26:$K$35,6,0)</f>
        <v>1.6</v>
      </c>
      <c r="K42" s="20">
        <v>15</v>
      </c>
      <c r="L42" s="20">
        <f>VLOOKUP($C42,兵士关于时代的建筑和勋号加成!$A$26:$K$35,3,0)</f>
        <v>2.2999999999999998</v>
      </c>
      <c r="M42" s="20">
        <f>VLOOKUP($C42,兵士关于时代的建筑和勋号加成!$A$26:$K$35,7,0)</f>
        <v>1.3</v>
      </c>
      <c r="N42" s="34">
        <f t="shared" si="11"/>
        <v>84.077827232518572</v>
      </c>
      <c r="O42" s="34">
        <f t="shared" si="12"/>
        <v>8590.5606085399413</v>
      </c>
      <c r="P42" s="20">
        <v>52</v>
      </c>
      <c r="Q42" s="20">
        <f>VLOOKUP($C42,兵士关于时代的建筑和勋号加成!$A$26:$K$35,4,0)</f>
        <v>1.6</v>
      </c>
      <c r="R42" s="20">
        <f>VLOOKUP($C42,兵士关于时代的建筑和勋号加成!$A$26:$K$35,8,0)</f>
        <v>1.4</v>
      </c>
      <c r="S42" s="20">
        <v>30</v>
      </c>
      <c r="T42" s="20">
        <f>VLOOKUP($C42,兵士关于时代的建筑和勋号加成!$A$26:$K$35,5,0)</f>
        <v>1.1000000000000001</v>
      </c>
      <c r="U42" s="20">
        <f>VLOOKUP($C42,兵士关于时代的建筑和勋号加成!$A$26:$K$35,9,0)</f>
        <v>1</v>
      </c>
      <c r="V42" s="60">
        <f t="shared" si="13"/>
        <v>123.2</v>
      </c>
      <c r="W42" s="60">
        <f t="shared" si="14"/>
        <v>50.699999999999996</v>
      </c>
      <c r="X42" s="60">
        <f t="shared" si="15"/>
        <v>116.47999999999999</v>
      </c>
      <c r="Y42" s="60">
        <f t="shared" si="16"/>
        <v>33</v>
      </c>
      <c r="Z42" s="23">
        <f t="shared" si="17"/>
        <v>79.033157598567456</v>
      </c>
      <c r="AA42" s="23">
        <f t="shared" si="18"/>
        <v>1.558839400366222</v>
      </c>
      <c r="AB42" s="23">
        <f t="shared" si="19"/>
        <v>7903.3157598567459</v>
      </c>
      <c r="AC42" s="20">
        <f>8</f>
        <v>8</v>
      </c>
      <c r="AD42" s="20">
        <f>VLOOKUP($C42,兵士关于时代的建筑和勋号加成!$A$26:$K$35,11,0)</f>
        <v>6</v>
      </c>
      <c r="AE42" s="39">
        <f t="shared" si="20"/>
        <v>110646.42063799444</v>
      </c>
      <c r="AF42" s="56">
        <f t="shared" si="21"/>
        <v>12.88</v>
      </c>
      <c r="AG42" s="20" t="s">
        <v>110</v>
      </c>
      <c r="AH42" s="20" t="s">
        <v>221</v>
      </c>
      <c r="AI42" s="20" t="s">
        <v>216</v>
      </c>
      <c r="AJ42" s="20" t="s">
        <v>273</v>
      </c>
      <c r="AK42" s="20" t="s">
        <v>237</v>
      </c>
      <c r="AL42" s="20" t="s">
        <v>315</v>
      </c>
    </row>
    <row r="43" spans="1:38" ht="16.5">
      <c r="A43" s="20" t="s">
        <v>200</v>
      </c>
      <c r="B43" s="54" t="s">
        <v>163</v>
      </c>
      <c r="C43" s="20" t="s">
        <v>115</v>
      </c>
      <c r="D43" s="20">
        <v>50.2</v>
      </c>
      <c r="E43" s="20">
        <v>0.6</v>
      </c>
      <c r="F43" s="20">
        <v>1</v>
      </c>
      <c r="G43" s="20">
        <v>100</v>
      </c>
      <c r="H43" s="62">
        <v>14</v>
      </c>
      <c r="I43" s="20">
        <f>VLOOKUP($C43,兵士关于时代的建筑和勋号加成!$A$26:$K$35,2,0)</f>
        <v>3</v>
      </c>
      <c r="J43" s="20">
        <f>VLOOKUP($C43,兵士关于时代的建筑和勋号加成!$A$26:$K$35,6,0)</f>
        <v>1.5</v>
      </c>
      <c r="K43" s="62">
        <v>18</v>
      </c>
      <c r="L43" s="20">
        <f>0.4+VLOOKUP($C43,兵士关于时代的建筑和勋号加成!$A$26:$K$35,3,0)</f>
        <v>2.65</v>
      </c>
      <c r="M43" s="20">
        <f>VLOOKUP($C43,兵士关于时代的建筑和勋号加成!$A$26:$K$35,7,0)</f>
        <v>1.6</v>
      </c>
      <c r="N43" s="34">
        <f t="shared" si="11"/>
        <v>152.85165733070633</v>
      </c>
      <c r="O43" s="34">
        <f t="shared" si="12"/>
        <v>12788.588663335764</v>
      </c>
      <c r="P43" s="62">
        <v>12</v>
      </c>
      <c r="Q43" s="20">
        <f>VLOOKUP($C43,兵士关于时代的建筑和勋号加成!$A$26:$K$35,4,0)</f>
        <v>1</v>
      </c>
      <c r="R43" s="20">
        <f>VLOOKUP($C43,兵士关于时代的建筑和勋号加成!$A$26:$K$35,8,0)</f>
        <v>1</v>
      </c>
      <c r="S43" s="62">
        <v>0</v>
      </c>
      <c r="T43" s="20">
        <f>VLOOKUP($C43,兵士关于时代的建筑和勋号加成!$A$26:$K$35,5,0)</f>
        <v>1</v>
      </c>
      <c r="U43" s="20">
        <f>VLOOKUP($C43,兵士关于时代的建筑和勋号加成!$A$26:$K$35,9,0)</f>
        <v>1</v>
      </c>
      <c r="V43" s="60">
        <f t="shared" si="13"/>
        <v>69.3</v>
      </c>
      <c r="W43" s="60">
        <f t="shared" si="14"/>
        <v>84.96</v>
      </c>
      <c r="X43" s="60">
        <f t="shared" si="15"/>
        <v>12</v>
      </c>
      <c r="Y43" s="60">
        <f t="shared" si="16"/>
        <v>0</v>
      </c>
      <c r="Z43" s="23">
        <f t="shared" si="17"/>
        <v>76.73153198001458</v>
      </c>
      <c r="AA43" s="23">
        <f t="shared" si="18"/>
        <v>0.90314891690224319</v>
      </c>
      <c r="AB43" s="23">
        <f t="shared" si="19"/>
        <v>7673.1531980014579</v>
      </c>
      <c r="AC43" s="20">
        <f>8</f>
        <v>8</v>
      </c>
      <c r="AD43" s="20">
        <f>VLOOKUP($C43,兵士关于时代的建筑和勋号加成!$A$26:$K$35,11,0)</f>
        <v>6</v>
      </c>
      <c r="AE43" s="39">
        <f t="shared" si="20"/>
        <v>107424.14477202042</v>
      </c>
      <c r="AF43" s="56">
        <f t="shared" si="21"/>
        <v>8.4</v>
      </c>
      <c r="AG43" s="20" t="s">
        <v>189</v>
      </c>
      <c r="AH43" s="20" t="s">
        <v>190</v>
      </c>
      <c r="AI43" s="20" t="s">
        <v>191</v>
      </c>
      <c r="AJ43" s="20" t="s">
        <v>265</v>
      </c>
      <c r="AK43" s="20"/>
      <c r="AL43" s="20" t="s">
        <v>140</v>
      </c>
    </row>
    <row r="44" spans="1:38">
      <c r="A44" s="20" t="s">
        <v>200</v>
      </c>
      <c r="B44" s="54" t="s">
        <v>148</v>
      </c>
      <c r="C44" s="20" t="s">
        <v>106</v>
      </c>
      <c r="D44" s="20">
        <v>54</v>
      </c>
      <c r="E44" s="20">
        <v>0.54</v>
      </c>
      <c r="F44" s="20">
        <v>1</v>
      </c>
      <c r="G44" s="20">
        <v>100</v>
      </c>
      <c r="H44" s="62">
        <v>18</v>
      </c>
      <c r="I44" s="20">
        <f>VLOOKUP($C44,兵士关于时代的建筑和勋号加成!$A$26:$K$35,2,0)</f>
        <v>2.8</v>
      </c>
      <c r="J44" s="20">
        <f>VLOOKUP($C44,兵士关于时代的建筑和勋号加成!$A$26:$K$35,6,0)</f>
        <v>1.6</v>
      </c>
      <c r="K44" s="62">
        <v>14</v>
      </c>
      <c r="L44" s="20">
        <f>VLOOKUP($C44,兵士关于时代的建筑和勋号加成!$A$26:$K$35,3,0)</f>
        <v>2.4</v>
      </c>
      <c r="M44" s="20">
        <f>VLOOKUP($C44,兵士关于时代的建筑和勋号加成!$A$26:$K$35,7,0)</f>
        <v>1.3</v>
      </c>
      <c r="N44" s="34">
        <f t="shared" si="11"/>
        <v>122.65942007580719</v>
      </c>
      <c r="O44" s="34">
        <f t="shared" si="12"/>
        <v>12265.942007580719</v>
      </c>
      <c r="P44" s="62">
        <v>0</v>
      </c>
      <c r="Q44" s="20">
        <f>VLOOKUP($C44,兵士关于时代的建筑和勋号加成!$A$26:$K$35,4,0)</f>
        <v>1.8</v>
      </c>
      <c r="R44" s="20">
        <f>VLOOKUP($C44,兵士关于时代的建筑和勋号加成!$A$26:$K$35,8,0)</f>
        <v>1</v>
      </c>
      <c r="S44" s="62">
        <v>20</v>
      </c>
      <c r="T44" s="20">
        <f>VLOOKUP($C44,兵士关于时代的建筑和勋号加成!$A$26:$K$35,5,0)</f>
        <v>1.6</v>
      </c>
      <c r="U44" s="20">
        <f>VLOOKUP($C44,兵士关于时代的建筑和勋号加成!$A$26:$K$35,9,0)</f>
        <v>1.5</v>
      </c>
      <c r="V44" s="60">
        <f t="shared" si="13"/>
        <v>89.28</v>
      </c>
      <c r="W44" s="60">
        <f t="shared" si="14"/>
        <v>49.14</v>
      </c>
      <c r="X44" s="60">
        <f t="shared" si="15"/>
        <v>0</v>
      </c>
      <c r="Y44" s="60">
        <f t="shared" si="16"/>
        <v>48</v>
      </c>
      <c r="Z44" s="23">
        <f t="shared" si="17"/>
        <v>66.236086840935883</v>
      </c>
      <c r="AA44" s="23">
        <f t="shared" si="18"/>
        <v>1.3479057151187603</v>
      </c>
      <c r="AB44" s="23">
        <f t="shared" si="19"/>
        <v>6623.6086840935886</v>
      </c>
      <c r="AC44" s="20">
        <f>8</f>
        <v>8</v>
      </c>
      <c r="AD44" s="20">
        <f>VLOOKUP($C44,兵士关于时代的建筑和勋号加成!$A$26:$K$35,11,0)</f>
        <v>8</v>
      </c>
      <c r="AE44" s="39">
        <f t="shared" si="20"/>
        <v>105977.73894549742</v>
      </c>
      <c r="AF44" s="56">
        <f t="shared" si="21"/>
        <v>8.64</v>
      </c>
      <c r="AG44" s="20" t="s">
        <v>107</v>
      </c>
      <c r="AH44" s="20" t="s">
        <v>169</v>
      </c>
      <c r="AI44" s="20" t="s">
        <v>109</v>
      </c>
      <c r="AJ44" s="20" t="s">
        <v>248</v>
      </c>
      <c r="AK44" s="20"/>
      <c r="AL44" s="20" t="s">
        <v>140</v>
      </c>
    </row>
    <row r="45" spans="1:38">
      <c r="A45" s="20" t="s">
        <v>200</v>
      </c>
      <c r="B45" s="54" t="s">
        <v>160</v>
      </c>
      <c r="C45" s="20" t="s">
        <v>106</v>
      </c>
      <c r="D45" s="20">
        <v>45</v>
      </c>
      <c r="E45" s="20">
        <v>0.45</v>
      </c>
      <c r="F45" s="20">
        <v>1</v>
      </c>
      <c r="G45" s="20">
        <v>100</v>
      </c>
      <c r="H45" s="62">
        <v>10</v>
      </c>
      <c r="I45" s="20">
        <f>VLOOKUP($C45,兵士关于时代的建筑和勋号加成!$A$26:$K$35,2,0)</f>
        <v>2.8</v>
      </c>
      <c r="J45" s="20">
        <f>VLOOKUP($C45,兵士关于时代的建筑和勋号加成!$A$26:$K$35,6,0)</f>
        <v>1.6</v>
      </c>
      <c r="K45" s="62">
        <v>24</v>
      </c>
      <c r="L45" s="20">
        <f>VLOOKUP($C45,兵士关于时代的建筑和勋号加成!$A$26:$K$35,3,0)</f>
        <v>2.4</v>
      </c>
      <c r="M45" s="20">
        <f>VLOOKUP($C45,兵士关于时代的建筑和勋号加成!$A$26:$K$35,7,0)</f>
        <v>1.3</v>
      </c>
      <c r="N45" s="34">
        <f t="shared" si="11"/>
        <v>143.644004399766</v>
      </c>
      <c r="O45" s="34">
        <f t="shared" si="12"/>
        <v>14364.4004399766</v>
      </c>
      <c r="P45" s="62">
        <v>0</v>
      </c>
      <c r="Q45" s="20">
        <f>VLOOKUP($C45,兵士关于时代的建筑和勋号加成!$A$26:$K$35,4,0)</f>
        <v>1.8</v>
      </c>
      <c r="R45" s="20">
        <f>VLOOKUP($C45,兵士关于时代的建筑和勋号加成!$A$26:$K$35,8,0)</f>
        <v>1</v>
      </c>
      <c r="S45" s="62">
        <v>40</v>
      </c>
      <c r="T45" s="20">
        <f>VLOOKUP($C45,兵士关于时代的建筑和勋号加成!$A$26:$K$35,5,0)</f>
        <v>1.6</v>
      </c>
      <c r="U45" s="20">
        <f>VLOOKUP($C45,兵士关于时代的建筑和勋号加成!$A$26:$K$35,9,0)</f>
        <v>1.5</v>
      </c>
      <c r="V45" s="60">
        <f t="shared" si="13"/>
        <v>49.599999999999994</v>
      </c>
      <c r="W45" s="60">
        <f t="shared" si="14"/>
        <v>84.24</v>
      </c>
      <c r="X45" s="60">
        <f t="shared" si="15"/>
        <v>0</v>
      </c>
      <c r="Y45" s="60">
        <f t="shared" si="16"/>
        <v>96</v>
      </c>
      <c r="Z45" s="23">
        <f t="shared" si="17"/>
        <v>64.639801979894699</v>
      </c>
      <c r="AA45" s="23">
        <f t="shared" si="18"/>
        <v>0.76732908333208349</v>
      </c>
      <c r="AB45" s="23">
        <f t="shared" si="19"/>
        <v>6463.9801979894701</v>
      </c>
      <c r="AC45" s="20">
        <f>8</f>
        <v>8</v>
      </c>
      <c r="AD45" s="20">
        <f>VLOOKUP($C45,兵士关于时代的建筑和勋号加成!$A$26:$K$35,11,0)</f>
        <v>8</v>
      </c>
      <c r="AE45" s="39">
        <f t="shared" si="20"/>
        <v>103423.68316783152</v>
      </c>
      <c r="AF45" s="56">
        <f t="shared" si="21"/>
        <v>7.2</v>
      </c>
      <c r="AG45" s="20" t="s">
        <v>107</v>
      </c>
      <c r="AH45" s="20" t="s">
        <v>109</v>
      </c>
      <c r="AI45" s="20" t="s">
        <v>109</v>
      </c>
      <c r="AJ45" s="20" t="s">
        <v>262</v>
      </c>
      <c r="AK45" s="20"/>
      <c r="AL45" s="20" t="s">
        <v>140</v>
      </c>
    </row>
    <row r="46" spans="1:38" hidden="1">
      <c r="A46" s="20" t="s">
        <v>200</v>
      </c>
      <c r="B46" s="54" t="s">
        <v>147</v>
      </c>
      <c r="C46" s="20" t="s">
        <v>106</v>
      </c>
      <c r="D46" s="20">
        <v>45</v>
      </c>
      <c r="E46" s="20">
        <v>0.45</v>
      </c>
      <c r="F46" s="20">
        <v>1</v>
      </c>
      <c r="G46" s="20">
        <v>100</v>
      </c>
      <c r="H46" s="20">
        <v>13</v>
      </c>
      <c r="I46" s="20">
        <f>VLOOKUP($C46,兵士关于时代的建筑和勋号加成!$A$26:$K$35,2,0)</f>
        <v>2.8</v>
      </c>
      <c r="J46" s="20">
        <f>VLOOKUP($C46,兵士关于时代的建筑和勋号加成!$A$26:$K$35,6,0)</f>
        <v>1.6</v>
      </c>
      <c r="K46" s="20">
        <v>18</v>
      </c>
      <c r="L46" s="20">
        <f>VLOOKUP($C46,兵士关于时代的建筑和勋号加成!$A$26:$K$35,3,0)</f>
        <v>2.4</v>
      </c>
      <c r="M46" s="20">
        <f>VLOOKUP($C46,兵士关于时代的建筑和勋号加成!$A$26:$K$35,7,0)</f>
        <v>1.3</v>
      </c>
      <c r="N46" s="34">
        <f t="shared" si="11"/>
        <v>141.83708964865289</v>
      </c>
      <c r="O46" s="34">
        <f t="shared" si="12"/>
        <v>14183.708964865289</v>
      </c>
      <c r="P46" s="20">
        <v>0</v>
      </c>
      <c r="Q46" s="20">
        <f>VLOOKUP($C46,兵士关于时代的建筑和勋号加成!$A$26:$K$35,4,0)</f>
        <v>1.8</v>
      </c>
      <c r="R46" s="20">
        <f>VLOOKUP($C46,兵士关于时代的建筑和勋号加成!$A$26:$K$35,8,0)</f>
        <v>1</v>
      </c>
      <c r="S46" s="20">
        <v>16</v>
      </c>
      <c r="T46" s="20">
        <f>VLOOKUP($C46,兵士关于时代的建筑和勋号加成!$A$26:$K$35,5,0)</f>
        <v>1.6</v>
      </c>
      <c r="U46" s="20">
        <f>VLOOKUP($C46,兵士关于时代的建筑和勋号加成!$A$26:$K$35,9,0)</f>
        <v>1.5</v>
      </c>
      <c r="V46" s="60">
        <f t="shared" si="13"/>
        <v>64.48</v>
      </c>
      <c r="W46" s="60">
        <f t="shared" si="14"/>
        <v>63.179999999999993</v>
      </c>
      <c r="X46" s="60">
        <f t="shared" si="15"/>
        <v>0</v>
      </c>
      <c r="Y46" s="60">
        <f t="shared" si="16"/>
        <v>38.400000000000006</v>
      </c>
      <c r="Z46" s="23">
        <f t="shared" si="17"/>
        <v>63.826690341893801</v>
      </c>
      <c r="AA46" s="23">
        <f t="shared" si="18"/>
        <v>1.0102356812582116</v>
      </c>
      <c r="AB46" s="23">
        <f t="shared" si="19"/>
        <v>6382.66903418938</v>
      </c>
      <c r="AC46" s="20">
        <f>8</f>
        <v>8</v>
      </c>
      <c r="AD46" s="20">
        <f>VLOOKUP($C46,兵士关于时代的建筑和勋号加成!$A$26:$K$35,11,0)</f>
        <v>8</v>
      </c>
      <c r="AE46" s="39">
        <f t="shared" si="20"/>
        <v>102122.70454703008</v>
      </c>
      <c r="AF46" s="56">
        <f t="shared" si="21"/>
        <v>7.2</v>
      </c>
      <c r="AG46" s="20" t="s">
        <v>168</v>
      </c>
      <c r="AH46" s="20" t="s">
        <v>109</v>
      </c>
      <c r="AI46" s="20" t="s">
        <v>109</v>
      </c>
      <c r="AJ46" s="20" t="s">
        <v>247</v>
      </c>
      <c r="AK46" s="20"/>
      <c r="AL46" s="20" t="s">
        <v>146</v>
      </c>
    </row>
    <row r="47" spans="1:38" ht="24.75">
      <c r="A47" s="20" t="s">
        <v>232</v>
      </c>
      <c r="B47" s="54" t="s">
        <v>222</v>
      </c>
      <c r="C47" s="20" t="s">
        <v>331</v>
      </c>
      <c r="D47" s="20">
        <v>85</v>
      </c>
      <c r="E47" s="20">
        <v>0.84</v>
      </c>
      <c r="F47" s="20">
        <v>1</v>
      </c>
      <c r="G47" s="20">
        <v>100</v>
      </c>
      <c r="H47" s="62">
        <v>22</v>
      </c>
      <c r="I47" s="20">
        <f>VLOOKUP($C47,兵士关于时代的建筑和勋号加成!$A$26:$K$35,2,0)</f>
        <v>2.8</v>
      </c>
      <c r="J47" s="20">
        <f>VLOOKUP($C47,兵士关于时代的建筑和勋号加成!$A$26:$K$35,6,0)</f>
        <v>1.6</v>
      </c>
      <c r="K47" s="62">
        <v>15</v>
      </c>
      <c r="L47" s="20">
        <f>VLOOKUP($C47,兵士关于时代的建筑和勋号加成!$A$26:$K$35,3,0)</f>
        <v>2.2000000000000002</v>
      </c>
      <c r="M47" s="20">
        <f>VLOOKUP($C47,兵士关于时代的建筑和勋号加成!$A$26:$K$35,7,0)</f>
        <v>1.3</v>
      </c>
      <c r="N47" s="34">
        <f t="shared" si="11"/>
        <v>85.806574142602656</v>
      </c>
      <c r="O47" s="34">
        <f t="shared" si="12"/>
        <v>8682.8080977633635</v>
      </c>
      <c r="P47" s="62">
        <v>20</v>
      </c>
      <c r="Q47" s="20">
        <f>VLOOKUP($C47,兵士关于时代的建筑和勋号加成!$A$26:$K$35,4,0)</f>
        <v>1.4</v>
      </c>
      <c r="R47" s="20">
        <f>VLOOKUP($C47,兵士关于时代的建筑和勋号加成!$A$26:$K$35,8,0)</f>
        <v>1.3</v>
      </c>
      <c r="S47" s="62">
        <v>20</v>
      </c>
      <c r="T47" s="20">
        <f>VLOOKUP($C47,兵士关于时代的建筑和勋号加成!$A$26:$K$35,5,0)</f>
        <v>1.2</v>
      </c>
      <c r="U47" s="20">
        <f>VLOOKUP($C47,兵士关于时代的建筑和勋号加成!$A$26:$K$35,9,0)</f>
        <v>1.3</v>
      </c>
      <c r="V47" s="60">
        <f t="shared" si="13"/>
        <v>109.11999999999999</v>
      </c>
      <c r="W47" s="60">
        <f t="shared" si="14"/>
        <v>48.75</v>
      </c>
      <c r="X47" s="60">
        <f t="shared" si="15"/>
        <v>36.4</v>
      </c>
      <c r="Y47" s="60">
        <f t="shared" si="16"/>
        <v>31.200000000000003</v>
      </c>
      <c r="Z47" s="23">
        <f t="shared" si="17"/>
        <v>72.935588021212254</v>
      </c>
      <c r="AA47" s="23">
        <f t="shared" si="18"/>
        <v>1.4961146260761486</v>
      </c>
      <c r="AB47" s="23">
        <f t="shared" si="19"/>
        <v>7293.5588021212252</v>
      </c>
      <c r="AC47" s="20">
        <f>8</f>
        <v>8</v>
      </c>
      <c r="AD47" s="20">
        <f>VLOOKUP($C47,兵士关于时代的建筑和勋号加成!$A$26:$K$35,11,0)</f>
        <v>6</v>
      </c>
      <c r="AE47" s="39">
        <f t="shared" si="20"/>
        <v>102109.82322969715</v>
      </c>
      <c r="AF47" s="56">
        <f t="shared" si="21"/>
        <v>11.76</v>
      </c>
      <c r="AG47" s="20" t="s">
        <v>112</v>
      </c>
      <c r="AH47" s="20" t="s">
        <v>223</v>
      </c>
      <c r="AI47" s="20" t="s">
        <v>120</v>
      </c>
      <c r="AJ47" s="20" t="s">
        <v>274</v>
      </c>
      <c r="AK47" s="20" t="s">
        <v>238</v>
      </c>
      <c r="AL47" s="20" t="s">
        <v>140</v>
      </c>
    </row>
    <row r="48" spans="1:38" ht="16.5">
      <c r="A48" s="20" t="s">
        <v>127</v>
      </c>
      <c r="B48" s="54" t="s">
        <v>110</v>
      </c>
      <c r="C48" s="20" t="s">
        <v>110</v>
      </c>
      <c r="D48" s="20">
        <v>55</v>
      </c>
      <c r="E48" s="20">
        <v>0.6</v>
      </c>
      <c r="F48" s="20">
        <v>1</v>
      </c>
      <c r="G48" s="20">
        <v>100</v>
      </c>
      <c r="H48" s="62">
        <v>25</v>
      </c>
      <c r="I48" s="20">
        <f>VLOOKUP($C48,兵士关于时代的建筑和勋号加成!$A$26:$K$35,2,0)</f>
        <v>2.8</v>
      </c>
      <c r="J48" s="20">
        <f>VLOOKUP($C48,兵士关于时代的建筑和勋号加成!$A$26:$K$35,6,0)</f>
        <v>1.6</v>
      </c>
      <c r="K48" s="62">
        <v>10</v>
      </c>
      <c r="L48" s="20">
        <f>VLOOKUP($C48,兵士关于时代的建筑和勋号加成!$A$26:$K$35,3,0)</f>
        <v>2.2000000000000002</v>
      </c>
      <c r="M48" s="20">
        <f>VLOOKUP($C48,兵士关于时代的建筑和勋号加成!$A$26:$K$35,7,0)</f>
        <v>1.3</v>
      </c>
      <c r="N48" s="34">
        <f t="shared" si="11"/>
        <v>115.4223290771191</v>
      </c>
      <c r="O48" s="34">
        <f t="shared" si="12"/>
        <v>10580.380165402585</v>
      </c>
      <c r="P48" s="62">
        <v>0</v>
      </c>
      <c r="Q48" s="20">
        <f>VLOOKUP($C48,兵士关于时代的建筑和勋号加成!$A$26:$K$35,4,0)</f>
        <v>1</v>
      </c>
      <c r="R48" s="20">
        <f>VLOOKUP($C48,兵士关于时代的建筑和勋号加成!$A$26:$K$35,8,0)</f>
        <v>1</v>
      </c>
      <c r="S48" s="62">
        <v>0</v>
      </c>
      <c r="T48" s="20">
        <f>VLOOKUP($C48,兵士关于时代的建筑和勋号加成!$A$26:$K$35,5,0)</f>
        <v>1</v>
      </c>
      <c r="U48" s="20">
        <f>VLOOKUP($C48,兵士关于时代的建筑和勋号加成!$A$26:$K$35,9,0)</f>
        <v>1</v>
      </c>
      <c r="V48" s="60">
        <f t="shared" si="13"/>
        <v>123.99999999999999</v>
      </c>
      <c r="W48" s="60">
        <f t="shared" si="14"/>
        <v>32.5</v>
      </c>
      <c r="X48" s="60">
        <f t="shared" si="15"/>
        <v>0</v>
      </c>
      <c r="Y48" s="60">
        <f t="shared" si="16"/>
        <v>0</v>
      </c>
      <c r="Z48" s="23">
        <f t="shared" si="17"/>
        <v>63.482280992415511</v>
      </c>
      <c r="AA48" s="23">
        <f t="shared" si="18"/>
        <v>1.953300953612785</v>
      </c>
      <c r="AB48" s="23">
        <f t="shared" si="19"/>
        <v>6348.2280992415508</v>
      </c>
      <c r="AC48" s="20">
        <f>8</f>
        <v>8</v>
      </c>
      <c r="AD48" s="20">
        <f>VLOOKUP($C48,兵士关于时代的建筑和勋号加成!$A$26:$K$35,11,0)</f>
        <v>8</v>
      </c>
      <c r="AE48" s="39">
        <f t="shared" si="20"/>
        <v>101571.64958786481</v>
      </c>
      <c r="AF48" s="56">
        <f t="shared" si="21"/>
        <v>9.6</v>
      </c>
      <c r="AG48" s="20" t="s">
        <v>106</v>
      </c>
      <c r="AH48" s="20" t="s">
        <v>111</v>
      </c>
      <c r="AI48" s="20" t="s">
        <v>109</v>
      </c>
      <c r="AJ48" s="20" t="s">
        <v>109</v>
      </c>
      <c r="AK48" s="20"/>
      <c r="AL48" s="20" t="s">
        <v>194</v>
      </c>
    </row>
    <row r="49" spans="1:38" ht="24.75">
      <c r="A49" s="20" t="s">
        <v>232</v>
      </c>
      <c r="B49" s="54" t="s">
        <v>227</v>
      </c>
      <c r="C49" s="20" t="s">
        <v>225</v>
      </c>
      <c r="D49" s="20">
        <v>400</v>
      </c>
      <c r="E49" s="20">
        <v>2.94</v>
      </c>
      <c r="F49" s="20">
        <v>0.8</v>
      </c>
      <c r="G49" s="20">
        <v>25</v>
      </c>
      <c r="H49" s="62">
        <v>250</v>
      </c>
      <c r="I49" s="20">
        <f>VLOOKUP($C49,兵士关于时代的建筑和勋号加成!$A$26:$K$35,2,0)</f>
        <v>2.4</v>
      </c>
      <c r="J49" s="20">
        <f>VLOOKUP($C49,兵士关于时代的建筑和勋号加成!$A$26:$K$35,6,0)</f>
        <v>1.2</v>
      </c>
      <c r="K49" s="62">
        <v>50</v>
      </c>
      <c r="L49" s="20">
        <f>VLOOKUP($C49,兵士关于时代的建筑和勋号加成!$A$26:$K$35,3,0)</f>
        <v>2.2000000000000002</v>
      </c>
      <c r="M49" s="20">
        <f>VLOOKUP($C49,兵士关于时代的建筑和勋号加成!$A$26:$K$35,7,0)</f>
        <v>1.2</v>
      </c>
      <c r="N49" s="34">
        <f t="shared" si="11"/>
        <v>21.78553132241672</v>
      </c>
      <c r="O49" s="34">
        <f t="shared" si="12"/>
        <v>2964.0178669954721</v>
      </c>
      <c r="P49" s="62">
        <v>0</v>
      </c>
      <c r="Q49" s="20">
        <f>VLOOKUP($C49,兵士关于时代的建筑和勋号加成!$A$26:$K$35,4,0)</f>
        <v>1</v>
      </c>
      <c r="R49" s="20">
        <f>VLOOKUP($C49,兵士关于时代的建筑和勋号加成!$A$26:$K$35,8,0)</f>
        <v>1</v>
      </c>
      <c r="S49" s="62">
        <v>0</v>
      </c>
      <c r="T49" s="20">
        <f>VLOOKUP($C49,兵士关于时代的建筑和勋号加成!$A$26:$K$35,5,0)</f>
        <v>1</v>
      </c>
      <c r="U49" s="20">
        <f>VLOOKUP($C49,兵士关于时代的建筑和勋号加成!$A$26:$K$35,9,0)</f>
        <v>1</v>
      </c>
      <c r="V49" s="60">
        <f t="shared" si="13"/>
        <v>809.99999999999989</v>
      </c>
      <c r="W49" s="60">
        <f t="shared" si="14"/>
        <v>150</v>
      </c>
      <c r="X49" s="60">
        <f t="shared" si="15"/>
        <v>0</v>
      </c>
      <c r="Y49" s="60">
        <f t="shared" si="16"/>
        <v>0</v>
      </c>
      <c r="Z49" s="23">
        <f t="shared" si="17"/>
        <v>348.56850115866752</v>
      </c>
      <c r="AA49" s="23">
        <f t="shared" si="18"/>
        <v>2.3237900077244502</v>
      </c>
      <c r="AB49" s="23">
        <f t="shared" si="19"/>
        <v>8714.2125289666874</v>
      </c>
      <c r="AC49" s="20">
        <f>8</f>
        <v>8</v>
      </c>
      <c r="AD49" s="20">
        <f>VLOOKUP($C49,兵士关于时代的建筑和勋号加成!$A$26:$K$35,11,0)</f>
        <v>3</v>
      </c>
      <c r="AE49" s="39">
        <f t="shared" si="20"/>
        <v>95856.337818633561</v>
      </c>
      <c r="AF49" s="56">
        <f t="shared" si="21"/>
        <v>32.339999999999996</v>
      </c>
      <c r="AG49" s="20" t="s">
        <v>228</v>
      </c>
      <c r="AH49" s="20" t="s">
        <v>176</v>
      </c>
      <c r="AI49" s="20" t="s">
        <v>229</v>
      </c>
      <c r="AJ49" s="20" t="s">
        <v>276</v>
      </c>
      <c r="AK49" s="20" t="s">
        <v>240</v>
      </c>
      <c r="AL49" s="20" t="s">
        <v>140</v>
      </c>
    </row>
    <row r="50" spans="1:38" ht="16.5">
      <c r="A50" s="20" t="s">
        <v>200</v>
      </c>
      <c r="B50" s="54" t="s">
        <v>149</v>
      </c>
      <c r="C50" s="20" t="s">
        <v>106</v>
      </c>
      <c r="D50" s="20">
        <v>45</v>
      </c>
      <c r="E50" s="20">
        <v>0.45</v>
      </c>
      <c r="F50" s="20">
        <v>1</v>
      </c>
      <c r="G50" s="20">
        <v>100</v>
      </c>
      <c r="H50" s="62">
        <v>12</v>
      </c>
      <c r="I50" s="20">
        <f>VLOOKUP($C50,兵士关于时代的建筑和勋号加成!$A$26:$K$35,2,0)</f>
        <v>2.8</v>
      </c>
      <c r="J50" s="20">
        <f>VLOOKUP($C50,兵士关于时代的建筑和勋号加成!$A$26:$K$35,6,0)</f>
        <v>1.6</v>
      </c>
      <c r="K50" s="62">
        <v>16</v>
      </c>
      <c r="L50" s="20">
        <f>VLOOKUP($C50,兵士关于时代的建筑和勋号加成!$A$26:$K$35,3,0)</f>
        <v>2.4</v>
      </c>
      <c r="M50" s="20">
        <f>VLOOKUP($C50,兵士关于时代的建筑和勋号加成!$A$26:$K$35,7,0)</f>
        <v>1.3</v>
      </c>
      <c r="N50" s="34">
        <f t="shared" si="11"/>
        <v>128.47910335926227</v>
      </c>
      <c r="O50" s="34">
        <f t="shared" si="12"/>
        <v>12847.910335926226</v>
      </c>
      <c r="P50" s="62">
        <v>0</v>
      </c>
      <c r="Q50" s="20">
        <f>VLOOKUP($C50,兵士关于时代的建筑和勋号加成!$A$26:$K$35,4,0)</f>
        <v>1.8</v>
      </c>
      <c r="R50" s="20">
        <f>VLOOKUP($C50,兵士关于时代的建筑和勋号加成!$A$26:$K$35,8,0)</f>
        <v>1</v>
      </c>
      <c r="S50" s="62">
        <v>20</v>
      </c>
      <c r="T50" s="20">
        <f>VLOOKUP($C50,兵士关于时代的建筑和勋号加成!$A$26:$K$35,5,0)</f>
        <v>1.6</v>
      </c>
      <c r="U50" s="20">
        <f>VLOOKUP($C50,兵士关于时代的建筑和勋号加成!$A$26:$K$35,9,0)</f>
        <v>1.5</v>
      </c>
      <c r="V50" s="60">
        <f t="shared" si="13"/>
        <v>59.519999999999996</v>
      </c>
      <c r="W50" s="60">
        <f t="shared" si="14"/>
        <v>56.16</v>
      </c>
      <c r="X50" s="60">
        <f t="shared" si="15"/>
        <v>0</v>
      </c>
      <c r="Y50" s="60">
        <f t="shared" si="16"/>
        <v>48</v>
      </c>
      <c r="Z50" s="23">
        <f t="shared" si="17"/>
        <v>57.815596511668019</v>
      </c>
      <c r="AA50" s="23">
        <f t="shared" si="18"/>
        <v>1.0294799948658837</v>
      </c>
      <c r="AB50" s="23">
        <f t="shared" si="19"/>
        <v>5781.5596511668018</v>
      </c>
      <c r="AC50" s="20">
        <f>8</f>
        <v>8</v>
      </c>
      <c r="AD50" s="20">
        <f>VLOOKUP($C50,兵士关于时代的建筑和勋号加成!$A$26:$K$35,11,0)</f>
        <v>8</v>
      </c>
      <c r="AE50" s="39">
        <f t="shared" si="20"/>
        <v>92504.954418668829</v>
      </c>
      <c r="AF50" s="56">
        <f t="shared" si="21"/>
        <v>7.2</v>
      </c>
      <c r="AG50" s="20" t="s">
        <v>107</v>
      </c>
      <c r="AH50" s="20" t="s">
        <v>116</v>
      </c>
      <c r="AI50" s="20" t="s">
        <v>109</v>
      </c>
      <c r="AJ50" s="20" t="s">
        <v>249</v>
      </c>
      <c r="AK50" s="20"/>
      <c r="AL50" s="20" t="s">
        <v>140</v>
      </c>
    </row>
    <row r="51" spans="1:38" ht="16.5" hidden="1">
      <c r="A51" s="20" t="s">
        <v>200</v>
      </c>
      <c r="B51" s="54" t="s">
        <v>198</v>
      </c>
      <c r="C51" s="20" t="s">
        <v>110</v>
      </c>
      <c r="D51" s="20">
        <v>66</v>
      </c>
      <c r="E51" s="20">
        <v>0.72</v>
      </c>
      <c r="F51" s="20">
        <v>1</v>
      </c>
      <c r="G51" s="20">
        <v>100</v>
      </c>
      <c r="H51" s="62">
        <v>20</v>
      </c>
      <c r="I51" s="20">
        <f>VLOOKUP($C51,兵士关于时代的建筑和勋号加成!$A$26:$K$35,2,0)</f>
        <v>2.8</v>
      </c>
      <c r="J51" s="20">
        <f>VLOOKUP($C51,兵士关于时代的建筑和勋号加成!$A$26:$K$35,6,0)</f>
        <v>1.6</v>
      </c>
      <c r="K51" s="62">
        <v>8</v>
      </c>
      <c r="L51" s="20">
        <f>VLOOKUP($C51,兵士关于时代的建筑和勋号加成!$A$26:$K$35,3,0)</f>
        <v>2.2000000000000002</v>
      </c>
      <c r="M51" s="20">
        <f>VLOOKUP($C51,兵士关于时代的建筑和勋号加成!$A$26:$K$35,7,0)</f>
        <v>1.3</v>
      </c>
      <c r="N51" s="34">
        <f t="shared" si="11"/>
        <v>76.948219384746068</v>
      </c>
      <c r="O51" s="34">
        <f t="shared" si="12"/>
        <v>7053.5867769350571</v>
      </c>
      <c r="P51" s="62">
        <v>0</v>
      </c>
      <c r="Q51" s="20">
        <f>VLOOKUP($C51,兵士关于时代的建筑和勋号加成!$A$26:$K$35,4,0)</f>
        <v>1</v>
      </c>
      <c r="R51" s="20">
        <f>VLOOKUP($C51,兵士关于时代的建筑和勋号加成!$A$26:$K$35,8,0)</f>
        <v>1</v>
      </c>
      <c r="S51" s="62">
        <v>0</v>
      </c>
      <c r="T51" s="20">
        <f>VLOOKUP($C51,兵士关于时代的建筑和勋号加成!$A$26:$K$35,5,0)</f>
        <v>1</v>
      </c>
      <c r="U51" s="20">
        <f>VLOOKUP($C51,兵士关于时代的建筑和勋号加成!$A$26:$K$35,9,0)</f>
        <v>1</v>
      </c>
      <c r="V51" s="60">
        <f t="shared" si="13"/>
        <v>99.199999999999989</v>
      </c>
      <c r="W51" s="60">
        <f t="shared" si="14"/>
        <v>26</v>
      </c>
      <c r="X51" s="60">
        <f t="shared" si="15"/>
        <v>0</v>
      </c>
      <c r="Y51" s="60">
        <f t="shared" si="16"/>
        <v>0</v>
      </c>
      <c r="Z51" s="23">
        <f t="shared" si="17"/>
        <v>50.785824793932406</v>
      </c>
      <c r="AA51" s="23">
        <f t="shared" si="18"/>
        <v>1.953300953612785</v>
      </c>
      <c r="AB51" s="23">
        <f t="shared" si="19"/>
        <v>5078.5824793932406</v>
      </c>
      <c r="AC51" s="20">
        <f>8</f>
        <v>8</v>
      </c>
      <c r="AD51" s="20">
        <f>2+VLOOKUP($C51,兵士关于时代的建筑和勋号加成!$A$26:$K$35,11,0)</f>
        <v>10</v>
      </c>
      <c r="AE51" s="39">
        <f t="shared" si="20"/>
        <v>91414.484629078332</v>
      </c>
      <c r="AF51" s="56">
        <f t="shared" si="21"/>
        <v>12.959999999999999</v>
      </c>
      <c r="AG51" s="20" t="s">
        <v>177</v>
      </c>
      <c r="AH51" s="20" t="s">
        <v>123</v>
      </c>
      <c r="AI51" s="20" t="s">
        <v>109</v>
      </c>
      <c r="AJ51" s="20" t="s">
        <v>254</v>
      </c>
      <c r="AK51" s="20"/>
      <c r="AL51" s="20" t="s">
        <v>140</v>
      </c>
    </row>
    <row r="52" spans="1:38" ht="16.5">
      <c r="A52" s="20" t="s">
        <v>127</v>
      </c>
      <c r="B52" s="54" t="s">
        <v>105</v>
      </c>
      <c r="C52" s="20" t="s">
        <v>289</v>
      </c>
      <c r="D52" s="20">
        <v>45</v>
      </c>
      <c r="E52" s="20">
        <v>0.45</v>
      </c>
      <c r="F52" s="20">
        <v>1</v>
      </c>
      <c r="G52" s="20">
        <v>100</v>
      </c>
      <c r="H52" s="62">
        <v>10</v>
      </c>
      <c r="I52" s="20">
        <f>VLOOKUP($C52,兵士关于时代的建筑和勋号加成!$A$26:$K$35,2,0)</f>
        <v>2.8</v>
      </c>
      <c r="J52" s="20">
        <f>VLOOKUP($C52,兵士关于时代的建筑和勋号加成!$A$26:$K$35,6,0)</f>
        <v>1.6</v>
      </c>
      <c r="K52" s="62">
        <v>16</v>
      </c>
      <c r="L52" s="20">
        <f>VLOOKUP($C52,兵士关于时代的建筑和勋号加成!$A$26:$K$35,3,0)</f>
        <v>2.4</v>
      </c>
      <c r="M52" s="20">
        <f>VLOOKUP($C52,兵士关于时代的建筑和勋号加成!$A$26:$K$35,7,0)</f>
        <v>1.3</v>
      </c>
      <c r="N52" s="34">
        <f t="shared" si="11"/>
        <v>117.28483846317619</v>
      </c>
      <c r="O52" s="34">
        <f t="shared" si="12"/>
        <v>11728.483846317618</v>
      </c>
      <c r="P52" s="62">
        <v>10</v>
      </c>
      <c r="Q52" s="20">
        <f>VLOOKUP($C52,兵士关于时代的建筑和勋号加成!$A$26:$K$35,4,0)</f>
        <v>1.8</v>
      </c>
      <c r="R52" s="20">
        <f>VLOOKUP($C52,兵士关于时代的建筑和勋号加成!$A$26:$K$35,8,0)</f>
        <v>1</v>
      </c>
      <c r="S52" s="62">
        <v>16</v>
      </c>
      <c r="T52" s="20">
        <f>VLOOKUP($C52,兵士关于时代的建筑和勋号加成!$A$26:$K$35,5,0)</f>
        <v>1.6</v>
      </c>
      <c r="U52" s="20">
        <f>VLOOKUP($C52,兵士关于时代的建筑和勋号加成!$A$26:$K$35,9,0)</f>
        <v>1.5</v>
      </c>
      <c r="V52" s="60">
        <f t="shared" si="13"/>
        <v>49.599999999999994</v>
      </c>
      <c r="W52" s="60">
        <f t="shared" si="14"/>
        <v>56.16</v>
      </c>
      <c r="X52" s="60">
        <f t="shared" si="15"/>
        <v>18</v>
      </c>
      <c r="Y52" s="60">
        <f t="shared" si="16"/>
        <v>38.400000000000006</v>
      </c>
      <c r="Z52" s="23">
        <f t="shared" si="17"/>
        <v>52.778177308429285</v>
      </c>
      <c r="AA52" s="23">
        <f t="shared" si="18"/>
        <v>0.93978235948057842</v>
      </c>
      <c r="AB52" s="23">
        <f t="shared" si="19"/>
        <v>5277.8177308429285</v>
      </c>
      <c r="AC52" s="20">
        <f>8</f>
        <v>8</v>
      </c>
      <c r="AD52" s="20">
        <f>VLOOKUP($C52,兵士关于时代的建筑和勋号加成!$A$26:$K$35,11,0)</f>
        <v>8</v>
      </c>
      <c r="AE52" s="39">
        <f t="shared" si="20"/>
        <v>84445.083693486857</v>
      </c>
      <c r="AF52" s="56">
        <f t="shared" si="21"/>
        <v>7.2</v>
      </c>
      <c r="AG52" s="20" t="s">
        <v>107</v>
      </c>
      <c r="AH52" s="20" t="s">
        <v>108</v>
      </c>
      <c r="AI52" s="20" t="s">
        <v>109</v>
      </c>
      <c r="AJ52" s="20" t="s">
        <v>109</v>
      </c>
      <c r="AK52" s="20"/>
      <c r="AL52" s="20" t="s">
        <v>194</v>
      </c>
    </row>
    <row r="53" spans="1:38" ht="16.5">
      <c r="A53" s="20" t="s">
        <v>231</v>
      </c>
      <c r="B53" s="54" t="s">
        <v>208</v>
      </c>
      <c r="C53" s="20" t="s">
        <v>289</v>
      </c>
      <c r="D53" s="20">
        <v>54</v>
      </c>
      <c r="E53" s="20">
        <v>0.54</v>
      </c>
      <c r="F53" s="20">
        <v>1</v>
      </c>
      <c r="G53" s="20">
        <v>100</v>
      </c>
      <c r="H53" s="62">
        <v>10</v>
      </c>
      <c r="I53" s="20">
        <f>VLOOKUP($C53,兵士关于时代的建筑和勋号加成!$A$26:$K$35,2,0)</f>
        <v>2.8</v>
      </c>
      <c r="J53" s="20">
        <f>VLOOKUP($C53,兵士关于时代的建筑和勋号加成!$A$26:$K$35,6,0)</f>
        <v>1.6</v>
      </c>
      <c r="K53" s="62">
        <v>12</v>
      </c>
      <c r="L53" s="20">
        <f>VLOOKUP($C53,兵士关于时代的建筑和勋号加成!$A$26:$K$35,3,0)</f>
        <v>2.4</v>
      </c>
      <c r="M53" s="20">
        <f>VLOOKUP($C53,兵士关于时代的建筑和勋号加成!$A$26:$K$35,7,0)</f>
        <v>1.3</v>
      </c>
      <c r="N53" s="34">
        <f t="shared" si="11"/>
        <v>84.643041323220672</v>
      </c>
      <c r="O53" s="34">
        <f t="shared" si="12"/>
        <v>8464.3041323220659</v>
      </c>
      <c r="P53" s="62">
        <v>15</v>
      </c>
      <c r="Q53" s="20">
        <f>VLOOKUP($C53,兵士关于时代的建筑和勋号加成!$A$26:$K$35,4,0)</f>
        <v>1.8</v>
      </c>
      <c r="R53" s="20">
        <f>VLOOKUP($C53,兵士关于时代的建筑和勋号加成!$A$26:$K$35,8,0)</f>
        <v>1</v>
      </c>
      <c r="S53" s="62">
        <v>20</v>
      </c>
      <c r="T53" s="20">
        <f>VLOOKUP($C53,兵士关于时代的建筑和勋号加成!$A$26:$K$35,5,0)</f>
        <v>1.6</v>
      </c>
      <c r="U53" s="20">
        <f>VLOOKUP($C53,兵士关于时代的建筑和勋号加成!$A$26:$K$35,9,0)</f>
        <v>1.5</v>
      </c>
      <c r="V53" s="60">
        <f t="shared" si="13"/>
        <v>49.599999999999994</v>
      </c>
      <c r="W53" s="60">
        <f t="shared" si="14"/>
        <v>42.12</v>
      </c>
      <c r="X53" s="60">
        <f t="shared" si="15"/>
        <v>27</v>
      </c>
      <c r="Y53" s="60">
        <f t="shared" si="16"/>
        <v>48</v>
      </c>
      <c r="Z53" s="23">
        <f t="shared" si="17"/>
        <v>45.707242314539165</v>
      </c>
      <c r="AA53" s="23">
        <f t="shared" si="18"/>
        <v>1.0851671964515472</v>
      </c>
      <c r="AB53" s="23">
        <f t="shared" si="19"/>
        <v>4570.7242314539162</v>
      </c>
      <c r="AC53" s="20">
        <f>8</f>
        <v>8</v>
      </c>
      <c r="AD53" s="20">
        <f>VLOOKUP($C53,兵士关于时代的建筑和勋号加成!$A$26:$K$35,11,0)</f>
        <v>8</v>
      </c>
      <c r="AE53" s="39">
        <f t="shared" si="20"/>
        <v>73131.587703262659</v>
      </c>
      <c r="AF53" s="56">
        <f t="shared" si="21"/>
        <v>8.64</v>
      </c>
      <c r="AG53" s="20" t="s">
        <v>107</v>
      </c>
      <c r="AH53" s="20" t="s">
        <v>211</v>
      </c>
      <c r="AI53" s="20" t="s">
        <v>109</v>
      </c>
      <c r="AJ53" s="20" t="s">
        <v>270</v>
      </c>
      <c r="AK53" s="20" t="s">
        <v>209</v>
      </c>
      <c r="AL53" s="20" t="s">
        <v>140</v>
      </c>
    </row>
    <row r="54" spans="1:38" ht="16.5">
      <c r="A54" s="20" t="s">
        <v>286</v>
      </c>
      <c r="B54" s="64" t="s">
        <v>125</v>
      </c>
      <c r="C54" s="20" t="s">
        <v>107</v>
      </c>
      <c r="D54" s="20">
        <v>50</v>
      </c>
      <c r="E54" s="20">
        <v>1</v>
      </c>
      <c r="F54" s="20">
        <v>1</v>
      </c>
      <c r="G54" s="20">
        <v>100</v>
      </c>
      <c r="H54" s="62">
        <v>40</v>
      </c>
      <c r="I54" s="20">
        <f>VLOOKUP($C54,兵士关于时代的建筑和勋号加成!$A$26:$K$35,2,0)</f>
        <v>2.8</v>
      </c>
      <c r="J54" s="20">
        <f>VLOOKUP($C54,兵士关于时代的建筑和勋号加成!$A$26:$K$35,6,0)</f>
        <v>1.6</v>
      </c>
      <c r="K54" s="62">
        <v>32</v>
      </c>
      <c r="L54" s="20">
        <f>VLOOKUP($C54,兵士关于时代的建筑和勋号加成!$A$26:$K$35,3,0)</f>
        <v>2.2000000000000002</v>
      </c>
      <c r="M54" s="20">
        <f>VLOOKUP($C54,兵士关于时代的建筑和勋号加成!$A$26:$K$35,7,0)</f>
        <v>1.3</v>
      </c>
      <c r="N54" s="34">
        <f t="shared" si="11"/>
        <v>287.28800879953201</v>
      </c>
      <c r="O54" s="34">
        <f t="shared" si="12"/>
        <v>14364.4004399766</v>
      </c>
      <c r="P54" s="62">
        <v>0</v>
      </c>
      <c r="Q54" s="20">
        <f>VLOOKUP($C54,兵士关于时代的建筑和勋号加成!$A$26:$K$35,4,0)</f>
        <v>1</v>
      </c>
      <c r="R54" s="20">
        <f>VLOOKUP($C54,兵士关于时代的建筑和勋号加成!$A$26:$K$35,8,0)</f>
        <v>1</v>
      </c>
      <c r="S54" s="62">
        <v>24</v>
      </c>
      <c r="T54" s="20">
        <f>VLOOKUP($C54,兵士关于时代的建筑和勋号加成!$A$26:$K$35,5,0)</f>
        <v>1</v>
      </c>
      <c r="U54" s="20">
        <f>VLOOKUP($C54,兵士关于时代的建筑和勋号加成!$A$26:$K$35,9,0)</f>
        <v>1</v>
      </c>
      <c r="V54" s="60">
        <f t="shared" si="13"/>
        <v>198.39999999999998</v>
      </c>
      <c r="W54" s="60">
        <f t="shared" si="14"/>
        <v>104</v>
      </c>
      <c r="X54" s="60">
        <f t="shared" si="15"/>
        <v>0</v>
      </c>
      <c r="Y54" s="60">
        <f t="shared" si="16"/>
        <v>24</v>
      </c>
      <c r="Z54" s="23">
        <f t="shared" si="17"/>
        <v>143.644004399766</v>
      </c>
      <c r="AA54" s="23">
        <f t="shared" si="18"/>
        <v>1.3811923499977501</v>
      </c>
      <c r="AB54" s="23">
        <f t="shared" si="19"/>
        <v>14364.4004399766</v>
      </c>
      <c r="AC54" s="20">
        <f>5</f>
        <v>5</v>
      </c>
      <c r="AD54" s="20">
        <v>0</v>
      </c>
      <c r="AE54" s="39">
        <f t="shared" si="20"/>
        <v>71822.002199883005</v>
      </c>
      <c r="AF54" s="56">
        <f t="shared" si="21"/>
        <v>5</v>
      </c>
      <c r="AG54" s="20" t="s">
        <v>126</v>
      </c>
      <c r="AH54" s="20" t="s">
        <v>109</v>
      </c>
      <c r="AI54" s="20" t="s">
        <v>109</v>
      </c>
      <c r="AJ54" s="22" t="s">
        <v>280</v>
      </c>
      <c r="AK54" s="20"/>
      <c r="AL54" s="20" t="s">
        <v>194</v>
      </c>
    </row>
  </sheetData>
  <autoFilter ref="A3:AL54">
    <filterColumn colId="37">
      <filters>
        <filter val="部落时期"/>
        <filter val="中世纪早期"/>
      </filters>
    </filterColumn>
    <sortState ref="A4:AL54">
      <sortCondition descending="1" ref="AE3:AE54"/>
    </sortState>
  </autoFilter>
  <mergeCells count="4">
    <mergeCell ref="C1:AE1"/>
    <mergeCell ref="A2:AF2"/>
    <mergeCell ref="AG2:AI2"/>
    <mergeCell ref="AJ2:AL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W54"/>
  <sheetViews>
    <sheetView zoomScale="205" zoomScaleNormal="205" workbookViewId="0">
      <pane ySplit="3" topLeftCell="A23" activePane="bottomLeft" state="frozen"/>
      <selection pane="bottomLeft" activeCell="T39" sqref="A1:AW54"/>
    </sheetView>
  </sheetViews>
  <sheetFormatPr defaultRowHeight="14.25"/>
  <cols>
    <col min="1" max="1" width="9.25" customWidth="1"/>
    <col min="2" max="2" width="7.375" style="55" customWidth="1"/>
    <col min="3" max="3" width="4.625" customWidth="1"/>
    <col min="4" max="4" width="5.25" hidden="1" customWidth="1"/>
    <col min="5" max="5" width="7.75" hidden="1" customWidth="1"/>
    <col min="6" max="6" width="3.125" hidden="1" customWidth="1"/>
    <col min="7" max="7" width="3.125" customWidth="1"/>
    <col min="8" max="8" width="3" style="66" customWidth="1"/>
    <col min="9" max="9" width="4" customWidth="1"/>
    <col min="10" max="10" width="4.625" style="68" customWidth="1"/>
    <col min="11" max="11" width="2.875" customWidth="1"/>
    <col min="12" max="12" width="3" style="66" customWidth="1"/>
    <col min="13" max="13" width="3.875" customWidth="1"/>
    <col min="14" max="14" width="4.5" style="68" customWidth="1"/>
    <col min="15" max="15" width="2.75" customWidth="1"/>
    <col min="16" max="16" width="5.875" style="35" hidden="1" customWidth="1"/>
    <col min="17" max="17" width="5.75" style="35" hidden="1" customWidth="1"/>
    <col min="18" max="18" width="3" style="66" customWidth="1"/>
    <col min="19" max="19" width="3.5" customWidth="1"/>
    <col min="20" max="20" width="4.25" style="68" customWidth="1"/>
    <col min="21" max="21" width="3.625" customWidth="1"/>
    <col min="22" max="22" width="3.125" style="66" customWidth="1"/>
    <col min="23" max="23" width="3.875" customWidth="1"/>
    <col min="24" max="24" width="3.75" style="68" customWidth="1"/>
    <col min="25" max="25" width="4" customWidth="1"/>
    <col min="26" max="26" width="2.75" style="61" customWidth="1"/>
    <col min="27" max="28" width="3" style="61" customWidth="1"/>
    <col min="29" max="29" width="2.625" style="61" customWidth="1"/>
    <col min="30" max="31" width="4" style="70" customWidth="1"/>
    <col min="32" max="32" width="3.375" style="70" customWidth="1"/>
    <col min="33" max="33" width="3" style="70" customWidth="1"/>
    <col min="34" max="34" width="8.25" hidden="1" customWidth="1"/>
    <col min="35" max="35" width="3" hidden="1" customWidth="1"/>
    <col min="36" max="36" width="4.875" customWidth="1"/>
    <col min="37" max="37" width="5" style="70" customWidth="1"/>
    <col min="38" max="38" width="3.75" style="35" customWidth="1"/>
    <col min="39" max="39" width="3.875" style="35" customWidth="1"/>
    <col min="40" max="40" width="5" style="40" customWidth="1"/>
    <col min="41" max="41" width="5" style="70" customWidth="1"/>
    <col min="42" max="42" width="5.5" style="57" customWidth="1"/>
    <col min="44" max="44" width="7.375" customWidth="1"/>
    <col min="45" max="45" width="7.25" customWidth="1"/>
  </cols>
  <sheetData>
    <row r="1" spans="1:49">
      <c r="A1" s="59" t="s">
        <v>370</v>
      </c>
      <c r="B1" s="20">
        <v>30</v>
      </c>
      <c r="C1" s="80" t="s">
        <v>375</v>
      </c>
      <c r="D1" s="80"/>
      <c r="E1" s="80"/>
      <c r="F1" s="80"/>
      <c r="G1" s="80"/>
      <c r="H1" s="81"/>
      <c r="I1" s="80"/>
      <c r="J1" s="80"/>
      <c r="K1" s="80"/>
      <c r="L1" s="81"/>
      <c r="M1" s="80"/>
      <c r="N1" s="80"/>
      <c r="O1" s="80"/>
      <c r="P1" s="80"/>
      <c r="Q1" s="80"/>
      <c r="R1" s="81"/>
      <c r="S1" s="80"/>
      <c r="T1" s="80"/>
      <c r="U1" s="80"/>
      <c r="V1" s="81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71"/>
      <c r="AP1" s="53"/>
      <c r="AQ1" s="53"/>
      <c r="AR1" s="53"/>
      <c r="AS1" s="53"/>
      <c r="AT1" s="53"/>
      <c r="AU1" s="53"/>
      <c r="AV1" s="53"/>
      <c r="AW1" s="53"/>
    </row>
    <row r="2" spans="1:49">
      <c r="A2" s="78" t="s">
        <v>277</v>
      </c>
      <c r="B2" s="78"/>
      <c r="C2" s="78"/>
      <c r="D2" s="78"/>
      <c r="E2" s="78"/>
      <c r="F2" s="78"/>
      <c r="G2" s="78"/>
      <c r="H2" s="79"/>
      <c r="I2" s="78"/>
      <c r="J2" s="78"/>
      <c r="K2" s="78"/>
      <c r="L2" s="79"/>
      <c r="M2" s="78"/>
      <c r="N2" s="78"/>
      <c r="O2" s="78"/>
      <c r="P2" s="78"/>
      <c r="Q2" s="78"/>
      <c r="R2" s="79"/>
      <c r="S2" s="78"/>
      <c r="T2" s="78"/>
      <c r="U2" s="78"/>
      <c r="V2" s="79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 t="s">
        <v>368</v>
      </c>
      <c r="AR2" s="78"/>
      <c r="AS2" s="78"/>
      <c r="AT2" s="78" t="s">
        <v>279</v>
      </c>
      <c r="AU2" s="78"/>
      <c r="AV2" s="78"/>
      <c r="AW2" s="21"/>
    </row>
    <row r="3" spans="1:49" ht="41.25">
      <c r="A3" s="20" t="s">
        <v>230</v>
      </c>
      <c r="B3" s="54" t="s">
        <v>288</v>
      </c>
      <c r="C3" s="20" t="s">
        <v>97</v>
      </c>
      <c r="D3" s="20" t="s">
        <v>98</v>
      </c>
      <c r="E3" s="20" t="s">
        <v>307</v>
      </c>
      <c r="F3" s="20" t="s">
        <v>319</v>
      </c>
      <c r="G3" s="20" t="s">
        <v>306</v>
      </c>
      <c r="H3" s="65" t="s">
        <v>358</v>
      </c>
      <c r="I3" s="20" t="s">
        <v>357</v>
      </c>
      <c r="J3" s="67" t="s">
        <v>376</v>
      </c>
      <c r="K3" s="20" t="s">
        <v>324</v>
      </c>
      <c r="L3" s="65" t="s">
        <v>359</v>
      </c>
      <c r="M3" s="20" t="s">
        <v>356</v>
      </c>
      <c r="N3" s="67" t="s">
        <v>377</v>
      </c>
      <c r="O3" s="20" t="s">
        <v>325</v>
      </c>
      <c r="P3" s="33" t="s">
        <v>130</v>
      </c>
      <c r="Q3" s="33" t="s">
        <v>129</v>
      </c>
      <c r="R3" s="65" t="s">
        <v>360</v>
      </c>
      <c r="S3" s="20" t="s">
        <v>355</v>
      </c>
      <c r="T3" s="67" t="s">
        <v>378</v>
      </c>
      <c r="U3" s="20" t="s">
        <v>326</v>
      </c>
      <c r="V3" s="65" t="s">
        <v>361</v>
      </c>
      <c r="W3" s="20" t="s">
        <v>353</v>
      </c>
      <c r="X3" s="67" t="s">
        <v>379</v>
      </c>
      <c r="Y3" s="20" t="s">
        <v>327</v>
      </c>
      <c r="Z3" s="60" t="s">
        <v>364</v>
      </c>
      <c r="AA3" s="60" t="s">
        <v>365</v>
      </c>
      <c r="AB3" s="60" t="s">
        <v>366</v>
      </c>
      <c r="AC3" s="60" t="s">
        <v>367</v>
      </c>
      <c r="AD3" s="69" t="s">
        <v>380</v>
      </c>
      <c r="AE3" s="69" t="s">
        <v>381</v>
      </c>
      <c r="AF3" s="69" t="s">
        <v>382</v>
      </c>
      <c r="AG3" s="69" t="s">
        <v>383</v>
      </c>
      <c r="AH3" s="20" t="s">
        <v>80</v>
      </c>
      <c r="AI3" s="20" t="s">
        <v>79</v>
      </c>
      <c r="AJ3" s="20" t="s">
        <v>128</v>
      </c>
      <c r="AK3" s="69" t="s">
        <v>385</v>
      </c>
      <c r="AL3" s="33" t="s">
        <v>318</v>
      </c>
      <c r="AM3" s="33" t="s">
        <v>317</v>
      </c>
      <c r="AN3" s="39" t="s">
        <v>321</v>
      </c>
      <c r="AO3" s="69" t="s">
        <v>384</v>
      </c>
      <c r="AP3" s="56" t="s">
        <v>371</v>
      </c>
      <c r="AQ3" s="20" t="s">
        <v>103</v>
      </c>
      <c r="AR3" s="20" t="s">
        <v>104</v>
      </c>
      <c r="AS3" s="20" t="s">
        <v>132</v>
      </c>
      <c r="AT3" s="20" t="s">
        <v>233</v>
      </c>
      <c r="AU3" s="20" t="s">
        <v>234</v>
      </c>
      <c r="AV3" s="20" t="s">
        <v>138</v>
      </c>
    </row>
    <row r="4" spans="1:49" ht="16.5">
      <c r="A4" s="20" t="s">
        <v>127</v>
      </c>
      <c r="B4" s="54" t="s">
        <v>121</v>
      </c>
      <c r="C4" s="20" t="s">
        <v>197</v>
      </c>
      <c r="D4" s="20">
        <v>88</v>
      </c>
      <c r="E4" s="20">
        <v>0.9</v>
      </c>
      <c r="F4" s="20">
        <v>1</v>
      </c>
      <c r="G4" s="20">
        <v>100</v>
      </c>
      <c r="H4" s="65">
        <v>42</v>
      </c>
      <c r="I4" s="20">
        <f>VLOOKUP($C4,兵士关于时代的建筑和勋号加成!$A$38:$K$47,2,0)</f>
        <v>4.8</v>
      </c>
      <c r="J4" s="67">
        <v>0.9</v>
      </c>
      <c r="K4" s="20">
        <f>VLOOKUP($C4,兵士关于时代的建筑和勋号加成!$A$38:$K$47,6,0)</f>
        <v>2.2000000000000002</v>
      </c>
      <c r="L4" s="65">
        <v>18</v>
      </c>
      <c r="M4" s="20">
        <f>VLOOKUP($C4,兵士关于时代的建筑和勋号加成!$A$38:$K$47,3,0)</f>
        <v>3</v>
      </c>
      <c r="N4" s="67">
        <v>1.2</v>
      </c>
      <c r="O4" s="20">
        <f>VLOOKUP($C4,兵士关于时代的建筑和勋号加成!$A$38:$K$47,7,0)</f>
        <v>1.6</v>
      </c>
      <c r="P4" s="34">
        <f t="shared" ref="P4:P35" si="0">AJ4/D4</f>
        <v>240.48700588597296</v>
      </c>
      <c r="Q4" s="34">
        <f t="shared" ref="Q4:Q35" si="1">AJ4/E4</f>
        <v>23514.285019961801</v>
      </c>
      <c r="R4" s="65">
        <v>0</v>
      </c>
      <c r="S4" s="20">
        <f>VLOOKUP($C4,兵士关于时代的建筑和勋号加成!$A$38:$K$47,4,0)</f>
        <v>1</v>
      </c>
      <c r="T4" s="67">
        <v>0</v>
      </c>
      <c r="U4" s="20">
        <f>VLOOKUP($C4,兵士关于时代的建筑和勋号加成!$A$38:$K$47,8,0)</f>
        <v>1</v>
      </c>
      <c r="V4" s="65">
        <v>0</v>
      </c>
      <c r="W4" s="20">
        <f>VLOOKUP($C4,兵士关于时代的建筑和勋号加成!$A$38:$K$47,5,0)</f>
        <v>1</v>
      </c>
      <c r="X4" s="67">
        <v>0</v>
      </c>
      <c r="Y4" s="20">
        <f>VLOOKUP($C4,兵士关于时代的建筑和勋号加成!$A$38:$K$47,9,0)</f>
        <v>1</v>
      </c>
      <c r="Z4" s="60">
        <f t="shared" ref="Z4:Z35" si="2">H4*(I4+$B$1/100)*K4</f>
        <v>471.24</v>
      </c>
      <c r="AA4" s="60">
        <f t="shared" ref="AA4:AA35" si="3">L4*(M4+$B$1/100)*O4</f>
        <v>95.04</v>
      </c>
      <c r="AB4" s="60">
        <f t="shared" ref="AB4:AB35" si="4">R4*S4*U4</f>
        <v>0</v>
      </c>
      <c r="AC4" s="60">
        <f t="shared" ref="AC4:AC35" si="5">V4*W4*Y4</f>
        <v>0</v>
      </c>
      <c r="AD4" s="69">
        <f t="shared" ref="AD4:AD35" si="6">H4*(I4+J4+$B$1/100)*K4</f>
        <v>554.40000000000009</v>
      </c>
      <c r="AE4" s="69">
        <f t="shared" ref="AE4:AE35" si="7">L4*(M4+N4+$B$1/100)*O4</f>
        <v>129.6</v>
      </c>
      <c r="AF4" s="69">
        <f t="shared" ref="AF4:AF35" si="8">R4*(S4+T4)*U4</f>
        <v>0</v>
      </c>
      <c r="AG4" s="69">
        <f t="shared" ref="AG4:AG35" si="9">V4*(W4+X4)*Y4</f>
        <v>0</v>
      </c>
      <c r="AH4" s="23">
        <f t="shared" ref="AH4:AH35" si="10">SQRT(Z4*AA4)</f>
        <v>211.62856517965622</v>
      </c>
      <c r="AI4" s="23">
        <f t="shared" ref="AI4:AI35" si="11">SQRT(Z4/AA4)</f>
        <v>2.226731535981231</v>
      </c>
      <c r="AJ4" s="23">
        <f t="shared" ref="AJ4:AJ35" si="12">AH4*G4</f>
        <v>21162.856517965622</v>
      </c>
      <c r="AK4" s="72">
        <f t="shared" ref="AK4:AK35" si="13">SQRT(AD4*AE4)*G4</f>
        <v>26804.89507534025</v>
      </c>
      <c r="AL4" s="20">
        <f>16</f>
        <v>16</v>
      </c>
      <c r="AM4" s="20">
        <f>VLOOKUP($C4,兵士关于时代的建筑和勋号加成!$A$38:$K$47,11,0)</f>
        <v>16</v>
      </c>
      <c r="AN4" s="39">
        <f t="shared" ref="AN4:AN35" si="14">AJ4*SUM(AL4:AM4)</f>
        <v>677211.40857489989</v>
      </c>
      <c r="AO4" s="69">
        <f t="shared" ref="AO4:AO35" si="15">AK4*SUM(AL4:AM4)</f>
        <v>857756.64241088799</v>
      </c>
      <c r="AP4" s="56">
        <f t="shared" ref="AP4:AP35" si="16">E4*SUM(AL4:AM4)</f>
        <v>28.8</v>
      </c>
      <c r="AQ4" s="20" t="s">
        <v>122</v>
      </c>
      <c r="AR4" s="20" t="s">
        <v>123</v>
      </c>
      <c r="AS4" s="20" t="s">
        <v>281</v>
      </c>
      <c r="AT4" s="20" t="s">
        <v>285</v>
      </c>
      <c r="AU4" s="20"/>
      <c r="AV4" s="20" t="s">
        <v>297</v>
      </c>
    </row>
    <row r="5" spans="1:49" ht="16.5" hidden="1">
      <c r="A5" s="20" t="s">
        <v>200</v>
      </c>
      <c r="B5" s="54" t="s">
        <v>201</v>
      </c>
      <c r="C5" s="20" t="s">
        <v>110</v>
      </c>
      <c r="D5" s="20">
        <v>66</v>
      </c>
      <c r="E5" s="20">
        <v>0.72</v>
      </c>
      <c r="F5" s="20">
        <v>1</v>
      </c>
      <c r="G5" s="20">
        <v>100</v>
      </c>
      <c r="H5" s="65">
        <v>44</v>
      </c>
      <c r="I5" s="20">
        <f>VLOOKUP($C5,兵士关于时代的建筑和勋号加成!$A$38:$K$47,2,0)</f>
        <v>4.8</v>
      </c>
      <c r="J5" s="67">
        <v>0.9</v>
      </c>
      <c r="K5" s="20">
        <f>VLOOKUP($C5,兵士关于时代的建筑和勋号加成!$A$38:$K$47,6,0)</f>
        <v>2.2000000000000002</v>
      </c>
      <c r="L5" s="65">
        <v>14</v>
      </c>
      <c r="M5" s="20">
        <f>VLOOKUP($C5,兵士关于时代的建筑和勋号加成!$A$38:$K$47,3,0)</f>
        <v>3</v>
      </c>
      <c r="N5" s="67">
        <v>1.2</v>
      </c>
      <c r="O5" s="20">
        <f>VLOOKUP($C5,兵士关于时代的建筑和勋号加成!$A$38:$K$47,7,0)</f>
        <v>1.6</v>
      </c>
      <c r="P5" s="34">
        <f t="shared" si="0"/>
        <v>289.44084024200873</v>
      </c>
      <c r="Q5" s="34">
        <f t="shared" si="1"/>
        <v>26532.077022184134</v>
      </c>
      <c r="R5" s="65">
        <v>0</v>
      </c>
      <c r="S5" s="20">
        <f>VLOOKUP($C5,兵士关于时代的建筑和勋号加成!$A$38:$K$47,4,0)</f>
        <v>1</v>
      </c>
      <c r="T5" s="67">
        <v>0</v>
      </c>
      <c r="U5" s="20">
        <f>VLOOKUP($C5,兵士关于时代的建筑和勋号加成!$A$38:$K$47,8,0)</f>
        <v>1</v>
      </c>
      <c r="V5" s="65">
        <v>0</v>
      </c>
      <c r="W5" s="20">
        <f>VLOOKUP($C5,兵士关于时代的建筑和勋号加成!$A$38:$K$47,5,0)</f>
        <v>1</v>
      </c>
      <c r="X5" s="67">
        <v>0</v>
      </c>
      <c r="Y5" s="20">
        <f>VLOOKUP($C5,兵士关于时代的建筑和勋号加成!$A$38:$K$47,9,0)</f>
        <v>1</v>
      </c>
      <c r="Z5" s="60">
        <f t="shared" si="2"/>
        <v>493.68</v>
      </c>
      <c r="AA5" s="60">
        <f t="shared" si="3"/>
        <v>73.92</v>
      </c>
      <c r="AB5" s="60">
        <f t="shared" si="4"/>
        <v>0</v>
      </c>
      <c r="AC5" s="60">
        <f t="shared" si="5"/>
        <v>0</v>
      </c>
      <c r="AD5" s="69">
        <f t="shared" si="6"/>
        <v>580.80000000000007</v>
      </c>
      <c r="AE5" s="69">
        <f t="shared" si="7"/>
        <v>100.80000000000001</v>
      </c>
      <c r="AF5" s="69">
        <f t="shared" si="8"/>
        <v>0</v>
      </c>
      <c r="AG5" s="69">
        <f t="shared" si="9"/>
        <v>0</v>
      </c>
      <c r="AH5" s="23">
        <f t="shared" si="10"/>
        <v>191.03095455972576</v>
      </c>
      <c r="AI5" s="23">
        <f t="shared" si="11"/>
        <v>2.5842932164465062</v>
      </c>
      <c r="AJ5" s="23">
        <f t="shared" si="12"/>
        <v>19103.095455972576</v>
      </c>
      <c r="AK5" s="72">
        <f t="shared" si="13"/>
        <v>24195.99966936684</v>
      </c>
      <c r="AL5" s="20">
        <f>16</f>
        <v>16</v>
      </c>
      <c r="AM5" s="20">
        <f>2+VLOOKUP($C5,兵士关于时代的建筑和勋号加成!$A$38:$K$47,11,0)</f>
        <v>18</v>
      </c>
      <c r="AN5" s="39">
        <f t="shared" si="14"/>
        <v>649505.24550306762</v>
      </c>
      <c r="AO5" s="69">
        <f t="shared" si="15"/>
        <v>822663.98875847261</v>
      </c>
      <c r="AP5" s="56">
        <f t="shared" si="16"/>
        <v>24.48</v>
      </c>
      <c r="AQ5" s="20" t="s">
        <v>177</v>
      </c>
      <c r="AR5" s="20" t="s">
        <v>123</v>
      </c>
      <c r="AS5" s="20" t="s">
        <v>109</v>
      </c>
      <c r="AT5" s="20" t="s">
        <v>254</v>
      </c>
      <c r="AU5" s="20"/>
      <c r="AV5" s="20" t="s">
        <v>298</v>
      </c>
    </row>
    <row r="6" spans="1:49" ht="16.5">
      <c r="A6" s="20" t="s">
        <v>231</v>
      </c>
      <c r="B6" s="54" t="s">
        <v>204</v>
      </c>
      <c r="C6" s="20" t="s">
        <v>110</v>
      </c>
      <c r="D6" s="20">
        <v>82.5</v>
      </c>
      <c r="E6" s="20">
        <v>0.9</v>
      </c>
      <c r="F6" s="20">
        <v>1</v>
      </c>
      <c r="G6" s="20">
        <v>100</v>
      </c>
      <c r="H6" s="65">
        <v>30</v>
      </c>
      <c r="I6" s="20">
        <f>VLOOKUP($C6,兵士关于时代的建筑和勋号加成!$A$38:$K$47,2,0)</f>
        <v>4.8</v>
      </c>
      <c r="J6" s="67">
        <v>0.9</v>
      </c>
      <c r="K6" s="20">
        <v>2.2000000000000002</v>
      </c>
      <c r="L6" s="65">
        <v>20</v>
      </c>
      <c r="M6" s="20">
        <f>VLOOKUP($C6,兵士关于时代的建筑和勋号加成!$A$38:$K$47,3,0)</f>
        <v>3</v>
      </c>
      <c r="N6" s="67">
        <v>1.2</v>
      </c>
      <c r="O6" s="20">
        <v>1.6</v>
      </c>
      <c r="P6" s="34">
        <f t="shared" si="0"/>
        <v>228.52570971337121</v>
      </c>
      <c r="Q6" s="34">
        <f t="shared" si="1"/>
        <v>20948.19005705903</v>
      </c>
      <c r="R6" s="65">
        <v>0</v>
      </c>
      <c r="S6" s="20">
        <f>VLOOKUP($C6,兵士关于时代的建筑和勋号加成!$A$38:$K$47,4,0)</f>
        <v>1</v>
      </c>
      <c r="T6" s="67">
        <v>0</v>
      </c>
      <c r="U6" s="20">
        <f>VLOOKUP($C6,兵士关于时代的建筑和勋号加成!$A$38:$K$47,8,0)</f>
        <v>1</v>
      </c>
      <c r="V6" s="65">
        <v>0</v>
      </c>
      <c r="W6" s="20">
        <f>VLOOKUP($C6,兵士关于时代的建筑和勋号加成!$A$38:$K$47,5,0)</f>
        <v>1</v>
      </c>
      <c r="X6" s="67">
        <v>0</v>
      </c>
      <c r="Y6" s="20">
        <f>VLOOKUP($C6,兵士关于时代的建筑和勋号加成!$A$38:$K$47,9,0)</f>
        <v>1</v>
      </c>
      <c r="Z6" s="60">
        <f t="shared" si="2"/>
        <v>336.6</v>
      </c>
      <c r="AA6" s="60">
        <f t="shared" si="3"/>
        <v>105.60000000000001</v>
      </c>
      <c r="AB6" s="60">
        <f t="shared" si="4"/>
        <v>0</v>
      </c>
      <c r="AC6" s="60">
        <f t="shared" si="5"/>
        <v>0</v>
      </c>
      <c r="AD6" s="69">
        <f t="shared" si="6"/>
        <v>396.00000000000006</v>
      </c>
      <c r="AE6" s="69">
        <f t="shared" si="7"/>
        <v>144</v>
      </c>
      <c r="AF6" s="69">
        <f t="shared" si="8"/>
        <v>0</v>
      </c>
      <c r="AG6" s="69">
        <f t="shared" si="9"/>
        <v>0</v>
      </c>
      <c r="AH6" s="23">
        <f t="shared" si="10"/>
        <v>188.53371051353125</v>
      </c>
      <c r="AI6" s="23">
        <f t="shared" si="11"/>
        <v>1.7853571071357126</v>
      </c>
      <c r="AJ6" s="23">
        <f t="shared" si="12"/>
        <v>18853.371051353126</v>
      </c>
      <c r="AK6" s="72">
        <f t="shared" si="13"/>
        <v>23879.69849055888</v>
      </c>
      <c r="AL6" s="20">
        <f>16</f>
        <v>16</v>
      </c>
      <c r="AM6" s="20">
        <v>16</v>
      </c>
      <c r="AN6" s="39">
        <f t="shared" si="14"/>
        <v>603307.87364330003</v>
      </c>
      <c r="AO6" s="69">
        <f t="shared" si="15"/>
        <v>764150.35169788415</v>
      </c>
      <c r="AP6" s="56">
        <f t="shared" si="16"/>
        <v>28.8</v>
      </c>
      <c r="AQ6" s="20" t="s">
        <v>212</v>
      </c>
      <c r="AR6" s="20" t="s">
        <v>116</v>
      </c>
      <c r="AS6" s="20" t="s">
        <v>109</v>
      </c>
      <c r="AT6" s="20" t="s">
        <v>267</v>
      </c>
      <c r="AU6" s="20" t="s">
        <v>205</v>
      </c>
      <c r="AV6" s="20" t="s">
        <v>140</v>
      </c>
    </row>
    <row r="7" spans="1:49" ht="16.5">
      <c r="A7" s="20" t="s">
        <v>200</v>
      </c>
      <c r="B7" s="54" t="s">
        <v>196</v>
      </c>
      <c r="C7" s="20" t="s">
        <v>110</v>
      </c>
      <c r="D7" s="20">
        <v>66</v>
      </c>
      <c r="E7" s="20">
        <v>0.72</v>
      </c>
      <c r="F7" s="20">
        <v>1</v>
      </c>
      <c r="G7" s="20">
        <v>100</v>
      </c>
      <c r="H7" s="65">
        <v>36</v>
      </c>
      <c r="I7" s="20">
        <f>VLOOKUP($C7,兵士关于时代的建筑和勋号加成!$A$38:$K$47,2,0)</f>
        <v>4.8</v>
      </c>
      <c r="J7" s="67">
        <v>0.9</v>
      </c>
      <c r="K7" s="20">
        <f>VLOOKUP($C7,兵士关于时代的建筑和勋号加成!$A$38:$K$47,6,0)</f>
        <v>2.2000000000000002</v>
      </c>
      <c r="L7" s="65">
        <v>12</v>
      </c>
      <c r="M7" s="20">
        <f>VLOOKUP($C7,兵士关于时代的建筑和勋号加成!$A$38:$K$47,3,0)</f>
        <v>3</v>
      </c>
      <c r="N7" s="67">
        <v>1.2</v>
      </c>
      <c r="O7" s="20">
        <f>VLOOKUP($C7,兵士关于时代的建筑和勋号加成!$A$38:$K$47,7,0)</f>
        <v>1.6</v>
      </c>
      <c r="P7" s="34">
        <f t="shared" si="0"/>
        <v>242.38811852068986</v>
      </c>
      <c r="Q7" s="34">
        <f t="shared" si="1"/>
        <v>22218.91086439657</v>
      </c>
      <c r="R7" s="65">
        <v>0</v>
      </c>
      <c r="S7" s="20">
        <f>VLOOKUP($C7,兵士关于时代的建筑和勋号加成!$A$38:$K$47,4,0)</f>
        <v>1</v>
      </c>
      <c r="T7" s="67">
        <v>0</v>
      </c>
      <c r="U7" s="20">
        <f>VLOOKUP($C7,兵士关于时代的建筑和勋号加成!$A$38:$K$47,8,0)</f>
        <v>1</v>
      </c>
      <c r="V7" s="65">
        <v>0</v>
      </c>
      <c r="W7" s="20">
        <f>VLOOKUP($C7,兵士关于时代的建筑和勋号加成!$A$38:$K$47,5,0)</f>
        <v>1</v>
      </c>
      <c r="X7" s="67">
        <v>0</v>
      </c>
      <c r="Y7" s="20">
        <f>VLOOKUP($C7,兵士关于时代的建筑和勋号加成!$A$38:$K$47,9,0)</f>
        <v>1</v>
      </c>
      <c r="Z7" s="60">
        <f t="shared" si="2"/>
        <v>403.92</v>
      </c>
      <c r="AA7" s="60">
        <f t="shared" si="3"/>
        <v>63.359999999999992</v>
      </c>
      <c r="AB7" s="60">
        <f t="shared" si="4"/>
        <v>0</v>
      </c>
      <c r="AC7" s="60">
        <f t="shared" si="5"/>
        <v>0</v>
      </c>
      <c r="AD7" s="69">
        <f t="shared" si="6"/>
        <v>475.20000000000005</v>
      </c>
      <c r="AE7" s="69">
        <f t="shared" si="7"/>
        <v>86.4</v>
      </c>
      <c r="AF7" s="69">
        <f t="shared" si="8"/>
        <v>0</v>
      </c>
      <c r="AG7" s="69">
        <f t="shared" si="9"/>
        <v>0</v>
      </c>
      <c r="AH7" s="23">
        <f t="shared" si="10"/>
        <v>159.97615822365532</v>
      </c>
      <c r="AI7" s="23">
        <f t="shared" si="11"/>
        <v>2.5248762345905198</v>
      </c>
      <c r="AJ7" s="23">
        <f t="shared" si="12"/>
        <v>15997.615822365531</v>
      </c>
      <c r="AK7" s="72">
        <f t="shared" si="13"/>
        <v>20262.59608243722</v>
      </c>
      <c r="AL7" s="20">
        <f>16</f>
        <v>16</v>
      </c>
      <c r="AM7" s="20">
        <f>2+VLOOKUP($C7,兵士关于时代的建筑和勋号加成!$A$38:$K$47,11,0)</f>
        <v>18</v>
      </c>
      <c r="AN7" s="39">
        <f t="shared" si="14"/>
        <v>543918.93796042807</v>
      </c>
      <c r="AO7" s="69">
        <f t="shared" si="15"/>
        <v>688928.26680286543</v>
      </c>
      <c r="AP7" s="56">
        <f t="shared" si="16"/>
        <v>24.48</v>
      </c>
      <c r="AQ7" s="20" t="s">
        <v>177</v>
      </c>
      <c r="AR7" s="20" t="s">
        <v>123</v>
      </c>
      <c r="AS7" s="20" t="s">
        <v>109</v>
      </c>
      <c r="AT7" s="20" t="s">
        <v>254</v>
      </c>
      <c r="AU7" s="20"/>
      <c r="AV7" s="20" t="s">
        <v>297</v>
      </c>
    </row>
    <row r="8" spans="1:49">
      <c r="A8" s="20" t="s">
        <v>232</v>
      </c>
      <c r="B8" s="54" t="s">
        <v>224</v>
      </c>
      <c r="C8" s="20" t="s">
        <v>110</v>
      </c>
      <c r="D8" s="20">
        <v>76</v>
      </c>
      <c r="E8" s="20">
        <v>0.66</v>
      </c>
      <c r="F8" s="20">
        <v>1</v>
      </c>
      <c r="G8" s="20">
        <v>100</v>
      </c>
      <c r="H8" s="65">
        <v>28</v>
      </c>
      <c r="I8" s="20">
        <f>VLOOKUP($C8,兵士关于时代的建筑和勋号加成!$A$38:$K$47,2,0)</f>
        <v>4.8</v>
      </c>
      <c r="J8" s="67">
        <v>0.9</v>
      </c>
      <c r="K8" s="20">
        <f>VLOOKUP($C8,兵士关于时代的建筑和勋号加成!$A$38:$K$47,6,0)</f>
        <v>2.2000000000000002</v>
      </c>
      <c r="L8" s="65">
        <v>16</v>
      </c>
      <c r="M8" s="20">
        <f>VLOOKUP($C8,兵士关于时代的建筑和勋号加成!$A$38:$K$47,3,0)</f>
        <v>3</v>
      </c>
      <c r="N8" s="67">
        <v>1.2</v>
      </c>
      <c r="O8" s="20">
        <f>VLOOKUP($C8,兵士关于时代的建筑和勋号加成!$A$38:$K$47,7,0)</f>
        <v>1.6</v>
      </c>
      <c r="P8" s="34">
        <f t="shared" si="0"/>
        <v>214.35755978015573</v>
      </c>
      <c r="Q8" s="34">
        <f t="shared" si="1"/>
        <v>24683.597792866418</v>
      </c>
      <c r="R8" s="65">
        <v>10</v>
      </c>
      <c r="S8" s="20">
        <f>VLOOKUP($C8,兵士关于时代的建筑和勋号加成!$A$38:$K$47,4,0)</f>
        <v>1</v>
      </c>
      <c r="T8" s="67">
        <v>0</v>
      </c>
      <c r="U8" s="20">
        <f>VLOOKUP($C8,兵士关于时代的建筑和勋号加成!$A$38:$K$47,8,0)</f>
        <v>1</v>
      </c>
      <c r="V8" s="65">
        <v>10</v>
      </c>
      <c r="W8" s="20">
        <f>VLOOKUP($C8,兵士关于时代的建筑和勋号加成!$A$38:$K$47,5,0)</f>
        <v>1</v>
      </c>
      <c r="X8" s="67">
        <v>0</v>
      </c>
      <c r="Y8" s="20">
        <f>VLOOKUP($C8,兵士关于时代的建筑和勋号加成!$A$38:$K$47,9,0)</f>
        <v>1</v>
      </c>
      <c r="Z8" s="60">
        <f t="shared" si="2"/>
        <v>314.15999999999997</v>
      </c>
      <c r="AA8" s="60">
        <f t="shared" si="3"/>
        <v>84.48</v>
      </c>
      <c r="AB8" s="60">
        <f t="shared" si="4"/>
        <v>10</v>
      </c>
      <c r="AC8" s="60">
        <f t="shared" si="5"/>
        <v>10</v>
      </c>
      <c r="AD8" s="69">
        <f t="shared" si="6"/>
        <v>369.6</v>
      </c>
      <c r="AE8" s="69">
        <f t="shared" si="7"/>
        <v>115.2</v>
      </c>
      <c r="AF8" s="69">
        <f t="shared" si="8"/>
        <v>10</v>
      </c>
      <c r="AG8" s="69">
        <f t="shared" si="9"/>
        <v>10</v>
      </c>
      <c r="AH8" s="23">
        <f t="shared" si="10"/>
        <v>162.91174543291837</v>
      </c>
      <c r="AI8" s="23">
        <f t="shared" si="11"/>
        <v>1.928406077567689</v>
      </c>
      <c r="AJ8" s="23">
        <f t="shared" si="12"/>
        <v>16291.174543291836</v>
      </c>
      <c r="AK8" s="72">
        <f t="shared" si="13"/>
        <v>20634.417849796493</v>
      </c>
      <c r="AL8" s="20">
        <f>16</f>
        <v>16</v>
      </c>
      <c r="AM8" s="20">
        <f>VLOOKUP($C8,兵士关于时代的建筑和勋号加成!$A$38:$K$47,11,0)</f>
        <v>16</v>
      </c>
      <c r="AN8" s="39">
        <f t="shared" si="14"/>
        <v>521317.58538533875</v>
      </c>
      <c r="AO8" s="69">
        <f t="shared" si="15"/>
        <v>660301.37119348778</v>
      </c>
      <c r="AP8" s="56">
        <f t="shared" si="16"/>
        <v>21.12</v>
      </c>
      <c r="AQ8" s="20" t="s">
        <v>225</v>
      </c>
      <c r="AR8" s="20" t="s">
        <v>226</v>
      </c>
      <c r="AS8" s="20" t="s">
        <v>109</v>
      </c>
      <c r="AT8" s="20" t="s">
        <v>275</v>
      </c>
      <c r="AU8" s="20" t="s">
        <v>239</v>
      </c>
      <c r="AV8" s="20" t="s">
        <v>140</v>
      </c>
    </row>
    <row r="9" spans="1:49" ht="16.5">
      <c r="A9" s="20" t="s">
        <v>200</v>
      </c>
      <c r="B9" s="54" t="s">
        <v>164</v>
      </c>
      <c r="C9" s="20" t="s">
        <v>107</v>
      </c>
      <c r="D9" s="20">
        <v>150</v>
      </c>
      <c r="E9" s="20">
        <v>2</v>
      </c>
      <c r="F9" s="20">
        <v>1</v>
      </c>
      <c r="G9" s="20">
        <v>100</v>
      </c>
      <c r="H9" s="65">
        <v>45</v>
      </c>
      <c r="I9" s="20">
        <f>VLOOKUP($C9,兵士关于时代的建筑和勋号加成!$A$38:$K$47,2,0)</f>
        <v>3.7</v>
      </c>
      <c r="J9" s="67">
        <v>1.2</v>
      </c>
      <c r="K9" s="20">
        <f>VLOOKUP($C9,兵士关于时代的建筑和勋号加成!$A$38:$K$47,6,0)</f>
        <v>1.6</v>
      </c>
      <c r="L9" s="65">
        <v>30</v>
      </c>
      <c r="M9" s="20">
        <f>0.6+VLOOKUP($C9,兵士关于时代的建筑和勋号加成!$A$38:$K$47,3,0)</f>
        <v>3.7</v>
      </c>
      <c r="N9" s="67">
        <v>1.2</v>
      </c>
      <c r="O9" s="20">
        <f>VLOOKUP($C9,兵士关于时代的建筑和勋号加成!$A$38:$K$47,7,0)</f>
        <v>1.3</v>
      </c>
      <c r="P9" s="34">
        <f t="shared" si="0"/>
        <v>141.30817386124554</v>
      </c>
      <c r="Q9" s="34">
        <f t="shared" si="1"/>
        <v>10598.113039593416</v>
      </c>
      <c r="R9" s="65">
        <v>10</v>
      </c>
      <c r="S9" s="20">
        <f>VLOOKUP($C9,兵士关于时代的建筑和勋号加成!$A$38:$K$47,4,0)</f>
        <v>1</v>
      </c>
      <c r="T9" s="67">
        <v>0</v>
      </c>
      <c r="U9" s="20">
        <f>VLOOKUP($C9,兵士关于时代的建筑和勋号加成!$A$38:$K$47,8,0)</f>
        <v>1</v>
      </c>
      <c r="V9" s="65">
        <v>0</v>
      </c>
      <c r="W9" s="20">
        <f>VLOOKUP($C9,兵士关于时代的建筑和勋号加成!$A$38:$K$47,5,0)</f>
        <v>1</v>
      </c>
      <c r="X9" s="67">
        <v>0</v>
      </c>
      <c r="Y9" s="20">
        <f>VLOOKUP($C9,兵士关于时代的建筑和勋号加成!$A$38:$K$47,9,0)</f>
        <v>1</v>
      </c>
      <c r="Z9" s="60">
        <f t="shared" si="2"/>
        <v>288</v>
      </c>
      <c r="AA9" s="60">
        <f t="shared" si="3"/>
        <v>156</v>
      </c>
      <c r="AB9" s="60">
        <f t="shared" si="4"/>
        <v>10</v>
      </c>
      <c r="AC9" s="60">
        <f t="shared" si="5"/>
        <v>0</v>
      </c>
      <c r="AD9" s="69">
        <f t="shared" si="6"/>
        <v>374.40000000000003</v>
      </c>
      <c r="AE9" s="69">
        <f t="shared" si="7"/>
        <v>202.8</v>
      </c>
      <c r="AF9" s="69">
        <f t="shared" si="8"/>
        <v>10</v>
      </c>
      <c r="AG9" s="69">
        <f t="shared" si="9"/>
        <v>0</v>
      </c>
      <c r="AH9" s="23">
        <f t="shared" si="10"/>
        <v>211.96226079186832</v>
      </c>
      <c r="AI9" s="23">
        <f t="shared" si="11"/>
        <v>1.3587324409735149</v>
      </c>
      <c r="AJ9" s="23">
        <f t="shared" si="12"/>
        <v>21196.226079186832</v>
      </c>
      <c r="AK9" s="72">
        <f t="shared" si="13"/>
        <v>27555.093902942885</v>
      </c>
      <c r="AL9" s="20">
        <f>16</f>
        <v>16</v>
      </c>
      <c r="AM9" s="20">
        <f>VLOOKUP($C9,兵士关于时代的建筑和勋号加成!$A$38:$K$47,11,0)+2</f>
        <v>8</v>
      </c>
      <c r="AN9" s="39">
        <f t="shared" si="14"/>
        <v>508709.42590048397</v>
      </c>
      <c r="AO9" s="69">
        <f t="shared" si="15"/>
        <v>661322.25367062923</v>
      </c>
      <c r="AP9" s="56">
        <f t="shared" si="16"/>
        <v>48</v>
      </c>
      <c r="AQ9" s="20" t="s">
        <v>192</v>
      </c>
      <c r="AR9" s="20" t="s">
        <v>193</v>
      </c>
      <c r="AS9" s="20" t="s">
        <v>109</v>
      </c>
      <c r="AT9" s="20" t="s">
        <v>265</v>
      </c>
      <c r="AU9" s="20"/>
      <c r="AV9" s="20" t="s">
        <v>194</v>
      </c>
    </row>
    <row r="10" spans="1:49" ht="24.75">
      <c r="A10" s="20" t="s">
        <v>200</v>
      </c>
      <c r="B10" s="54" t="s">
        <v>162</v>
      </c>
      <c r="C10" s="20" t="s">
        <v>110</v>
      </c>
      <c r="D10" s="20">
        <v>61</v>
      </c>
      <c r="E10" s="20">
        <v>0.66</v>
      </c>
      <c r="F10" s="20">
        <v>1</v>
      </c>
      <c r="G10" s="20">
        <v>100</v>
      </c>
      <c r="H10" s="65">
        <v>18</v>
      </c>
      <c r="I10" s="20">
        <f>VLOOKUP($C10,兵士关于时代的建筑和勋号加成!$A$38:$K$47,2,0)</f>
        <v>4.8</v>
      </c>
      <c r="J10" s="67">
        <v>0.9</v>
      </c>
      <c r="K10" s="20">
        <f>VLOOKUP($C10,兵士关于时代的建筑和勋号加成!$A$38:$K$47,6,0)</f>
        <v>2.2000000000000002</v>
      </c>
      <c r="L10" s="65">
        <v>20</v>
      </c>
      <c r="M10" s="20">
        <f>0.6+VLOOKUP($C10,兵士关于时代的建筑和勋号加成!$A$38:$K$47,3,0)</f>
        <v>3.6</v>
      </c>
      <c r="N10" s="67">
        <v>1.2</v>
      </c>
      <c r="O10" s="20">
        <f>VLOOKUP($C10,兵士关于时代的建筑和勋号加成!$A$38:$K$47,7,0)</f>
        <v>1.6</v>
      </c>
      <c r="P10" s="34">
        <f t="shared" si="0"/>
        <v>260.26162596100005</v>
      </c>
      <c r="Q10" s="34">
        <f t="shared" si="1"/>
        <v>24054.483611546973</v>
      </c>
      <c r="R10" s="65">
        <v>0</v>
      </c>
      <c r="S10" s="20">
        <f>VLOOKUP($C10,兵士关于时代的建筑和勋号加成!$A$38:$K$47,4,0)</f>
        <v>1</v>
      </c>
      <c r="T10" s="67">
        <v>0</v>
      </c>
      <c r="U10" s="20">
        <f>VLOOKUP($C10,兵士关于时代的建筑和勋号加成!$A$38:$K$47,8,0)</f>
        <v>1</v>
      </c>
      <c r="V10" s="65">
        <v>22</v>
      </c>
      <c r="W10" s="20">
        <f>VLOOKUP($C10,兵士关于时代的建筑和勋号加成!$A$38:$K$47,5,0)</f>
        <v>1</v>
      </c>
      <c r="X10" s="67">
        <v>0</v>
      </c>
      <c r="Y10" s="20">
        <f>VLOOKUP($C10,兵士关于时代的建筑和勋号加成!$A$38:$K$47,9,0)</f>
        <v>1</v>
      </c>
      <c r="Z10" s="60">
        <f t="shared" si="2"/>
        <v>201.96</v>
      </c>
      <c r="AA10" s="60">
        <f t="shared" si="3"/>
        <v>124.80000000000001</v>
      </c>
      <c r="AB10" s="60">
        <f t="shared" si="4"/>
        <v>0</v>
      </c>
      <c r="AC10" s="60">
        <f t="shared" si="5"/>
        <v>22</v>
      </c>
      <c r="AD10" s="69">
        <f t="shared" si="6"/>
        <v>237.60000000000002</v>
      </c>
      <c r="AE10" s="69">
        <f t="shared" si="7"/>
        <v>163.20000000000002</v>
      </c>
      <c r="AF10" s="69">
        <f t="shared" si="8"/>
        <v>0</v>
      </c>
      <c r="AG10" s="69">
        <f t="shared" si="9"/>
        <v>22</v>
      </c>
      <c r="AH10" s="23">
        <f t="shared" si="10"/>
        <v>158.75959183621003</v>
      </c>
      <c r="AI10" s="23">
        <f t="shared" si="11"/>
        <v>1.2721121140721956</v>
      </c>
      <c r="AJ10" s="23">
        <f t="shared" si="12"/>
        <v>15875.959183621004</v>
      </c>
      <c r="AK10" s="72">
        <f t="shared" si="13"/>
        <v>19691.703836895376</v>
      </c>
      <c r="AL10" s="20">
        <f>16</f>
        <v>16</v>
      </c>
      <c r="AM10" s="20">
        <f>VLOOKUP($C10,兵士关于时代的建筑和勋号加成!$A$38:$K$47,11,0)</f>
        <v>16</v>
      </c>
      <c r="AN10" s="39">
        <f t="shared" si="14"/>
        <v>508030.69387587212</v>
      </c>
      <c r="AO10" s="69">
        <f t="shared" si="15"/>
        <v>630134.52278065204</v>
      </c>
      <c r="AP10" s="56">
        <f t="shared" si="16"/>
        <v>21.12</v>
      </c>
      <c r="AQ10" s="20" t="s">
        <v>106</v>
      </c>
      <c r="AR10" s="20" t="s">
        <v>188</v>
      </c>
      <c r="AS10" s="20" t="s">
        <v>109</v>
      </c>
      <c r="AT10" s="20" t="s">
        <v>264</v>
      </c>
      <c r="AU10" s="20"/>
      <c r="AV10" s="20" t="s">
        <v>140</v>
      </c>
    </row>
    <row r="11" spans="1:49" ht="16.5">
      <c r="A11" s="20" t="s">
        <v>200</v>
      </c>
      <c r="B11" s="54" t="s">
        <v>155</v>
      </c>
      <c r="C11" s="20" t="s">
        <v>110</v>
      </c>
      <c r="D11" s="20">
        <v>60.5</v>
      </c>
      <c r="E11" s="20">
        <v>0.66</v>
      </c>
      <c r="F11" s="20">
        <v>1</v>
      </c>
      <c r="G11" s="20">
        <v>100</v>
      </c>
      <c r="H11" s="65">
        <v>30</v>
      </c>
      <c r="I11" s="20">
        <f>VLOOKUP($C11,兵士关于时代的建筑和勋号加成!$A$38:$K$47,2,0)</f>
        <v>4.8</v>
      </c>
      <c r="J11" s="67">
        <v>0.9</v>
      </c>
      <c r="K11" s="20">
        <f>VLOOKUP($C11,兵士关于时代的建筑和勋号加成!$A$38:$K$47,6,0)</f>
        <v>2.2000000000000002</v>
      </c>
      <c r="L11" s="65">
        <v>14</v>
      </c>
      <c r="M11" s="20">
        <f>VLOOKUP($C11,兵士关于时代的建筑和勋号加成!$A$38:$K$47,3,0)</f>
        <v>3</v>
      </c>
      <c r="N11" s="67">
        <v>1.2</v>
      </c>
      <c r="O11" s="20">
        <f>VLOOKUP($C11,兵士关于时代的建筑和勋号加成!$A$38:$K$47,7,0)</f>
        <v>1.6</v>
      </c>
      <c r="P11" s="34">
        <f t="shared" si="0"/>
        <v>260.72499048069216</v>
      </c>
      <c r="Q11" s="34">
        <f t="shared" si="1"/>
        <v>23899.79079406345</v>
      </c>
      <c r="R11" s="65">
        <v>10</v>
      </c>
      <c r="S11" s="20">
        <f>VLOOKUP($C11,兵士关于时代的建筑和勋号加成!$A$38:$K$47,4,0)</f>
        <v>1</v>
      </c>
      <c r="T11" s="67">
        <v>0</v>
      </c>
      <c r="U11" s="20">
        <f>VLOOKUP($C11,兵士关于时代的建筑和勋号加成!$A$38:$K$47,8,0)</f>
        <v>1</v>
      </c>
      <c r="V11" s="65">
        <v>10</v>
      </c>
      <c r="W11" s="20">
        <f>VLOOKUP($C11,兵士关于时代的建筑和勋号加成!$A$38:$K$47,5,0)</f>
        <v>1</v>
      </c>
      <c r="X11" s="67">
        <v>0</v>
      </c>
      <c r="Y11" s="20">
        <f>VLOOKUP($C11,兵士关于时代的建筑和勋号加成!$A$38:$K$47,9,0)</f>
        <v>1</v>
      </c>
      <c r="Z11" s="60">
        <f t="shared" si="2"/>
        <v>336.6</v>
      </c>
      <c r="AA11" s="60">
        <f t="shared" si="3"/>
        <v>73.92</v>
      </c>
      <c r="AB11" s="60">
        <f t="shared" si="4"/>
        <v>10</v>
      </c>
      <c r="AC11" s="60">
        <f t="shared" si="5"/>
        <v>10</v>
      </c>
      <c r="AD11" s="69">
        <f t="shared" si="6"/>
        <v>396.00000000000006</v>
      </c>
      <c r="AE11" s="69">
        <f t="shared" si="7"/>
        <v>100.80000000000001</v>
      </c>
      <c r="AF11" s="69">
        <f t="shared" si="8"/>
        <v>10</v>
      </c>
      <c r="AG11" s="69">
        <f t="shared" si="9"/>
        <v>10</v>
      </c>
      <c r="AH11" s="23">
        <f t="shared" si="10"/>
        <v>157.73861924081876</v>
      </c>
      <c r="AI11" s="23">
        <f t="shared" si="11"/>
        <v>2.1339098923270936</v>
      </c>
      <c r="AJ11" s="23">
        <f t="shared" si="12"/>
        <v>15773.861924081877</v>
      </c>
      <c r="AK11" s="72">
        <f t="shared" si="13"/>
        <v>19979.189172736718</v>
      </c>
      <c r="AL11" s="20">
        <f>16</f>
        <v>16</v>
      </c>
      <c r="AM11" s="20">
        <f>VLOOKUP($C11,兵士关于时代的建筑和勋号加成!$A$38:$K$47,11,0)</f>
        <v>16</v>
      </c>
      <c r="AN11" s="39">
        <f t="shared" si="14"/>
        <v>504763.58157062007</v>
      </c>
      <c r="AO11" s="69">
        <f t="shared" si="15"/>
        <v>639334.05352757499</v>
      </c>
      <c r="AP11" s="56">
        <f t="shared" si="16"/>
        <v>21.12</v>
      </c>
      <c r="AQ11" s="20" t="s">
        <v>106</v>
      </c>
      <c r="AR11" s="20" t="s">
        <v>174</v>
      </c>
      <c r="AS11" s="20" t="s">
        <v>109</v>
      </c>
      <c r="AT11" s="20" t="s">
        <v>255</v>
      </c>
      <c r="AU11" s="20"/>
      <c r="AV11" s="20" t="s">
        <v>140</v>
      </c>
    </row>
    <row r="12" spans="1:49" hidden="1">
      <c r="A12" s="20" t="s">
        <v>231</v>
      </c>
      <c r="B12" s="54" t="s">
        <v>206</v>
      </c>
      <c r="C12" s="20" t="s">
        <v>133</v>
      </c>
      <c r="D12" s="20">
        <v>180</v>
      </c>
      <c r="E12" s="20">
        <v>2.4</v>
      </c>
      <c r="F12" s="20">
        <v>1</v>
      </c>
      <c r="G12" s="20">
        <v>100</v>
      </c>
      <c r="H12" s="65">
        <v>60</v>
      </c>
      <c r="I12" s="20">
        <f>VLOOKUP($C12,兵士关于时代的建筑和勋号加成!$A$38:$K$47,2,0)</f>
        <v>3.7</v>
      </c>
      <c r="J12" s="67">
        <v>1.2</v>
      </c>
      <c r="K12" s="20">
        <f>VLOOKUP($C12,兵士关于时代的建筑和勋号加成!$A$38:$K$47,6,0)</f>
        <v>1.6</v>
      </c>
      <c r="L12" s="65">
        <v>30</v>
      </c>
      <c r="M12" s="20">
        <f>VLOOKUP($C12,兵士关于时代的建筑和勋号加成!$A$38:$K$47,3,0)</f>
        <v>3.1</v>
      </c>
      <c r="N12" s="67">
        <v>1.2</v>
      </c>
      <c r="O12" s="20">
        <f>VLOOKUP($C12,兵士关于时代的建筑和勋号加成!$A$38:$K$47,7,0)</f>
        <v>1.3</v>
      </c>
      <c r="P12" s="34">
        <f t="shared" si="0"/>
        <v>125.36169891779367</v>
      </c>
      <c r="Q12" s="34">
        <f t="shared" si="1"/>
        <v>9402.1274188345251</v>
      </c>
      <c r="R12" s="65">
        <v>0</v>
      </c>
      <c r="S12" s="20">
        <f>VLOOKUP($C12,兵士关于时代的建筑和勋号加成!$A$38:$K$47,4,0)</f>
        <v>1</v>
      </c>
      <c r="T12" s="67">
        <v>0</v>
      </c>
      <c r="U12" s="20">
        <f>VLOOKUP($C12,兵士关于时代的建筑和勋号加成!$A$38:$K$47,8,0)</f>
        <v>1</v>
      </c>
      <c r="V12" s="65">
        <v>20</v>
      </c>
      <c r="W12" s="20">
        <f>VLOOKUP($C12,兵士关于时代的建筑和勋号加成!$A$38:$K$47,5,0)</f>
        <v>1</v>
      </c>
      <c r="X12" s="67">
        <v>0</v>
      </c>
      <c r="Y12" s="20">
        <f>VLOOKUP($C12,兵士关于时代的建筑和勋号加成!$A$38:$K$47,9,0)</f>
        <v>1</v>
      </c>
      <c r="Z12" s="60">
        <f t="shared" si="2"/>
        <v>384</v>
      </c>
      <c r="AA12" s="60">
        <f t="shared" si="3"/>
        <v>132.6</v>
      </c>
      <c r="AB12" s="60">
        <f t="shared" si="4"/>
        <v>0</v>
      </c>
      <c r="AC12" s="60">
        <f t="shared" si="5"/>
        <v>20</v>
      </c>
      <c r="AD12" s="69">
        <f t="shared" si="6"/>
        <v>499.20000000000005</v>
      </c>
      <c r="AE12" s="69">
        <f t="shared" si="7"/>
        <v>179.4</v>
      </c>
      <c r="AF12" s="69">
        <f t="shared" si="8"/>
        <v>0</v>
      </c>
      <c r="AG12" s="69">
        <f t="shared" si="9"/>
        <v>20</v>
      </c>
      <c r="AH12" s="23">
        <f t="shared" si="10"/>
        <v>225.65105805202862</v>
      </c>
      <c r="AI12" s="23">
        <f t="shared" si="11"/>
        <v>1.7017425192460682</v>
      </c>
      <c r="AJ12" s="23">
        <f t="shared" si="12"/>
        <v>22565.10580520286</v>
      </c>
      <c r="AK12" s="72">
        <f t="shared" si="13"/>
        <v>29925.988705471373</v>
      </c>
      <c r="AL12" s="20">
        <f>16</f>
        <v>16</v>
      </c>
      <c r="AM12" s="20">
        <f>VLOOKUP($C12,兵士关于时代的建筑和勋号加成!$A$38:$K$47,11,0)</f>
        <v>6</v>
      </c>
      <c r="AN12" s="39">
        <f t="shared" si="14"/>
        <v>496432.32771446294</v>
      </c>
      <c r="AO12" s="69">
        <f t="shared" si="15"/>
        <v>658371.75152037025</v>
      </c>
      <c r="AP12" s="56">
        <f t="shared" si="16"/>
        <v>52.8</v>
      </c>
      <c r="AQ12" s="20" t="s">
        <v>115</v>
      </c>
      <c r="AR12" s="20" t="s">
        <v>109</v>
      </c>
      <c r="AS12" s="20" t="s">
        <v>109</v>
      </c>
      <c r="AT12" s="20" t="s">
        <v>269</v>
      </c>
      <c r="AU12" s="20" t="s">
        <v>207</v>
      </c>
      <c r="AV12" s="20" t="s">
        <v>146</v>
      </c>
    </row>
    <row r="13" spans="1:49">
      <c r="A13" s="20" t="s">
        <v>200</v>
      </c>
      <c r="B13" s="54" t="s">
        <v>142</v>
      </c>
      <c r="C13" s="20" t="s">
        <v>110</v>
      </c>
      <c r="D13" s="20">
        <v>55</v>
      </c>
      <c r="E13" s="20">
        <v>0.66</v>
      </c>
      <c r="F13" s="20">
        <v>1</v>
      </c>
      <c r="G13" s="20">
        <v>100</v>
      </c>
      <c r="H13" s="65">
        <v>30</v>
      </c>
      <c r="I13" s="20">
        <f>VLOOKUP($C13,兵士关于时代的建筑和勋号加成!$A$38:$K$47,2,0)</f>
        <v>4.8</v>
      </c>
      <c r="J13" s="67">
        <v>0.9</v>
      </c>
      <c r="K13" s="20">
        <f>VLOOKUP($C13,兵士关于时代的建筑和勋号加成!$A$38:$K$47,6,0)</f>
        <v>2.2000000000000002</v>
      </c>
      <c r="L13" s="65">
        <v>12</v>
      </c>
      <c r="M13" s="20">
        <f>VLOOKUP($C13,兵士关于时代的建筑和勋号加成!$A$38:$K$47,3,0)</f>
        <v>3</v>
      </c>
      <c r="N13" s="67">
        <v>1.2</v>
      </c>
      <c r="O13" s="20">
        <f>VLOOKUP($C13,兵士关于时代的建筑和勋号加成!$A$38:$K$47,7,0)</f>
        <v>1.6</v>
      </c>
      <c r="P13" s="34">
        <f t="shared" si="0"/>
        <v>265.52288037003518</v>
      </c>
      <c r="Q13" s="34">
        <f t="shared" si="1"/>
        <v>22126.906697502931</v>
      </c>
      <c r="R13" s="65">
        <v>5</v>
      </c>
      <c r="S13" s="20">
        <f>VLOOKUP($C13,兵士关于时代的建筑和勋号加成!$A$38:$K$47,4,0)</f>
        <v>1</v>
      </c>
      <c r="T13" s="67">
        <v>0</v>
      </c>
      <c r="U13" s="20">
        <f>VLOOKUP($C13,兵士关于时代的建筑和勋号加成!$A$38:$K$47,8,0)</f>
        <v>1</v>
      </c>
      <c r="V13" s="65">
        <v>0</v>
      </c>
      <c r="W13" s="20">
        <f>VLOOKUP($C13,兵士关于时代的建筑和勋号加成!$A$38:$K$47,5,0)</f>
        <v>1</v>
      </c>
      <c r="X13" s="67">
        <v>0</v>
      </c>
      <c r="Y13" s="20">
        <f>VLOOKUP($C13,兵士关于时代的建筑和勋号加成!$A$38:$K$47,9,0)</f>
        <v>1</v>
      </c>
      <c r="Z13" s="60">
        <f t="shared" si="2"/>
        <v>336.6</v>
      </c>
      <c r="AA13" s="60">
        <f t="shared" si="3"/>
        <v>63.359999999999992</v>
      </c>
      <c r="AB13" s="60">
        <f t="shared" si="4"/>
        <v>5</v>
      </c>
      <c r="AC13" s="60">
        <f t="shared" si="5"/>
        <v>0</v>
      </c>
      <c r="AD13" s="69">
        <f t="shared" si="6"/>
        <v>396.00000000000006</v>
      </c>
      <c r="AE13" s="69">
        <f t="shared" si="7"/>
        <v>86.4</v>
      </c>
      <c r="AF13" s="69">
        <f t="shared" si="8"/>
        <v>5</v>
      </c>
      <c r="AG13" s="69">
        <f t="shared" si="9"/>
        <v>0</v>
      </c>
      <c r="AH13" s="23">
        <f t="shared" si="10"/>
        <v>146.03758420351934</v>
      </c>
      <c r="AI13" s="23">
        <f t="shared" si="11"/>
        <v>2.3048861143232222</v>
      </c>
      <c r="AJ13" s="23">
        <f t="shared" si="12"/>
        <v>14603.758420351935</v>
      </c>
      <c r="AK13" s="72">
        <f t="shared" si="13"/>
        <v>18497.134913277787</v>
      </c>
      <c r="AL13" s="20">
        <f>16</f>
        <v>16</v>
      </c>
      <c r="AM13" s="20">
        <f>VLOOKUP($C13,兵士关于时代的建筑和勋号加成!$A$38:$K$47,11,0)</f>
        <v>16</v>
      </c>
      <c r="AN13" s="39">
        <f t="shared" si="14"/>
        <v>467320.26945126191</v>
      </c>
      <c r="AO13" s="69">
        <f t="shared" si="15"/>
        <v>591908.31722488918</v>
      </c>
      <c r="AP13" s="56">
        <f t="shared" si="16"/>
        <v>21.12</v>
      </c>
      <c r="AQ13" s="20" t="s">
        <v>106</v>
      </c>
      <c r="AR13" s="20" t="s">
        <v>166</v>
      </c>
      <c r="AS13" s="20" t="s">
        <v>109</v>
      </c>
      <c r="AT13" s="20" t="s">
        <v>243</v>
      </c>
      <c r="AU13" s="20"/>
      <c r="AV13" s="20" t="s">
        <v>140</v>
      </c>
    </row>
    <row r="14" spans="1:49" ht="24.75" hidden="1">
      <c r="A14" s="20" t="s">
        <v>200</v>
      </c>
      <c r="B14" s="54" t="s">
        <v>145</v>
      </c>
      <c r="C14" s="20" t="s">
        <v>119</v>
      </c>
      <c r="D14" s="20">
        <v>240</v>
      </c>
      <c r="E14" s="20">
        <v>2.52</v>
      </c>
      <c r="F14" s="20">
        <v>1</v>
      </c>
      <c r="G14" s="20">
        <v>50</v>
      </c>
      <c r="H14" s="65">
        <v>125</v>
      </c>
      <c r="I14" s="20">
        <f>VLOOKUP($C14,兵士关于时代的建筑和勋号加成!$A$38:$K$47,2,0)</f>
        <v>4</v>
      </c>
      <c r="J14" s="67">
        <v>1.2</v>
      </c>
      <c r="K14" s="20">
        <f>VLOOKUP($C14,兵士关于时代的建筑和勋号加成!$A$38:$K$47,6,0)</f>
        <v>1.6</v>
      </c>
      <c r="L14" s="65">
        <v>40</v>
      </c>
      <c r="M14" s="20">
        <f>VLOOKUP($C14,兵士关于时代的建筑和勋号加成!$A$38:$K$47,3,0)</f>
        <v>3.4</v>
      </c>
      <c r="N14" s="67">
        <v>1.2</v>
      </c>
      <c r="O14" s="20">
        <f>VLOOKUP($C14,兵士关于时代的建筑和勋号加成!$A$38:$K$47,7,0)</f>
        <v>1.3</v>
      </c>
      <c r="P14" s="34">
        <f t="shared" si="0"/>
        <v>84.744304954505481</v>
      </c>
      <c r="Q14" s="34">
        <f t="shared" si="1"/>
        <v>8070.8861861433797</v>
      </c>
      <c r="R14" s="65">
        <v>20</v>
      </c>
      <c r="S14" s="20">
        <f>VLOOKUP($C14,兵士关于时代的建筑和勋号加成!$A$38:$K$47,4,0)</f>
        <v>1.2</v>
      </c>
      <c r="T14" s="67">
        <v>0</v>
      </c>
      <c r="U14" s="20">
        <f>VLOOKUP($C14,兵士关于时代的建筑和勋号加成!$A$38:$K$47,8,0)</f>
        <v>1</v>
      </c>
      <c r="V14" s="65">
        <v>10</v>
      </c>
      <c r="W14" s="20">
        <f>VLOOKUP($C14,兵士关于时代的建筑和勋号加成!$A$38:$K$47,5,0)</f>
        <v>1.2</v>
      </c>
      <c r="X14" s="67">
        <v>0</v>
      </c>
      <c r="Y14" s="20">
        <f>VLOOKUP($C14,兵士关于时代的建筑和勋号加成!$A$38:$K$47,9,0)</f>
        <v>1</v>
      </c>
      <c r="Z14" s="60">
        <f t="shared" si="2"/>
        <v>860</v>
      </c>
      <c r="AA14" s="60">
        <f t="shared" si="3"/>
        <v>192.4</v>
      </c>
      <c r="AB14" s="60">
        <f t="shared" si="4"/>
        <v>24</v>
      </c>
      <c r="AC14" s="60">
        <f t="shared" si="5"/>
        <v>12</v>
      </c>
      <c r="AD14" s="69">
        <f t="shared" si="6"/>
        <v>1100</v>
      </c>
      <c r="AE14" s="69">
        <f t="shared" si="7"/>
        <v>254.79999999999998</v>
      </c>
      <c r="AF14" s="69">
        <f t="shared" si="8"/>
        <v>24</v>
      </c>
      <c r="AG14" s="69">
        <f t="shared" si="9"/>
        <v>12</v>
      </c>
      <c r="AH14" s="23">
        <f t="shared" si="10"/>
        <v>406.77266378162631</v>
      </c>
      <c r="AI14" s="23">
        <f t="shared" si="11"/>
        <v>2.1142030342080371</v>
      </c>
      <c r="AJ14" s="23">
        <f t="shared" si="12"/>
        <v>20338.633189081316</v>
      </c>
      <c r="AK14" s="72">
        <f t="shared" si="13"/>
        <v>26470.73856166465</v>
      </c>
      <c r="AL14" s="20">
        <f>16</f>
        <v>16</v>
      </c>
      <c r="AM14" s="20">
        <f>VLOOKUP($C14,兵士关于时代的建筑和勋号加成!$A$38:$K$47,11,0)</f>
        <v>6</v>
      </c>
      <c r="AN14" s="39">
        <f t="shared" si="14"/>
        <v>447449.93015978893</v>
      </c>
      <c r="AO14" s="69">
        <f t="shared" si="15"/>
        <v>582356.24835662229</v>
      </c>
      <c r="AP14" s="56">
        <f t="shared" si="16"/>
        <v>55.44</v>
      </c>
      <c r="AQ14" s="20" t="s">
        <v>110</v>
      </c>
      <c r="AR14" s="20" t="s">
        <v>113</v>
      </c>
      <c r="AS14" s="20" t="s">
        <v>167</v>
      </c>
      <c r="AT14" s="20" t="s">
        <v>246</v>
      </c>
      <c r="AU14" s="20"/>
      <c r="AV14" s="20" t="s">
        <v>146</v>
      </c>
    </row>
    <row r="15" spans="1:49" ht="24.75">
      <c r="A15" s="20" t="s">
        <v>200</v>
      </c>
      <c r="B15" s="54" t="s">
        <v>143</v>
      </c>
      <c r="C15" s="20" t="s">
        <v>119</v>
      </c>
      <c r="D15" s="20">
        <v>260</v>
      </c>
      <c r="E15" s="20">
        <v>2.73</v>
      </c>
      <c r="F15" s="20">
        <v>0.85</v>
      </c>
      <c r="G15" s="20">
        <v>50</v>
      </c>
      <c r="H15" s="65">
        <v>120</v>
      </c>
      <c r="I15" s="20">
        <f>VLOOKUP($C15,兵士关于时代的建筑和勋号加成!$A$38:$K$47,2,0)</f>
        <v>4</v>
      </c>
      <c r="J15" s="67">
        <v>1.2</v>
      </c>
      <c r="K15" s="20">
        <f>VLOOKUP($C15,兵士关于时代的建筑和勋号加成!$A$38:$K$47,6,0)</f>
        <v>1.6</v>
      </c>
      <c r="L15" s="65">
        <v>35</v>
      </c>
      <c r="M15" s="20">
        <f>VLOOKUP($C15,兵士关于时代的建筑和勋号加成!$A$38:$K$47,3,0)</f>
        <v>3.4</v>
      </c>
      <c r="N15" s="67">
        <v>1.2</v>
      </c>
      <c r="O15" s="20">
        <f>VLOOKUP($C15,兵士关于时代的建筑和勋号加成!$A$38:$K$47,7,0)</f>
        <v>1.3</v>
      </c>
      <c r="P15" s="34">
        <f t="shared" si="0"/>
        <v>71.694866246850935</v>
      </c>
      <c r="Q15" s="34">
        <f t="shared" si="1"/>
        <v>6828.08249970009</v>
      </c>
      <c r="R15" s="65">
        <v>25</v>
      </c>
      <c r="S15" s="20">
        <f>VLOOKUP($C15,兵士关于时代的建筑和勋号加成!$A$38:$K$47,4,0)</f>
        <v>1.2</v>
      </c>
      <c r="T15" s="67">
        <v>0</v>
      </c>
      <c r="U15" s="20">
        <f>VLOOKUP($C15,兵士关于时代的建筑和勋号加成!$A$38:$K$47,8,0)</f>
        <v>1</v>
      </c>
      <c r="V15" s="65">
        <v>10</v>
      </c>
      <c r="W15" s="20">
        <f>VLOOKUP($C15,兵士关于时代的建筑和勋号加成!$A$38:$K$47,5,0)</f>
        <v>1.2</v>
      </c>
      <c r="X15" s="67">
        <v>0</v>
      </c>
      <c r="Y15" s="20">
        <f>VLOOKUP($C15,兵士关于时代的建筑和勋号加成!$A$38:$K$47,9,0)</f>
        <v>1</v>
      </c>
      <c r="Z15" s="60">
        <f t="shared" si="2"/>
        <v>825.6</v>
      </c>
      <c r="AA15" s="60">
        <f t="shared" si="3"/>
        <v>168.35</v>
      </c>
      <c r="AB15" s="60">
        <f t="shared" si="4"/>
        <v>30</v>
      </c>
      <c r="AC15" s="60">
        <f t="shared" si="5"/>
        <v>12</v>
      </c>
      <c r="AD15" s="69">
        <f t="shared" si="6"/>
        <v>1056</v>
      </c>
      <c r="AE15" s="69">
        <f t="shared" si="7"/>
        <v>222.94999999999996</v>
      </c>
      <c r="AF15" s="69">
        <f t="shared" si="8"/>
        <v>30</v>
      </c>
      <c r="AG15" s="69">
        <f t="shared" si="9"/>
        <v>12</v>
      </c>
      <c r="AH15" s="23">
        <f t="shared" si="10"/>
        <v>372.8133044836249</v>
      </c>
      <c r="AI15" s="23">
        <f t="shared" si="11"/>
        <v>2.2145132431459751</v>
      </c>
      <c r="AJ15" s="23">
        <f t="shared" si="12"/>
        <v>18640.665224181244</v>
      </c>
      <c r="AK15" s="72">
        <f t="shared" si="13"/>
        <v>24260.832632042944</v>
      </c>
      <c r="AL15" s="20">
        <f>16</f>
        <v>16</v>
      </c>
      <c r="AM15" s="20">
        <f>VLOOKUP($C15,兵士关于时代的建筑和勋号加成!$A$38:$K$47,11,0)+2</f>
        <v>8</v>
      </c>
      <c r="AN15" s="39">
        <f t="shared" si="14"/>
        <v>447375.96538034989</v>
      </c>
      <c r="AO15" s="69">
        <f t="shared" si="15"/>
        <v>582259.98316903063</v>
      </c>
      <c r="AP15" s="56">
        <f t="shared" si="16"/>
        <v>65.52</v>
      </c>
      <c r="AQ15" s="20" t="s">
        <v>110</v>
      </c>
      <c r="AR15" s="20" t="s">
        <v>113</v>
      </c>
      <c r="AS15" s="20" t="s">
        <v>120</v>
      </c>
      <c r="AT15" s="20" t="s">
        <v>244</v>
      </c>
      <c r="AU15" s="20"/>
      <c r="AV15" s="20" t="s">
        <v>140</v>
      </c>
    </row>
    <row r="16" spans="1:49" ht="16.5">
      <c r="A16" s="20" t="s">
        <v>200</v>
      </c>
      <c r="B16" s="54" t="s">
        <v>151</v>
      </c>
      <c r="C16" s="20" t="s">
        <v>107</v>
      </c>
      <c r="D16" s="20">
        <v>115</v>
      </c>
      <c r="E16" s="20">
        <v>1.53</v>
      </c>
      <c r="F16" s="20">
        <v>1</v>
      </c>
      <c r="G16" s="20">
        <v>100</v>
      </c>
      <c r="H16" s="65">
        <v>40</v>
      </c>
      <c r="I16" s="20">
        <f>VLOOKUP($C16,兵士关于时代的建筑和勋号加成!$A$38:$K$47,2,0)</f>
        <v>3.7</v>
      </c>
      <c r="J16" s="67">
        <v>1.2</v>
      </c>
      <c r="K16" s="20">
        <f>VLOOKUP($C16,兵士关于时代的建筑和勋号加成!$A$38:$K$47,6,0)</f>
        <v>1.6</v>
      </c>
      <c r="L16" s="65">
        <v>26</v>
      </c>
      <c r="M16" s="20">
        <f>0.6+VLOOKUP($C16,兵士关于时代的建筑和勋号加成!$A$38:$K$47,3,0)</f>
        <v>3.7</v>
      </c>
      <c r="N16" s="67">
        <v>1.2</v>
      </c>
      <c r="O16" s="20">
        <f>VLOOKUP($C16,兵士关于时代的建筑和勋号加成!$A$38:$K$47,7,0)</f>
        <v>1.3</v>
      </c>
      <c r="P16" s="34">
        <f t="shared" si="0"/>
        <v>161.77465715476743</v>
      </c>
      <c r="Q16" s="34">
        <f t="shared" si="1"/>
        <v>12159.533054116504</v>
      </c>
      <c r="R16" s="65">
        <v>0</v>
      </c>
      <c r="S16" s="20">
        <f>VLOOKUP($C16,兵士关于时代的建筑和勋号加成!$A$38:$K$47,4,0)</f>
        <v>1</v>
      </c>
      <c r="T16" s="67">
        <v>0</v>
      </c>
      <c r="U16" s="20">
        <f>VLOOKUP($C16,兵士关于时代的建筑和勋号加成!$A$38:$K$47,8,0)</f>
        <v>1</v>
      </c>
      <c r="V16" s="65">
        <v>24</v>
      </c>
      <c r="W16" s="20">
        <f>VLOOKUP($C16,兵士关于时代的建筑和勋号加成!$A$38:$K$47,5,0)</f>
        <v>1</v>
      </c>
      <c r="X16" s="67">
        <v>0</v>
      </c>
      <c r="Y16" s="20">
        <f>VLOOKUP($C16,兵士关于时代的建筑和勋号加成!$A$38:$K$47,9,0)</f>
        <v>1</v>
      </c>
      <c r="Z16" s="60">
        <f t="shared" si="2"/>
        <v>256</v>
      </c>
      <c r="AA16" s="60">
        <f t="shared" si="3"/>
        <v>135.20000000000002</v>
      </c>
      <c r="AB16" s="60">
        <f t="shared" si="4"/>
        <v>0</v>
      </c>
      <c r="AC16" s="60">
        <f t="shared" si="5"/>
        <v>24</v>
      </c>
      <c r="AD16" s="69">
        <f t="shared" si="6"/>
        <v>332.8</v>
      </c>
      <c r="AE16" s="69">
        <f t="shared" si="7"/>
        <v>175.76000000000002</v>
      </c>
      <c r="AF16" s="69">
        <f t="shared" si="8"/>
        <v>0</v>
      </c>
      <c r="AG16" s="69">
        <f t="shared" si="9"/>
        <v>24</v>
      </c>
      <c r="AH16" s="23">
        <f t="shared" si="10"/>
        <v>186.04085572798252</v>
      </c>
      <c r="AI16" s="23">
        <f t="shared" si="11"/>
        <v>1.3760418323075627</v>
      </c>
      <c r="AJ16" s="23">
        <f t="shared" si="12"/>
        <v>18604.085572798253</v>
      </c>
      <c r="AK16" s="72">
        <f t="shared" si="13"/>
        <v>24185.311244637727</v>
      </c>
      <c r="AL16" s="20">
        <f>16</f>
        <v>16</v>
      </c>
      <c r="AM16" s="20">
        <f>2+VLOOKUP($C16,兵士关于时代的建筑和勋号加成!$A$38:$K$47,11,0)</f>
        <v>8</v>
      </c>
      <c r="AN16" s="39">
        <f t="shared" si="14"/>
        <v>446498.05374715803</v>
      </c>
      <c r="AO16" s="69">
        <f t="shared" si="15"/>
        <v>580447.46987130539</v>
      </c>
      <c r="AP16" s="56">
        <f t="shared" si="16"/>
        <v>36.72</v>
      </c>
      <c r="AQ16" s="20" t="s">
        <v>173</v>
      </c>
      <c r="AR16" s="20" t="s">
        <v>174</v>
      </c>
      <c r="AS16" s="20" t="s">
        <v>109</v>
      </c>
      <c r="AT16" s="20" t="s">
        <v>251</v>
      </c>
      <c r="AU16" s="20"/>
      <c r="AV16" s="20" t="s">
        <v>140</v>
      </c>
    </row>
    <row r="17" spans="1:48" ht="33">
      <c r="A17" s="20" t="s">
        <v>287</v>
      </c>
      <c r="B17" s="64" t="s">
        <v>309</v>
      </c>
      <c r="C17" s="20" t="s">
        <v>289</v>
      </c>
      <c r="D17" s="20">
        <v>63</v>
      </c>
      <c r="E17" s="20">
        <v>0.63</v>
      </c>
      <c r="F17" s="20">
        <v>1</v>
      </c>
      <c r="G17" s="20">
        <v>100</v>
      </c>
      <c r="H17" s="65">
        <v>30</v>
      </c>
      <c r="I17" s="20">
        <f>VLOOKUP($C17,兵士关于时代的建筑和勋号加成!$A$38:$K$47,2,0)</f>
        <v>4.8</v>
      </c>
      <c r="J17" s="67">
        <v>1.2</v>
      </c>
      <c r="K17" s="20">
        <f>VLOOKUP($C17,兵士关于时代的建筑和勋号加成!$A$38:$K$47,6,0)</f>
        <v>1.6</v>
      </c>
      <c r="L17" s="65">
        <v>30</v>
      </c>
      <c r="M17" s="20">
        <f>VLOOKUP($C17,兵士关于时代的建筑和勋号加成!$A$38:$K$47,3,0)</f>
        <v>3.3</v>
      </c>
      <c r="N17" s="67">
        <v>1.2</v>
      </c>
      <c r="O17" s="20">
        <f>VLOOKUP($C17,兵士关于时代的建筑和勋号加成!$A$38:$K$47,7,0)</f>
        <v>1.3</v>
      </c>
      <c r="P17" s="34">
        <f t="shared" si="0"/>
        <v>294.27184433334247</v>
      </c>
      <c r="Q17" s="34">
        <f t="shared" si="1"/>
        <v>29427.184433334245</v>
      </c>
      <c r="R17" s="65">
        <v>40</v>
      </c>
      <c r="S17" s="20">
        <f>VLOOKUP($C17,兵士关于时代的建筑和勋号加成!$A$38:$K$47,4,0)</f>
        <v>2.2000000000000002</v>
      </c>
      <c r="T17" s="67">
        <v>0</v>
      </c>
      <c r="U17" s="20">
        <f>VLOOKUP($C17,兵士关于时代的建筑和勋号加成!$A$38:$K$47,8,0)</f>
        <v>1</v>
      </c>
      <c r="V17" s="65">
        <v>40</v>
      </c>
      <c r="W17" s="20">
        <f>VLOOKUP($C17,兵士关于时代的建筑和勋号加成!$A$38:$K$47,5,0)</f>
        <v>2</v>
      </c>
      <c r="X17" s="67">
        <v>0</v>
      </c>
      <c r="Y17" s="20">
        <f>VLOOKUP($C17,兵士关于时代的建筑和勋号加成!$A$38:$K$47,9,0)</f>
        <v>1.5</v>
      </c>
      <c r="Z17" s="60">
        <f t="shared" si="2"/>
        <v>244.8</v>
      </c>
      <c r="AA17" s="60">
        <f t="shared" si="3"/>
        <v>140.39999999999998</v>
      </c>
      <c r="AB17" s="60">
        <f t="shared" si="4"/>
        <v>88</v>
      </c>
      <c r="AC17" s="60">
        <f t="shared" si="5"/>
        <v>120</v>
      </c>
      <c r="AD17" s="69">
        <f t="shared" si="6"/>
        <v>302.40000000000003</v>
      </c>
      <c r="AE17" s="69">
        <f t="shared" si="7"/>
        <v>187.20000000000002</v>
      </c>
      <c r="AF17" s="69">
        <f t="shared" si="8"/>
        <v>88</v>
      </c>
      <c r="AG17" s="69">
        <f t="shared" si="9"/>
        <v>120</v>
      </c>
      <c r="AH17" s="23">
        <f t="shared" si="10"/>
        <v>185.39126193000575</v>
      </c>
      <c r="AI17" s="23">
        <f t="shared" si="11"/>
        <v>1.3204505835470497</v>
      </c>
      <c r="AJ17" s="23">
        <f t="shared" si="12"/>
        <v>18539.126193000575</v>
      </c>
      <c r="AK17" s="72">
        <f t="shared" si="13"/>
        <v>23792.704764275964</v>
      </c>
      <c r="AL17" s="20">
        <f>16</f>
        <v>16</v>
      </c>
      <c r="AM17" s="20">
        <f>VLOOKUP($C17,兵士关于时代的建筑和勋号加成!$A$38:$K$47,11,0)</f>
        <v>8</v>
      </c>
      <c r="AN17" s="39">
        <f t="shared" si="14"/>
        <v>444939.02863201383</v>
      </c>
      <c r="AO17" s="69">
        <f t="shared" si="15"/>
        <v>571024.9143426232</v>
      </c>
      <c r="AP17" s="56">
        <f t="shared" si="16"/>
        <v>15.120000000000001</v>
      </c>
      <c r="AQ17" s="20" t="s">
        <v>134</v>
      </c>
      <c r="AR17" s="20" t="s">
        <v>135</v>
      </c>
      <c r="AS17" s="20" t="s">
        <v>136</v>
      </c>
      <c r="AT17" s="20" t="s">
        <v>137</v>
      </c>
      <c r="AU17" s="20"/>
      <c r="AV17" s="20" t="s">
        <v>194</v>
      </c>
    </row>
    <row r="18" spans="1:48" ht="16.5">
      <c r="A18" s="20" t="s">
        <v>200</v>
      </c>
      <c r="B18" s="54" t="s">
        <v>199</v>
      </c>
      <c r="C18" s="20" t="s">
        <v>110</v>
      </c>
      <c r="D18" s="20">
        <v>66</v>
      </c>
      <c r="E18" s="20">
        <v>0.72</v>
      </c>
      <c r="F18" s="20">
        <v>1</v>
      </c>
      <c r="G18" s="20">
        <v>100</v>
      </c>
      <c r="H18" s="65">
        <v>28</v>
      </c>
      <c r="I18" s="20">
        <f>VLOOKUP($C18,兵士关于时代的建筑和勋号加成!$A$38:$K$47,2,0)</f>
        <v>4.8</v>
      </c>
      <c r="J18" s="67">
        <v>0.9</v>
      </c>
      <c r="K18" s="20">
        <f>VLOOKUP($C18,兵士关于时代的建筑和勋号加成!$A$38:$K$47,6,0)</f>
        <v>2.2000000000000002</v>
      </c>
      <c r="L18" s="65">
        <v>10</v>
      </c>
      <c r="M18" s="20">
        <f>VLOOKUP($C18,兵士关于时代的建筑和勋号加成!$A$38:$K$47,3,0)</f>
        <v>3</v>
      </c>
      <c r="N18" s="67">
        <v>1.2</v>
      </c>
      <c r="O18" s="20">
        <f>VLOOKUP($C18,兵士关于时代的建筑和勋号加成!$A$38:$K$47,7,0)</f>
        <v>1.6</v>
      </c>
      <c r="P18" s="34">
        <f t="shared" si="0"/>
        <v>195.14097468240749</v>
      </c>
      <c r="Q18" s="34">
        <f t="shared" si="1"/>
        <v>17887.922679220686</v>
      </c>
      <c r="R18" s="65">
        <v>0</v>
      </c>
      <c r="S18" s="20">
        <f>VLOOKUP($C18,兵士关于时代的建筑和勋号加成!$A$38:$K$47,4,0)</f>
        <v>1</v>
      </c>
      <c r="T18" s="67">
        <v>0</v>
      </c>
      <c r="U18" s="20">
        <f>VLOOKUP($C18,兵士关于时代的建筑和勋号加成!$A$38:$K$47,8,0)</f>
        <v>1</v>
      </c>
      <c r="V18" s="65">
        <v>0</v>
      </c>
      <c r="W18" s="20">
        <f>VLOOKUP($C18,兵士关于时代的建筑和勋号加成!$A$38:$K$47,5,0)</f>
        <v>1</v>
      </c>
      <c r="X18" s="67">
        <v>0</v>
      </c>
      <c r="Y18" s="20">
        <f>VLOOKUP($C18,兵士关于时代的建筑和勋号加成!$A$38:$K$47,9,0)</f>
        <v>1</v>
      </c>
      <c r="Z18" s="60">
        <f t="shared" si="2"/>
        <v>314.15999999999997</v>
      </c>
      <c r="AA18" s="60">
        <f t="shared" si="3"/>
        <v>52.800000000000004</v>
      </c>
      <c r="AB18" s="60">
        <f t="shared" si="4"/>
        <v>0</v>
      </c>
      <c r="AC18" s="60">
        <f t="shared" si="5"/>
        <v>0</v>
      </c>
      <c r="AD18" s="69">
        <f t="shared" si="6"/>
        <v>369.6</v>
      </c>
      <c r="AE18" s="69">
        <f t="shared" si="7"/>
        <v>72</v>
      </c>
      <c r="AF18" s="69">
        <f t="shared" si="8"/>
        <v>0</v>
      </c>
      <c r="AG18" s="69">
        <f t="shared" si="9"/>
        <v>0</v>
      </c>
      <c r="AH18" s="23">
        <f t="shared" si="10"/>
        <v>128.79304329038894</v>
      </c>
      <c r="AI18" s="23">
        <f t="shared" si="11"/>
        <v>2.4392621835300936</v>
      </c>
      <c r="AJ18" s="23">
        <f t="shared" si="12"/>
        <v>12879.304329038894</v>
      </c>
      <c r="AK18" s="72">
        <f t="shared" si="13"/>
        <v>16312.939649247772</v>
      </c>
      <c r="AL18" s="20">
        <f>16</f>
        <v>16</v>
      </c>
      <c r="AM18" s="20">
        <f>2+VLOOKUP($C18,兵士关于时代的建筑和勋号加成!$A$38:$K$47,11,0)</f>
        <v>18</v>
      </c>
      <c r="AN18" s="39">
        <f t="shared" si="14"/>
        <v>437896.34718732239</v>
      </c>
      <c r="AO18" s="69">
        <f t="shared" si="15"/>
        <v>554639.94807442429</v>
      </c>
      <c r="AP18" s="56">
        <f t="shared" si="16"/>
        <v>24.48</v>
      </c>
      <c r="AQ18" s="20" t="s">
        <v>177</v>
      </c>
      <c r="AR18" s="20" t="s">
        <v>123</v>
      </c>
      <c r="AS18" s="20" t="s">
        <v>109</v>
      </c>
      <c r="AT18" s="20" t="s">
        <v>254</v>
      </c>
      <c r="AU18" s="20"/>
      <c r="AV18" s="20" t="s">
        <v>195</v>
      </c>
    </row>
    <row r="19" spans="1:48" ht="16.5" hidden="1">
      <c r="A19" s="20" t="s">
        <v>200</v>
      </c>
      <c r="B19" s="54" t="s">
        <v>159</v>
      </c>
      <c r="C19" s="20" t="s">
        <v>115</v>
      </c>
      <c r="D19" s="20">
        <v>112.5</v>
      </c>
      <c r="E19" s="20">
        <v>1.35</v>
      </c>
      <c r="F19" s="20">
        <v>1</v>
      </c>
      <c r="G19" s="20">
        <v>100</v>
      </c>
      <c r="H19" s="65">
        <v>36</v>
      </c>
      <c r="I19" s="20">
        <f>VLOOKUP($C19,兵士关于时代的建筑和勋号加成!$A$38:$K$47,2,0)</f>
        <v>4</v>
      </c>
      <c r="J19" s="67">
        <v>1.2</v>
      </c>
      <c r="K19" s="20">
        <f>VLOOKUP($C19,兵士关于时代的建筑和勋号加成!$A$38:$K$47,6,0)</f>
        <v>1.5</v>
      </c>
      <c r="L19" s="65">
        <v>28</v>
      </c>
      <c r="M19" s="20">
        <f>VLOOKUP($C19,兵士关于时代的建筑和勋号加成!$A$38:$K$47,3,0)</f>
        <v>3.05</v>
      </c>
      <c r="N19" s="67">
        <v>1.2</v>
      </c>
      <c r="O19" s="20">
        <f>VLOOKUP($C19,兵士关于时代的建筑和勋号加成!$A$38:$K$47,7,0)</f>
        <v>1.6</v>
      </c>
      <c r="P19" s="34">
        <f t="shared" si="0"/>
        <v>165.93576267138238</v>
      </c>
      <c r="Q19" s="34">
        <f t="shared" si="1"/>
        <v>13827.980222615197</v>
      </c>
      <c r="R19" s="65">
        <v>0</v>
      </c>
      <c r="S19" s="20">
        <f>VLOOKUP($C19,兵士关于时代的建筑和勋号加成!$A$38:$K$47,4,0)</f>
        <v>1</v>
      </c>
      <c r="T19" s="67">
        <v>0</v>
      </c>
      <c r="U19" s="20">
        <f>VLOOKUP($C19,兵士关于时代的建筑和勋号加成!$A$38:$K$47,8,0)</f>
        <v>1</v>
      </c>
      <c r="V19" s="65">
        <v>0</v>
      </c>
      <c r="W19" s="20">
        <f>VLOOKUP($C19,兵士关于时代的建筑和勋号加成!$A$38:$K$47,5,0)</f>
        <v>1</v>
      </c>
      <c r="X19" s="67">
        <v>0</v>
      </c>
      <c r="Y19" s="20">
        <f>VLOOKUP($C19,兵士关于时代的建筑和勋号加成!$A$38:$K$47,9,0)</f>
        <v>1</v>
      </c>
      <c r="Z19" s="60">
        <f t="shared" si="2"/>
        <v>232.2</v>
      </c>
      <c r="AA19" s="60">
        <f t="shared" si="3"/>
        <v>150.07999999999998</v>
      </c>
      <c r="AB19" s="60">
        <f t="shared" si="4"/>
        <v>0</v>
      </c>
      <c r="AC19" s="60">
        <f t="shared" si="5"/>
        <v>0</v>
      </c>
      <c r="AD19" s="69">
        <f t="shared" si="6"/>
        <v>297</v>
      </c>
      <c r="AE19" s="69">
        <f t="shared" si="7"/>
        <v>203.84</v>
      </c>
      <c r="AF19" s="69">
        <f t="shared" si="8"/>
        <v>0</v>
      </c>
      <c r="AG19" s="69">
        <f t="shared" si="9"/>
        <v>0</v>
      </c>
      <c r="AH19" s="23">
        <f t="shared" si="10"/>
        <v>186.67773300530516</v>
      </c>
      <c r="AI19" s="23">
        <f t="shared" si="11"/>
        <v>1.2438548307922785</v>
      </c>
      <c r="AJ19" s="23">
        <f t="shared" si="12"/>
        <v>18667.773300530516</v>
      </c>
      <c r="AK19" s="72">
        <f t="shared" si="13"/>
        <v>24604.975106673042</v>
      </c>
      <c r="AL19" s="20">
        <f>16</f>
        <v>16</v>
      </c>
      <c r="AM19" s="20">
        <f>VLOOKUP($C19,兵士关于时代的建筑和勋号加成!$A$38:$K$47,11,0)</f>
        <v>6</v>
      </c>
      <c r="AN19" s="39">
        <f t="shared" si="14"/>
        <v>410691.01261167135</v>
      </c>
      <c r="AO19" s="69">
        <f t="shared" si="15"/>
        <v>541309.45234680688</v>
      </c>
      <c r="AP19" s="56">
        <f t="shared" si="16"/>
        <v>29.700000000000003</v>
      </c>
      <c r="AQ19" s="20" t="s">
        <v>183</v>
      </c>
      <c r="AR19" s="20" t="s">
        <v>184</v>
      </c>
      <c r="AS19" s="20" t="s">
        <v>109</v>
      </c>
      <c r="AT19" s="20" t="s">
        <v>261</v>
      </c>
      <c r="AU19" s="20"/>
      <c r="AV19" s="20" t="s">
        <v>298</v>
      </c>
    </row>
    <row r="20" spans="1:48">
      <c r="A20" s="20" t="s">
        <v>200</v>
      </c>
      <c r="B20" s="54" t="s">
        <v>144</v>
      </c>
      <c r="C20" s="20" t="s">
        <v>107</v>
      </c>
      <c r="D20" s="20">
        <v>117</v>
      </c>
      <c r="E20" s="20">
        <v>1.56</v>
      </c>
      <c r="F20" s="20">
        <v>1</v>
      </c>
      <c r="G20" s="20">
        <v>100</v>
      </c>
      <c r="H20" s="65">
        <v>40</v>
      </c>
      <c r="I20" s="20">
        <f>VLOOKUP($C20,兵士关于时代的建筑和勋号加成!$A$38:$K$47,2,0)</f>
        <v>3.7</v>
      </c>
      <c r="J20" s="67">
        <v>1.2</v>
      </c>
      <c r="K20" s="20">
        <f>VLOOKUP($C20,兵士关于时代的建筑和勋号加成!$A$38:$K$47,6,0)</f>
        <v>1.6</v>
      </c>
      <c r="L20" s="65">
        <v>30</v>
      </c>
      <c r="M20" s="20">
        <f>VLOOKUP($C20,兵士关于时代的建筑和勋号加成!$A$38:$K$47,3,0)</f>
        <v>3.1</v>
      </c>
      <c r="N20" s="67">
        <v>1.2</v>
      </c>
      <c r="O20" s="20">
        <f>VLOOKUP($C20,兵士关于时代的建筑和勋号加成!$A$38:$K$47,7,0)</f>
        <v>1.3</v>
      </c>
      <c r="P20" s="34">
        <f t="shared" si="0"/>
        <v>157.47292083949162</v>
      </c>
      <c r="Q20" s="34">
        <f t="shared" si="1"/>
        <v>11810.469062961871</v>
      </c>
      <c r="R20" s="65">
        <v>0</v>
      </c>
      <c r="S20" s="20">
        <f>VLOOKUP($C20,兵士关于时代的建筑和勋号加成!$A$38:$K$47,4,0)</f>
        <v>1</v>
      </c>
      <c r="T20" s="67">
        <v>0</v>
      </c>
      <c r="U20" s="20">
        <f>VLOOKUP($C20,兵士关于时代的建筑和勋号加成!$A$38:$K$47,8,0)</f>
        <v>1</v>
      </c>
      <c r="V20" s="65">
        <v>30</v>
      </c>
      <c r="W20" s="20">
        <f>VLOOKUP($C20,兵士关于时代的建筑和勋号加成!$A$38:$K$47,5,0)</f>
        <v>1</v>
      </c>
      <c r="X20" s="67">
        <v>0</v>
      </c>
      <c r="Y20" s="20">
        <f>VLOOKUP($C20,兵士关于时代的建筑和勋号加成!$A$38:$K$47,9,0)</f>
        <v>1</v>
      </c>
      <c r="Z20" s="60">
        <f t="shared" si="2"/>
        <v>256</v>
      </c>
      <c r="AA20" s="60">
        <f t="shared" si="3"/>
        <v>132.6</v>
      </c>
      <c r="AB20" s="60">
        <f t="shared" si="4"/>
        <v>0</v>
      </c>
      <c r="AC20" s="60">
        <f t="shared" si="5"/>
        <v>30</v>
      </c>
      <c r="AD20" s="69">
        <f t="shared" si="6"/>
        <v>332.8</v>
      </c>
      <c r="AE20" s="69">
        <f t="shared" si="7"/>
        <v>179.4</v>
      </c>
      <c r="AF20" s="69">
        <f t="shared" si="8"/>
        <v>0</v>
      </c>
      <c r="AG20" s="69">
        <f t="shared" si="9"/>
        <v>30</v>
      </c>
      <c r="AH20" s="23">
        <f t="shared" si="10"/>
        <v>184.24331738220519</v>
      </c>
      <c r="AI20" s="23">
        <f t="shared" si="11"/>
        <v>1.3894669485837496</v>
      </c>
      <c r="AJ20" s="23">
        <f t="shared" si="12"/>
        <v>18424.33173822052</v>
      </c>
      <c r="AK20" s="72">
        <f t="shared" si="13"/>
        <v>24434.467458899122</v>
      </c>
      <c r="AL20" s="20">
        <f>16</f>
        <v>16</v>
      </c>
      <c r="AM20" s="20">
        <f>VLOOKUP($C20,兵士关于时代的建筑和勋号加成!$A$38:$K$47,11,0)</f>
        <v>6</v>
      </c>
      <c r="AN20" s="39">
        <f t="shared" si="14"/>
        <v>405335.29824085144</v>
      </c>
      <c r="AO20" s="69">
        <f t="shared" si="15"/>
        <v>537558.28409578069</v>
      </c>
      <c r="AP20" s="56">
        <f t="shared" si="16"/>
        <v>34.32</v>
      </c>
      <c r="AQ20" s="20" t="s">
        <v>115</v>
      </c>
      <c r="AR20" s="20" t="s">
        <v>109</v>
      </c>
      <c r="AS20" s="20" t="s">
        <v>109</v>
      </c>
      <c r="AT20" s="20" t="s">
        <v>245</v>
      </c>
      <c r="AU20" s="20"/>
      <c r="AV20" s="20" t="s">
        <v>140</v>
      </c>
    </row>
    <row r="21" spans="1:48" ht="16.5">
      <c r="A21" s="20" t="s">
        <v>200</v>
      </c>
      <c r="B21" s="54" t="s">
        <v>312</v>
      </c>
      <c r="C21" s="20" t="s">
        <v>115</v>
      </c>
      <c r="D21" s="20">
        <v>97.5</v>
      </c>
      <c r="E21" s="20">
        <v>1.17</v>
      </c>
      <c r="F21" s="20">
        <v>1</v>
      </c>
      <c r="G21" s="20">
        <v>100</v>
      </c>
      <c r="H21" s="65">
        <v>40</v>
      </c>
      <c r="I21" s="20">
        <f>VLOOKUP($C21,兵士关于时代的建筑和勋号加成!$A$38:$K$47,2,0)</f>
        <v>4</v>
      </c>
      <c r="J21" s="67">
        <v>1.2</v>
      </c>
      <c r="K21" s="20">
        <f>VLOOKUP($C21,兵士关于时代的建筑和勋号加成!$A$38:$K$47,6,0)</f>
        <v>1.5</v>
      </c>
      <c r="L21" s="65">
        <v>24</v>
      </c>
      <c r="M21" s="20">
        <f>VLOOKUP($C21,兵士关于时代的建筑和勋号加成!$A$38:$K$47,3,0)</f>
        <v>3.05</v>
      </c>
      <c r="N21" s="67">
        <v>1.2</v>
      </c>
      <c r="O21" s="20">
        <f>VLOOKUP($C21,兵士关于时代的建筑和勋号加成!$A$38:$K$47,7,0)</f>
        <v>1.6</v>
      </c>
      <c r="P21" s="34">
        <f t="shared" si="0"/>
        <v>186.85006487973752</v>
      </c>
      <c r="Q21" s="34">
        <f t="shared" si="1"/>
        <v>15570.838739978128</v>
      </c>
      <c r="R21" s="65">
        <v>0</v>
      </c>
      <c r="S21" s="20">
        <f>VLOOKUP($C21,兵士关于时代的建筑和勋号加成!$A$38:$K$47,4,0)</f>
        <v>1</v>
      </c>
      <c r="T21" s="67">
        <v>0</v>
      </c>
      <c r="U21" s="20">
        <f>VLOOKUP($C21,兵士关于时代的建筑和勋号加成!$A$38:$K$47,8,0)</f>
        <v>1</v>
      </c>
      <c r="V21" s="65">
        <v>0</v>
      </c>
      <c r="W21" s="20">
        <f>VLOOKUP($C21,兵士关于时代的建筑和勋号加成!$A$38:$K$47,5,0)</f>
        <v>1</v>
      </c>
      <c r="X21" s="67">
        <v>0</v>
      </c>
      <c r="Y21" s="20">
        <f>VLOOKUP($C21,兵士关于时代的建筑和勋号加成!$A$38:$K$47,9,0)</f>
        <v>1</v>
      </c>
      <c r="Z21" s="60">
        <f t="shared" si="2"/>
        <v>258</v>
      </c>
      <c r="AA21" s="60">
        <f t="shared" si="3"/>
        <v>128.63999999999999</v>
      </c>
      <c r="AB21" s="60">
        <f t="shared" si="4"/>
        <v>0</v>
      </c>
      <c r="AC21" s="60">
        <f t="shared" si="5"/>
        <v>0</v>
      </c>
      <c r="AD21" s="69">
        <f t="shared" si="6"/>
        <v>330</v>
      </c>
      <c r="AE21" s="69">
        <f t="shared" si="7"/>
        <v>174.72</v>
      </c>
      <c r="AF21" s="69">
        <f t="shared" si="8"/>
        <v>0</v>
      </c>
      <c r="AG21" s="69">
        <f t="shared" si="9"/>
        <v>0</v>
      </c>
      <c r="AH21" s="23">
        <f t="shared" si="10"/>
        <v>182.17881325774408</v>
      </c>
      <c r="AI21" s="23">
        <f t="shared" si="11"/>
        <v>1.4161910234588317</v>
      </c>
      <c r="AJ21" s="23">
        <f t="shared" si="12"/>
        <v>18217.881325774408</v>
      </c>
      <c r="AK21" s="72">
        <f t="shared" si="13"/>
        <v>24011.997001499061</v>
      </c>
      <c r="AL21" s="20">
        <f>16</f>
        <v>16</v>
      </c>
      <c r="AM21" s="20">
        <f>VLOOKUP($C21,兵士关于时代的建筑和勋号加成!$A$38:$K$47,11,0)</f>
        <v>6</v>
      </c>
      <c r="AN21" s="39">
        <f t="shared" si="14"/>
        <v>400793.38916703698</v>
      </c>
      <c r="AO21" s="69">
        <f t="shared" si="15"/>
        <v>528263.9340329793</v>
      </c>
      <c r="AP21" s="56">
        <f t="shared" si="16"/>
        <v>25.74</v>
      </c>
      <c r="AQ21" s="20" t="s">
        <v>95</v>
      </c>
      <c r="AR21" s="20" t="s">
        <v>116</v>
      </c>
      <c r="AS21" s="20" t="s">
        <v>109</v>
      </c>
      <c r="AT21" s="20" t="s">
        <v>259</v>
      </c>
      <c r="AU21" s="20"/>
      <c r="AV21" s="20" t="s">
        <v>315</v>
      </c>
    </row>
    <row r="22" spans="1:48">
      <c r="A22" s="20" t="s">
        <v>200</v>
      </c>
      <c r="B22" s="54" t="s">
        <v>311</v>
      </c>
      <c r="C22" s="20" t="s">
        <v>107</v>
      </c>
      <c r="D22" s="20">
        <v>108</v>
      </c>
      <c r="E22" s="20">
        <v>1.44</v>
      </c>
      <c r="F22" s="20">
        <v>1</v>
      </c>
      <c r="G22" s="20">
        <v>100</v>
      </c>
      <c r="H22" s="65">
        <v>45</v>
      </c>
      <c r="I22" s="20">
        <f>VLOOKUP($C22,兵士关于时代的建筑和勋号加成!$A$38:$K$47,2,0)</f>
        <v>3.7</v>
      </c>
      <c r="J22" s="67">
        <v>1.2</v>
      </c>
      <c r="K22" s="20">
        <f>VLOOKUP($C22,兵士关于时代的建筑和勋号加成!$A$38:$K$47,6,0)</f>
        <v>1.6</v>
      </c>
      <c r="L22" s="65">
        <v>25</v>
      </c>
      <c r="M22" s="20">
        <f>VLOOKUP($C22,兵士关于时代的建筑和勋号加成!$A$38:$K$47,3,0)</f>
        <v>3.1</v>
      </c>
      <c r="N22" s="67">
        <v>1.2</v>
      </c>
      <c r="O22" s="20">
        <f>VLOOKUP($C22,兵士关于时代的建筑和勋号加成!$A$38:$K$47,7,0)</f>
        <v>1.3</v>
      </c>
      <c r="P22" s="34">
        <f t="shared" si="0"/>
        <v>165.17854163687227</v>
      </c>
      <c r="Q22" s="34">
        <f t="shared" si="1"/>
        <v>12388.390622765421</v>
      </c>
      <c r="R22" s="65">
        <v>0</v>
      </c>
      <c r="S22" s="20">
        <f>VLOOKUP($C22,兵士关于时代的建筑和勋号加成!$A$38:$K$47,4,0)</f>
        <v>1</v>
      </c>
      <c r="T22" s="67">
        <v>0</v>
      </c>
      <c r="U22" s="20">
        <f>VLOOKUP($C22,兵士关于时代的建筑和勋号加成!$A$38:$K$47,8,0)</f>
        <v>1</v>
      </c>
      <c r="V22" s="65">
        <v>0</v>
      </c>
      <c r="W22" s="20">
        <f>VLOOKUP($C22,兵士关于时代的建筑和勋号加成!$A$38:$K$47,5,0)</f>
        <v>1</v>
      </c>
      <c r="X22" s="67">
        <v>0</v>
      </c>
      <c r="Y22" s="20">
        <f>VLOOKUP($C22,兵士关于时代的建筑和勋号加成!$A$38:$K$47,9,0)</f>
        <v>1</v>
      </c>
      <c r="Z22" s="60">
        <f t="shared" si="2"/>
        <v>288</v>
      </c>
      <c r="AA22" s="60">
        <f t="shared" si="3"/>
        <v>110.5</v>
      </c>
      <c r="AB22" s="60">
        <f t="shared" si="4"/>
        <v>0</v>
      </c>
      <c r="AC22" s="60">
        <f t="shared" si="5"/>
        <v>0</v>
      </c>
      <c r="AD22" s="69">
        <f t="shared" si="6"/>
        <v>374.40000000000003</v>
      </c>
      <c r="AE22" s="69">
        <f t="shared" si="7"/>
        <v>149.5</v>
      </c>
      <c r="AF22" s="69">
        <f t="shared" si="8"/>
        <v>0</v>
      </c>
      <c r="AG22" s="69">
        <f t="shared" si="9"/>
        <v>0</v>
      </c>
      <c r="AH22" s="23">
        <f t="shared" si="10"/>
        <v>178.39282496782207</v>
      </c>
      <c r="AI22" s="23">
        <f t="shared" si="11"/>
        <v>1.61441470559115</v>
      </c>
      <c r="AJ22" s="23">
        <f t="shared" si="12"/>
        <v>17839.282496782205</v>
      </c>
      <c r="AK22" s="72">
        <f t="shared" si="13"/>
        <v>23658.571385440839</v>
      </c>
      <c r="AL22" s="20">
        <f>16</f>
        <v>16</v>
      </c>
      <c r="AM22" s="20">
        <f>VLOOKUP($C22,兵士关于时代的建筑和勋号加成!$A$38:$K$47,11,0)</f>
        <v>6</v>
      </c>
      <c r="AN22" s="39">
        <f t="shared" si="14"/>
        <v>392464.21492920851</v>
      </c>
      <c r="AO22" s="69">
        <f t="shared" si="15"/>
        <v>520488.57047969848</v>
      </c>
      <c r="AP22" s="56">
        <f t="shared" si="16"/>
        <v>31.68</v>
      </c>
      <c r="AQ22" s="20" t="s">
        <v>179</v>
      </c>
      <c r="AR22" s="20" t="s">
        <v>109</v>
      </c>
      <c r="AS22" s="20" t="s">
        <v>109</v>
      </c>
      <c r="AT22" s="20" t="s">
        <v>257</v>
      </c>
      <c r="AU22" s="20"/>
      <c r="AV22" s="20" t="s">
        <v>140</v>
      </c>
    </row>
    <row r="23" spans="1:48" ht="16.5">
      <c r="A23" s="20" t="s">
        <v>127</v>
      </c>
      <c r="B23" s="54" t="s">
        <v>110</v>
      </c>
      <c r="C23" s="20" t="s">
        <v>110</v>
      </c>
      <c r="D23" s="20">
        <v>55</v>
      </c>
      <c r="E23" s="20">
        <v>0.6</v>
      </c>
      <c r="F23" s="20">
        <v>1</v>
      </c>
      <c r="G23" s="20">
        <v>100</v>
      </c>
      <c r="H23" s="65">
        <v>25</v>
      </c>
      <c r="I23" s="20">
        <f>VLOOKUP($C23,兵士关于时代的建筑和勋号加成!$A$38:$K$47,2,0)</f>
        <v>4.8</v>
      </c>
      <c r="J23" s="67">
        <v>0.9</v>
      </c>
      <c r="K23" s="20">
        <f>VLOOKUP($C23,兵士关于时代的建筑和勋号加成!$A$38:$K$47,6,0)</f>
        <v>2.2000000000000002</v>
      </c>
      <c r="L23" s="65">
        <v>10</v>
      </c>
      <c r="M23" s="20">
        <f>VLOOKUP($C23,兵士关于时代的建筑和勋号加成!$A$38:$K$47,3,0)</f>
        <v>3</v>
      </c>
      <c r="N23" s="67">
        <v>1.2</v>
      </c>
      <c r="O23" s="20">
        <f>VLOOKUP($C23,兵士关于时代的建筑和勋号加成!$A$38:$K$47,7,0)</f>
        <v>1.6</v>
      </c>
      <c r="P23" s="34">
        <f t="shared" si="0"/>
        <v>221.26906697502932</v>
      </c>
      <c r="Q23" s="34">
        <f t="shared" si="1"/>
        <v>20282.997806044354</v>
      </c>
      <c r="R23" s="65">
        <v>0</v>
      </c>
      <c r="S23" s="20">
        <f>VLOOKUP($C23,兵士关于时代的建筑和勋号加成!$A$38:$K$47,4,0)</f>
        <v>1</v>
      </c>
      <c r="T23" s="67">
        <v>0</v>
      </c>
      <c r="U23" s="20">
        <f>VLOOKUP($C23,兵士关于时代的建筑和勋号加成!$A$38:$K$47,8,0)</f>
        <v>1</v>
      </c>
      <c r="V23" s="65">
        <v>0</v>
      </c>
      <c r="W23" s="20">
        <f>VLOOKUP($C23,兵士关于时代的建筑和勋号加成!$A$38:$K$47,5,0)</f>
        <v>1</v>
      </c>
      <c r="X23" s="67">
        <v>0</v>
      </c>
      <c r="Y23" s="20">
        <f>VLOOKUP($C23,兵士关于时代的建筑和勋号加成!$A$38:$K$47,9,0)</f>
        <v>1</v>
      </c>
      <c r="Z23" s="60">
        <f t="shared" si="2"/>
        <v>280.5</v>
      </c>
      <c r="AA23" s="60">
        <f t="shared" si="3"/>
        <v>52.800000000000004</v>
      </c>
      <c r="AB23" s="60">
        <f t="shared" si="4"/>
        <v>0</v>
      </c>
      <c r="AC23" s="60">
        <f t="shared" si="5"/>
        <v>0</v>
      </c>
      <c r="AD23" s="69">
        <f t="shared" si="6"/>
        <v>330</v>
      </c>
      <c r="AE23" s="69">
        <f t="shared" si="7"/>
        <v>72</v>
      </c>
      <c r="AF23" s="69">
        <f t="shared" si="8"/>
        <v>0</v>
      </c>
      <c r="AG23" s="69">
        <f t="shared" si="9"/>
        <v>0</v>
      </c>
      <c r="AH23" s="23">
        <f t="shared" si="10"/>
        <v>121.69798683626613</v>
      </c>
      <c r="AI23" s="23">
        <f t="shared" si="11"/>
        <v>2.3048861143232218</v>
      </c>
      <c r="AJ23" s="23">
        <f t="shared" si="12"/>
        <v>12169.798683626612</v>
      </c>
      <c r="AK23" s="72">
        <f t="shared" si="13"/>
        <v>15414.279094398154</v>
      </c>
      <c r="AL23" s="20">
        <f>16</f>
        <v>16</v>
      </c>
      <c r="AM23" s="20">
        <f>VLOOKUP($C23,兵士关于时代的建筑和勋号加成!$A$38:$K$47,11,0)</f>
        <v>16</v>
      </c>
      <c r="AN23" s="39">
        <f t="shared" si="14"/>
        <v>389433.55787605158</v>
      </c>
      <c r="AO23" s="69">
        <f t="shared" si="15"/>
        <v>493256.93102074094</v>
      </c>
      <c r="AP23" s="56">
        <f t="shared" si="16"/>
        <v>19.2</v>
      </c>
      <c r="AQ23" s="20" t="s">
        <v>106</v>
      </c>
      <c r="AR23" s="20" t="s">
        <v>111</v>
      </c>
      <c r="AS23" s="20" t="s">
        <v>109</v>
      </c>
      <c r="AT23" s="20" t="s">
        <v>109</v>
      </c>
      <c r="AU23" s="20"/>
      <c r="AV23" s="20" t="s">
        <v>194</v>
      </c>
    </row>
    <row r="24" spans="1:48" ht="16.5">
      <c r="A24" s="20" t="s">
        <v>200</v>
      </c>
      <c r="B24" s="54" t="s">
        <v>313</v>
      </c>
      <c r="C24" s="20" t="s">
        <v>107</v>
      </c>
      <c r="D24" s="20">
        <v>108</v>
      </c>
      <c r="E24" s="20">
        <v>1.44</v>
      </c>
      <c r="F24" s="20">
        <v>1</v>
      </c>
      <c r="G24" s="20">
        <v>100</v>
      </c>
      <c r="H24" s="65">
        <v>40</v>
      </c>
      <c r="I24" s="20">
        <f>VLOOKUP($C24,兵士关于时代的建筑和勋号加成!$A$38:$K$47,2,0)</f>
        <v>3.7</v>
      </c>
      <c r="J24" s="67">
        <v>1.2</v>
      </c>
      <c r="K24" s="20">
        <f>VLOOKUP($C24,兵士关于时代的建筑和勋号加成!$A$38:$K$47,6,0)</f>
        <v>1.6</v>
      </c>
      <c r="L24" s="65">
        <v>26</v>
      </c>
      <c r="M24" s="20">
        <f>VLOOKUP($C24,兵士关于时代的建筑和勋号加成!$A$38:$K$47,3,0)</f>
        <v>3.1</v>
      </c>
      <c r="N24" s="67">
        <v>1.2</v>
      </c>
      <c r="O24" s="20">
        <f>VLOOKUP($C24,兵士关于时代的建筑和勋号加成!$A$38:$K$47,7,0)</f>
        <v>1.3</v>
      </c>
      <c r="P24" s="34">
        <f t="shared" si="0"/>
        <v>158.81592039416174</v>
      </c>
      <c r="Q24" s="34">
        <f t="shared" si="1"/>
        <v>11911.194029562132</v>
      </c>
      <c r="R24" s="65">
        <v>0</v>
      </c>
      <c r="S24" s="20">
        <f>VLOOKUP($C24,兵士关于时代的建筑和勋号加成!$A$38:$K$47,4,0)</f>
        <v>1</v>
      </c>
      <c r="T24" s="67">
        <v>0</v>
      </c>
      <c r="U24" s="20">
        <f>VLOOKUP($C24,兵士关于时代的建筑和勋号加成!$A$38:$K$47,8,0)</f>
        <v>1</v>
      </c>
      <c r="V24" s="65">
        <v>0</v>
      </c>
      <c r="W24" s="20">
        <f>VLOOKUP($C24,兵士关于时代的建筑和勋号加成!$A$38:$K$47,5,0)</f>
        <v>1</v>
      </c>
      <c r="X24" s="67">
        <v>0</v>
      </c>
      <c r="Y24" s="20">
        <f>VLOOKUP($C24,兵士关于时代的建筑和勋号加成!$A$38:$K$47,9,0)</f>
        <v>1</v>
      </c>
      <c r="Z24" s="60">
        <f t="shared" si="2"/>
        <v>256</v>
      </c>
      <c r="AA24" s="60">
        <f t="shared" si="3"/>
        <v>114.91999999999999</v>
      </c>
      <c r="AB24" s="60">
        <f t="shared" si="4"/>
        <v>0</v>
      </c>
      <c r="AC24" s="60">
        <f t="shared" si="5"/>
        <v>0</v>
      </c>
      <c r="AD24" s="69">
        <f t="shared" si="6"/>
        <v>332.8</v>
      </c>
      <c r="AE24" s="69">
        <f t="shared" si="7"/>
        <v>155.47999999999999</v>
      </c>
      <c r="AF24" s="69">
        <f t="shared" si="8"/>
        <v>0</v>
      </c>
      <c r="AG24" s="69">
        <f t="shared" si="9"/>
        <v>0</v>
      </c>
      <c r="AH24" s="23">
        <f t="shared" si="10"/>
        <v>171.52119402569468</v>
      </c>
      <c r="AI24" s="23">
        <f t="shared" si="11"/>
        <v>1.4925269233005107</v>
      </c>
      <c r="AJ24" s="23">
        <f t="shared" si="12"/>
        <v>17152.119402569468</v>
      </c>
      <c r="AK24" s="72">
        <f t="shared" si="13"/>
        <v>22747.251262515216</v>
      </c>
      <c r="AL24" s="20">
        <f>16</f>
        <v>16</v>
      </c>
      <c r="AM24" s="20">
        <f>VLOOKUP($C24,兵士关于时代的建筑和勋号加成!$A$38:$K$47,11,0)</f>
        <v>6</v>
      </c>
      <c r="AN24" s="39">
        <f t="shared" si="14"/>
        <v>377346.62685652828</v>
      </c>
      <c r="AO24" s="69">
        <f t="shared" si="15"/>
        <v>500439.52777533478</v>
      </c>
      <c r="AP24" s="56">
        <f t="shared" si="16"/>
        <v>31.68</v>
      </c>
      <c r="AQ24" s="20" t="s">
        <v>115</v>
      </c>
      <c r="AR24" s="20" t="s">
        <v>178</v>
      </c>
      <c r="AS24" s="20" t="s">
        <v>109</v>
      </c>
      <c r="AT24" s="20" t="s">
        <v>256</v>
      </c>
      <c r="AU24" s="20"/>
      <c r="AV24" s="20" t="s">
        <v>140</v>
      </c>
    </row>
    <row r="25" spans="1:48" ht="24.75">
      <c r="A25" s="20" t="s">
        <v>127</v>
      </c>
      <c r="B25" s="54" t="s">
        <v>118</v>
      </c>
      <c r="C25" s="20" t="s">
        <v>119</v>
      </c>
      <c r="D25" s="20">
        <v>200</v>
      </c>
      <c r="E25" s="20">
        <v>2.1</v>
      </c>
      <c r="F25" s="20">
        <v>1</v>
      </c>
      <c r="G25" s="20">
        <v>50</v>
      </c>
      <c r="H25" s="65">
        <v>100</v>
      </c>
      <c r="I25" s="20">
        <f>VLOOKUP($C25,兵士关于时代的建筑和勋号加成!$A$38:$K$47,2,0)</f>
        <v>4</v>
      </c>
      <c r="J25" s="67">
        <v>1.2</v>
      </c>
      <c r="K25" s="20">
        <f>VLOOKUP($C25,兵士关于时代的建筑和勋号加成!$A$38:$K$47,6,0)</f>
        <v>1.6</v>
      </c>
      <c r="L25" s="65">
        <v>35</v>
      </c>
      <c r="M25" s="20">
        <f>VLOOKUP($C25,兵士关于时代的建筑和勋号加成!$A$38:$K$47,3,0)</f>
        <v>3.4</v>
      </c>
      <c r="N25" s="67">
        <v>1.2</v>
      </c>
      <c r="O25" s="20">
        <f>VLOOKUP($C25,兵士关于时代的建筑和勋号加成!$A$38:$K$47,7,0)</f>
        <v>1.3</v>
      </c>
      <c r="P25" s="34">
        <f t="shared" si="0"/>
        <v>85.082606918218019</v>
      </c>
      <c r="Q25" s="34">
        <f t="shared" si="1"/>
        <v>8103.1054207826692</v>
      </c>
      <c r="R25" s="65">
        <v>20</v>
      </c>
      <c r="S25" s="20">
        <f>VLOOKUP($C25,兵士关于时代的建筑和勋号加成!$A$38:$K$47,4,0)</f>
        <v>1.2</v>
      </c>
      <c r="T25" s="67">
        <v>0</v>
      </c>
      <c r="U25" s="20">
        <f>VLOOKUP($C25,兵士关于时代的建筑和勋号加成!$A$38:$K$47,8,0)</f>
        <v>1</v>
      </c>
      <c r="V25" s="65">
        <v>0</v>
      </c>
      <c r="W25" s="20">
        <f>VLOOKUP($C25,兵士关于时代的建筑和勋号加成!$A$38:$K$47,5,0)</f>
        <v>1.2</v>
      </c>
      <c r="X25" s="67">
        <v>0</v>
      </c>
      <c r="Y25" s="20">
        <f>VLOOKUP($C25,兵士关于时代的建筑和勋号加成!$A$38:$K$47,9,0)</f>
        <v>1</v>
      </c>
      <c r="Z25" s="60">
        <f t="shared" si="2"/>
        <v>688</v>
      </c>
      <c r="AA25" s="60">
        <f t="shared" si="3"/>
        <v>168.35</v>
      </c>
      <c r="AB25" s="60">
        <f t="shared" si="4"/>
        <v>24</v>
      </c>
      <c r="AC25" s="60">
        <f t="shared" si="5"/>
        <v>0</v>
      </c>
      <c r="AD25" s="69">
        <f t="shared" si="6"/>
        <v>880</v>
      </c>
      <c r="AE25" s="69">
        <f t="shared" si="7"/>
        <v>222.94999999999996</v>
      </c>
      <c r="AF25" s="69">
        <f t="shared" si="8"/>
        <v>24</v>
      </c>
      <c r="AG25" s="69">
        <f t="shared" si="9"/>
        <v>0</v>
      </c>
      <c r="AH25" s="23">
        <f t="shared" si="10"/>
        <v>340.33042767287208</v>
      </c>
      <c r="AI25" s="23">
        <f t="shared" si="11"/>
        <v>2.0215647619416219</v>
      </c>
      <c r="AJ25" s="23">
        <f t="shared" si="12"/>
        <v>17016.521383643605</v>
      </c>
      <c r="AK25" s="72">
        <f t="shared" si="13"/>
        <v>22147.008827378922</v>
      </c>
      <c r="AL25" s="20">
        <f>16</f>
        <v>16</v>
      </c>
      <c r="AM25" s="20">
        <f>VLOOKUP($C25,兵士关于时代的建筑和勋号加成!$A$38:$K$47,11,0)</f>
        <v>6</v>
      </c>
      <c r="AN25" s="39">
        <f t="shared" si="14"/>
        <v>374363.47044015932</v>
      </c>
      <c r="AO25" s="69">
        <f t="shared" si="15"/>
        <v>487234.19420233631</v>
      </c>
      <c r="AP25" s="56">
        <f t="shared" si="16"/>
        <v>46.2</v>
      </c>
      <c r="AQ25" s="20" t="s">
        <v>110</v>
      </c>
      <c r="AR25" s="20" t="s">
        <v>113</v>
      </c>
      <c r="AS25" s="20" t="s">
        <v>120</v>
      </c>
      <c r="AT25" s="20" t="s">
        <v>284</v>
      </c>
      <c r="AU25" s="20"/>
      <c r="AV25" s="20" t="s">
        <v>195</v>
      </c>
    </row>
    <row r="26" spans="1:48" ht="16.5">
      <c r="A26" s="20" t="s">
        <v>200</v>
      </c>
      <c r="B26" s="54" t="s">
        <v>290</v>
      </c>
      <c r="C26" s="20" t="s">
        <v>291</v>
      </c>
      <c r="D26" s="20">
        <v>250</v>
      </c>
      <c r="E26" s="20">
        <f>2.1*1.25</f>
        <v>2.625</v>
      </c>
      <c r="F26" s="20">
        <v>1</v>
      </c>
      <c r="G26" s="20">
        <v>50</v>
      </c>
      <c r="H26" s="65">
        <v>110</v>
      </c>
      <c r="I26" s="20">
        <f>VLOOKUP($C26,兵士关于时代的建筑和勋号加成!$A$38:$K$47,2,0)</f>
        <v>4</v>
      </c>
      <c r="J26" s="67">
        <v>1.2</v>
      </c>
      <c r="K26" s="20">
        <f>VLOOKUP($C26,兵士关于时代的建筑和勋号加成!$A$38:$K$47,6,0)</f>
        <v>1.6</v>
      </c>
      <c r="L26" s="65">
        <v>30</v>
      </c>
      <c r="M26" s="20">
        <f>VLOOKUP($C26,兵士关于时代的建筑和勋号加成!$A$38:$K$47,3,0)</f>
        <v>3.4</v>
      </c>
      <c r="N26" s="67">
        <v>1.2</v>
      </c>
      <c r="O26" s="20">
        <f>VLOOKUP($C26,兵士关于时代的建筑和勋号加成!$A$38:$K$47,7,0)</f>
        <v>1.3</v>
      </c>
      <c r="P26" s="34">
        <f t="shared" si="0"/>
        <v>66.09273485036006</v>
      </c>
      <c r="Q26" s="34">
        <f t="shared" si="1"/>
        <v>6294.5461762247678</v>
      </c>
      <c r="R26" s="65">
        <v>25</v>
      </c>
      <c r="S26" s="20">
        <f>VLOOKUP($C26,兵士关于时代的建筑和勋号加成!$A$38:$K$47,4,0)</f>
        <v>1.2</v>
      </c>
      <c r="T26" s="67">
        <v>0</v>
      </c>
      <c r="U26" s="20">
        <f>VLOOKUP($C26,兵士关于时代的建筑和勋号加成!$A$38:$K$47,8,0)</f>
        <v>1</v>
      </c>
      <c r="V26" s="65">
        <v>10</v>
      </c>
      <c r="W26" s="20">
        <f>VLOOKUP($C26,兵士关于时代的建筑和勋号加成!$A$38:$K$47,5,0)</f>
        <v>1.2</v>
      </c>
      <c r="X26" s="67">
        <v>0</v>
      </c>
      <c r="Y26" s="20">
        <f>VLOOKUP($C26,兵士关于时代的建筑和勋号加成!$A$38:$K$47,9,0)</f>
        <v>1</v>
      </c>
      <c r="Z26" s="60">
        <f t="shared" si="2"/>
        <v>756.80000000000007</v>
      </c>
      <c r="AA26" s="60">
        <f t="shared" si="3"/>
        <v>144.29999999999998</v>
      </c>
      <c r="AB26" s="60">
        <f t="shared" si="4"/>
        <v>30</v>
      </c>
      <c r="AC26" s="60">
        <f t="shared" si="5"/>
        <v>12</v>
      </c>
      <c r="AD26" s="69">
        <f t="shared" si="6"/>
        <v>968</v>
      </c>
      <c r="AE26" s="69">
        <f t="shared" si="7"/>
        <v>191.09999999999997</v>
      </c>
      <c r="AF26" s="69">
        <f t="shared" si="8"/>
        <v>30</v>
      </c>
      <c r="AG26" s="69">
        <f t="shared" si="9"/>
        <v>12</v>
      </c>
      <c r="AH26" s="23">
        <f t="shared" si="10"/>
        <v>330.46367425180034</v>
      </c>
      <c r="AI26" s="23">
        <f t="shared" si="11"/>
        <v>2.290115552680529</v>
      </c>
      <c r="AJ26" s="23">
        <f t="shared" si="12"/>
        <v>16523.183712590017</v>
      </c>
      <c r="AK26" s="72">
        <f t="shared" si="13"/>
        <v>21504.929667404169</v>
      </c>
      <c r="AL26" s="20">
        <f>16</f>
        <v>16</v>
      </c>
      <c r="AM26" s="20">
        <f>VLOOKUP($C26,兵士关于时代的建筑和勋号加成!$A$38:$K$47,11,0)</f>
        <v>6</v>
      </c>
      <c r="AN26" s="39">
        <f t="shared" si="14"/>
        <v>363510.04167698039</v>
      </c>
      <c r="AO26" s="69">
        <f t="shared" si="15"/>
        <v>473108.45268289174</v>
      </c>
      <c r="AP26" s="56">
        <f t="shared" si="16"/>
        <v>57.75</v>
      </c>
      <c r="AQ26" s="20" t="s">
        <v>197</v>
      </c>
      <c r="AR26" s="20" t="s">
        <v>292</v>
      </c>
      <c r="AS26" s="20" t="s">
        <v>293</v>
      </c>
      <c r="AT26" s="20" t="s">
        <v>299</v>
      </c>
      <c r="AV26" s="20" t="s">
        <v>194</v>
      </c>
    </row>
    <row r="27" spans="1:48" ht="24.75">
      <c r="A27" s="20" t="s">
        <v>231</v>
      </c>
      <c r="B27" s="54" t="s">
        <v>202</v>
      </c>
      <c r="C27" s="20" t="s">
        <v>112</v>
      </c>
      <c r="D27" s="20">
        <v>111</v>
      </c>
      <c r="E27" s="20">
        <v>1.36</v>
      </c>
      <c r="F27" s="20">
        <v>1</v>
      </c>
      <c r="G27" s="20">
        <v>100</v>
      </c>
      <c r="H27" s="65">
        <v>40</v>
      </c>
      <c r="I27" s="20">
        <f>VLOOKUP($C27,兵士关于时代的建筑和勋号加成!$A$38:$K$47,2,0)</f>
        <v>4.9000000000000004</v>
      </c>
      <c r="J27" s="67">
        <v>0.6</v>
      </c>
      <c r="K27" s="20">
        <f>VLOOKUP($C27,兵士关于时代的建筑和勋号加成!$A$38:$K$47,6,0)</f>
        <v>1.6</v>
      </c>
      <c r="L27" s="65">
        <v>15</v>
      </c>
      <c r="M27" s="20">
        <f>VLOOKUP($C27,兵士关于时代的建筑和勋号加成!$A$38:$K$47,3,0)</f>
        <v>3.9</v>
      </c>
      <c r="N27" s="67">
        <v>1</v>
      </c>
      <c r="O27" s="20">
        <f>VLOOKUP($C27,兵士关于时代的建筑和勋号加成!$A$38:$K$47,7,0)</f>
        <v>1.3</v>
      </c>
      <c r="P27" s="34">
        <f t="shared" si="0"/>
        <v>148.73412775714456</v>
      </c>
      <c r="Q27" s="34">
        <f t="shared" si="1"/>
        <v>12139.329544884591</v>
      </c>
      <c r="R27" s="65">
        <v>40</v>
      </c>
      <c r="S27" s="20">
        <f>VLOOKUP($C27,兵士关于时代的建筑和勋号加成!$A$38:$K$47,4,0)</f>
        <v>1.9</v>
      </c>
      <c r="T27" s="67">
        <v>-0.2</v>
      </c>
      <c r="U27" s="20">
        <f>VLOOKUP($C27,兵士关于时代的建筑和勋号加成!$A$38:$K$47,8,0)</f>
        <v>1.4</v>
      </c>
      <c r="V27" s="65">
        <v>15</v>
      </c>
      <c r="W27" s="20">
        <f>VLOOKUP($C27,兵士关于时代的建筑和勋号加成!$A$38:$K$47,5,0)</f>
        <v>1.3</v>
      </c>
      <c r="X27" s="67">
        <v>-0.2</v>
      </c>
      <c r="Y27" s="20">
        <f>VLOOKUP($C27,兵士关于时代的建筑和勋号加成!$A$38:$K$47,9,0)</f>
        <v>1</v>
      </c>
      <c r="Z27" s="60">
        <f t="shared" si="2"/>
        <v>332.8</v>
      </c>
      <c r="AA27" s="60">
        <f t="shared" si="3"/>
        <v>81.900000000000006</v>
      </c>
      <c r="AB27" s="60">
        <f t="shared" si="4"/>
        <v>106.39999999999999</v>
      </c>
      <c r="AC27" s="60">
        <f t="shared" si="5"/>
        <v>19.5</v>
      </c>
      <c r="AD27" s="69">
        <f t="shared" si="6"/>
        <v>371.20000000000005</v>
      </c>
      <c r="AE27" s="69">
        <f t="shared" si="7"/>
        <v>101.4</v>
      </c>
      <c r="AF27" s="69">
        <f t="shared" si="8"/>
        <v>95.199999999999989</v>
      </c>
      <c r="AG27" s="69">
        <f t="shared" si="9"/>
        <v>16.5</v>
      </c>
      <c r="AH27" s="23">
        <f t="shared" si="10"/>
        <v>165.09488181043045</v>
      </c>
      <c r="AI27" s="23">
        <f t="shared" si="11"/>
        <v>2.0158105227158787</v>
      </c>
      <c r="AJ27" s="23">
        <f t="shared" si="12"/>
        <v>16509.488181043045</v>
      </c>
      <c r="AK27" s="72">
        <f t="shared" si="13"/>
        <v>19400.948430424738</v>
      </c>
      <c r="AL27" s="20">
        <f>16</f>
        <v>16</v>
      </c>
      <c r="AM27" s="20">
        <f>VLOOKUP($C27,兵士关于时代的建筑和勋号加成!$A$38:$K$47,11,0)</f>
        <v>6</v>
      </c>
      <c r="AN27" s="39">
        <f t="shared" si="14"/>
        <v>363208.73998294701</v>
      </c>
      <c r="AO27" s="69">
        <f t="shared" si="15"/>
        <v>426820.86546934425</v>
      </c>
      <c r="AP27" s="56">
        <f t="shared" si="16"/>
        <v>29.92</v>
      </c>
      <c r="AQ27" s="20" t="s">
        <v>110</v>
      </c>
      <c r="AR27" s="20" t="s">
        <v>124</v>
      </c>
      <c r="AS27" s="20" t="s">
        <v>114</v>
      </c>
      <c r="AT27" s="20" t="s">
        <v>266</v>
      </c>
      <c r="AU27" s="20" t="s">
        <v>203</v>
      </c>
      <c r="AV27" s="20" t="s">
        <v>315</v>
      </c>
    </row>
    <row r="28" spans="1:48">
      <c r="A28" s="20" t="s">
        <v>287</v>
      </c>
      <c r="B28" s="64" t="s">
        <v>310</v>
      </c>
      <c r="C28" s="20" t="s">
        <v>133</v>
      </c>
      <c r="D28" s="20">
        <v>90</v>
      </c>
      <c r="E28" s="20">
        <v>1.2</v>
      </c>
      <c r="F28" s="20">
        <v>1</v>
      </c>
      <c r="G28" s="20">
        <v>100</v>
      </c>
      <c r="H28" s="65">
        <v>36</v>
      </c>
      <c r="I28" s="20">
        <f>VLOOKUP($C28,兵士关于时代的建筑和勋号加成!$A$38:$K$47,2,0)</f>
        <v>3.7</v>
      </c>
      <c r="J28" s="67">
        <v>1.2</v>
      </c>
      <c r="K28" s="20">
        <f>VLOOKUP($C28,兵士关于时代的建筑和勋号加成!$A$38:$K$47,6,0)</f>
        <v>1.6</v>
      </c>
      <c r="L28" s="65">
        <v>26</v>
      </c>
      <c r="M28" s="20">
        <f>VLOOKUP($C28,兵士关于时代的建筑和勋号加成!$A$38:$K$47,3,0)</f>
        <v>3.1</v>
      </c>
      <c r="N28" s="67">
        <v>1.2</v>
      </c>
      <c r="O28" s="20">
        <f>VLOOKUP($C28,兵士关于时代的建筑和勋号加成!$A$38:$K$47,7,0)</f>
        <v>1.3</v>
      </c>
      <c r="P28" s="34">
        <f t="shared" si="0"/>
        <v>180.79921337095342</v>
      </c>
      <c r="Q28" s="34">
        <f t="shared" si="1"/>
        <v>13559.941002821508</v>
      </c>
      <c r="R28" s="65">
        <v>0</v>
      </c>
      <c r="S28" s="20">
        <f>VLOOKUP($C28,兵士关于时代的建筑和勋号加成!$A$38:$K$47,4,0)</f>
        <v>1</v>
      </c>
      <c r="T28" s="67">
        <v>0</v>
      </c>
      <c r="U28" s="20">
        <f>VLOOKUP($C28,兵士关于时代的建筑和勋号加成!$A$38:$K$47,8,0)</f>
        <v>1</v>
      </c>
      <c r="V28" s="65">
        <v>0</v>
      </c>
      <c r="W28" s="20">
        <f>VLOOKUP($C28,兵士关于时代的建筑和勋号加成!$A$38:$K$47,5,0)</f>
        <v>1</v>
      </c>
      <c r="X28" s="67">
        <v>0</v>
      </c>
      <c r="Y28" s="20">
        <f>VLOOKUP($C28,兵士关于时代的建筑和勋号加成!$A$38:$K$47,9,0)</f>
        <v>1</v>
      </c>
      <c r="Z28" s="60">
        <f t="shared" si="2"/>
        <v>230.4</v>
      </c>
      <c r="AA28" s="60">
        <f t="shared" si="3"/>
        <v>114.91999999999999</v>
      </c>
      <c r="AB28" s="60">
        <f t="shared" si="4"/>
        <v>0</v>
      </c>
      <c r="AC28" s="60">
        <f t="shared" si="5"/>
        <v>0</v>
      </c>
      <c r="AD28" s="69">
        <f t="shared" si="6"/>
        <v>299.52000000000004</v>
      </c>
      <c r="AE28" s="69">
        <f t="shared" si="7"/>
        <v>155.47999999999999</v>
      </c>
      <c r="AF28" s="69">
        <f t="shared" si="8"/>
        <v>0</v>
      </c>
      <c r="AG28" s="69">
        <f t="shared" si="9"/>
        <v>0</v>
      </c>
      <c r="AH28" s="23">
        <f t="shared" si="10"/>
        <v>162.7192920338581</v>
      </c>
      <c r="AI28" s="23">
        <f t="shared" si="11"/>
        <v>1.4159353640259147</v>
      </c>
      <c r="AJ28" s="23">
        <f t="shared" si="12"/>
        <v>16271.929203385809</v>
      </c>
      <c r="AK28" s="72">
        <f t="shared" si="13"/>
        <v>21579.937349306649</v>
      </c>
      <c r="AL28" s="20">
        <f>16</f>
        <v>16</v>
      </c>
      <c r="AM28" s="20">
        <f>VLOOKUP($C28,兵士关于时代的建筑和勋号加成!$A$38:$K$47,11,0)</f>
        <v>6</v>
      </c>
      <c r="AN28" s="39">
        <f t="shared" si="14"/>
        <v>357982.44247448782</v>
      </c>
      <c r="AO28" s="69">
        <f t="shared" si="15"/>
        <v>474758.62168474629</v>
      </c>
      <c r="AP28" s="56">
        <f t="shared" si="16"/>
        <v>26.4</v>
      </c>
      <c r="AQ28" s="20" t="s">
        <v>282</v>
      </c>
      <c r="AR28" s="20" t="s">
        <v>109</v>
      </c>
      <c r="AS28" s="20" t="s">
        <v>136</v>
      </c>
      <c r="AT28" s="20" t="s">
        <v>131</v>
      </c>
      <c r="AU28" s="20"/>
      <c r="AV28" s="20" t="s">
        <v>194</v>
      </c>
    </row>
    <row r="29" spans="1:48">
      <c r="A29" s="20" t="s">
        <v>200</v>
      </c>
      <c r="B29" s="54" t="s">
        <v>152</v>
      </c>
      <c r="C29" s="20" t="s">
        <v>107</v>
      </c>
      <c r="D29" s="20">
        <v>108</v>
      </c>
      <c r="E29" s="20">
        <v>1.44</v>
      </c>
      <c r="F29" s="20">
        <v>1</v>
      </c>
      <c r="G29" s="20">
        <v>100</v>
      </c>
      <c r="H29" s="65">
        <v>42</v>
      </c>
      <c r="I29" s="20">
        <f>VLOOKUP($C29,兵士关于时代的建筑和勋号加成!$A$38:$K$47,2,0)</f>
        <v>3.7</v>
      </c>
      <c r="J29" s="67">
        <v>1.2</v>
      </c>
      <c r="K29" s="20">
        <f>VLOOKUP($C29,兵士关于时代的建筑和勋号加成!$A$38:$K$47,6,0)</f>
        <v>1.6</v>
      </c>
      <c r="L29" s="65">
        <v>22</v>
      </c>
      <c r="M29" s="20">
        <f>VLOOKUP($C29,兵士关于时代的建筑和勋号加成!$A$38:$K$47,3,0)</f>
        <v>3.1</v>
      </c>
      <c r="N29" s="67">
        <v>1.2</v>
      </c>
      <c r="O29" s="20">
        <f>VLOOKUP($C29,兵士关于时代的建筑和勋号加成!$A$38:$K$47,7,0)</f>
        <v>1.3</v>
      </c>
      <c r="P29" s="34">
        <f t="shared" si="0"/>
        <v>149.6970878373921</v>
      </c>
      <c r="Q29" s="34">
        <f t="shared" si="1"/>
        <v>11227.281587804409</v>
      </c>
      <c r="R29" s="65">
        <v>0</v>
      </c>
      <c r="S29" s="20">
        <f>VLOOKUP($C29,兵士关于时代的建筑和勋号加成!$A$38:$K$47,4,0)</f>
        <v>1</v>
      </c>
      <c r="T29" s="67">
        <v>0</v>
      </c>
      <c r="U29" s="20">
        <f>VLOOKUP($C29,兵士关于时代的建筑和勋号加成!$A$38:$K$47,8,0)</f>
        <v>1</v>
      </c>
      <c r="V29" s="65">
        <v>0</v>
      </c>
      <c r="W29" s="20">
        <f>VLOOKUP($C29,兵士关于时代的建筑和勋号加成!$A$38:$K$47,5,0)</f>
        <v>1</v>
      </c>
      <c r="X29" s="67">
        <v>0</v>
      </c>
      <c r="Y29" s="20">
        <f>VLOOKUP($C29,兵士关于时代的建筑和勋号加成!$A$38:$K$47,9,0)</f>
        <v>1</v>
      </c>
      <c r="Z29" s="60">
        <f t="shared" si="2"/>
        <v>268.8</v>
      </c>
      <c r="AA29" s="60">
        <f t="shared" si="3"/>
        <v>97.24</v>
      </c>
      <c r="AB29" s="60">
        <f t="shared" si="4"/>
        <v>0</v>
      </c>
      <c r="AC29" s="60">
        <f t="shared" si="5"/>
        <v>0</v>
      </c>
      <c r="AD29" s="69">
        <f t="shared" si="6"/>
        <v>349.44000000000005</v>
      </c>
      <c r="AE29" s="69">
        <f t="shared" si="7"/>
        <v>131.56</v>
      </c>
      <c r="AF29" s="69">
        <f t="shared" si="8"/>
        <v>0</v>
      </c>
      <c r="AG29" s="69">
        <f t="shared" si="9"/>
        <v>0</v>
      </c>
      <c r="AH29" s="23">
        <f t="shared" si="10"/>
        <v>161.67285486438348</v>
      </c>
      <c r="AI29" s="23">
        <f t="shared" si="11"/>
        <v>1.6626167715382916</v>
      </c>
      <c r="AJ29" s="23">
        <f t="shared" si="12"/>
        <v>16167.285486438348</v>
      </c>
      <c r="AK29" s="72">
        <f t="shared" si="13"/>
        <v>21441.158177673147</v>
      </c>
      <c r="AL29" s="20">
        <f>16</f>
        <v>16</v>
      </c>
      <c r="AM29" s="20">
        <f>VLOOKUP($C29,兵士关于时代的建筑和勋号加成!$A$38:$K$47,11,0)</f>
        <v>6</v>
      </c>
      <c r="AN29" s="39">
        <f t="shared" si="14"/>
        <v>355680.28070164367</v>
      </c>
      <c r="AO29" s="69">
        <f t="shared" si="15"/>
        <v>471705.47990880924</v>
      </c>
      <c r="AP29" s="56">
        <f t="shared" si="16"/>
        <v>31.68</v>
      </c>
      <c r="AQ29" s="20" t="s">
        <v>175</v>
      </c>
      <c r="AR29" s="20" t="s">
        <v>176</v>
      </c>
      <c r="AS29" s="20" t="s">
        <v>109</v>
      </c>
      <c r="AT29" s="20" t="s">
        <v>252</v>
      </c>
      <c r="AU29" s="20"/>
      <c r="AV29" s="20" t="s">
        <v>140</v>
      </c>
    </row>
    <row r="30" spans="1:48">
      <c r="A30" s="20" t="s">
        <v>200</v>
      </c>
      <c r="B30" s="54" t="s">
        <v>156</v>
      </c>
      <c r="C30" s="20" t="s">
        <v>107</v>
      </c>
      <c r="D30" s="20">
        <v>108</v>
      </c>
      <c r="E30" s="20">
        <v>1.44</v>
      </c>
      <c r="F30" s="20">
        <v>1</v>
      </c>
      <c r="G30" s="20">
        <v>100</v>
      </c>
      <c r="H30" s="65">
        <v>38</v>
      </c>
      <c r="I30" s="20">
        <f>VLOOKUP($C30,兵士关于时代的建筑和勋号加成!$A$38:$K$47,2,0)</f>
        <v>3.7</v>
      </c>
      <c r="J30" s="67">
        <v>1.2</v>
      </c>
      <c r="K30" s="20">
        <f>VLOOKUP($C30,兵士关于时代的建筑和勋号加成!$A$38:$K$47,6,0)</f>
        <v>1.6</v>
      </c>
      <c r="L30" s="65">
        <v>24</v>
      </c>
      <c r="M30" s="20">
        <f>VLOOKUP($C30,兵士关于时代的建筑和勋号加成!$A$38:$K$47,3,0)</f>
        <v>3.1</v>
      </c>
      <c r="N30" s="67">
        <v>1.2</v>
      </c>
      <c r="O30" s="20">
        <f>VLOOKUP($C30,兵士关于时代的建筑和勋号加成!$A$38:$K$47,7,0)</f>
        <v>1.3</v>
      </c>
      <c r="P30" s="34">
        <f t="shared" si="0"/>
        <v>148.72185212809691</v>
      </c>
      <c r="Q30" s="34">
        <f t="shared" si="1"/>
        <v>11154.138909607269</v>
      </c>
      <c r="R30" s="65">
        <v>0</v>
      </c>
      <c r="S30" s="20">
        <f>VLOOKUP($C30,兵士关于时代的建筑和勋号加成!$A$38:$K$47,4,0)</f>
        <v>1</v>
      </c>
      <c r="T30" s="67">
        <v>0</v>
      </c>
      <c r="U30" s="20">
        <f>VLOOKUP($C30,兵士关于时代的建筑和勋号加成!$A$38:$K$47,8,0)</f>
        <v>1</v>
      </c>
      <c r="V30" s="65">
        <v>20</v>
      </c>
      <c r="W30" s="20">
        <f>VLOOKUP($C30,兵士关于时代的建筑和勋号加成!$A$38:$K$47,5,0)</f>
        <v>1</v>
      </c>
      <c r="X30" s="67">
        <v>0</v>
      </c>
      <c r="Y30" s="20">
        <f>VLOOKUP($C30,兵士关于时代的建筑和勋号加成!$A$38:$K$47,9,0)</f>
        <v>1</v>
      </c>
      <c r="Z30" s="60">
        <f t="shared" si="2"/>
        <v>243.20000000000002</v>
      </c>
      <c r="AA30" s="60">
        <f t="shared" si="3"/>
        <v>106.08</v>
      </c>
      <c r="AB30" s="60">
        <f t="shared" si="4"/>
        <v>0</v>
      </c>
      <c r="AC30" s="60">
        <f t="shared" si="5"/>
        <v>20</v>
      </c>
      <c r="AD30" s="69">
        <f t="shared" si="6"/>
        <v>316.16000000000003</v>
      </c>
      <c r="AE30" s="69">
        <f t="shared" si="7"/>
        <v>143.51999999999998</v>
      </c>
      <c r="AF30" s="69">
        <f t="shared" si="8"/>
        <v>0</v>
      </c>
      <c r="AG30" s="69">
        <f t="shared" si="9"/>
        <v>20</v>
      </c>
      <c r="AH30" s="23">
        <f t="shared" si="10"/>
        <v>160.61960029834466</v>
      </c>
      <c r="AI30" s="23">
        <f t="shared" si="11"/>
        <v>1.5141365035665977</v>
      </c>
      <c r="AJ30" s="23">
        <f t="shared" si="12"/>
        <v>16061.960029834467</v>
      </c>
      <c r="AK30" s="72">
        <f t="shared" si="13"/>
        <v>21301.474878514866</v>
      </c>
      <c r="AL30" s="20">
        <f>16</f>
        <v>16</v>
      </c>
      <c r="AM30" s="20">
        <f>VLOOKUP($C30,兵士关于时代的建筑和勋号加成!$A$38:$K$47,11,0)</f>
        <v>6</v>
      </c>
      <c r="AN30" s="39">
        <f t="shared" si="14"/>
        <v>353363.12065635825</v>
      </c>
      <c r="AO30" s="69">
        <f t="shared" si="15"/>
        <v>468632.44732732704</v>
      </c>
      <c r="AP30" s="56">
        <f t="shared" si="16"/>
        <v>31.68</v>
      </c>
      <c r="AQ30" s="20" t="s">
        <v>180</v>
      </c>
      <c r="AR30" s="20" t="s">
        <v>181</v>
      </c>
      <c r="AS30" s="20" t="s">
        <v>109</v>
      </c>
      <c r="AT30" s="20" t="s">
        <v>258</v>
      </c>
      <c r="AU30" s="20"/>
      <c r="AV30" s="20" t="s">
        <v>140</v>
      </c>
    </row>
    <row r="31" spans="1:48" ht="16.5" hidden="1">
      <c r="A31" s="20" t="s">
        <v>231</v>
      </c>
      <c r="B31" s="54" t="s">
        <v>314</v>
      </c>
      <c r="C31" s="20" t="s">
        <v>115</v>
      </c>
      <c r="D31" s="20">
        <v>90</v>
      </c>
      <c r="E31" s="20">
        <v>1.08</v>
      </c>
      <c r="F31" s="20">
        <v>1</v>
      </c>
      <c r="G31" s="20">
        <v>100</v>
      </c>
      <c r="H31" s="65">
        <v>30</v>
      </c>
      <c r="I31" s="20">
        <f>VLOOKUP($C31,兵士关于时代的建筑和勋号加成!$A$38:$K$47,2,0)</f>
        <v>4</v>
      </c>
      <c r="J31" s="67">
        <v>1.2</v>
      </c>
      <c r="K31" s="20">
        <f>VLOOKUP($C31,兵士关于时代的建筑和勋号加成!$A$38:$K$47,6,0)</f>
        <v>1.5</v>
      </c>
      <c r="L31" s="65">
        <v>24</v>
      </c>
      <c r="M31" s="20">
        <f>VLOOKUP($C31,兵士关于时代的建筑和勋号加成!$A$38:$K$47,3,0)</f>
        <v>3.05</v>
      </c>
      <c r="N31" s="67">
        <v>1.2</v>
      </c>
      <c r="O31" s="20">
        <f>VLOOKUP($C31,兵士关于时代的建筑和勋号加成!$A$38:$K$47,7,0)</f>
        <v>1.6</v>
      </c>
      <c r="P31" s="34">
        <f t="shared" si="0"/>
        <v>175.30164479167519</v>
      </c>
      <c r="Q31" s="34">
        <f t="shared" si="1"/>
        <v>14608.470399306265</v>
      </c>
      <c r="R31" s="65">
        <v>0</v>
      </c>
      <c r="S31" s="20">
        <f>VLOOKUP($C31,兵士关于时代的建筑和勋号加成!$A$38:$K$47,4,0)</f>
        <v>1</v>
      </c>
      <c r="T31" s="67">
        <v>0</v>
      </c>
      <c r="U31" s="20">
        <f>VLOOKUP($C31,兵士关于时代的建筑和勋号加成!$A$38:$K$47,8,0)</f>
        <v>1</v>
      </c>
      <c r="V31" s="65">
        <v>0</v>
      </c>
      <c r="W31" s="20">
        <f>VLOOKUP($C31,兵士关于时代的建筑和勋号加成!$A$38:$K$47,5,0)</f>
        <v>1</v>
      </c>
      <c r="X31" s="67">
        <v>0</v>
      </c>
      <c r="Y31" s="20">
        <f>VLOOKUP($C31,兵士关于时代的建筑和勋号加成!$A$38:$K$47,9,0)</f>
        <v>1</v>
      </c>
      <c r="Z31" s="60">
        <f t="shared" si="2"/>
        <v>193.5</v>
      </c>
      <c r="AA31" s="60">
        <f t="shared" si="3"/>
        <v>128.63999999999999</v>
      </c>
      <c r="AB31" s="60">
        <f t="shared" si="4"/>
        <v>0</v>
      </c>
      <c r="AC31" s="60">
        <f t="shared" si="5"/>
        <v>0</v>
      </c>
      <c r="AD31" s="69">
        <f t="shared" si="6"/>
        <v>247.5</v>
      </c>
      <c r="AE31" s="69">
        <f t="shared" si="7"/>
        <v>174.72</v>
      </c>
      <c r="AF31" s="69">
        <f t="shared" si="8"/>
        <v>0</v>
      </c>
      <c r="AG31" s="69">
        <f t="shared" si="9"/>
        <v>0</v>
      </c>
      <c r="AH31" s="23">
        <f t="shared" si="10"/>
        <v>157.77148031250766</v>
      </c>
      <c r="AI31" s="23">
        <f t="shared" si="11"/>
        <v>1.2264574029268323</v>
      </c>
      <c r="AJ31" s="23">
        <f t="shared" si="12"/>
        <v>15777.148031250767</v>
      </c>
      <c r="AK31" s="72">
        <f t="shared" si="13"/>
        <v>20794.999398893957</v>
      </c>
      <c r="AL31" s="20">
        <f>16</f>
        <v>16</v>
      </c>
      <c r="AM31" s="20">
        <f>VLOOKUP($C31,兵士关于时代的建筑和勋号加成!$A$38:$K$47,11,0)</f>
        <v>6</v>
      </c>
      <c r="AN31" s="39">
        <f t="shared" si="14"/>
        <v>347097.25668751687</v>
      </c>
      <c r="AO31" s="69">
        <f t="shared" si="15"/>
        <v>457489.98677566706</v>
      </c>
      <c r="AP31" s="56">
        <f t="shared" si="16"/>
        <v>23.76</v>
      </c>
      <c r="AQ31" s="20" t="s">
        <v>210</v>
      </c>
      <c r="AR31" s="20" t="s">
        <v>116</v>
      </c>
      <c r="AS31" s="20" t="s">
        <v>109</v>
      </c>
      <c r="AT31" s="20" t="s">
        <v>268</v>
      </c>
      <c r="AU31" s="20" t="s">
        <v>213</v>
      </c>
      <c r="AV31" s="20" t="s">
        <v>146</v>
      </c>
    </row>
    <row r="32" spans="1:48" ht="16.5">
      <c r="A32" s="20" t="s">
        <v>200</v>
      </c>
      <c r="B32" s="54" t="s">
        <v>158</v>
      </c>
      <c r="C32" s="20" t="s">
        <v>107</v>
      </c>
      <c r="D32" s="20">
        <v>108</v>
      </c>
      <c r="E32" s="20">
        <v>1.44</v>
      </c>
      <c r="F32" s="20">
        <v>1</v>
      </c>
      <c r="G32" s="20">
        <v>100</v>
      </c>
      <c r="H32" s="65">
        <v>32</v>
      </c>
      <c r="I32" s="20">
        <f>VLOOKUP($C32,兵士关于时代的建筑和勋号加成!$A$38:$K$47,2,0)</f>
        <v>3.7</v>
      </c>
      <c r="J32" s="67">
        <v>1.2</v>
      </c>
      <c r="K32" s="20">
        <f>VLOOKUP($C32,兵士关于时代的建筑和勋号加成!$A$38:$K$47,6,0)</f>
        <v>1.6</v>
      </c>
      <c r="L32" s="65">
        <v>26</v>
      </c>
      <c r="M32" s="20">
        <f>VLOOKUP($C32,兵士关于时代的建筑和勋号加成!$A$38:$K$47,3,0)</f>
        <v>3.1</v>
      </c>
      <c r="N32" s="67">
        <v>1.2</v>
      </c>
      <c r="O32" s="20">
        <f>VLOOKUP($C32,兵士关于时代的建筑和勋号加成!$A$38:$K$47,7,0)</f>
        <v>1.3</v>
      </c>
      <c r="P32" s="34">
        <f t="shared" si="0"/>
        <v>142.04927756421634</v>
      </c>
      <c r="Q32" s="34">
        <f t="shared" si="1"/>
        <v>10653.695817316226</v>
      </c>
      <c r="R32" s="65">
        <v>0</v>
      </c>
      <c r="S32" s="20">
        <f>VLOOKUP($C32,兵士关于时代的建筑和勋号加成!$A$38:$K$47,4,0)</f>
        <v>1</v>
      </c>
      <c r="T32" s="67">
        <v>0</v>
      </c>
      <c r="U32" s="20">
        <f>VLOOKUP($C32,兵士关于时代的建筑和勋号加成!$A$38:$K$47,8,0)</f>
        <v>1</v>
      </c>
      <c r="V32" s="65">
        <v>10</v>
      </c>
      <c r="W32" s="20">
        <f>VLOOKUP($C32,兵士关于时代的建筑和勋号加成!$A$38:$K$47,5,0)</f>
        <v>1</v>
      </c>
      <c r="X32" s="67">
        <v>0</v>
      </c>
      <c r="Y32" s="20">
        <f>VLOOKUP($C32,兵士关于时代的建筑和勋号加成!$A$38:$K$47,9,0)</f>
        <v>1</v>
      </c>
      <c r="Z32" s="60">
        <f t="shared" si="2"/>
        <v>204.8</v>
      </c>
      <c r="AA32" s="60">
        <f t="shared" si="3"/>
        <v>114.91999999999999</v>
      </c>
      <c r="AB32" s="60">
        <f t="shared" si="4"/>
        <v>0</v>
      </c>
      <c r="AC32" s="60">
        <f t="shared" si="5"/>
        <v>10</v>
      </c>
      <c r="AD32" s="69">
        <f t="shared" si="6"/>
        <v>266.24</v>
      </c>
      <c r="AE32" s="69">
        <f t="shared" si="7"/>
        <v>155.47999999999999</v>
      </c>
      <c r="AF32" s="69">
        <f t="shared" si="8"/>
        <v>0</v>
      </c>
      <c r="AG32" s="69">
        <f t="shared" si="9"/>
        <v>10</v>
      </c>
      <c r="AH32" s="23">
        <f t="shared" si="10"/>
        <v>153.41321976935365</v>
      </c>
      <c r="AI32" s="23">
        <f t="shared" si="11"/>
        <v>1.3349566634994228</v>
      </c>
      <c r="AJ32" s="23">
        <f t="shared" si="12"/>
        <v>15341.321976935364</v>
      </c>
      <c r="AK32" s="72">
        <f t="shared" si="13"/>
        <v>20345.760049700773</v>
      </c>
      <c r="AL32" s="20">
        <f>16</f>
        <v>16</v>
      </c>
      <c r="AM32" s="20">
        <f>VLOOKUP($C32,兵士关于时代的建筑和勋号加成!$A$38:$K$47,11,0)</f>
        <v>6</v>
      </c>
      <c r="AN32" s="39">
        <f t="shared" si="14"/>
        <v>337509.08349257801</v>
      </c>
      <c r="AO32" s="69">
        <f t="shared" si="15"/>
        <v>447606.72109341703</v>
      </c>
      <c r="AP32" s="56">
        <f t="shared" si="16"/>
        <v>31.68</v>
      </c>
      <c r="AQ32" s="20" t="s">
        <v>112</v>
      </c>
      <c r="AR32" s="20" t="s">
        <v>116</v>
      </c>
      <c r="AS32" s="20" t="s">
        <v>182</v>
      </c>
      <c r="AT32" s="20" t="s">
        <v>260</v>
      </c>
      <c r="AU32" s="20"/>
      <c r="AV32" s="20" t="s">
        <v>315</v>
      </c>
    </row>
    <row r="33" spans="1:48" ht="16.5">
      <c r="A33" s="20" t="s">
        <v>200</v>
      </c>
      <c r="B33" s="54" t="s">
        <v>198</v>
      </c>
      <c r="C33" s="20" t="s">
        <v>110</v>
      </c>
      <c r="D33" s="20">
        <v>66</v>
      </c>
      <c r="E33" s="20">
        <v>0.72</v>
      </c>
      <c r="F33" s="20">
        <v>1</v>
      </c>
      <c r="G33" s="20">
        <v>100</v>
      </c>
      <c r="H33" s="65">
        <v>20</v>
      </c>
      <c r="I33" s="20">
        <f>VLOOKUP($C33,兵士关于时代的建筑和勋号加成!$A$38:$K$47,2,0)</f>
        <v>4.8</v>
      </c>
      <c r="J33" s="67">
        <v>0.9</v>
      </c>
      <c r="K33" s="20">
        <f>VLOOKUP($C33,兵士关于时代的建筑和勋号加成!$A$38:$K$47,6,0)</f>
        <v>2.2000000000000002</v>
      </c>
      <c r="L33" s="65">
        <v>8</v>
      </c>
      <c r="M33" s="20">
        <f>VLOOKUP($C33,兵士关于时代的建筑和勋号加成!$A$38:$K$47,3,0)</f>
        <v>3</v>
      </c>
      <c r="N33" s="67">
        <v>1.2</v>
      </c>
      <c r="O33" s="20">
        <f>VLOOKUP($C33,兵士关于时代的建筑和勋号加成!$A$38:$K$47,7,0)</f>
        <v>1.6</v>
      </c>
      <c r="P33" s="34">
        <f t="shared" si="0"/>
        <v>147.51271131668619</v>
      </c>
      <c r="Q33" s="34">
        <f t="shared" si="1"/>
        <v>13521.998537362902</v>
      </c>
      <c r="R33" s="65">
        <v>0</v>
      </c>
      <c r="S33" s="20">
        <f>VLOOKUP($C33,兵士关于时代的建筑和勋号加成!$A$38:$K$47,4,0)</f>
        <v>1</v>
      </c>
      <c r="T33" s="67">
        <v>0</v>
      </c>
      <c r="U33" s="20">
        <f>VLOOKUP($C33,兵士关于时代的建筑和勋号加成!$A$38:$K$47,8,0)</f>
        <v>1</v>
      </c>
      <c r="V33" s="65">
        <v>0</v>
      </c>
      <c r="W33" s="20">
        <f>VLOOKUP($C33,兵士关于时代的建筑和勋号加成!$A$38:$K$47,5,0)</f>
        <v>1</v>
      </c>
      <c r="X33" s="67">
        <v>0</v>
      </c>
      <c r="Y33" s="20">
        <f>VLOOKUP($C33,兵士关于时代的建筑和勋号加成!$A$38:$K$47,9,0)</f>
        <v>1</v>
      </c>
      <c r="Z33" s="60">
        <f t="shared" si="2"/>
        <v>224.4</v>
      </c>
      <c r="AA33" s="60">
        <f t="shared" si="3"/>
        <v>42.24</v>
      </c>
      <c r="AB33" s="60">
        <f t="shared" si="4"/>
        <v>0</v>
      </c>
      <c r="AC33" s="60">
        <f t="shared" si="5"/>
        <v>0</v>
      </c>
      <c r="AD33" s="69">
        <f t="shared" si="6"/>
        <v>264</v>
      </c>
      <c r="AE33" s="69">
        <f t="shared" si="7"/>
        <v>57.6</v>
      </c>
      <c r="AF33" s="69">
        <f t="shared" si="8"/>
        <v>0</v>
      </c>
      <c r="AG33" s="69">
        <f t="shared" si="9"/>
        <v>0</v>
      </c>
      <c r="AH33" s="23">
        <f t="shared" si="10"/>
        <v>97.358389469012891</v>
      </c>
      <c r="AI33" s="23">
        <f t="shared" si="11"/>
        <v>2.3048861143232218</v>
      </c>
      <c r="AJ33" s="23">
        <f t="shared" si="12"/>
        <v>9735.8389469012891</v>
      </c>
      <c r="AK33" s="72">
        <f t="shared" si="13"/>
        <v>12331.423275518522</v>
      </c>
      <c r="AL33" s="20">
        <f>16</f>
        <v>16</v>
      </c>
      <c r="AM33" s="20">
        <f>2+VLOOKUP($C33,兵士关于时代的建筑和勋号加成!$A$38:$K$47,11,0)</f>
        <v>18</v>
      </c>
      <c r="AN33" s="39">
        <f t="shared" si="14"/>
        <v>331018.52419464383</v>
      </c>
      <c r="AO33" s="69">
        <f t="shared" si="15"/>
        <v>419268.39136762975</v>
      </c>
      <c r="AP33" s="56">
        <f t="shared" si="16"/>
        <v>24.48</v>
      </c>
      <c r="AQ33" s="20" t="s">
        <v>177</v>
      </c>
      <c r="AR33" s="20" t="s">
        <v>123</v>
      </c>
      <c r="AS33" s="20" t="s">
        <v>109</v>
      </c>
      <c r="AT33" s="20" t="s">
        <v>254</v>
      </c>
      <c r="AU33" s="20"/>
      <c r="AV33" s="20" t="s">
        <v>140</v>
      </c>
    </row>
    <row r="34" spans="1:48">
      <c r="A34" s="20" t="s">
        <v>200</v>
      </c>
      <c r="B34" s="54" t="s">
        <v>141</v>
      </c>
      <c r="C34" s="20" t="s">
        <v>107</v>
      </c>
      <c r="D34" s="20">
        <v>75</v>
      </c>
      <c r="E34" s="20">
        <v>1.08</v>
      </c>
      <c r="F34" s="20">
        <v>1</v>
      </c>
      <c r="G34" s="20">
        <v>100</v>
      </c>
      <c r="H34" s="65">
        <v>35</v>
      </c>
      <c r="I34" s="20">
        <f>VLOOKUP($C34,兵士关于时代的建筑和勋号加成!$A$38:$K$47,2,0)</f>
        <v>3.7</v>
      </c>
      <c r="J34" s="67">
        <v>1.2</v>
      </c>
      <c r="K34" s="20">
        <f>VLOOKUP($C34,兵士关于时代的建筑和勋号加成!$A$38:$K$47,6,0)</f>
        <v>1.6</v>
      </c>
      <c r="L34" s="65">
        <v>22</v>
      </c>
      <c r="M34" s="20">
        <f>VLOOKUP($C34,兵士关于时代的建筑和勋号加成!$A$38:$K$47,3,0)</f>
        <v>3.1</v>
      </c>
      <c r="N34" s="67">
        <v>1.2</v>
      </c>
      <c r="O34" s="20">
        <f>VLOOKUP($C34,兵士关于时代的建筑和勋号加成!$A$38:$K$47,7,0)</f>
        <v>1.3</v>
      </c>
      <c r="P34" s="34">
        <f t="shared" si="0"/>
        <v>196.78193232329255</v>
      </c>
      <c r="Q34" s="34">
        <f t="shared" si="1"/>
        <v>13665.411966895315</v>
      </c>
      <c r="R34" s="65">
        <v>12</v>
      </c>
      <c r="S34" s="20">
        <f>VLOOKUP($C34,兵士关于时代的建筑和勋号加成!$A$38:$K$47,4,0)</f>
        <v>1</v>
      </c>
      <c r="T34" s="67">
        <v>0</v>
      </c>
      <c r="U34" s="20">
        <f>VLOOKUP($C34,兵士关于时代的建筑和勋号加成!$A$38:$K$47,8,0)</f>
        <v>1</v>
      </c>
      <c r="V34" s="65">
        <v>0</v>
      </c>
      <c r="W34" s="20">
        <f>VLOOKUP($C34,兵士关于时代的建筑和勋号加成!$A$38:$K$47,5,0)</f>
        <v>1</v>
      </c>
      <c r="X34" s="67">
        <v>0</v>
      </c>
      <c r="Y34" s="20">
        <f>VLOOKUP($C34,兵士关于时代的建筑和勋号加成!$A$38:$K$47,9,0)</f>
        <v>1</v>
      </c>
      <c r="Z34" s="60">
        <f t="shared" si="2"/>
        <v>224</v>
      </c>
      <c r="AA34" s="60">
        <f t="shared" si="3"/>
        <v>97.24</v>
      </c>
      <c r="AB34" s="60">
        <f t="shared" si="4"/>
        <v>12</v>
      </c>
      <c r="AC34" s="60">
        <f t="shared" si="5"/>
        <v>0</v>
      </c>
      <c r="AD34" s="69">
        <f t="shared" si="6"/>
        <v>291.2</v>
      </c>
      <c r="AE34" s="69">
        <f t="shared" si="7"/>
        <v>131.56</v>
      </c>
      <c r="AF34" s="69">
        <f t="shared" si="8"/>
        <v>12</v>
      </c>
      <c r="AG34" s="69">
        <f t="shared" si="9"/>
        <v>0</v>
      </c>
      <c r="AH34" s="23">
        <f t="shared" si="10"/>
        <v>147.5864492424694</v>
      </c>
      <c r="AI34" s="23">
        <f t="shared" si="11"/>
        <v>1.5177545170965592</v>
      </c>
      <c r="AJ34" s="23">
        <f t="shared" si="12"/>
        <v>14758.644924246941</v>
      </c>
      <c r="AK34" s="72">
        <f t="shared" si="13"/>
        <v>19573.009988246569</v>
      </c>
      <c r="AL34" s="20">
        <f>16</f>
        <v>16</v>
      </c>
      <c r="AM34" s="20">
        <f>VLOOKUP($C34,兵士关于时代的建筑和勋号加成!$A$38:$K$47,11,0)</f>
        <v>6</v>
      </c>
      <c r="AN34" s="39">
        <f t="shared" si="14"/>
        <v>324690.18833343271</v>
      </c>
      <c r="AO34" s="69">
        <f t="shared" si="15"/>
        <v>430606.21974142455</v>
      </c>
      <c r="AP34" s="56">
        <f t="shared" si="16"/>
        <v>23.76</v>
      </c>
      <c r="AQ34" s="20" t="s">
        <v>115</v>
      </c>
      <c r="AR34" s="20" t="s">
        <v>109</v>
      </c>
      <c r="AS34" s="20" t="s">
        <v>109</v>
      </c>
      <c r="AT34" s="20" t="s">
        <v>242</v>
      </c>
      <c r="AU34" s="20"/>
      <c r="AV34" s="20" t="s">
        <v>140</v>
      </c>
    </row>
    <row r="35" spans="1:48">
      <c r="A35" s="20" t="s">
        <v>127</v>
      </c>
      <c r="B35" s="54" t="s">
        <v>117</v>
      </c>
      <c r="C35" s="20" t="s">
        <v>107</v>
      </c>
      <c r="D35" s="20">
        <v>90</v>
      </c>
      <c r="E35" s="20">
        <v>1.2</v>
      </c>
      <c r="F35" s="20">
        <v>1</v>
      </c>
      <c r="G35" s="20">
        <v>100</v>
      </c>
      <c r="H35" s="65">
        <v>32</v>
      </c>
      <c r="I35" s="20">
        <f>VLOOKUP($C35,兵士关于时代的建筑和勋号加成!$A$38:$K$47,2,0)</f>
        <v>3.7</v>
      </c>
      <c r="J35" s="67">
        <v>1.2</v>
      </c>
      <c r="K35" s="20">
        <f>VLOOKUP($C35,兵士关于时代的建筑和勋号加成!$A$38:$K$47,6,0)</f>
        <v>1.6</v>
      </c>
      <c r="L35" s="65">
        <v>22</v>
      </c>
      <c r="M35" s="20">
        <f>VLOOKUP($C35,兵士关于时代的建筑和勋号加成!$A$38:$K$47,3,0)</f>
        <v>3.1</v>
      </c>
      <c r="N35" s="67">
        <v>1.2</v>
      </c>
      <c r="O35" s="20">
        <f>VLOOKUP($C35,兵士关于时代的建筑和勋号加成!$A$38:$K$47,7,0)</f>
        <v>1.3</v>
      </c>
      <c r="P35" s="34">
        <f t="shared" si="0"/>
        <v>156.79959687526915</v>
      </c>
      <c r="Q35" s="34">
        <f t="shared" si="1"/>
        <v>11759.969765645186</v>
      </c>
      <c r="R35" s="65">
        <v>0</v>
      </c>
      <c r="S35" s="20">
        <f>VLOOKUP($C35,兵士关于时代的建筑和勋号加成!$A$38:$K$47,4,0)</f>
        <v>1</v>
      </c>
      <c r="T35" s="67">
        <v>0</v>
      </c>
      <c r="U35" s="20">
        <f>VLOOKUP($C35,兵士关于时代的建筑和勋号加成!$A$38:$K$47,8,0)</f>
        <v>1</v>
      </c>
      <c r="V35" s="65">
        <v>0</v>
      </c>
      <c r="W35" s="20">
        <f>VLOOKUP($C35,兵士关于时代的建筑和勋号加成!$A$38:$K$47,5,0)</f>
        <v>1</v>
      </c>
      <c r="X35" s="67">
        <v>0</v>
      </c>
      <c r="Y35" s="20">
        <f>VLOOKUP($C35,兵士关于时代的建筑和勋号加成!$A$38:$K$47,9,0)</f>
        <v>1</v>
      </c>
      <c r="Z35" s="60">
        <f t="shared" si="2"/>
        <v>204.8</v>
      </c>
      <c r="AA35" s="60">
        <f t="shared" si="3"/>
        <v>97.24</v>
      </c>
      <c r="AB35" s="60">
        <f t="shared" si="4"/>
        <v>0</v>
      </c>
      <c r="AC35" s="60">
        <f t="shared" si="5"/>
        <v>0</v>
      </c>
      <c r="AD35" s="69">
        <f t="shared" si="6"/>
        <v>266.24</v>
      </c>
      <c r="AE35" s="69">
        <f t="shared" si="7"/>
        <v>131.56</v>
      </c>
      <c r="AF35" s="69">
        <f t="shared" si="8"/>
        <v>0</v>
      </c>
      <c r="AG35" s="69">
        <f t="shared" si="9"/>
        <v>0</v>
      </c>
      <c r="AH35" s="23">
        <f t="shared" si="10"/>
        <v>141.11963718774223</v>
      </c>
      <c r="AI35" s="23">
        <f t="shared" si="11"/>
        <v>1.4512508966242519</v>
      </c>
      <c r="AJ35" s="23">
        <f t="shared" si="12"/>
        <v>14111.963718774223</v>
      </c>
      <c r="AK35" s="72">
        <f t="shared" si="13"/>
        <v>18715.377206992118</v>
      </c>
      <c r="AL35" s="20">
        <f>16</f>
        <v>16</v>
      </c>
      <c r="AM35" s="20">
        <f>VLOOKUP($C35,兵士关于时代的建筑和勋号加成!$A$38:$K$47,11,0)</f>
        <v>6</v>
      </c>
      <c r="AN35" s="39">
        <f t="shared" si="14"/>
        <v>310463.20181303291</v>
      </c>
      <c r="AO35" s="69">
        <f t="shared" si="15"/>
        <v>411738.29855382658</v>
      </c>
      <c r="AP35" s="56">
        <f t="shared" si="16"/>
        <v>26.4</v>
      </c>
      <c r="AQ35" s="20" t="s">
        <v>115</v>
      </c>
      <c r="AR35" s="20" t="s">
        <v>109</v>
      </c>
      <c r="AS35" s="20" t="s">
        <v>109</v>
      </c>
      <c r="AT35" s="20" t="s">
        <v>283</v>
      </c>
      <c r="AU35" s="20"/>
      <c r="AV35" s="20" t="s">
        <v>194</v>
      </c>
    </row>
    <row r="36" spans="1:48">
      <c r="A36" s="20" t="s">
        <v>200</v>
      </c>
      <c r="B36" s="54" t="s">
        <v>161</v>
      </c>
      <c r="C36" s="20" t="s">
        <v>107</v>
      </c>
      <c r="D36" s="20">
        <v>99</v>
      </c>
      <c r="E36" s="20">
        <v>1.32</v>
      </c>
      <c r="F36" s="20">
        <v>1</v>
      </c>
      <c r="G36" s="20">
        <v>100</v>
      </c>
      <c r="H36" s="65">
        <v>34</v>
      </c>
      <c r="I36" s="20">
        <f>VLOOKUP($C36,兵士关于时代的建筑和勋号加成!$A$38:$K$47,2,0)</f>
        <v>3.7</v>
      </c>
      <c r="J36" s="67">
        <v>1.2</v>
      </c>
      <c r="K36" s="20">
        <f>VLOOKUP($C36,兵士关于时代的建筑和勋号加成!$A$38:$K$47,6,0)</f>
        <v>1.6</v>
      </c>
      <c r="L36" s="65">
        <v>20</v>
      </c>
      <c r="M36" s="20">
        <f>VLOOKUP($C36,兵士关于时代的建筑和勋号加成!$A$38:$K$47,3,0)</f>
        <v>3.1</v>
      </c>
      <c r="N36" s="67">
        <v>1.2</v>
      </c>
      <c r="O36" s="20">
        <f>VLOOKUP($C36,兵士关于时代的建筑和勋号加成!$A$38:$K$47,7,0)</f>
        <v>1.3</v>
      </c>
      <c r="P36" s="34">
        <f t="shared" ref="P36:P54" si="17">AJ36/D36</f>
        <v>140.09427350477148</v>
      </c>
      <c r="Q36" s="34">
        <f t="shared" ref="Q36:Q54" si="18">AJ36/E36</f>
        <v>10507.070512857861</v>
      </c>
      <c r="R36" s="65">
        <v>0</v>
      </c>
      <c r="S36" s="20">
        <f>VLOOKUP($C36,兵士关于时代的建筑和勋号加成!$A$38:$K$47,4,0)</f>
        <v>1</v>
      </c>
      <c r="T36" s="67">
        <v>0</v>
      </c>
      <c r="U36" s="20">
        <f>VLOOKUP($C36,兵士关于时代的建筑和勋号加成!$A$38:$K$47,8,0)</f>
        <v>1</v>
      </c>
      <c r="V36" s="65">
        <v>10</v>
      </c>
      <c r="W36" s="20">
        <f>VLOOKUP($C36,兵士关于时代的建筑和勋号加成!$A$38:$K$47,5,0)</f>
        <v>1</v>
      </c>
      <c r="X36" s="67">
        <v>0</v>
      </c>
      <c r="Y36" s="20">
        <f>VLOOKUP($C36,兵士关于时代的建筑和勋号加成!$A$38:$K$47,9,0)</f>
        <v>1</v>
      </c>
      <c r="Z36" s="60">
        <f t="shared" ref="Z36:Z54" si="19">H36*(I36+$B$1/100)*K36</f>
        <v>217.60000000000002</v>
      </c>
      <c r="AA36" s="60">
        <f t="shared" ref="AA36:AA54" si="20">L36*(M36+$B$1/100)*O36</f>
        <v>88.4</v>
      </c>
      <c r="AB36" s="60">
        <f t="shared" ref="AB36:AB54" si="21">R36*S36*U36</f>
        <v>0</v>
      </c>
      <c r="AC36" s="60">
        <f t="shared" ref="AC36:AC54" si="22">V36*W36*Y36</f>
        <v>10</v>
      </c>
      <c r="AD36" s="69">
        <f t="shared" ref="AD36:AD54" si="23">H36*(I36+J36+$B$1/100)*K36</f>
        <v>282.88000000000005</v>
      </c>
      <c r="AE36" s="69">
        <f t="shared" ref="AE36:AE54" si="24">L36*(M36+N36+$B$1/100)*O36</f>
        <v>119.60000000000001</v>
      </c>
      <c r="AF36" s="69">
        <f t="shared" ref="AF36:AF54" si="25">R36*(S36+T36)*U36</f>
        <v>0</v>
      </c>
      <c r="AG36" s="69">
        <f t="shared" ref="AG36:AG54" si="26">V36*(W36+X36)*Y36</f>
        <v>10</v>
      </c>
      <c r="AH36" s="23">
        <f t="shared" ref="AH36:AH54" si="27">SQRT(Z36*AA36)</f>
        <v>138.69333076972376</v>
      </c>
      <c r="AI36" s="23">
        <f t="shared" ref="AI36:AI54" si="28">SQRT(Z36/AA36)</f>
        <v>1.5689290811054724</v>
      </c>
      <c r="AJ36" s="23">
        <f t="shared" ref="AJ36:AJ54" si="29">AH36*G36</f>
        <v>13869.333076972376</v>
      </c>
      <c r="AK36" s="72">
        <f t="shared" ref="AK36:AK54" si="30">SQRT(AD36*AE36)*G36</f>
        <v>18393.598886569212</v>
      </c>
      <c r="AL36" s="20">
        <f>16</f>
        <v>16</v>
      </c>
      <c r="AM36" s="20">
        <f>VLOOKUP($C36,兵士关于时代的建筑和勋号加成!$A$38:$K$47,11,0)</f>
        <v>6</v>
      </c>
      <c r="AN36" s="39">
        <f t="shared" ref="AN36:AN54" si="31">AJ36*SUM(AL36:AM36)</f>
        <v>305125.32769339229</v>
      </c>
      <c r="AO36" s="69">
        <f t="shared" ref="AO36:AO54" si="32">AK36*SUM(AL36:AM36)</f>
        <v>404659.17550452269</v>
      </c>
      <c r="AP36" s="56">
        <f t="shared" ref="AP36:AP54" si="33">E36*SUM(AL36:AM36)</f>
        <v>29.040000000000003</v>
      </c>
      <c r="AQ36" s="20" t="s">
        <v>185</v>
      </c>
      <c r="AR36" s="20" t="s">
        <v>186</v>
      </c>
      <c r="AS36" s="20" t="s">
        <v>187</v>
      </c>
      <c r="AT36" s="20" t="s">
        <v>263</v>
      </c>
      <c r="AU36" s="20"/>
      <c r="AV36" s="20" t="s">
        <v>154</v>
      </c>
    </row>
    <row r="37" spans="1:48" ht="16.5">
      <c r="A37" s="20" t="s">
        <v>200</v>
      </c>
      <c r="B37" s="54" t="s">
        <v>150</v>
      </c>
      <c r="C37" s="20" t="s">
        <v>150</v>
      </c>
      <c r="D37" s="20">
        <v>135</v>
      </c>
      <c r="E37" s="20">
        <v>1.35</v>
      </c>
      <c r="F37" s="20">
        <v>1</v>
      </c>
      <c r="G37" s="20">
        <v>100</v>
      </c>
      <c r="H37" s="65">
        <v>45</v>
      </c>
      <c r="I37" s="20">
        <f>VLOOKUP($C37,兵士关于时代的建筑和勋号加成!$A$38:$K$47,2,0)</f>
        <v>3.1</v>
      </c>
      <c r="J37" s="67">
        <v>1.2</v>
      </c>
      <c r="K37" s="20">
        <f>VLOOKUP($C37,兵士关于时代的建筑和勋号加成!$A$38:$K$47,6,0)</f>
        <v>1.6</v>
      </c>
      <c r="L37" s="65">
        <v>20</v>
      </c>
      <c r="M37" s="20">
        <f>VLOOKUP($C37,兵士关于时代的建筑和勋号加成!$A$38:$K$47,3,0)</f>
        <v>2.6</v>
      </c>
      <c r="N37" s="67">
        <v>1.2</v>
      </c>
      <c r="O37" s="20">
        <f>VLOOKUP($C37,兵士关于时代的建筑和勋号加成!$A$38:$K$47,7,0)</f>
        <v>1.3</v>
      </c>
      <c r="P37" s="34">
        <f t="shared" si="17"/>
        <v>100.6369836051131</v>
      </c>
      <c r="Q37" s="34">
        <f t="shared" si="18"/>
        <v>10063.698360511309</v>
      </c>
      <c r="R37" s="65">
        <v>40</v>
      </c>
      <c r="S37" s="20">
        <f>VLOOKUP($C37,兵士关于时代的建筑和勋号加成!$A$38:$K$47,4,0)</f>
        <v>1.6</v>
      </c>
      <c r="T37" s="67">
        <v>0</v>
      </c>
      <c r="U37" s="20">
        <f>VLOOKUP($C37,兵士关于时代的建筑和勋号加成!$A$38:$K$47,8,0)</f>
        <v>1.4</v>
      </c>
      <c r="V37" s="65">
        <v>30</v>
      </c>
      <c r="W37" s="20">
        <f>VLOOKUP($C37,兵士关于时代的建筑和勋号加成!$A$38:$K$47,5,0)</f>
        <v>1.6</v>
      </c>
      <c r="X37" s="67">
        <v>0</v>
      </c>
      <c r="Y37" s="20">
        <f>VLOOKUP($C37,兵士关于时代的建筑和勋号加成!$A$38:$K$47,9,0)</f>
        <v>1</v>
      </c>
      <c r="Z37" s="60">
        <f t="shared" si="19"/>
        <v>244.8</v>
      </c>
      <c r="AA37" s="60">
        <f t="shared" si="20"/>
        <v>75.400000000000006</v>
      </c>
      <c r="AB37" s="60">
        <f t="shared" si="21"/>
        <v>89.6</v>
      </c>
      <c r="AC37" s="60">
        <f t="shared" si="22"/>
        <v>48</v>
      </c>
      <c r="AD37" s="69">
        <f t="shared" si="23"/>
        <v>331.2</v>
      </c>
      <c r="AE37" s="69">
        <f t="shared" si="24"/>
        <v>106.60000000000001</v>
      </c>
      <c r="AF37" s="69">
        <f t="shared" si="25"/>
        <v>89.6</v>
      </c>
      <c r="AG37" s="69">
        <f t="shared" si="26"/>
        <v>48</v>
      </c>
      <c r="AH37" s="23">
        <f t="shared" si="27"/>
        <v>135.85992786690269</v>
      </c>
      <c r="AI37" s="23">
        <f t="shared" si="28"/>
        <v>1.801855807253351</v>
      </c>
      <c r="AJ37" s="23">
        <f t="shared" si="29"/>
        <v>13585.992786690269</v>
      </c>
      <c r="AK37" s="72">
        <f t="shared" si="30"/>
        <v>18789.869611043072</v>
      </c>
      <c r="AL37" s="20">
        <f>16</f>
        <v>16</v>
      </c>
      <c r="AM37" s="20">
        <f>VLOOKUP($C37,兵士关于时代的建筑和勋号加成!$A$38:$K$47,11,0)</f>
        <v>6</v>
      </c>
      <c r="AN37" s="39">
        <f t="shared" si="31"/>
        <v>298891.84130718594</v>
      </c>
      <c r="AO37" s="69">
        <f t="shared" si="32"/>
        <v>413377.1314429476</v>
      </c>
      <c r="AP37" s="56">
        <f t="shared" si="33"/>
        <v>29.700000000000003</v>
      </c>
      <c r="AQ37" s="20" t="s">
        <v>170</v>
      </c>
      <c r="AR37" s="20" t="s">
        <v>171</v>
      </c>
      <c r="AS37" s="20" t="s">
        <v>172</v>
      </c>
      <c r="AT37" s="20" t="s">
        <v>250</v>
      </c>
      <c r="AU37" s="20"/>
      <c r="AV37" s="20" t="s">
        <v>140</v>
      </c>
    </row>
    <row r="38" spans="1:48" ht="16.5">
      <c r="A38" s="20" t="s">
        <v>127</v>
      </c>
      <c r="B38" s="54" t="s">
        <v>115</v>
      </c>
      <c r="C38" s="20" t="s">
        <v>115</v>
      </c>
      <c r="D38" s="20">
        <v>75</v>
      </c>
      <c r="E38" s="20">
        <v>0.9</v>
      </c>
      <c r="F38" s="20">
        <v>1</v>
      </c>
      <c r="G38" s="20">
        <v>100</v>
      </c>
      <c r="H38" s="65">
        <v>22</v>
      </c>
      <c r="I38" s="20">
        <f>VLOOKUP($C38,兵士关于时代的建筑和勋号加成!$A$38:$K$47,2,0)</f>
        <v>4</v>
      </c>
      <c r="J38" s="67">
        <v>1.2</v>
      </c>
      <c r="K38" s="20">
        <f>VLOOKUP($C38,兵士关于时代的建筑和勋号加成!$A$38:$K$47,6,0)</f>
        <v>1.5</v>
      </c>
      <c r="L38" s="65">
        <v>24</v>
      </c>
      <c r="M38" s="20">
        <f>VLOOKUP($C38,兵士关于时代的建筑和勋号加成!$A$38:$K$47,3,0)</f>
        <v>3.05</v>
      </c>
      <c r="N38" s="67">
        <v>1.2</v>
      </c>
      <c r="O38" s="20">
        <f>VLOOKUP($C38,兵士关于时代的建筑和勋号加成!$A$38:$K$47,7,0)</f>
        <v>1.6</v>
      </c>
      <c r="P38" s="34">
        <f t="shared" si="17"/>
        <v>180.14323190172865</v>
      </c>
      <c r="Q38" s="34">
        <f t="shared" si="18"/>
        <v>15011.93599181072</v>
      </c>
      <c r="R38" s="65">
        <v>0</v>
      </c>
      <c r="S38" s="20">
        <f>VLOOKUP($C38,兵士关于时代的建筑和勋号加成!$A$38:$K$47,4,0)</f>
        <v>1</v>
      </c>
      <c r="T38" s="67">
        <v>0</v>
      </c>
      <c r="U38" s="20">
        <f>VLOOKUP($C38,兵士关于时代的建筑和勋号加成!$A$38:$K$47,8,0)</f>
        <v>1</v>
      </c>
      <c r="V38" s="65">
        <v>0</v>
      </c>
      <c r="W38" s="20">
        <f>VLOOKUP($C38,兵士关于时代的建筑和勋号加成!$A$38:$K$47,5,0)</f>
        <v>1</v>
      </c>
      <c r="X38" s="67">
        <v>0</v>
      </c>
      <c r="Y38" s="20">
        <f>VLOOKUP($C38,兵士关于时代的建筑和勋号加成!$A$38:$K$47,9,0)</f>
        <v>1</v>
      </c>
      <c r="Z38" s="60">
        <f t="shared" si="19"/>
        <v>141.89999999999998</v>
      </c>
      <c r="AA38" s="60">
        <f t="shared" si="20"/>
        <v>128.63999999999999</v>
      </c>
      <c r="AB38" s="60">
        <f t="shared" si="21"/>
        <v>0</v>
      </c>
      <c r="AC38" s="60">
        <f t="shared" si="22"/>
        <v>0</v>
      </c>
      <c r="AD38" s="69">
        <f t="shared" si="23"/>
        <v>181.5</v>
      </c>
      <c r="AE38" s="69">
        <f t="shared" si="24"/>
        <v>174.72</v>
      </c>
      <c r="AF38" s="69">
        <f t="shared" si="25"/>
        <v>0</v>
      </c>
      <c r="AG38" s="69">
        <f t="shared" si="26"/>
        <v>0</v>
      </c>
      <c r="AH38" s="23">
        <f t="shared" si="27"/>
        <v>135.10742392629649</v>
      </c>
      <c r="AI38" s="23">
        <f t="shared" si="28"/>
        <v>1.0502753725613845</v>
      </c>
      <c r="AJ38" s="23">
        <f t="shared" si="29"/>
        <v>13510.742392629649</v>
      </c>
      <c r="AK38" s="72">
        <f t="shared" si="30"/>
        <v>17807.773583466296</v>
      </c>
      <c r="AL38" s="20">
        <f>16</f>
        <v>16</v>
      </c>
      <c r="AM38" s="20">
        <f>VLOOKUP($C38,兵士关于时代的建筑和勋号加成!$A$38:$K$47,11,0)</f>
        <v>6</v>
      </c>
      <c r="AN38" s="39">
        <f t="shared" si="31"/>
        <v>297236.33263785229</v>
      </c>
      <c r="AO38" s="69">
        <f t="shared" si="32"/>
        <v>391771.0188362585</v>
      </c>
      <c r="AP38" s="56">
        <f t="shared" si="33"/>
        <v>19.8</v>
      </c>
      <c r="AQ38" s="20" t="s">
        <v>95</v>
      </c>
      <c r="AR38" s="20" t="s">
        <v>116</v>
      </c>
      <c r="AS38" s="20" t="s">
        <v>109</v>
      </c>
      <c r="AT38" s="20" t="s">
        <v>109</v>
      </c>
      <c r="AU38" s="20"/>
      <c r="AV38" s="20" t="s">
        <v>194</v>
      </c>
    </row>
    <row r="39" spans="1:48" ht="16.5">
      <c r="A39" s="20" t="s">
        <v>200</v>
      </c>
      <c r="B39" s="54" t="s">
        <v>153</v>
      </c>
      <c r="C39" s="20" t="s">
        <v>112</v>
      </c>
      <c r="D39" s="20">
        <v>110.5</v>
      </c>
      <c r="E39" s="20">
        <v>1.36</v>
      </c>
      <c r="F39" s="20">
        <v>1</v>
      </c>
      <c r="G39" s="20">
        <v>100</v>
      </c>
      <c r="H39" s="65">
        <v>25</v>
      </c>
      <c r="I39" s="20">
        <f>VLOOKUP($C39,兵士关于时代的建筑和勋号加成!$A$38:$K$47,2,0)</f>
        <v>4.9000000000000004</v>
      </c>
      <c r="J39" s="67">
        <v>0.6</v>
      </c>
      <c r="K39" s="20">
        <f>VLOOKUP($C39,兵士关于时代的建筑和勋号加成!$A$38:$K$47,6,0)</f>
        <v>1.6</v>
      </c>
      <c r="L39" s="65">
        <v>15</v>
      </c>
      <c r="M39" s="20">
        <f>VLOOKUP($C39,兵士关于时代的建筑和勋号加成!$A$38:$K$47,3,0)</f>
        <v>3.9</v>
      </c>
      <c r="N39" s="67">
        <v>1</v>
      </c>
      <c r="O39" s="20">
        <f>VLOOKUP($C39,兵士关于时代的建筑和勋号加成!$A$38:$K$47,7,0)</f>
        <v>1.3</v>
      </c>
      <c r="P39" s="34">
        <f t="shared" si="17"/>
        <v>118.11670962834008</v>
      </c>
      <c r="Q39" s="34">
        <f t="shared" si="18"/>
        <v>9596.9826573026294</v>
      </c>
      <c r="R39" s="65">
        <v>60</v>
      </c>
      <c r="S39" s="20">
        <f>VLOOKUP($C39,兵士关于时代的建筑和勋号加成!$A$38:$K$47,4,0)</f>
        <v>1.9</v>
      </c>
      <c r="T39" s="67">
        <v>-0.2</v>
      </c>
      <c r="U39" s="20">
        <f>VLOOKUP($C39,兵士关于时代的建筑和勋号加成!$A$38:$K$47,8,0)</f>
        <v>1.4</v>
      </c>
      <c r="V39" s="65">
        <v>20</v>
      </c>
      <c r="W39" s="20">
        <f>VLOOKUP($C39,兵士关于时代的建筑和勋号加成!$A$38:$K$47,5,0)</f>
        <v>1.3</v>
      </c>
      <c r="X39" s="67">
        <v>-0.2</v>
      </c>
      <c r="Y39" s="20">
        <f>VLOOKUP($C39,兵士关于时代的建筑和勋号加成!$A$38:$K$47,9,0)</f>
        <v>1</v>
      </c>
      <c r="Z39" s="60">
        <f t="shared" si="19"/>
        <v>208</v>
      </c>
      <c r="AA39" s="60">
        <f t="shared" si="20"/>
        <v>81.900000000000006</v>
      </c>
      <c r="AB39" s="60">
        <f t="shared" si="21"/>
        <v>159.6</v>
      </c>
      <c r="AC39" s="60">
        <f t="shared" si="22"/>
        <v>26</v>
      </c>
      <c r="AD39" s="69">
        <f t="shared" si="23"/>
        <v>232</v>
      </c>
      <c r="AE39" s="69">
        <f t="shared" si="24"/>
        <v>101.4</v>
      </c>
      <c r="AF39" s="69">
        <f t="shared" si="25"/>
        <v>142.79999999999998</v>
      </c>
      <c r="AG39" s="69">
        <f t="shared" si="26"/>
        <v>22</v>
      </c>
      <c r="AH39" s="23">
        <f t="shared" si="27"/>
        <v>130.51896413931578</v>
      </c>
      <c r="AI39" s="23">
        <f t="shared" si="28"/>
        <v>1.5936381457791915</v>
      </c>
      <c r="AJ39" s="23">
        <f t="shared" si="29"/>
        <v>13051.896413931578</v>
      </c>
      <c r="AK39" s="72">
        <f t="shared" si="30"/>
        <v>15337.796451902734</v>
      </c>
      <c r="AL39" s="20">
        <f>16</f>
        <v>16</v>
      </c>
      <c r="AM39" s="20">
        <f>VLOOKUP($C39,兵士关于时代的建筑和勋号加成!$A$38:$K$47,11,0)</f>
        <v>6</v>
      </c>
      <c r="AN39" s="39">
        <f t="shared" si="31"/>
        <v>287141.72110649472</v>
      </c>
      <c r="AO39" s="69">
        <f t="shared" si="32"/>
        <v>337431.52194186015</v>
      </c>
      <c r="AP39" s="56">
        <f t="shared" si="33"/>
        <v>29.92</v>
      </c>
      <c r="AQ39" s="20" t="s">
        <v>110</v>
      </c>
      <c r="AR39" s="20" t="s">
        <v>113</v>
      </c>
      <c r="AS39" s="20" t="s">
        <v>114</v>
      </c>
      <c r="AT39" s="20" t="s">
        <v>253</v>
      </c>
      <c r="AU39" s="20"/>
      <c r="AV39" s="20" t="s">
        <v>154</v>
      </c>
    </row>
    <row r="40" spans="1:48" ht="16.5">
      <c r="A40" s="20" t="s">
        <v>232</v>
      </c>
      <c r="B40" s="54" t="s">
        <v>214</v>
      </c>
      <c r="C40" s="20" t="s">
        <v>112</v>
      </c>
      <c r="D40" s="20">
        <v>85</v>
      </c>
      <c r="E40" s="20">
        <v>1.1499999999999999</v>
      </c>
      <c r="F40" s="20">
        <v>1</v>
      </c>
      <c r="G40" s="20">
        <v>100</v>
      </c>
      <c r="H40" s="65">
        <v>22</v>
      </c>
      <c r="I40" s="20">
        <f>VLOOKUP($C40,兵士关于时代的建筑和勋号加成!$A$38:$K$47,2,0)</f>
        <v>4.9000000000000004</v>
      </c>
      <c r="J40" s="67">
        <v>0.6</v>
      </c>
      <c r="K40" s="20">
        <f>VLOOKUP($C40,兵士关于时代的建筑和勋号加成!$A$38:$K$47,6,0)</f>
        <v>1.6</v>
      </c>
      <c r="L40" s="65">
        <v>16</v>
      </c>
      <c r="M40" s="20">
        <f>VLOOKUP($C40,兵士关于时代的建筑和勋号加成!$A$38:$K$47,3,0)</f>
        <v>3.9</v>
      </c>
      <c r="N40" s="67">
        <v>1</v>
      </c>
      <c r="O40" s="20">
        <f>VLOOKUP($C40,兵士关于时代的建筑和勋号加成!$A$38:$K$47,7,0)</f>
        <v>1.3</v>
      </c>
      <c r="P40" s="34">
        <f t="shared" si="17"/>
        <v>148.76829665612701</v>
      </c>
      <c r="Q40" s="34">
        <f t="shared" si="18"/>
        <v>10995.917578931127</v>
      </c>
      <c r="R40" s="65">
        <v>30</v>
      </c>
      <c r="S40" s="20">
        <f>VLOOKUP($C40,兵士关于时代的建筑和勋号加成!$A$38:$K$47,4,0)</f>
        <v>1.9</v>
      </c>
      <c r="T40" s="67">
        <v>-0.2</v>
      </c>
      <c r="U40" s="20">
        <f>VLOOKUP($C40,兵士关于时代的建筑和勋号加成!$A$38:$K$47,8,0)</f>
        <v>1.4</v>
      </c>
      <c r="V40" s="65">
        <v>50</v>
      </c>
      <c r="W40" s="20">
        <f>VLOOKUP($C40,兵士关于时代的建筑和勋号加成!$A$38:$K$47,5,0)</f>
        <v>1.3</v>
      </c>
      <c r="X40" s="67">
        <v>-0.2</v>
      </c>
      <c r="Y40" s="20">
        <f>VLOOKUP($C40,兵士关于时代的建筑和勋号加成!$A$38:$K$47,9,0)</f>
        <v>1</v>
      </c>
      <c r="Z40" s="60">
        <f t="shared" si="19"/>
        <v>183.04000000000002</v>
      </c>
      <c r="AA40" s="60">
        <f t="shared" si="20"/>
        <v>87.360000000000014</v>
      </c>
      <c r="AB40" s="60">
        <f t="shared" si="21"/>
        <v>79.8</v>
      </c>
      <c r="AC40" s="60">
        <f t="shared" si="22"/>
        <v>65</v>
      </c>
      <c r="AD40" s="69">
        <f t="shared" si="23"/>
        <v>204.16</v>
      </c>
      <c r="AE40" s="69">
        <f t="shared" si="24"/>
        <v>108.16000000000001</v>
      </c>
      <c r="AF40" s="69">
        <f t="shared" si="25"/>
        <v>71.399999999999991</v>
      </c>
      <c r="AG40" s="69">
        <f t="shared" si="26"/>
        <v>55.000000000000007</v>
      </c>
      <c r="AH40" s="23">
        <f t="shared" si="27"/>
        <v>126.45305215770794</v>
      </c>
      <c r="AI40" s="23">
        <f t="shared" si="28"/>
        <v>1.4474937289114918</v>
      </c>
      <c r="AJ40" s="23">
        <f t="shared" si="29"/>
        <v>12645.305215770795</v>
      </c>
      <c r="AK40" s="72">
        <f t="shared" si="30"/>
        <v>14859.995154777138</v>
      </c>
      <c r="AL40" s="20">
        <f>16</f>
        <v>16</v>
      </c>
      <c r="AM40" s="20">
        <f>VLOOKUP($C40,兵士关于时代的建筑和勋号加成!$A$38:$K$47,11,0)</f>
        <v>6</v>
      </c>
      <c r="AN40" s="39">
        <f t="shared" si="31"/>
        <v>278196.71474695747</v>
      </c>
      <c r="AO40" s="69">
        <f t="shared" si="32"/>
        <v>326919.89340509701</v>
      </c>
      <c r="AP40" s="56">
        <f t="shared" si="33"/>
        <v>25.299999999999997</v>
      </c>
      <c r="AQ40" s="20" t="s">
        <v>110</v>
      </c>
      <c r="AR40" s="20" t="s">
        <v>215</v>
      </c>
      <c r="AS40" s="20" t="s">
        <v>216</v>
      </c>
      <c r="AT40" s="20" t="s">
        <v>271</v>
      </c>
      <c r="AU40" s="20" t="s">
        <v>235</v>
      </c>
      <c r="AV40" s="20" t="s">
        <v>140</v>
      </c>
    </row>
    <row r="41" spans="1:48" ht="16.5">
      <c r="A41" s="20" t="s">
        <v>232</v>
      </c>
      <c r="B41" s="54" t="s">
        <v>217</v>
      </c>
      <c r="C41" s="20" t="s">
        <v>112</v>
      </c>
      <c r="D41" s="20">
        <v>90</v>
      </c>
      <c r="E41" s="20">
        <v>1.1499999999999999</v>
      </c>
      <c r="F41" s="20">
        <v>1</v>
      </c>
      <c r="G41" s="20">
        <v>100</v>
      </c>
      <c r="H41" s="65">
        <v>22</v>
      </c>
      <c r="I41" s="20">
        <f>VLOOKUP($C41,兵士关于时代的建筑和勋号加成!$A$38:$K$47,2,0)</f>
        <v>4.9000000000000004</v>
      </c>
      <c r="J41" s="67">
        <v>0.6</v>
      </c>
      <c r="K41" s="20">
        <f>VLOOKUP($C41,兵士关于时代的建筑和勋号加成!$A$38:$K$47,6,0)</f>
        <v>1.6</v>
      </c>
      <c r="L41" s="65">
        <v>15</v>
      </c>
      <c r="M41" s="20">
        <f>VLOOKUP($C41,兵士关于时代的建筑和勋号加成!$A$38:$K$47,3,0)</f>
        <v>3.9</v>
      </c>
      <c r="N41" s="67">
        <v>1</v>
      </c>
      <c r="O41" s="20">
        <f>VLOOKUP($C41,兵士关于时代的建筑和勋号加成!$A$38:$K$47,7,0)</f>
        <v>1.3</v>
      </c>
      <c r="P41" s="34">
        <f t="shared" si="17"/>
        <v>136.04182363441686</v>
      </c>
      <c r="Q41" s="34">
        <f t="shared" si="18"/>
        <v>10646.751414867407</v>
      </c>
      <c r="R41" s="65">
        <v>30</v>
      </c>
      <c r="S41" s="20">
        <f>VLOOKUP($C41,兵士关于时代的建筑和勋号加成!$A$38:$K$47,4,0)</f>
        <v>1.9</v>
      </c>
      <c r="T41" s="67">
        <v>-0.2</v>
      </c>
      <c r="U41" s="20">
        <f>VLOOKUP($C41,兵士关于时代的建筑和勋号加成!$A$38:$K$47,8,0)</f>
        <v>1.4</v>
      </c>
      <c r="V41" s="65">
        <v>30</v>
      </c>
      <c r="W41" s="20">
        <f>VLOOKUP($C41,兵士关于时代的建筑和勋号加成!$A$38:$K$47,5,0)</f>
        <v>1.3</v>
      </c>
      <c r="X41" s="67">
        <v>-0.2</v>
      </c>
      <c r="Y41" s="20">
        <f>VLOOKUP($C41,兵士关于时代的建筑和勋号加成!$A$38:$K$47,9,0)</f>
        <v>1</v>
      </c>
      <c r="Z41" s="60">
        <f t="shared" si="19"/>
        <v>183.04000000000002</v>
      </c>
      <c r="AA41" s="60">
        <f t="shared" si="20"/>
        <v>81.900000000000006</v>
      </c>
      <c r="AB41" s="60">
        <f t="shared" si="21"/>
        <v>79.8</v>
      </c>
      <c r="AC41" s="60">
        <f t="shared" si="22"/>
        <v>39</v>
      </c>
      <c r="AD41" s="69">
        <f t="shared" si="23"/>
        <v>204.16</v>
      </c>
      <c r="AE41" s="69">
        <f t="shared" si="24"/>
        <v>101.4</v>
      </c>
      <c r="AF41" s="69">
        <f t="shared" si="25"/>
        <v>71.399999999999991</v>
      </c>
      <c r="AG41" s="69">
        <f t="shared" si="26"/>
        <v>33</v>
      </c>
      <c r="AH41" s="23">
        <f t="shared" si="27"/>
        <v>122.43764127097518</v>
      </c>
      <c r="AI41" s="23">
        <f t="shared" si="28"/>
        <v>1.4949650948837017</v>
      </c>
      <c r="AJ41" s="23">
        <f t="shared" si="29"/>
        <v>12243.764127097518</v>
      </c>
      <c r="AK41" s="72">
        <f t="shared" si="30"/>
        <v>14388.128439793689</v>
      </c>
      <c r="AL41" s="20">
        <f>16</f>
        <v>16</v>
      </c>
      <c r="AM41" s="20">
        <f>VLOOKUP($C41,兵士关于时代的建筑和勋号加成!$A$38:$K$47,11,0)</f>
        <v>6</v>
      </c>
      <c r="AN41" s="39">
        <f t="shared" si="31"/>
        <v>269362.81079614541</v>
      </c>
      <c r="AO41" s="69">
        <f t="shared" si="32"/>
        <v>316538.82567546115</v>
      </c>
      <c r="AP41" s="56">
        <f t="shared" si="33"/>
        <v>25.299999999999997</v>
      </c>
      <c r="AQ41" s="20" t="s">
        <v>218</v>
      </c>
      <c r="AR41" s="20" t="s">
        <v>219</v>
      </c>
      <c r="AS41" s="20" t="s">
        <v>114</v>
      </c>
      <c r="AT41" s="20" t="s">
        <v>272</v>
      </c>
      <c r="AU41" s="20" t="s">
        <v>236</v>
      </c>
      <c r="AV41" s="20" t="s">
        <v>140</v>
      </c>
    </row>
    <row r="42" spans="1:48" ht="16.5">
      <c r="A42" s="20" t="s">
        <v>127</v>
      </c>
      <c r="B42" s="54" t="s">
        <v>112</v>
      </c>
      <c r="C42" s="20" t="s">
        <v>112</v>
      </c>
      <c r="D42" s="20">
        <v>85</v>
      </c>
      <c r="E42" s="20">
        <v>1.05</v>
      </c>
      <c r="F42" s="20">
        <v>1</v>
      </c>
      <c r="G42" s="20">
        <v>100</v>
      </c>
      <c r="H42" s="65">
        <v>22</v>
      </c>
      <c r="I42" s="20">
        <f>VLOOKUP($C42,兵士关于时代的建筑和勋号加成!$A$38:$K$47,2,0)</f>
        <v>4.9000000000000004</v>
      </c>
      <c r="J42" s="67">
        <v>0.6</v>
      </c>
      <c r="K42" s="20">
        <f>VLOOKUP($C42,兵士关于时代的建筑和勋号加成!$A$38:$K$47,6,0)</f>
        <v>1.6</v>
      </c>
      <c r="L42" s="65">
        <v>15</v>
      </c>
      <c r="M42" s="20">
        <f>VLOOKUP($C42,兵士关于时代的建筑和勋号加成!$A$38:$K$47,3,0)</f>
        <v>3.9</v>
      </c>
      <c r="N42" s="67">
        <v>1</v>
      </c>
      <c r="O42" s="20">
        <f>VLOOKUP($C42,兵士关于时代的建筑和勋号加成!$A$38:$K$47,7,0)</f>
        <v>1.3</v>
      </c>
      <c r="P42" s="34">
        <f t="shared" si="17"/>
        <v>144.04428384820611</v>
      </c>
      <c r="Q42" s="34">
        <f t="shared" si="18"/>
        <v>11660.727740092874</v>
      </c>
      <c r="R42" s="65">
        <v>30</v>
      </c>
      <c r="S42" s="20">
        <f>VLOOKUP($C42,兵士关于时代的建筑和勋号加成!$A$38:$K$47,4,0)</f>
        <v>1.9</v>
      </c>
      <c r="T42" s="67">
        <v>-0.2</v>
      </c>
      <c r="U42" s="20">
        <f>VLOOKUP($C42,兵士关于时代的建筑和勋号加成!$A$38:$K$47,8,0)</f>
        <v>1.4</v>
      </c>
      <c r="V42" s="65">
        <v>30</v>
      </c>
      <c r="W42" s="20">
        <f>VLOOKUP($C42,兵士关于时代的建筑和勋号加成!$A$38:$K$47,5,0)</f>
        <v>1.3</v>
      </c>
      <c r="X42" s="67">
        <v>-0.2</v>
      </c>
      <c r="Y42" s="20">
        <f>VLOOKUP($C42,兵士关于时代的建筑和勋号加成!$A$38:$K$47,9,0)</f>
        <v>1</v>
      </c>
      <c r="Z42" s="60">
        <f t="shared" si="19"/>
        <v>183.04000000000002</v>
      </c>
      <c r="AA42" s="60">
        <f t="shared" si="20"/>
        <v>81.900000000000006</v>
      </c>
      <c r="AB42" s="60">
        <f t="shared" si="21"/>
        <v>79.8</v>
      </c>
      <c r="AC42" s="60">
        <f t="shared" si="22"/>
        <v>39</v>
      </c>
      <c r="AD42" s="69">
        <f t="shared" si="23"/>
        <v>204.16</v>
      </c>
      <c r="AE42" s="69">
        <f t="shared" si="24"/>
        <v>101.4</v>
      </c>
      <c r="AF42" s="69">
        <f t="shared" si="25"/>
        <v>71.399999999999991</v>
      </c>
      <c r="AG42" s="69">
        <f t="shared" si="26"/>
        <v>33</v>
      </c>
      <c r="AH42" s="23">
        <f t="shared" si="27"/>
        <v>122.43764127097518</v>
      </c>
      <c r="AI42" s="23">
        <f t="shared" si="28"/>
        <v>1.4949650948837017</v>
      </c>
      <c r="AJ42" s="23">
        <f t="shared" si="29"/>
        <v>12243.764127097518</v>
      </c>
      <c r="AK42" s="72">
        <f t="shared" si="30"/>
        <v>14388.128439793689</v>
      </c>
      <c r="AL42" s="20">
        <f>16</f>
        <v>16</v>
      </c>
      <c r="AM42" s="20">
        <f>VLOOKUP($C42,兵士关于时代的建筑和勋号加成!$A$38:$K$47,11,0)</f>
        <v>6</v>
      </c>
      <c r="AN42" s="39">
        <f t="shared" si="31"/>
        <v>269362.81079614541</v>
      </c>
      <c r="AO42" s="69">
        <f t="shared" si="32"/>
        <v>316538.82567546115</v>
      </c>
      <c r="AP42" s="56">
        <f t="shared" si="33"/>
        <v>23.1</v>
      </c>
      <c r="AQ42" s="20" t="s">
        <v>197</v>
      </c>
      <c r="AR42" s="20" t="s">
        <v>113</v>
      </c>
      <c r="AS42" s="20" t="s">
        <v>114</v>
      </c>
      <c r="AT42" s="20" t="s">
        <v>136</v>
      </c>
      <c r="AU42" s="20"/>
      <c r="AV42" s="20" t="s">
        <v>194</v>
      </c>
    </row>
    <row r="43" spans="1:48" ht="16.5">
      <c r="A43" s="20" t="s">
        <v>232</v>
      </c>
      <c r="B43" s="54" t="s">
        <v>220</v>
      </c>
      <c r="C43" s="20" t="s">
        <v>112</v>
      </c>
      <c r="D43" s="20">
        <v>94</v>
      </c>
      <c r="E43" s="20">
        <v>0.92</v>
      </c>
      <c r="F43" s="20">
        <v>1</v>
      </c>
      <c r="G43" s="20">
        <v>100</v>
      </c>
      <c r="H43" s="65">
        <v>22</v>
      </c>
      <c r="I43" s="20">
        <f>VLOOKUP($C43,兵士关于时代的建筑和勋号加成!$A$38:$K$47,2,0)</f>
        <v>4.9000000000000004</v>
      </c>
      <c r="J43" s="67">
        <v>0.6</v>
      </c>
      <c r="K43" s="20">
        <f>VLOOKUP($C43,兵士关于时代的建筑和勋号加成!$A$38:$K$47,6,0)</f>
        <v>1.6</v>
      </c>
      <c r="L43" s="65">
        <v>15</v>
      </c>
      <c r="M43" s="20">
        <f>VLOOKUP($C43,兵士关于时代的建筑和勋号加成!$A$38:$K$47,3,0)</f>
        <v>3.9</v>
      </c>
      <c r="N43" s="67">
        <v>1</v>
      </c>
      <c r="O43" s="20">
        <f>VLOOKUP($C43,兵士关于时代的建筑和勋号加成!$A$38:$K$47,7,0)</f>
        <v>1.3</v>
      </c>
      <c r="P43" s="34">
        <f t="shared" si="17"/>
        <v>130.25280986273955</v>
      </c>
      <c r="Q43" s="34">
        <f t="shared" si="18"/>
        <v>13308.439268584258</v>
      </c>
      <c r="R43" s="65">
        <v>52</v>
      </c>
      <c r="S43" s="20">
        <f>VLOOKUP($C43,兵士关于时代的建筑和勋号加成!$A$38:$K$47,4,0)</f>
        <v>1.9</v>
      </c>
      <c r="T43" s="67">
        <v>-0.2</v>
      </c>
      <c r="U43" s="20">
        <f>VLOOKUP($C43,兵士关于时代的建筑和勋号加成!$A$38:$K$47,8,0)</f>
        <v>1.4</v>
      </c>
      <c r="V43" s="65">
        <v>30</v>
      </c>
      <c r="W43" s="20">
        <f>VLOOKUP($C43,兵士关于时代的建筑和勋号加成!$A$38:$K$47,5,0)</f>
        <v>1.3</v>
      </c>
      <c r="X43" s="67">
        <v>-0.2</v>
      </c>
      <c r="Y43" s="20">
        <f>VLOOKUP($C43,兵士关于时代的建筑和勋号加成!$A$38:$K$47,9,0)</f>
        <v>1</v>
      </c>
      <c r="Z43" s="60">
        <f t="shared" si="19"/>
        <v>183.04000000000002</v>
      </c>
      <c r="AA43" s="60">
        <f t="shared" si="20"/>
        <v>81.900000000000006</v>
      </c>
      <c r="AB43" s="60">
        <f t="shared" si="21"/>
        <v>138.32</v>
      </c>
      <c r="AC43" s="60">
        <f t="shared" si="22"/>
        <v>39</v>
      </c>
      <c r="AD43" s="69">
        <f t="shared" si="23"/>
        <v>204.16</v>
      </c>
      <c r="AE43" s="69">
        <f t="shared" si="24"/>
        <v>101.4</v>
      </c>
      <c r="AF43" s="69">
        <f t="shared" si="25"/>
        <v>123.75999999999998</v>
      </c>
      <c r="AG43" s="69">
        <f t="shared" si="26"/>
        <v>33</v>
      </c>
      <c r="AH43" s="23">
        <f t="shared" si="27"/>
        <v>122.43764127097518</v>
      </c>
      <c r="AI43" s="23">
        <f t="shared" si="28"/>
        <v>1.4949650948837017</v>
      </c>
      <c r="AJ43" s="23">
        <f t="shared" si="29"/>
        <v>12243.764127097518</v>
      </c>
      <c r="AK43" s="72">
        <f t="shared" si="30"/>
        <v>14388.128439793689</v>
      </c>
      <c r="AL43" s="20">
        <f>16</f>
        <v>16</v>
      </c>
      <c r="AM43" s="20">
        <f>VLOOKUP($C43,兵士关于时代的建筑和勋号加成!$A$38:$K$47,11,0)</f>
        <v>6</v>
      </c>
      <c r="AN43" s="39">
        <f t="shared" si="31"/>
        <v>269362.81079614541</v>
      </c>
      <c r="AO43" s="69">
        <f t="shared" si="32"/>
        <v>316538.82567546115</v>
      </c>
      <c r="AP43" s="56">
        <f t="shared" si="33"/>
        <v>20.240000000000002</v>
      </c>
      <c r="AQ43" s="20" t="s">
        <v>110</v>
      </c>
      <c r="AR43" s="20" t="s">
        <v>221</v>
      </c>
      <c r="AS43" s="20" t="s">
        <v>216</v>
      </c>
      <c r="AT43" s="20" t="s">
        <v>273</v>
      </c>
      <c r="AU43" s="20" t="s">
        <v>237</v>
      </c>
      <c r="AV43" s="20" t="s">
        <v>315</v>
      </c>
    </row>
    <row r="44" spans="1:48" ht="16.5">
      <c r="A44" s="20" t="s">
        <v>200</v>
      </c>
      <c r="B44" s="54" t="s">
        <v>139</v>
      </c>
      <c r="C44" s="20" t="s">
        <v>106</v>
      </c>
      <c r="D44" s="20">
        <v>81</v>
      </c>
      <c r="E44" s="20">
        <v>0.81</v>
      </c>
      <c r="F44" s="20">
        <v>1</v>
      </c>
      <c r="G44" s="20">
        <v>100</v>
      </c>
      <c r="H44" s="65">
        <v>20</v>
      </c>
      <c r="I44" s="20">
        <f>VLOOKUP($C44,兵士关于时代的建筑和勋号加成!$A$38:$K$47,2,0)</f>
        <v>4.8</v>
      </c>
      <c r="J44" s="67">
        <v>1.2</v>
      </c>
      <c r="K44" s="20">
        <f>VLOOKUP($C44,兵士关于时代的建筑和勋号加成!$A$38:$K$47,6,0)</f>
        <v>1.6</v>
      </c>
      <c r="L44" s="65">
        <v>16</v>
      </c>
      <c r="M44" s="20">
        <f>VLOOKUP($C44,兵士关于时代的建筑和勋号加成!$A$38:$K$47,3,0)</f>
        <v>3.3</v>
      </c>
      <c r="N44" s="67">
        <v>1.2</v>
      </c>
      <c r="O44" s="20">
        <f>VLOOKUP($C44,兵士关于时代的建筑和勋号加成!$A$38:$K$47,7,0)</f>
        <v>1.3</v>
      </c>
      <c r="P44" s="34">
        <f t="shared" si="17"/>
        <v>136.47653139422607</v>
      </c>
      <c r="Q44" s="34">
        <f t="shared" si="18"/>
        <v>13647.653139422606</v>
      </c>
      <c r="R44" s="65">
        <v>20</v>
      </c>
      <c r="S44" s="20">
        <f>VLOOKUP($C44,兵士关于时代的建筑和勋号加成!$A$38:$K$47,4,0)</f>
        <v>2.2000000000000002</v>
      </c>
      <c r="T44" s="67">
        <v>0</v>
      </c>
      <c r="U44" s="20">
        <f>VLOOKUP($C44,兵士关于时代的建筑和勋号加成!$A$38:$K$47,8,0)</f>
        <v>1</v>
      </c>
      <c r="V44" s="65">
        <v>10</v>
      </c>
      <c r="W44" s="20">
        <f>VLOOKUP($C44,兵士关于时代的建筑和勋号加成!$A$38:$K$47,5,0)</f>
        <v>2</v>
      </c>
      <c r="X44" s="67">
        <v>0</v>
      </c>
      <c r="Y44" s="20">
        <f>VLOOKUP($C44,兵士关于时代的建筑和勋号加成!$A$38:$K$47,9,0)</f>
        <v>1.5</v>
      </c>
      <c r="Z44" s="60">
        <f t="shared" si="19"/>
        <v>163.20000000000002</v>
      </c>
      <c r="AA44" s="60">
        <f t="shared" si="20"/>
        <v>74.88</v>
      </c>
      <c r="AB44" s="60">
        <f t="shared" si="21"/>
        <v>44</v>
      </c>
      <c r="AC44" s="60">
        <f t="shared" si="22"/>
        <v>30</v>
      </c>
      <c r="AD44" s="69">
        <f t="shared" si="23"/>
        <v>201.60000000000002</v>
      </c>
      <c r="AE44" s="69">
        <f t="shared" si="24"/>
        <v>99.84</v>
      </c>
      <c r="AF44" s="69">
        <f t="shared" si="25"/>
        <v>44</v>
      </c>
      <c r="AG44" s="69">
        <f t="shared" si="26"/>
        <v>30</v>
      </c>
      <c r="AH44" s="23">
        <f t="shared" si="27"/>
        <v>110.54599042932313</v>
      </c>
      <c r="AI44" s="23">
        <f t="shared" si="28"/>
        <v>1.4763086328702342</v>
      </c>
      <c r="AJ44" s="23">
        <f t="shared" si="29"/>
        <v>11054.599042932312</v>
      </c>
      <c r="AK44" s="72">
        <f t="shared" si="30"/>
        <v>14187.228059067778</v>
      </c>
      <c r="AL44" s="20">
        <f>16</f>
        <v>16</v>
      </c>
      <c r="AM44" s="20">
        <f>VLOOKUP($C44,兵士关于时代的建筑和勋号加成!$A$38:$K$47,11,0)</f>
        <v>8</v>
      </c>
      <c r="AN44" s="39">
        <f t="shared" si="31"/>
        <v>265310.37703037547</v>
      </c>
      <c r="AO44" s="69">
        <f t="shared" si="32"/>
        <v>340493.47341762669</v>
      </c>
      <c r="AP44" s="56">
        <f t="shared" si="33"/>
        <v>19.440000000000001</v>
      </c>
      <c r="AQ44" s="20" t="s">
        <v>165</v>
      </c>
      <c r="AR44" s="20" t="s">
        <v>116</v>
      </c>
      <c r="AS44" s="20" t="s">
        <v>2</v>
      </c>
      <c r="AT44" s="20" t="s">
        <v>241</v>
      </c>
      <c r="AU44" s="20"/>
      <c r="AV44" s="20" t="s">
        <v>194</v>
      </c>
    </row>
    <row r="45" spans="1:48">
      <c r="A45" s="20" t="s">
        <v>200</v>
      </c>
      <c r="B45" s="54" t="s">
        <v>148</v>
      </c>
      <c r="C45" s="20" t="s">
        <v>106</v>
      </c>
      <c r="D45" s="20">
        <v>54</v>
      </c>
      <c r="E45" s="20">
        <v>0.54</v>
      </c>
      <c r="F45" s="20">
        <v>1</v>
      </c>
      <c r="G45" s="20">
        <v>100</v>
      </c>
      <c r="H45" s="65">
        <v>18</v>
      </c>
      <c r="I45" s="20">
        <f>VLOOKUP($C45,兵士关于时代的建筑和勋号加成!$A$38:$K$47,2,0)</f>
        <v>4.8</v>
      </c>
      <c r="J45" s="67">
        <v>1.2</v>
      </c>
      <c r="K45" s="20">
        <f>VLOOKUP($C45,兵士关于时代的建筑和勋号加成!$A$38:$K$47,6,0)</f>
        <v>1.6</v>
      </c>
      <c r="L45" s="65">
        <v>14</v>
      </c>
      <c r="M45" s="20">
        <f>VLOOKUP($C45,兵士关于时代的建筑和勋号加成!$A$38:$K$47,3,0)</f>
        <v>3.3</v>
      </c>
      <c r="N45" s="67">
        <v>1.2</v>
      </c>
      <c r="O45" s="20">
        <f>VLOOKUP($C45,兵士关于时代的建筑和勋号加成!$A$38:$K$47,7,0)</f>
        <v>1.3</v>
      </c>
      <c r="P45" s="34">
        <f t="shared" si="17"/>
        <v>181.66636085601169</v>
      </c>
      <c r="Q45" s="34">
        <f t="shared" si="18"/>
        <v>18166.636085601167</v>
      </c>
      <c r="R45" s="65">
        <v>0</v>
      </c>
      <c r="S45" s="20">
        <f>VLOOKUP($C45,兵士关于时代的建筑和勋号加成!$A$38:$K$47,4,0)</f>
        <v>2.2000000000000002</v>
      </c>
      <c r="T45" s="67">
        <v>0</v>
      </c>
      <c r="U45" s="20">
        <f>VLOOKUP($C45,兵士关于时代的建筑和勋号加成!$A$38:$K$47,8,0)</f>
        <v>1</v>
      </c>
      <c r="V45" s="65">
        <v>20</v>
      </c>
      <c r="W45" s="20">
        <f>VLOOKUP($C45,兵士关于时代的建筑和勋号加成!$A$38:$K$47,5,0)</f>
        <v>2</v>
      </c>
      <c r="X45" s="67">
        <v>0</v>
      </c>
      <c r="Y45" s="20">
        <f>VLOOKUP($C45,兵士关于时代的建筑和勋号加成!$A$38:$K$47,9,0)</f>
        <v>1.5</v>
      </c>
      <c r="Z45" s="60">
        <f t="shared" si="19"/>
        <v>146.88</v>
      </c>
      <c r="AA45" s="60">
        <f t="shared" si="20"/>
        <v>65.52</v>
      </c>
      <c r="AB45" s="60">
        <f t="shared" si="21"/>
        <v>0</v>
      </c>
      <c r="AC45" s="60">
        <f t="shared" si="22"/>
        <v>60</v>
      </c>
      <c r="AD45" s="69">
        <f t="shared" si="23"/>
        <v>181.44</v>
      </c>
      <c r="AE45" s="69">
        <f t="shared" si="24"/>
        <v>87.360000000000014</v>
      </c>
      <c r="AF45" s="69">
        <f t="shared" si="25"/>
        <v>0</v>
      </c>
      <c r="AG45" s="69">
        <f t="shared" si="26"/>
        <v>60</v>
      </c>
      <c r="AH45" s="23">
        <f t="shared" si="27"/>
        <v>98.099834862246325</v>
      </c>
      <c r="AI45" s="23">
        <f t="shared" si="28"/>
        <v>1.4972502268352614</v>
      </c>
      <c r="AJ45" s="23">
        <f t="shared" si="29"/>
        <v>9809.9834862246316</v>
      </c>
      <c r="AK45" s="72">
        <f t="shared" si="30"/>
        <v>12589.915964771171</v>
      </c>
      <c r="AL45" s="20">
        <f>16</f>
        <v>16</v>
      </c>
      <c r="AM45" s="20">
        <f>VLOOKUP($C45,兵士关于时代的建筑和勋号加成!$A$38:$K$47,11,0)</f>
        <v>8</v>
      </c>
      <c r="AN45" s="39">
        <f t="shared" si="31"/>
        <v>235439.60366939116</v>
      </c>
      <c r="AO45" s="69">
        <f t="shared" si="32"/>
        <v>302157.98315450811</v>
      </c>
      <c r="AP45" s="56">
        <f t="shared" si="33"/>
        <v>12.96</v>
      </c>
      <c r="AQ45" s="20" t="s">
        <v>107</v>
      </c>
      <c r="AR45" s="20" t="s">
        <v>169</v>
      </c>
      <c r="AS45" s="20" t="s">
        <v>109</v>
      </c>
      <c r="AT45" s="20" t="s">
        <v>248</v>
      </c>
      <c r="AU45" s="20"/>
      <c r="AV45" s="20" t="s">
        <v>140</v>
      </c>
    </row>
    <row r="46" spans="1:48">
      <c r="A46" s="20" t="s">
        <v>200</v>
      </c>
      <c r="B46" s="54" t="s">
        <v>160</v>
      </c>
      <c r="C46" s="20" t="s">
        <v>106</v>
      </c>
      <c r="D46" s="20">
        <v>45</v>
      </c>
      <c r="E46" s="20">
        <v>0.45</v>
      </c>
      <c r="F46" s="20">
        <v>1</v>
      </c>
      <c r="G46" s="20">
        <v>100</v>
      </c>
      <c r="H46" s="65">
        <v>10</v>
      </c>
      <c r="I46" s="20">
        <f>VLOOKUP($C46,兵士关于时代的建筑和勋号加成!$A$38:$K$47,2,0)</f>
        <v>4.8</v>
      </c>
      <c r="J46" s="67">
        <v>1.2</v>
      </c>
      <c r="K46" s="20">
        <f>VLOOKUP($C46,兵士关于时代的建筑和勋号加成!$A$38:$K$47,6,0)</f>
        <v>1.6</v>
      </c>
      <c r="L46" s="65">
        <v>24</v>
      </c>
      <c r="M46" s="20">
        <f>VLOOKUP($C46,兵士关于时代的建筑和勋号加成!$A$38:$K$47,3,0)</f>
        <v>3.3</v>
      </c>
      <c r="N46" s="67">
        <v>1.2</v>
      </c>
      <c r="O46" s="20">
        <f>VLOOKUP($C46,兵士关于时代的建筑和勋号加成!$A$38:$K$47,7,0)</f>
        <v>1.3</v>
      </c>
      <c r="P46" s="34">
        <f t="shared" si="17"/>
        <v>212.74585777401168</v>
      </c>
      <c r="Q46" s="34">
        <f t="shared" si="18"/>
        <v>21274.585777401167</v>
      </c>
      <c r="R46" s="65">
        <v>0</v>
      </c>
      <c r="S46" s="20">
        <f>VLOOKUP($C46,兵士关于时代的建筑和勋号加成!$A$38:$K$47,4,0)</f>
        <v>2.2000000000000002</v>
      </c>
      <c r="T46" s="67">
        <v>0</v>
      </c>
      <c r="U46" s="20">
        <f>VLOOKUP($C46,兵士关于时代的建筑和勋号加成!$A$38:$K$47,8,0)</f>
        <v>1</v>
      </c>
      <c r="V46" s="65">
        <v>40</v>
      </c>
      <c r="W46" s="20">
        <f>VLOOKUP($C46,兵士关于时代的建筑和勋号加成!$A$38:$K$47,5,0)</f>
        <v>2</v>
      </c>
      <c r="X46" s="67">
        <v>0</v>
      </c>
      <c r="Y46" s="20">
        <f>VLOOKUP($C46,兵士关于时代的建筑和勋号加成!$A$38:$K$47,9,0)</f>
        <v>1.5</v>
      </c>
      <c r="Z46" s="60">
        <f t="shared" si="19"/>
        <v>81.600000000000009</v>
      </c>
      <c r="AA46" s="60">
        <f t="shared" si="20"/>
        <v>112.32</v>
      </c>
      <c r="AB46" s="60">
        <f t="shared" si="21"/>
        <v>0</v>
      </c>
      <c r="AC46" s="60">
        <f t="shared" si="22"/>
        <v>120</v>
      </c>
      <c r="AD46" s="69">
        <f t="shared" si="23"/>
        <v>100.80000000000001</v>
      </c>
      <c r="AE46" s="69">
        <f t="shared" si="24"/>
        <v>149.76</v>
      </c>
      <c r="AF46" s="69">
        <f t="shared" si="25"/>
        <v>0</v>
      </c>
      <c r="AG46" s="69">
        <f t="shared" si="26"/>
        <v>120</v>
      </c>
      <c r="AH46" s="23">
        <f t="shared" si="27"/>
        <v>95.735635998305256</v>
      </c>
      <c r="AI46" s="23">
        <f t="shared" si="28"/>
        <v>0.85234718659459807</v>
      </c>
      <c r="AJ46" s="23">
        <f t="shared" si="29"/>
        <v>9573.5635998305261</v>
      </c>
      <c r="AK46" s="72">
        <f t="shared" si="30"/>
        <v>12286.49990843609</v>
      </c>
      <c r="AL46" s="20">
        <f>16</f>
        <v>16</v>
      </c>
      <c r="AM46" s="20">
        <f>VLOOKUP($C46,兵士关于时代的建筑和勋号加成!$A$38:$K$47,11,0)</f>
        <v>8</v>
      </c>
      <c r="AN46" s="39">
        <f t="shared" si="31"/>
        <v>229765.52639593263</v>
      </c>
      <c r="AO46" s="69">
        <f t="shared" si="32"/>
        <v>294875.99780246615</v>
      </c>
      <c r="AP46" s="56">
        <f t="shared" si="33"/>
        <v>10.8</v>
      </c>
      <c r="AQ46" s="20" t="s">
        <v>107</v>
      </c>
      <c r="AR46" s="20" t="s">
        <v>109</v>
      </c>
      <c r="AS46" s="20" t="s">
        <v>109</v>
      </c>
      <c r="AT46" s="20" t="s">
        <v>262</v>
      </c>
      <c r="AU46" s="20"/>
      <c r="AV46" s="20" t="s">
        <v>140</v>
      </c>
    </row>
    <row r="47" spans="1:48" hidden="1">
      <c r="A47" s="20" t="s">
        <v>200</v>
      </c>
      <c r="B47" s="54" t="s">
        <v>147</v>
      </c>
      <c r="C47" s="20" t="s">
        <v>106</v>
      </c>
      <c r="D47" s="20">
        <v>45</v>
      </c>
      <c r="E47" s="20">
        <v>0.45</v>
      </c>
      <c r="F47" s="20">
        <v>1</v>
      </c>
      <c r="G47" s="20">
        <v>100</v>
      </c>
      <c r="H47" s="65">
        <v>13</v>
      </c>
      <c r="I47" s="20">
        <f>VLOOKUP($C47,兵士关于时代的建筑和勋号加成!$A$38:$K$47,2,0)</f>
        <v>4.8</v>
      </c>
      <c r="J47" s="67">
        <v>1.2</v>
      </c>
      <c r="K47" s="20">
        <f>VLOOKUP($C47,兵士关于时代的建筑和勋号加成!$A$38:$K$47,6,0)</f>
        <v>1.6</v>
      </c>
      <c r="L47" s="65">
        <v>18</v>
      </c>
      <c r="M47" s="20">
        <f>VLOOKUP($C47,兵士关于时代的建筑和勋号加成!$A$38:$K$47,3,0)</f>
        <v>3.3</v>
      </c>
      <c r="N47" s="67">
        <v>1.2</v>
      </c>
      <c r="O47" s="20">
        <f>VLOOKUP($C47,兵士关于时代的建筑和勋号加成!$A$38:$K$47,7,0)</f>
        <v>1.3</v>
      </c>
      <c r="P47" s="34">
        <f t="shared" si="17"/>
        <v>210.06970271793119</v>
      </c>
      <c r="Q47" s="34">
        <f t="shared" si="18"/>
        <v>21006.970271793118</v>
      </c>
      <c r="R47" s="65">
        <v>0</v>
      </c>
      <c r="S47" s="20">
        <f>VLOOKUP($C47,兵士关于时代的建筑和勋号加成!$A$38:$K$47,4,0)</f>
        <v>2.2000000000000002</v>
      </c>
      <c r="T47" s="67">
        <v>0</v>
      </c>
      <c r="U47" s="20">
        <f>VLOOKUP($C47,兵士关于时代的建筑和勋号加成!$A$38:$K$47,8,0)</f>
        <v>1</v>
      </c>
      <c r="V47" s="65">
        <v>16</v>
      </c>
      <c r="W47" s="20">
        <f>VLOOKUP($C47,兵士关于时代的建筑和勋号加成!$A$38:$K$47,5,0)</f>
        <v>2</v>
      </c>
      <c r="X47" s="67">
        <v>0</v>
      </c>
      <c r="Y47" s="20">
        <f>VLOOKUP($C47,兵士关于时代的建筑和勋号加成!$A$38:$K$47,9,0)</f>
        <v>1.5</v>
      </c>
      <c r="Z47" s="60">
        <f t="shared" si="19"/>
        <v>106.08</v>
      </c>
      <c r="AA47" s="60">
        <f t="shared" si="20"/>
        <v>84.24</v>
      </c>
      <c r="AB47" s="60">
        <f t="shared" si="21"/>
        <v>0</v>
      </c>
      <c r="AC47" s="60">
        <f t="shared" si="22"/>
        <v>48</v>
      </c>
      <c r="AD47" s="69">
        <f t="shared" si="23"/>
        <v>131.04</v>
      </c>
      <c r="AE47" s="69">
        <f t="shared" si="24"/>
        <v>112.32</v>
      </c>
      <c r="AF47" s="69">
        <f t="shared" si="25"/>
        <v>0</v>
      </c>
      <c r="AG47" s="69">
        <f t="shared" si="26"/>
        <v>48</v>
      </c>
      <c r="AH47" s="23">
        <f t="shared" si="27"/>
        <v>94.531366223069043</v>
      </c>
      <c r="AI47" s="23">
        <f t="shared" si="28"/>
        <v>1.1221672153735642</v>
      </c>
      <c r="AJ47" s="23">
        <f t="shared" si="29"/>
        <v>9453.1366223069035</v>
      </c>
      <c r="AK47" s="72">
        <f t="shared" si="30"/>
        <v>12131.946587419514</v>
      </c>
      <c r="AL47" s="20">
        <f>16</f>
        <v>16</v>
      </c>
      <c r="AM47" s="20">
        <f>VLOOKUP($C47,兵士关于时代的建筑和勋号加成!$A$38:$K$47,11,0)</f>
        <v>8</v>
      </c>
      <c r="AN47" s="39">
        <f t="shared" si="31"/>
        <v>226875.27893536567</v>
      </c>
      <c r="AO47" s="69">
        <f t="shared" si="32"/>
        <v>291166.71809806832</v>
      </c>
      <c r="AP47" s="56">
        <f t="shared" si="33"/>
        <v>10.8</v>
      </c>
      <c r="AQ47" s="20" t="s">
        <v>168</v>
      </c>
      <c r="AR47" s="20" t="s">
        <v>109</v>
      </c>
      <c r="AS47" s="20" t="s">
        <v>109</v>
      </c>
      <c r="AT47" s="20" t="s">
        <v>247</v>
      </c>
      <c r="AU47" s="20"/>
      <c r="AV47" s="20" t="s">
        <v>146</v>
      </c>
    </row>
    <row r="48" spans="1:48" ht="16.5">
      <c r="A48" s="20" t="s">
        <v>200</v>
      </c>
      <c r="B48" s="54" t="s">
        <v>163</v>
      </c>
      <c r="C48" s="20" t="s">
        <v>115</v>
      </c>
      <c r="D48" s="20">
        <v>50.2</v>
      </c>
      <c r="E48" s="20">
        <v>0.6</v>
      </c>
      <c r="F48" s="20">
        <v>1</v>
      </c>
      <c r="G48" s="20">
        <v>100</v>
      </c>
      <c r="H48" s="65">
        <v>14</v>
      </c>
      <c r="I48" s="20">
        <f>VLOOKUP($C48,兵士关于时代的建筑和勋号加成!$A$38:$K$47,2,0)</f>
        <v>4</v>
      </c>
      <c r="J48" s="67">
        <v>1.2</v>
      </c>
      <c r="K48" s="20">
        <f>VLOOKUP($C48,兵士关于时代的建筑和勋号加成!$A$38:$K$47,6,0)</f>
        <v>1.5</v>
      </c>
      <c r="L48" s="65">
        <v>18</v>
      </c>
      <c r="M48" s="20">
        <f>0.6+VLOOKUP($C48,兵士关于时代的建筑和勋号加成!$A$38:$K$47,3,0)</f>
        <v>3.65</v>
      </c>
      <c r="N48" s="67">
        <v>1.2</v>
      </c>
      <c r="O48" s="20">
        <f>VLOOKUP($C48,兵士关于时代的建筑和勋号加成!$A$38:$K$47,7,0)</f>
        <v>1.6</v>
      </c>
      <c r="P48" s="34">
        <f t="shared" si="17"/>
        <v>201.89936345281373</v>
      </c>
      <c r="Q48" s="34">
        <f t="shared" si="18"/>
        <v>16892.246742218751</v>
      </c>
      <c r="R48" s="65">
        <v>12</v>
      </c>
      <c r="S48" s="20">
        <f>VLOOKUP($C48,兵士关于时代的建筑和勋号加成!$A$38:$K$47,4,0)</f>
        <v>1</v>
      </c>
      <c r="T48" s="67">
        <v>0</v>
      </c>
      <c r="U48" s="20">
        <f>VLOOKUP($C48,兵士关于时代的建筑和勋号加成!$A$38:$K$47,8,0)</f>
        <v>1</v>
      </c>
      <c r="V48" s="65">
        <v>0</v>
      </c>
      <c r="W48" s="20">
        <f>VLOOKUP($C48,兵士关于时代的建筑和勋号加成!$A$38:$K$47,5,0)</f>
        <v>1</v>
      </c>
      <c r="X48" s="67">
        <v>0</v>
      </c>
      <c r="Y48" s="20">
        <f>VLOOKUP($C48,兵士关于时代的建筑和勋号加成!$A$38:$K$47,9,0)</f>
        <v>1</v>
      </c>
      <c r="Z48" s="60">
        <f t="shared" si="19"/>
        <v>90.3</v>
      </c>
      <c r="AA48" s="60">
        <f t="shared" si="20"/>
        <v>113.75999999999999</v>
      </c>
      <c r="AB48" s="60">
        <f t="shared" si="21"/>
        <v>12</v>
      </c>
      <c r="AC48" s="60">
        <f t="shared" si="22"/>
        <v>0</v>
      </c>
      <c r="AD48" s="69">
        <f t="shared" si="23"/>
        <v>115.5</v>
      </c>
      <c r="AE48" s="69">
        <f t="shared" si="24"/>
        <v>148.32</v>
      </c>
      <c r="AF48" s="69">
        <f t="shared" si="25"/>
        <v>12</v>
      </c>
      <c r="AG48" s="69">
        <f t="shared" si="26"/>
        <v>0</v>
      </c>
      <c r="AH48" s="23">
        <f t="shared" si="27"/>
        <v>101.3534804533125</v>
      </c>
      <c r="AI48" s="23">
        <f t="shared" si="28"/>
        <v>0.89094128387229699</v>
      </c>
      <c r="AJ48" s="23">
        <f t="shared" si="29"/>
        <v>10135.34804533125</v>
      </c>
      <c r="AK48" s="72">
        <f t="shared" si="30"/>
        <v>13088.529329149245</v>
      </c>
      <c r="AL48" s="20">
        <f>16</f>
        <v>16</v>
      </c>
      <c r="AM48" s="20">
        <f>VLOOKUP($C48,兵士关于时代的建筑和勋号加成!$A$38:$K$47,11,0)</f>
        <v>6</v>
      </c>
      <c r="AN48" s="39">
        <f t="shared" si="31"/>
        <v>222977.6569972875</v>
      </c>
      <c r="AO48" s="69">
        <f t="shared" si="32"/>
        <v>287947.6452412834</v>
      </c>
      <c r="AP48" s="56">
        <f t="shared" si="33"/>
        <v>13.2</v>
      </c>
      <c r="AQ48" s="20" t="s">
        <v>189</v>
      </c>
      <c r="AR48" s="20" t="s">
        <v>190</v>
      </c>
      <c r="AS48" s="20" t="s">
        <v>191</v>
      </c>
      <c r="AT48" s="20" t="s">
        <v>265</v>
      </c>
      <c r="AU48" s="20"/>
      <c r="AV48" s="20" t="s">
        <v>140</v>
      </c>
    </row>
    <row r="49" spans="1:48" ht="24.75">
      <c r="A49" s="20" t="s">
        <v>232</v>
      </c>
      <c r="B49" s="54" t="s">
        <v>222</v>
      </c>
      <c r="C49" s="20" t="s">
        <v>331</v>
      </c>
      <c r="D49" s="20">
        <v>85</v>
      </c>
      <c r="E49" s="20">
        <v>0.84</v>
      </c>
      <c r="F49" s="20">
        <v>1</v>
      </c>
      <c r="G49" s="20">
        <v>100</v>
      </c>
      <c r="H49" s="65">
        <v>22</v>
      </c>
      <c r="I49" s="20">
        <f>VLOOKUP($C49,兵士关于时代的建筑和勋号加成!$A$38:$K$47,2,0)</f>
        <v>3.7</v>
      </c>
      <c r="J49" s="67">
        <v>0</v>
      </c>
      <c r="K49" s="20">
        <f>VLOOKUP($C49,兵士关于时代的建筑和勋号加成!$A$38:$K$47,6,0)</f>
        <v>1.6</v>
      </c>
      <c r="L49" s="65">
        <v>15</v>
      </c>
      <c r="M49" s="20">
        <f>VLOOKUP($C49,兵士关于时代的建筑和勋号加成!$A$38:$K$47,3,0)</f>
        <v>3.1</v>
      </c>
      <c r="N49" s="67">
        <v>0</v>
      </c>
      <c r="O49" s="20">
        <f>VLOOKUP($C49,兵士关于时代的建筑和勋号加成!$A$38:$K$47,7,0)</f>
        <v>1.3</v>
      </c>
      <c r="P49" s="34">
        <f t="shared" si="17"/>
        <v>113.6682479333402</v>
      </c>
      <c r="Q49" s="34">
        <f t="shared" si="18"/>
        <v>11502.144136111805</v>
      </c>
      <c r="R49" s="65">
        <v>20</v>
      </c>
      <c r="S49" s="20">
        <f>VLOOKUP($C49,兵士关于时代的建筑和勋号加成!$A$38:$K$47,4,0)</f>
        <v>1.6</v>
      </c>
      <c r="T49" s="67">
        <v>0</v>
      </c>
      <c r="U49" s="20">
        <f>VLOOKUP($C49,兵士关于时代的建筑和勋号加成!$A$38:$K$47,8,0)</f>
        <v>1.3</v>
      </c>
      <c r="V49" s="65">
        <v>20</v>
      </c>
      <c r="W49" s="20">
        <f>VLOOKUP($C49,兵士关于时代的建筑和勋号加成!$A$38:$K$47,5,0)</f>
        <v>1.4</v>
      </c>
      <c r="X49" s="67">
        <v>0</v>
      </c>
      <c r="Y49" s="20">
        <f>VLOOKUP($C49,兵士关于时代的建筑和勋号加成!$A$38:$K$47,9,0)</f>
        <v>1.3</v>
      </c>
      <c r="Z49" s="60">
        <f t="shared" si="19"/>
        <v>140.80000000000001</v>
      </c>
      <c r="AA49" s="60">
        <f t="shared" si="20"/>
        <v>66.3</v>
      </c>
      <c r="AB49" s="60">
        <f t="shared" si="21"/>
        <v>41.6</v>
      </c>
      <c r="AC49" s="60">
        <f t="shared" si="22"/>
        <v>36.4</v>
      </c>
      <c r="AD49" s="69">
        <f t="shared" si="23"/>
        <v>140.80000000000001</v>
      </c>
      <c r="AE49" s="69">
        <f t="shared" si="24"/>
        <v>66.3</v>
      </c>
      <c r="AF49" s="69">
        <f t="shared" si="25"/>
        <v>41.6</v>
      </c>
      <c r="AG49" s="69">
        <f t="shared" si="26"/>
        <v>36.4</v>
      </c>
      <c r="AH49" s="23">
        <f t="shared" si="27"/>
        <v>96.618010743339156</v>
      </c>
      <c r="AI49" s="23">
        <f t="shared" si="28"/>
        <v>1.457285229914618</v>
      </c>
      <c r="AJ49" s="23">
        <f t="shared" si="29"/>
        <v>9661.8010743339164</v>
      </c>
      <c r="AK49" s="72">
        <f t="shared" si="30"/>
        <v>9661.8010743339164</v>
      </c>
      <c r="AL49" s="20">
        <f>16</f>
        <v>16</v>
      </c>
      <c r="AM49" s="20">
        <f>VLOOKUP($C49,兵士关于时代的建筑和勋号加成!$A$38:$K$47,11,0)</f>
        <v>6</v>
      </c>
      <c r="AN49" s="39">
        <f t="shared" si="31"/>
        <v>212559.62363534616</v>
      </c>
      <c r="AO49" s="69">
        <f t="shared" si="32"/>
        <v>212559.62363534616</v>
      </c>
      <c r="AP49" s="56">
        <f t="shared" si="33"/>
        <v>18.48</v>
      </c>
      <c r="AQ49" s="20" t="s">
        <v>112</v>
      </c>
      <c r="AR49" s="20" t="s">
        <v>223</v>
      </c>
      <c r="AS49" s="20" t="s">
        <v>120</v>
      </c>
      <c r="AT49" s="20" t="s">
        <v>274</v>
      </c>
      <c r="AU49" s="20" t="s">
        <v>238</v>
      </c>
      <c r="AV49" s="20" t="s">
        <v>140</v>
      </c>
    </row>
    <row r="50" spans="1:48" ht="24.75">
      <c r="A50" s="20" t="s">
        <v>232</v>
      </c>
      <c r="B50" s="54" t="s">
        <v>227</v>
      </c>
      <c r="C50" s="20" t="s">
        <v>225</v>
      </c>
      <c r="D50" s="20">
        <v>400</v>
      </c>
      <c r="E50" s="20">
        <v>2.94</v>
      </c>
      <c r="F50" s="20">
        <v>0.8</v>
      </c>
      <c r="G50" s="20">
        <v>25</v>
      </c>
      <c r="H50" s="65">
        <v>250</v>
      </c>
      <c r="I50" s="20">
        <f>VLOOKUP($C50,兵士关于时代的建筑和勋号加成!$A$38:$K$47,2,0)</f>
        <v>3.1</v>
      </c>
      <c r="J50" s="67">
        <v>1.2</v>
      </c>
      <c r="K50" s="20">
        <f>VLOOKUP($C50,兵士关于时代的建筑和勋号加成!$A$38:$K$47,6,0)</f>
        <v>1.2</v>
      </c>
      <c r="L50" s="65">
        <v>50</v>
      </c>
      <c r="M50" s="20">
        <f>VLOOKUP($C50,兵士关于时代的建筑和勋号加成!$A$38:$K$47,3,0)</f>
        <v>2.9</v>
      </c>
      <c r="N50" s="67">
        <v>1.2</v>
      </c>
      <c r="O50" s="20">
        <f>VLOOKUP($C50,兵士关于时代的建筑和勋号加成!$A$38:$K$47,7,0)</f>
        <v>1.2</v>
      </c>
      <c r="P50" s="34">
        <f t="shared" si="17"/>
        <v>27.658633371878658</v>
      </c>
      <c r="Q50" s="34">
        <f t="shared" si="18"/>
        <v>3763.0793703236272</v>
      </c>
      <c r="R50" s="65">
        <v>0</v>
      </c>
      <c r="S50" s="20">
        <f>VLOOKUP($C50,兵士关于时代的建筑和勋号加成!$A$38:$K$47,4,0)</f>
        <v>1</v>
      </c>
      <c r="T50" s="67">
        <v>0</v>
      </c>
      <c r="U50" s="20">
        <f>VLOOKUP($C50,兵士关于时代的建筑和勋号加成!$A$38:$K$47,8,0)</f>
        <v>1</v>
      </c>
      <c r="V50" s="65">
        <v>0</v>
      </c>
      <c r="W50" s="20">
        <f>VLOOKUP($C50,兵士关于时代的建筑和勋号加成!$A$38:$K$47,5,0)</f>
        <v>1</v>
      </c>
      <c r="X50" s="67">
        <v>0</v>
      </c>
      <c r="Y50" s="20">
        <f>VLOOKUP($C50,兵士关于时代的建筑和勋号加成!$A$38:$K$47,9,0)</f>
        <v>1</v>
      </c>
      <c r="Z50" s="60">
        <f t="shared" si="19"/>
        <v>1020</v>
      </c>
      <c r="AA50" s="60">
        <f t="shared" si="20"/>
        <v>192</v>
      </c>
      <c r="AB50" s="60">
        <f t="shared" si="21"/>
        <v>0</v>
      </c>
      <c r="AC50" s="60">
        <f t="shared" si="22"/>
        <v>0</v>
      </c>
      <c r="AD50" s="69">
        <f t="shared" si="23"/>
        <v>1380</v>
      </c>
      <c r="AE50" s="69">
        <f t="shared" si="24"/>
        <v>263.99999999999994</v>
      </c>
      <c r="AF50" s="69">
        <f t="shared" si="25"/>
        <v>0</v>
      </c>
      <c r="AG50" s="69">
        <f t="shared" si="26"/>
        <v>0</v>
      </c>
      <c r="AH50" s="23">
        <f t="shared" si="27"/>
        <v>442.53813395005858</v>
      </c>
      <c r="AI50" s="23">
        <f t="shared" si="28"/>
        <v>2.3048861143232218</v>
      </c>
      <c r="AJ50" s="23">
        <f t="shared" si="29"/>
        <v>11063.453348751464</v>
      </c>
      <c r="AK50" s="72">
        <f t="shared" si="30"/>
        <v>15089.731607951147</v>
      </c>
      <c r="AL50" s="20">
        <f>16</f>
        <v>16</v>
      </c>
      <c r="AM50" s="20">
        <f>VLOOKUP($C50,兵士关于时代的建筑和勋号加成!$A$38:$K$47,11,0)</f>
        <v>3</v>
      </c>
      <c r="AN50" s="39">
        <f t="shared" si="31"/>
        <v>210205.6136262778</v>
      </c>
      <c r="AO50" s="69">
        <f t="shared" si="32"/>
        <v>286704.9005510718</v>
      </c>
      <c r="AP50" s="56">
        <f t="shared" si="33"/>
        <v>55.86</v>
      </c>
      <c r="AQ50" s="20" t="s">
        <v>228</v>
      </c>
      <c r="AR50" s="20" t="s">
        <v>176</v>
      </c>
      <c r="AS50" s="20" t="s">
        <v>229</v>
      </c>
      <c r="AT50" s="20" t="s">
        <v>276</v>
      </c>
      <c r="AU50" s="20" t="s">
        <v>240</v>
      </c>
      <c r="AV50" s="20" t="s">
        <v>140</v>
      </c>
    </row>
    <row r="51" spans="1:48" ht="16.5">
      <c r="A51" s="20" t="s">
        <v>200</v>
      </c>
      <c r="B51" s="54" t="s">
        <v>149</v>
      </c>
      <c r="C51" s="20" t="s">
        <v>106</v>
      </c>
      <c r="D51" s="20">
        <v>45</v>
      </c>
      <c r="E51" s="20">
        <v>0.45</v>
      </c>
      <c r="F51" s="20">
        <v>1</v>
      </c>
      <c r="G51" s="20">
        <v>100</v>
      </c>
      <c r="H51" s="65">
        <v>12</v>
      </c>
      <c r="I51" s="20">
        <f>VLOOKUP($C51,兵士关于时代的建筑和勋号加成!$A$38:$K$47,2,0)</f>
        <v>4.8</v>
      </c>
      <c r="J51" s="67">
        <v>1.2</v>
      </c>
      <c r="K51" s="20">
        <f>VLOOKUP($C51,兵士关于时代的建筑和勋号加成!$A$38:$K$47,6,0)</f>
        <v>1.6</v>
      </c>
      <c r="L51" s="65">
        <v>16</v>
      </c>
      <c r="M51" s="20">
        <f>VLOOKUP($C51,兵士关于时代的建筑和勋号加成!$A$38:$K$47,3,0)</f>
        <v>3.3</v>
      </c>
      <c r="N51" s="67">
        <v>1.2</v>
      </c>
      <c r="O51" s="20">
        <f>VLOOKUP($C51,兵士关于时代的建筑和勋号加成!$A$38:$K$47,7,0)</f>
        <v>1.3</v>
      </c>
      <c r="P51" s="34">
        <f t="shared" si="17"/>
        <v>190.28567996567685</v>
      </c>
      <c r="Q51" s="34">
        <f t="shared" si="18"/>
        <v>19028.567996567686</v>
      </c>
      <c r="R51" s="65">
        <v>0</v>
      </c>
      <c r="S51" s="20">
        <f>VLOOKUP($C51,兵士关于时代的建筑和勋号加成!$A$38:$K$47,4,0)</f>
        <v>2.2000000000000002</v>
      </c>
      <c r="T51" s="67">
        <v>0</v>
      </c>
      <c r="U51" s="20">
        <f>VLOOKUP($C51,兵士关于时代的建筑和勋号加成!$A$38:$K$47,8,0)</f>
        <v>1</v>
      </c>
      <c r="V51" s="65">
        <v>20</v>
      </c>
      <c r="W51" s="20">
        <f>VLOOKUP($C51,兵士关于时代的建筑和勋号加成!$A$38:$K$47,5,0)</f>
        <v>2</v>
      </c>
      <c r="X51" s="67">
        <v>0</v>
      </c>
      <c r="Y51" s="20">
        <f>VLOOKUP($C51,兵士关于时代的建筑和勋号加成!$A$38:$K$47,9,0)</f>
        <v>1.5</v>
      </c>
      <c r="Z51" s="60">
        <f t="shared" si="19"/>
        <v>97.92</v>
      </c>
      <c r="AA51" s="60">
        <f t="shared" si="20"/>
        <v>74.88</v>
      </c>
      <c r="AB51" s="60">
        <f t="shared" si="21"/>
        <v>0</v>
      </c>
      <c r="AC51" s="60">
        <f t="shared" si="22"/>
        <v>60</v>
      </c>
      <c r="AD51" s="69">
        <f t="shared" si="23"/>
        <v>120.96</v>
      </c>
      <c r="AE51" s="69">
        <f t="shared" si="24"/>
        <v>99.84</v>
      </c>
      <c r="AF51" s="69">
        <f t="shared" si="25"/>
        <v>0</v>
      </c>
      <c r="AG51" s="69">
        <f t="shared" si="26"/>
        <v>60</v>
      </c>
      <c r="AH51" s="23">
        <f t="shared" si="27"/>
        <v>85.628555984554595</v>
      </c>
      <c r="AI51" s="23">
        <f t="shared" si="28"/>
        <v>1.1435437497937313</v>
      </c>
      <c r="AJ51" s="23">
        <f t="shared" si="29"/>
        <v>8562.8555984554587</v>
      </c>
      <c r="AK51" s="72">
        <f t="shared" si="30"/>
        <v>10989.379600323215</v>
      </c>
      <c r="AL51" s="20">
        <f>16</f>
        <v>16</v>
      </c>
      <c r="AM51" s="20">
        <f>VLOOKUP($C51,兵士关于时代的建筑和勋号加成!$A$38:$K$47,11,0)</f>
        <v>8</v>
      </c>
      <c r="AN51" s="39">
        <f t="shared" si="31"/>
        <v>205508.53436293101</v>
      </c>
      <c r="AO51" s="69">
        <f t="shared" si="32"/>
        <v>263745.11040775717</v>
      </c>
      <c r="AP51" s="56">
        <f t="shared" si="33"/>
        <v>10.8</v>
      </c>
      <c r="AQ51" s="20" t="s">
        <v>107</v>
      </c>
      <c r="AR51" s="20" t="s">
        <v>116</v>
      </c>
      <c r="AS51" s="20" t="s">
        <v>109</v>
      </c>
      <c r="AT51" s="20" t="s">
        <v>249</v>
      </c>
      <c r="AU51" s="20"/>
      <c r="AV51" s="20" t="s">
        <v>140</v>
      </c>
    </row>
    <row r="52" spans="1:48" ht="16.5">
      <c r="A52" s="20" t="s">
        <v>127</v>
      </c>
      <c r="B52" s="54" t="s">
        <v>105</v>
      </c>
      <c r="C52" s="20" t="s">
        <v>289</v>
      </c>
      <c r="D52" s="20">
        <v>45</v>
      </c>
      <c r="E52" s="20">
        <v>0.45</v>
      </c>
      <c r="F52" s="20">
        <v>1</v>
      </c>
      <c r="G52" s="20">
        <v>100</v>
      </c>
      <c r="H52" s="65">
        <v>10</v>
      </c>
      <c r="I52" s="20">
        <f>VLOOKUP($C52,兵士关于时代的建筑和勋号加成!$A$38:$K$47,2,0)</f>
        <v>4.8</v>
      </c>
      <c r="J52" s="67">
        <v>1.2</v>
      </c>
      <c r="K52" s="20">
        <f>VLOOKUP($C52,兵士关于时代的建筑和勋号加成!$A$38:$K$47,6,0)</f>
        <v>1.6</v>
      </c>
      <c r="L52" s="65">
        <v>16</v>
      </c>
      <c r="M52" s="20">
        <f>VLOOKUP($C52,兵士关于时代的建筑和勋号加成!$A$38:$K$47,3,0)</f>
        <v>3.3</v>
      </c>
      <c r="N52" s="67">
        <v>1.2</v>
      </c>
      <c r="O52" s="20">
        <f>VLOOKUP($C52,兵士关于时代的建筑和勋号加成!$A$38:$K$47,7,0)</f>
        <v>1.3</v>
      </c>
      <c r="P52" s="34">
        <f t="shared" si="17"/>
        <v>173.70626547901682</v>
      </c>
      <c r="Q52" s="34">
        <f t="shared" si="18"/>
        <v>17370.62654790168</v>
      </c>
      <c r="R52" s="65">
        <v>10</v>
      </c>
      <c r="S52" s="20">
        <f>VLOOKUP($C52,兵士关于时代的建筑和勋号加成!$A$38:$K$47,4,0)</f>
        <v>2.2000000000000002</v>
      </c>
      <c r="T52" s="67">
        <v>0</v>
      </c>
      <c r="U52" s="20">
        <f>VLOOKUP($C52,兵士关于时代的建筑和勋号加成!$A$38:$K$47,8,0)</f>
        <v>1</v>
      </c>
      <c r="V52" s="65">
        <v>16</v>
      </c>
      <c r="W52" s="20">
        <f>VLOOKUP($C52,兵士关于时代的建筑和勋号加成!$A$38:$K$47,5,0)</f>
        <v>2</v>
      </c>
      <c r="X52" s="67">
        <v>0</v>
      </c>
      <c r="Y52" s="20">
        <f>VLOOKUP($C52,兵士关于时代的建筑和勋号加成!$A$38:$K$47,9,0)</f>
        <v>1.5</v>
      </c>
      <c r="Z52" s="60">
        <f t="shared" si="19"/>
        <v>81.600000000000009</v>
      </c>
      <c r="AA52" s="60">
        <f t="shared" si="20"/>
        <v>74.88</v>
      </c>
      <c r="AB52" s="60">
        <f t="shared" si="21"/>
        <v>22</v>
      </c>
      <c r="AC52" s="60">
        <f t="shared" si="22"/>
        <v>48</v>
      </c>
      <c r="AD52" s="69">
        <f t="shared" si="23"/>
        <v>100.80000000000001</v>
      </c>
      <c r="AE52" s="69">
        <f t="shared" si="24"/>
        <v>99.84</v>
      </c>
      <c r="AF52" s="69">
        <f t="shared" si="25"/>
        <v>22</v>
      </c>
      <c r="AG52" s="69">
        <f t="shared" si="26"/>
        <v>48</v>
      </c>
      <c r="AH52" s="23">
        <f t="shared" si="27"/>
        <v>78.167819465557571</v>
      </c>
      <c r="AI52" s="23">
        <f t="shared" si="28"/>
        <v>1.0439078454267838</v>
      </c>
      <c r="AJ52" s="23">
        <f t="shared" si="29"/>
        <v>7816.7819465557568</v>
      </c>
      <c r="AK52" s="72">
        <f t="shared" si="30"/>
        <v>10031.885166806886</v>
      </c>
      <c r="AL52" s="20">
        <f>16</f>
        <v>16</v>
      </c>
      <c r="AM52" s="20">
        <f>VLOOKUP($C52,兵士关于时代的建筑和勋号加成!$A$38:$K$47,11,0)</f>
        <v>8</v>
      </c>
      <c r="AN52" s="39">
        <f t="shared" si="31"/>
        <v>187602.76671733818</v>
      </c>
      <c r="AO52" s="69">
        <f t="shared" si="32"/>
        <v>240765.24400336525</v>
      </c>
      <c r="AP52" s="56">
        <f t="shared" si="33"/>
        <v>10.8</v>
      </c>
      <c r="AQ52" s="20" t="s">
        <v>107</v>
      </c>
      <c r="AR52" s="20" t="s">
        <v>108</v>
      </c>
      <c r="AS52" s="20" t="s">
        <v>109</v>
      </c>
      <c r="AT52" s="20" t="s">
        <v>109</v>
      </c>
      <c r="AU52" s="20"/>
      <c r="AV52" s="20" t="s">
        <v>194</v>
      </c>
    </row>
    <row r="53" spans="1:48" ht="16.5">
      <c r="A53" s="20" t="s">
        <v>231</v>
      </c>
      <c r="B53" s="54" t="s">
        <v>208</v>
      </c>
      <c r="C53" s="20" t="s">
        <v>289</v>
      </c>
      <c r="D53" s="20">
        <v>54</v>
      </c>
      <c r="E53" s="20">
        <v>0.54</v>
      </c>
      <c r="F53" s="20">
        <v>1</v>
      </c>
      <c r="G53" s="20">
        <v>100</v>
      </c>
      <c r="H53" s="65">
        <v>10</v>
      </c>
      <c r="I53" s="20">
        <f>VLOOKUP($C53,兵士关于时代的建筑和勋号加成!$A$38:$K$47,2,0)</f>
        <v>4.8</v>
      </c>
      <c r="J53" s="67">
        <v>1.2</v>
      </c>
      <c r="K53" s="20">
        <f>VLOOKUP($C53,兵士关于时代的建筑和勋号加成!$A$38:$K$47,6,0)</f>
        <v>1.6</v>
      </c>
      <c r="L53" s="65">
        <v>12</v>
      </c>
      <c r="M53" s="20">
        <f>VLOOKUP($C53,兵士关于时代的建筑和勋号加成!$A$38:$K$47,3,0)</f>
        <v>3.3</v>
      </c>
      <c r="N53" s="67">
        <v>1.2</v>
      </c>
      <c r="O53" s="20">
        <f>VLOOKUP($C53,兵士关于时代的建筑和勋号加成!$A$38:$K$47,7,0)</f>
        <v>1.3</v>
      </c>
      <c r="P53" s="34">
        <f t="shared" si="17"/>
        <v>125.36169891779367</v>
      </c>
      <c r="Q53" s="34">
        <f t="shared" si="18"/>
        <v>12536.169891779367</v>
      </c>
      <c r="R53" s="65">
        <v>15</v>
      </c>
      <c r="S53" s="20">
        <f>VLOOKUP($C53,兵士关于时代的建筑和勋号加成!$A$38:$K$47,4,0)</f>
        <v>2.2000000000000002</v>
      </c>
      <c r="T53" s="67">
        <v>0</v>
      </c>
      <c r="U53" s="20">
        <f>VLOOKUP($C53,兵士关于时代的建筑和勋号加成!$A$38:$K$47,8,0)</f>
        <v>1</v>
      </c>
      <c r="V53" s="65">
        <v>20</v>
      </c>
      <c r="W53" s="20">
        <f>VLOOKUP($C53,兵士关于时代的建筑和勋号加成!$A$38:$K$47,5,0)</f>
        <v>2</v>
      </c>
      <c r="X53" s="67">
        <v>0</v>
      </c>
      <c r="Y53" s="20">
        <f>VLOOKUP($C53,兵士关于时代的建筑和勋号加成!$A$38:$K$47,9,0)</f>
        <v>1.5</v>
      </c>
      <c r="Z53" s="60">
        <f t="shared" si="19"/>
        <v>81.600000000000009</v>
      </c>
      <c r="AA53" s="60">
        <f t="shared" si="20"/>
        <v>56.16</v>
      </c>
      <c r="AB53" s="60">
        <f t="shared" si="21"/>
        <v>33</v>
      </c>
      <c r="AC53" s="60">
        <f t="shared" si="22"/>
        <v>60</v>
      </c>
      <c r="AD53" s="69">
        <f t="shared" si="23"/>
        <v>100.80000000000001</v>
      </c>
      <c r="AE53" s="69">
        <f t="shared" si="24"/>
        <v>74.88</v>
      </c>
      <c r="AF53" s="69">
        <f t="shared" si="25"/>
        <v>33</v>
      </c>
      <c r="AG53" s="69">
        <f t="shared" si="26"/>
        <v>60</v>
      </c>
      <c r="AH53" s="23">
        <f t="shared" si="27"/>
        <v>67.695317415608585</v>
      </c>
      <c r="AI53" s="23">
        <f t="shared" si="28"/>
        <v>1.2054009511326318</v>
      </c>
      <c r="AJ53" s="23">
        <f t="shared" si="29"/>
        <v>6769.5317415608588</v>
      </c>
      <c r="AK53" s="72">
        <f t="shared" si="30"/>
        <v>8687.8674023030526</v>
      </c>
      <c r="AL53" s="20">
        <f>16</f>
        <v>16</v>
      </c>
      <c r="AM53" s="20">
        <f>VLOOKUP($C53,兵士关于时代的建筑和勋号加成!$A$38:$K$47,11,0)</f>
        <v>8</v>
      </c>
      <c r="AN53" s="39">
        <f t="shared" si="31"/>
        <v>162468.76179746061</v>
      </c>
      <c r="AO53" s="69">
        <f t="shared" si="32"/>
        <v>208508.81765527325</v>
      </c>
      <c r="AP53" s="56">
        <f t="shared" si="33"/>
        <v>12.96</v>
      </c>
      <c r="AQ53" s="20" t="s">
        <v>107</v>
      </c>
      <c r="AR53" s="20" t="s">
        <v>211</v>
      </c>
      <c r="AS53" s="20" t="s">
        <v>109</v>
      </c>
      <c r="AT53" s="20" t="s">
        <v>270</v>
      </c>
      <c r="AU53" s="20" t="s">
        <v>209</v>
      </c>
      <c r="AV53" s="20" t="s">
        <v>140</v>
      </c>
    </row>
    <row r="54" spans="1:48" ht="16.5">
      <c r="A54" s="20" t="s">
        <v>286</v>
      </c>
      <c r="B54" s="64" t="s">
        <v>125</v>
      </c>
      <c r="C54" s="20" t="s">
        <v>107</v>
      </c>
      <c r="D54" s="20">
        <v>50</v>
      </c>
      <c r="E54" s="20">
        <v>1</v>
      </c>
      <c r="F54" s="20">
        <v>1</v>
      </c>
      <c r="G54" s="20">
        <v>100</v>
      </c>
      <c r="H54" s="65">
        <v>40</v>
      </c>
      <c r="I54" s="20">
        <f>VLOOKUP($C54,兵士关于时代的建筑和勋号加成!$A$38:$K$47,2,0)</f>
        <v>3.7</v>
      </c>
      <c r="J54" s="67">
        <v>1.2</v>
      </c>
      <c r="K54" s="20">
        <f>VLOOKUP($C54,兵士关于时代的建筑和勋号加成!$A$38:$K$47,6,0)</f>
        <v>1.6</v>
      </c>
      <c r="L54" s="65">
        <v>32</v>
      </c>
      <c r="M54" s="20">
        <f>VLOOKUP($C54,兵士关于时代的建筑和勋号加成!$A$38:$K$47,3,0)</f>
        <v>3.1</v>
      </c>
      <c r="N54" s="67">
        <v>1.2</v>
      </c>
      <c r="O54" s="20">
        <f>VLOOKUP($C54,兵士关于时代的建筑和勋号加成!$A$38:$K$47,7,0)</f>
        <v>1.3</v>
      </c>
      <c r="P54" s="34">
        <f t="shared" si="17"/>
        <v>380.57135993135375</v>
      </c>
      <c r="Q54" s="34">
        <f t="shared" si="18"/>
        <v>19028.567996567686</v>
      </c>
      <c r="R54" s="65">
        <v>0</v>
      </c>
      <c r="S54" s="20">
        <f>VLOOKUP($C54,兵士关于时代的建筑和勋号加成!$A$38:$K$47,4,0)</f>
        <v>1</v>
      </c>
      <c r="T54" s="67">
        <v>0</v>
      </c>
      <c r="U54" s="20">
        <f>VLOOKUP($C54,兵士关于时代的建筑和勋号加成!$A$38:$K$47,8,0)</f>
        <v>1</v>
      </c>
      <c r="V54" s="65">
        <v>24</v>
      </c>
      <c r="W54" s="20">
        <f>VLOOKUP($C54,兵士关于时代的建筑和勋号加成!$A$38:$K$47,5,0)</f>
        <v>1</v>
      </c>
      <c r="X54" s="67">
        <v>0</v>
      </c>
      <c r="Y54" s="20">
        <f>VLOOKUP($C54,兵士关于时代的建筑和勋号加成!$A$38:$K$47,9,0)</f>
        <v>1</v>
      </c>
      <c r="Z54" s="60">
        <f t="shared" si="19"/>
        <v>256</v>
      </c>
      <c r="AA54" s="60">
        <f t="shared" si="20"/>
        <v>141.44</v>
      </c>
      <c r="AB54" s="60">
        <f t="shared" si="21"/>
        <v>0</v>
      </c>
      <c r="AC54" s="60">
        <f t="shared" si="22"/>
        <v>24</v>
      </c>
      <c r="AD54" s="69">
        <f t="shared" si="23"/>
        <v>332.8</v>
      </c>
      <c r="AE54" s="69">
        <f t="shared" si="24"/>
        <v>191.35999999999999</v>
      </c>
      <c r="AF54" s="69">
        <f t="shared" si="25"/>
        <v>0</v>
      </c>
      <c r="AG54" s="69">
        <f t="shared" si="26"/>
        <v>24</v>
      </c>
      <c r="AH54" s="23">
        <f t="shared" si="27"/>
        <v>190.28567996567688</v>
      </c>
      <c r="AI54" s="23">
        <f t="shared" si="28"/>
        <v>1.345345587992625</v>
      </c>
      <c r="AJ54" s="23">
        <f t="shared" si="29"/>
        <v>19028.567996567686</v>
      </c>
      <c r="AK54" s="72">
        <f t="shared" si="30"/>
        <v>25235.809477803559</v>
      </c>
      <c r="AL54" s="20">
        <f>5</f>
        <v>5</v>
      </c>
      <c r="AM54" s="20">
        <v>0</v>
      </c>
      <c r="AN54" s="39">
        <f t="shared" si="31"/>
        <v>95142.839982838428</v>
      </c>
      <c r="AO54" s="69">
        <f t="shared" si="32"/>
        <v>126179.0473890178</v>
      </c>
      <c r="AP54" s="56">
        <f t="shared" si="33"/>
        <v>5</v>
      </c>
      <c r="AQ54" s="20" t="s">
        <v>126</v>
      </c>
      <c r="AR54" s="20" t="s">
        <v>109</v>
      </c>
      <c r="AS54" s="20" t="s">
        <v>109</v>
      </c>
      <c r="AT54" s="22" t="s">
        <v>280</v>
      </c>
      <c r="AU54" s="20"/>
      <c r="AV54" s="20" t="s">
        <v>194</v>
      </c>
    </row>
  </sheetData>
  <autoFilter ref="A3:AV54">
    <filterColumn colId="47">
      <filters>
        <filter val="部落时期"/>
        <filter val="中世纪盛世"/>
        <filter val="中世纪早期"/>
      </filters>
    </filterColumn>
    <sortState ref="A4:AV54">
      <sortCondition descending="1" ref="AN3:AN54"/>
    </sortState>
  </autoFilter>
  <mergeCells count="4">
    <mergeCell ref="C1:AN1"/>
    <mergeCell ref="A2:AP2"/>
    <mergeCell ref="AQ2:AS2"/>
    <mergeCell ref="AT2:AV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4"/>
  <sheetViews>
    <sheetView zoomScale="205" zoomScaleNormal="205" workbookViewId="0">
      <pane ySplit="3" topLeftCell="A4" activePane="bottomLeft" state="frozen"/>
      <selection pane="bottomLeft" activeCell="AN3" sqref="AN3"/>
    </sheetView>
  </sheetViews>
  <sheetFormatPr defaultRowHeight="14.25"/>
  <cols>
    <col min="1" max="1" width="9.25" customWidth="1"/>
    <col min="2" max="2" width="7.375" style="55" customWidth="1"/>
    <col min="3" max="3" width="4.625" customWidth="1"/>
    <col min="4" max="4" width="5.25" hidden="1" customWidth="1"/>
    <col min="5" max="5" width="7.75" hidden="1" customWidth="1"/>
    <col min="6" max="6" width="3.125" hidden="1" customWidth="1"/>
    <col min="7" max="7" width="3.125" customWidth="1"/>
    <col min="8" max="8" width="3" style="66" customWidth="1"/>
    <col min="9" max="9" width="4" customWidth="1"/>
    <col min="10" max="10" width="4.625" style="68" customWidth="1"/>
    <col min="11" max="11" width="2.875" customWidth="1"/>
    <col min="12" max="12" width="3" style="66" customWidth="1"/>
    <col min="13" max="13" width="3.875" customWidth="1"/>
    <col min="14" max="14" width="4.5" style="68" customWidth="1"/>
    <col min="15" max="15" width="2.75" customWidth="1"/>
    <col min="16" max="16" width="5.875" style="35" hidden="1" customWidth="1"/>
    <col min="17" max="17" width="5.75" style="35" hidden="1" customWidth="1"/>
    <col min="18" max="18" width="3" style="66" customWidth="1"/>
    <col min="19" max="19" width="3.5" customWidth="1"/>
    <col min="20" max="20" width="4.25" style="68" customWidth="1"/>
    <col min="21" max="21" width="3.625" customWidth="1"/>
    <col min="22" max="22" width="3.125" style="66" customWidth="1"/>
    <col min="23" max="23" width="3.875" customWidth="1"/>
    <col min="24" max="24" width="3.75" style="68" customWidth="1"/>
    <col min="25" max="25" width="4" customWidth="1"/>
    <col min="26" max="26" width="2.75" style="61" customWidth="1"/>
    <col min="27" max="28" width="3" style="61" customWidth="1"/>
    <col min="29" max="29" width="2.625" style="61" customWidth="1"/>
    <col min="30" max="31" width="4" style="70" customWidth="1"/>
    <col min="32" max="32" width="3.375" style="70" customWidth="1"/>
    <col min="33" max="33" width="3" style="70" customWidth="1"/>
    <col min="34" max="34" width="8.25" hidden="1" customWidth="1"/>
    <col min="35" max="35" width="3" hidden="1" customWidth="1"/>
    <col min="36" max="36" width="4.875" customWidth="1"/>
    <col min="37" max="37" width="5" style="70" customWidth="1"/>
    <col min="38" max="38" width="3.75" style="35" customWidth="1"/>
    <col min="39" max="39" width="3.875" style="35" customWidth="1"/>
    <col min="40" max="40" width="5" style="40" customWidth="1"/>
    <col min="41" max="41" width="5" style="70" customWidth="1"/>
    <col min="42" max="42" width="5.5" style="57" customWidth="1"/>
    <col min="44" max="44" width="7.375" customWidth="1"/>
    <col min="45" max="45" width="7.25" customWidth="1"/>
  </cols>
  <sheetData>
    <row r="1" spans="1:49">
      <c r="A1" s="59" t="s">
        <v>370</v>
      </c>
      <c r="B1" s="20">
        <v>30</v>
      </c>
      <c r="C1" s="80" t="s">
        <v>386</v>
      </c>
      <c r="D1" s="80"/>
      <c r="E1" s="80"/>
      <c r="F1" s="80"/>
      <c r="G1" s="80"/>
      <c r="H1" s="81"/>
      <c r="I1" s="80"/>
      <c r="J1" s="80"/>
      <c r="K1" s="80"/>
      <c r="L1" s="81"/>
      <c r="M1" s="80"/>
      <c r="N1" s="80"/>
      <c r="O1" s="80"/>
      <c r="P1" s="80"/>
      <c r="Q1" s="80"/>
      <c r="R1" s="81"/>
      <c r="S1" s="80"/>
      <c r="T1" s="80"/>
      <c r="U1" s="80"/>
      <c r="V1" s="81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71"/>
      <c r="AP1" s="53"/>
      <c r="AQ1" s="53"/>
      <c r="AR1" s="53"/>
      <c r="AS1" s="53"/>
      <c r="AT1" s="53"/>
      <c r="AU1" s="53"/>
      <c r="AV1" s="53"/>
      <c r="AW1" s="53"/>
    </row>
    <row r="2" spans="1:49">
      <c r="A2" s="78" t="s">
        <v>277</v>
      </c>
      <c r="B2" s="78"/>
      <c r="C2" s="78"/>
      <c r="D2" s="78"/>
      <c r="E2" s="78"/>
      <c r="F2" s="78"/>
      <c r="G2" s="78"/>
      <c r="H2" s="79"/>
      <c r="I2" s="78"/>
      <c r="J2" s="78"/>
      <c r="K2" s="78"/>
      <c r="L2" s="79"/>
      <c r="M2" s="78"/>
      <c r="N2" s="78"/>
      <c r="O2" s="78"/>
      <c r="P2" s="78"/>
      <c r="Q2" s="78"/>
      <c r="R2" s="79"/>
      <c r="S2" s="78"/>
      <c r="T2" s="78"/>
      <c r="U2" s="78"/>
      <c r="V2" s="79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 t="s">
        <v>368</v>
      </c>
      <c r="AR2" s="78"/>
      <c r="AS2" s="78"/>
      <c r="AT2" s="78" t="s">
        <v>279</v>
      </c>
      <c r="AU2" s="78"/>
      <c r="AV2" s="78"/>
      <c r="AW2" s="21"/>
    </row>
    <row r="3" spans="1:49" ht="41.25">
      <c r="A3" s="20" t="s">
        <v>230</v>
      </c>
      <c r="B3" s="54" t="s">
        <v>288</v>
      </c>
      <c r="C3" s="20" t="s">
        <v>97</v>
      </c>
      <c r="D3" s="20" t="s">
        <v>98</v>
      </c>
      <c r="E3" s="20" t="s">
        <v>307</v>
      </c>
      <c r="F3" s="20" t="s">
        <v>319</v>
      </c>
      <c r="G3" s="20" t="s">
        <v>306</v>
      </c>
      <c r="H3" s="65" t="s">
        <v>358</v>
      </c>
      <c r="I3" s="20" t="s">
        <v>357</v>
      </c>
      <c r="J3" s="67" t="s">
        <v>376</v>
      </c>
      <c r="K3" s="20" t="s">
        <v>324</v>
      </c>
      <c r="L3" s="65" t="s">
        <v>359</v>
      </c>
      <c r="M3" s="20" t="s">
        <v>356</v>
      </c>
      <c r="N3" s="67" t="s">
        <v>377</v>
      </c>
      <c r="O3" s="20" t="s">
        <v>325</v>
      </c>
      <c r="P3" s="33" t="s">
        <v>130</v>
      </c>
      <c r="Q3" s="33" t="s">
        <v>129</v>
      </c>
      <c r="R3" s="65" t="s">
        <v>360</v>
      </c>
      <c r="S3" s="20" t="s">
        <v>355</v>
      </c>
      <c r="T3" s="67" t="s">
        <v>378</v>
      </c>
      <c r="U3" s="20" t="s">
        <v>326</v>
      </c>
      <c r="V3" s="65" t="s">
        <v>361</v>
      </c>
      <c r="W3" s="20" t="s">
        <v>353</v>
      </c>
      <c r="X3" s="67" t="s">
        <v>379</v>
      </c>
      <c r="Y3" s="20" t="s">
        <v>327</v>
      </c>
      <c r="Z3" s="60" t="s">
        <v>364</v>
      </c>
      <c r="AA3" s="60" t="s">
        <v>365</v>
      </c>
      <c r="AB3" s="60" t="s">
        <v>366</v>
      </c>
      <c r="AC3" s="60" t="s">
        <v>367</v>
      </c>
      <c r="AD3" s="69" t="s">
        <v>380</v>
      </c>
      <c r="AE3" s="69" t="s">
        <v>381</v>
      </c>
      <c r="AF3" s="69" t="s">
        <v>382</v>
      </c>
      <c r="AG3" s="69" t="s">
        <v>383</v>
      </c>
      <c r="AH3" s="20" t="s">
        <v>80</v>
      </c>
      <c r="AI3" s="20" t="s">
        <v>79</v>
      </c>
      <c r="AJ3" s="20" t="s">
        <v>128</v>
      </c>
      <c r="AK3" s="69" t="s">
        <v>385</v>
      </c>
      <c r="AL3" s="33" t="s">
        <v>318</v>
      </c>
      <c r="AM3" s="33" t="s">
        <v>317</v>
      </c>
      <c r="AN3" s="39" t="s">
        <v>321</v>
      </c>
      <c r="AO3" s="69" t="s">
        <v>384</v>
      </c>
      <c r="AP3" s="56" t="s">
        <v>371</v>
      </c>
      <c r="AQ3" s="20" t="s">
        <v>103</v>
      </c>
      <c r="AR3" s="20" t="s">
        <v>104</v>
      </c>
      <c r="AS3" s="20" t="s">
        <v>132</v>
      </c>
      <c r="AT3" s="20" t="s">
        <v>233</v>
      </c>
      <c r="AU3" s="20" t="s">
        <v>234</v>
      </c>
      <c r="AV3" s="20" t="s">
        <v>138</v>
      </c>
    </row>
    <row r="4" spans="1:49" ht="16.5">
      <c r="A4" s="20" t="s">
        <v>127</v>
      </c>
      <c r="B4" s="54" t="s">
        <v>121</v>
      </c>
      <c r="C4" s="20" t="s">
        <v>197</v>
      </c>
      <c r="D4" s="20">
        <v>88</v>
      </c>
      <c r="E4" s="20">
        <v>0.9</v>
      </c>
      <c r="F4" s="20">
        <v>1</v>
      </c>
      <c r="G4" s="20">
        <v>100</v>
      </c>
      <c r="H4" s="65">
        <v>42</v>
      </c>
      <c r="I4" s="20">
        <f>VLOOKUP($C4,兵士关于时代的建筑和勋号加成!$A$50:$K$59,2,0)</f>
        <v>6.2</v>
      </c>
      <c r="J4" s="67">
        <v>1.2</v>
      </c>
      <c r="K4" s="20">
        <f>VLOOKUP($C4,兵士关于时代的建筑和勋号加成!$A$50:$K$59,6,0)</f>
        <v>2.2000000000000002</v>
      </c>
      <c r="L4" s="65">
        <v>18</v>
      </c>
      <c r="M4" s="20">
        <f>VLOOKUP($C4,兵士关于时代的建筑和勋号加成!$A$50:$K$59,3,0)</f>
        <v>3.8</v>
      </c>
      <c r="N4" s="67">
        <v>1.6</v>
      </c>
      <c r="O4" s="20">
        <f>VLOOKUP($C4,兵士关于时代的建筑和勋号加成!$A$50:$K$59,7,0)</f>
        <v>1.6</v>
      </c>
      <c r="P4" s="34">
        <f t="shared" ref="P4:P35" si="0">AJ4/D4</f>
        <v>302.62037424649867</v>
      </c>
      <c r="Q4" s="34">
        <f t="shared" ref="Q4:Q35" si="1">AJ4/E4</f>
        <v>29589.547704102093</v>
      </c>
      <c r="R4" s="65">
        <v>0</v>
      </c>
      <c r="S4" s="20">
        <f>VLOOKUP($C4,兵士关于时代的建筑和勋号加成!$A$50:$K$59,4,0)</f>
        <v>1</v>
      </c>
      <c r="T4" s="67">
        <v>0</v>
      </c>
      <c r="U4" s="20">
        <f>VLOOKUP($C4,兵士关于时代的建筑和勋号加成!$A$50:$K$59,8,0)</f>
        <v>1</v>
      </c>
      <c r="V4" s="65">
        <v>0</v>
      </c>
      <c r="W4" s="20">
        <f>VLOOKUP($C4,兵士关于时代的建筑和勋号加成!$A$50:$K$59,5,0)</f>
        <v>1</v>
      </c>
      <c r="X4" s="67">
        <v>0</v>
      </c>
      <c r="Y4" s="20">
        <f>VLOOKUP($C4,兵士关于时代的建筑和勋号加成!$A$50:$K$59,9,0)</f>
        <v>1</v>
      </c>
      <c r="Z4" s="60">
        <f t="shared" ref="Z4:Z35" si="2">H4*(I4+$B$1/100)*K4</f>
        <v>600.6</v>
      </c>
      <c r="AA4" s="60">
        <f t="shared" ref="AA4:AA35" si="3">L4*(M4+$B$1/100)*O4</f>
        <v>118.08</v>
      </c>
      <c r="AB4" s="60">
        <f t="shared" ref="AB4:AB35" si="4">R4*S4*U4</f>
        <v>0</v>
      </c>
      <c r="AC4" s="60">
        <f t="shared" ref="AC4:AC35" si="5">V4*W4*Y4</f>
        <v>0</v>
      </c>
      <c r="AD4" s="69">
        <f t="shared" ref="AD4:AD35" si="6">H4*(I4+J4+$B$1/100)*K4</f>
        <v>711.48000000000013</v>
      </c>
      <c r="AE4" s="69">
        <f t="shared" ref="AE4:AE35" si="7">L4*(M4+N4+$B$1/100)*O4</f>
        <v>164.16000000000003</v>
      </c>
      <c r="AF4" s="69">
        <f t="shared" ref="AF4:AF35" si="8">R4*(S4+T4)*U4</f>
        <v>0</v>
      </c>
      <c r="AG4" s="69">
        <f t="shared" ref="AG4:AG35" si="9">V4*(W4+X4)*Y4</f>
        <v>0</v>
      </c>
      <c r="AH4" s="23">
        <f t="shared" ref="AH4:AH35" si="10">SQRT(Z4*AA4)</f>
        <v>266.30592933691884</v>
      </c>
      <c r="AI4" s="23">
        <f t="shared" ref="AI4:AI35" si="11">SQRT(Z4/AA4)</f>
        <v>2.2553008920809523</v>
      </c>
      <c r="AJ4" s="23">
        <f t="shared" ref="AJ4:AJ35" si="12">AH4*G4</f>
        <v>26630.592933691885</v>
      </c>
      <c r="AK4" s="72">
        <f t="shared" ref="AK4:AK35" si="13">SQRT(AD4*AE4)*G4</f>
        <v>34175.511232460005</v>
      </c>
      <c r="AL4" s="20">
        <f>26</f>
        <v>26</v>
      </c>
      <c r="AM4" s="20">
        <f>VLOOKUP($C4,兵士关于时代的建筑和勋号加成!$A$50:$K$59,11,0)</f>
        <v>16</v>
      </c>
      <c r="AN4" s="39">
        <f t="shared" ref="AN4:AN35" si="14">AJ4*SUM(AL4:AM4)</f>
        <v>1118484.9032150591</v>
      </c>
      <c r="AO4" s="69">
        <f t="shared" ref="AO4:AO35" si="15">AK4*SUM(AL4:AM4)</f>
        <v>1435371.4717633203</v>
      </c>
      <c r="AP4" s="56">
        <f t="shared" ref="AP4:AP35" si="16">E4*SUM(AL4:AM4)</f>
        <v>37.800000000000004</v>
      </c>
      <c r="AQ4" s="20" t="s">
        <v>122</v>
      </c>
      <c r="AR4" s="20" t="s">
        <v>123</v>
      </c>
      <c r="AS4" s="20" t="s">
        <v>281</v>
      </c>
      <c r="AT4" s="20" t="s">
        <v>285</v>
      </c>
      <c r="AU4" s="20"/>
      <c r="AV4" s="20" t="s">
        <v>297</v>
      </c>
    </row>
    <row r="5" spans="1:49" ht="16.5">
      <c r="A5" s="20" t="s">
        <v>200</v>
      </c>
      <c r="B5" s="54" t="s">
        <v>201</v>
      </c>
      <c r="C5" s="20" t="s">
        <v>110</v>
      </c>
      <c r="D5" s="20">
        <v>66</v>
      </c>
      <c r="E5" s="20">
        <v>0.72</v>
      </c>
      <c r="F5" s="20">
        <v>1</v>
      </c>
      <c r="G5" s="20">
        <v>100</v>
      </c>
      <c r="H5" s="65">
        <v>44</v>
      </c>
      <c r="I5" s="20">
        <f>VLOOKUP($C5,兵士关于时代的建筑和勋号加成!$A$50:$K$59,2,0)</f>
        <v>6.2</v>
      </c>
      <c r="J5" s="67">
        <v>1.2</v>
      </c>
      <c r="K5" s="20">
        <f>VLOOKUP($C5,兵士关于时代的建筑和勋号加成!$A$50:$K$59,6,0)</f>
        <v>2.2000000000000002</v>
      </c>
      <c r="L5" s="65">
        <v>14</v>
      </c>
      <c r="M5" s="20">
        <f>VLOOKUP($C5,兵士关于时代的建筑和勋号加成!$A$50:$K$59,3,0)</f>
        <v>3.8</v>
      </c>
      <c r="N5" s="67">
        <v>1.6</v>
      </c>
      <c r="O5" s="20">
        <f>VLOOKUP($C5,兵士关于时代的建筑和勋号加成!$A$50:$K$59,7,0)</f>
        <v>1.6</v>
      </c>
      <c r="P5" s="34">
        <f t="shared" si="0"/>
        <v>364.22215443020178</v>
      </c>
      <c r="Q5" s="34">
        <f t="shared" si="1"/>
        <v>33387.030822768495</v>
      </c>
      <c r="R5" s="65">
        <v>0</v>
      </c>
      <c r="S5" s="20">
        <f>VLOOKUP($C5,兵士关于时代的建筑和勋号加成!$A$50:$K$59,4,0)</f>
        <v>1</v>
      </c>
      <c r="T5" s="67">
        <v>0</v>
      </c>
      <c r="U5" s="20">
        <f>VLOOKUP($C5,兵士关于时代的建筑和勋号加成!$A$50:$K$59,8,0)</f>
        <v>1</v>
      </c>
      <c r="V5" s="65">
        <v>0</v>
      </c>
      <c r="W5" s="20">
        <f>VLOOKUP($C5,兵士关于时代的建筑和勋号加成!$A$50:$K$59,5,0)</f>
        <v>1</v>
      </c>
      <c r="X5" s="67">
        <v>0</v>
      </c>
      <c r="Y5" s="20">
        <f>VLOOKUP($C5,兵士关于时代的建筑和勋号加成!$A$50:$K$59,9,0)</f>
        <v>1</v>
      </c>
      <c r="Z5" s="60">
        <f t="shared" si="2"/>
        <v>629.20000000000005</v>
      </c>
      <c r="AA5" s="60">
        <f t="shared" si="3"/>
        <v>91.839999999999989</v>
      </c>
      <c r="AB5" s="60">
        <f t="shared" si="4"/>
        <v>0</v>
      </c>
      <c r="AC5" s="60">
        <f t="shared" si="5"/>
        <v>0</v>
      </c>
      <c r="AD5" s="69">
        <f t="shared" si="6"/>
        <v>745.36000000000013</v>
      </c>
      <c r="AE5" s="69">
        <f t="shared" si="7"/>
        <v>127.68</v>
      </c>
      <c r="AF5" s="69">
        <f t="shared" si="8"/>
        <v>0</v>
      </c>
      <c r="AG5" s="69">
        <f t="shared" si="9"/>
        <v>0</v>
      </c>
      <c r="AH5" s="23">
        <f t="shared" si="10"/>
        <v>240.38662192393318</v>
      </c>
      <c r="AI5" s="23">
        <f t="shared" si="11"/>
        <v>2.6174501516107713</v>
      </c>
      <c r="AJ5" s="23">
        <f t="shared" si="12"/>
        <v>24038.662192393316</v>
      </c>
      <c r="AK5" s="72">
        <f t="shared" si="13"/>
        <v>30849.240638952528</v>
      </c>
      <c r="AL5" s="20">
        <f>26</f>
        <v>26</v>
      </c>
      <c r="AM5" s="20">
        <f>2+VLOOKUP($C5,兵士关于时代的建筑和勋号加成!$A$50:$K$59,11,0)</f>
        <v>18</v>
      </c>
      <c r="AN5" s="39">
        <f t="shared" si="14"/>
        <v>1057701.1364653059</v>
      </c>
      <c r="AO5" s="69">
        <f t="shared" si="15"/>
        <v>1357366.5881139112</v>
      </c>
      <c r="AP5" s="56">
        <f t="shared" si="16"/>
        <v>31.68</v>
      </c>
      <c r="AQ5" s="20" t="s">
        <v>177</v>
      </c>
      <c r="AR5" s="20" t="s">
        <v>123</v>
      </c>
      <c r="AS5" s="20" t="s">
        <v>109</v>
      </c>
      <c r="AT5" s="20" t="s">
        <v>254</v>
      </c>
      <c r="AU5" s="20"/>
      <c r="AV5" s="20" t="s">
        <v>298</v>
      </c>
    </row>
    <row r="6" spans="1:49" ht="16.5">
      <c r="A6" s="20" t="s">
        <v>231</v>
      </c>
      <c r="B6" s="54" t="s">
        <v>204</v>
      </c>
      <c r="C6" s="20" t="s">
        <v>110</v>
      </c>
      <c r="D6" s="20">
        <v>82.5</v>
      </c>
      <c r="E6" s="20">
        <v>0.9</v>
      </c>
      <c r="F6" s="20">
        <v>1</v>
      </c>
      <c r="G6" s="20">
        <v>100</v>
      </c>
      <c r="H6" s="65">
        <v>30</v>
      </c>
      <c r="I6" s="20">
        <f>VLOOKUP($C6,兵士关于时代的建筑和勋号加成!$A$50:$K$59,2,0)</f>
        <v>6.2</v>
      </c>
      <c r="J6" s="67">
        <v>1.2</v>
      </c>
      <c r="K6" s="20">
        <v>2.2000000000000002</v>
      </c>
      <c r="L6" s="65">
        <v>20</v>
      </c>
      <c r="M6" s="20">
        <f>VLOOKUP($C6,兵士关于时代的建筑和勋号加成!$A$50:$K$59,3,0)</f>
        <v>3.8</v>
      </c>
      <c r="N6" s="67">
        <v>1.6</v>
      </c>
      <c r="O6" s="20">
        <v>1.6</v>
      </c>
      <c r="P6" s="34">
        <f t="shared" si="0"/>
        <v>287.56870061910007</v>
      </c>
      <c r="Q6" s="34">
        <f t="shared" si="1"/>
        <v>26360.464223417508</v>
      </c>
      <c r="R6" s="65">
        <v>0</v>
      </c>
      <c r="S6" s="20">
        <f>VLOOKUP($C6,兵士关于时代的建筑和勋号加成!$A$50:$K$59,4,0)</f>
        <v>1</v>
      </c>
      <c r="T6" s="67">
        <v>0</v>
      </c>
      <c r="U6" s="20">
        <f>VLOOKUP($C6,兵士关于时代的建筑和勋号加成!$A$50:$K$59,8,0)</f>
        <v>1</v>
      </c>
      <c r="V6" s="65">
        <v>0</v>
      </c>
      <c r="W6" s="20">
        <f>VLOOKUP($C6,兵士关于时代的建筑和勋号加成!$A$50:$K$59,5,0)</f>
        <v>1</v>
      </c>
      <c r="X6" s="67">
        <v>0</v>
      </c>
      <c r="Y6" s="20">
        <f>VLOOKUP($C6,兵士关于时代的建筑和勋号加成!$A$50:$K$59,9,0)</f>
        <v>1</v>
      </c>
      <c r="Z6" s="60">
        <f t="shared" si="2"/>
        <v>429.00000000000006</v>
      </c>
      <c r="AA6" s="60">
        <f t="shared" si="3"/>
        <v>131.20000000000002</v>
      </c>
      <c r="AB6" s="60">
        <f t="shared" si="4"/>
        <v>0</v>
      </c>
      <c r="AC6" s="60">
        <f t="shared" si="5"/>
        <v>0</v>
      </c>
      <c r="AD6" s="69">
        <f t="shared" si="6"/>
        <v>508.20000000000005</v>
      </c>
      <c r="AE6" s="69">
        <f t="shared" si="7"/>
        <v>182.4</v>
      </c>
      <c r="AF6" s="69">
        <f t="shared" si="8"/>
        <v>0</v>
      </c>
      <c r="AG6" s="69">
        <f t="shared" si="9"/>
        <v>0</v>
      </c>
      <c r="AH6" s="23">
        <f t="shared" si="10"/>
        <v>237.24417801075757</v>
      </c>
      <c r="AI6" s="23">
        <f t="shared" si="11"/>
        <v>1.8082635519112615</v>
      </c>
      <c r="AJ6" s="23">
        <f t="shared" si="12"/>
        <v>23724.417801075757</v>
      </c>
      <c r="AK6" s="72">
        <f t="shared" si="13"/>
        <v>30445.965249930901</v>
      </c>
      <c r="AL6" s="20">
        <f>26</f>
        <v>26</v>
      </c>
      <c r="AM6" s="20">
        <v>16</v>
      </c>
      <c r="AN6" s="39">
        <f t="shared" si="14"/>
        <v>996425.54764518177</v>
      </c>
      <c r="AO6" s="69">
        <f t="shared" si="15"/>
        <v>1278730.5404970979</v>
      </c>
      <c r="AP6" s="56">
        <f t="shared" si="16"/>
        <v>37.800000000000004</v>
      </c>
      <c r="AQ6" s="20" t="s">
        <v>212</v>
      </c>
      <c r="AR6" s="20" t="s">
        <v>116</v>
      </c>
      <c r="AS6" s="20" t="s">
        <v>109</v>
      </c>
      <c r="AT6" s="20" t="s">
        <v>267</v>
      </c>
      <c r="AU6" s="20" t="s">
        <v>205</v>
      </c>
      <c r="AV6" s="20" t="s">
        <v>140</v>
      </c>
    </row>
    <row r="7" spans="1:49" ht="16.5">
      <c r="A7" s="20" t="s">
        <v>200</v>
      </c>
      <c r="B7" s="54" t="s">
        <v>164</v>
      </c>
      <c r="C7" s="20" t="s">
        <v>107</v>
      </c>
      <c r="D7" s="20">
        <v>150</v>
      </c>
      <c r="E7" s="20">
        <v>2</v>
      </c>
      <c r="F7" s="20">
        <v>1</v>
      </c>
      <c r="G7" s="20">
        <v>100</v>
      </c>
      <c r="H7" s="65">
        <v>45</v>
      </c>
      <c r="I7" s="20">
        <f>VLOOKUP($C7,兵士关于时代的建筑和勋号加成!$A$50:$K$59,2,0)</f>
        <v>4.5999999999999996</v>
      </c>
      <c r="J7" s="67">
        <v>1.6</v>
      </c>
      <c r="K7" s="20">
        <f>VLOOKUP($C7,兵士关于时代的建筑和勋号加成!$A$50:$K$59,6,0)</f>
        <v>1.6</v>
      </c>
      <c r="L7" s="65">
        <v>30</v>
      </c>
      <c r="M7" s="20">
        <f>0.8+VLOOKUP($C7,兵士关于时代的建筑和勋号加成!$A$50:$K$59,3,0)</f>
        <v>4.8</v>
      </c>
      <c r="N7" s="67">
        <v>1.6</v>
      </c>
      <c r="O7" s="20">
        <f>VLOOKUP($C7,兵士关于时代的建筑和勋号加成!$A$50:$K$59,7,0)</f>
        <v>1.3</v>
      </c>
      <c r="P7" s="34">
        <f t="shared" si="0"/>
        <v>176.59988674968056</v>
      </c>
      <c r="Q7" s="34">
        <f t="shared" si="1"/>
        <v>13244.991506226042</v>
      </c>
      <c r="R7" s="65">
        <v>10</v>
      </c>
      <c r="S7" s="20">
        <f>VLOOKUP($C7,兵士关于时代的建筑和勋号加成!$A$50:$K$59,4,0)</f>
        <v>1</v>
      </c>
      <c r="T7" s="67">
        <v>0</v>
      </c>
      <c r="U7" s="20">
        <f>VLOOKUP($C7,兵士关于时代的建筑和勋号加成!$A$50:$K$59,8,0)</f>
        <v>1</v>
      </c>
      <c r="V7" s="65">
        <v>0</v>
      </c>
      <c r="W7" s="20">
        <f>VLOOKUP($C7,兵士关于时代的建筑和勋号加成!$A$50:$K$59,5,0)</f>
        <v>1</v>
      </c>
      <c r="X7" s="67">
        <v>0</v>
      </c>
      <c r="Y7" s="20">
        <f>VLOOKUP($C7,兵士关于时代的建筑和勋号加成!$A$50:$K$59,9,0)</f>
        <v>1</v>
      </c>
      <c r="Z7" s="60">
        <f t="shared" si="2"/>
        <v>352.79999999999995</v>
      </c>
      <c r="AA7" s="60">
        <f t="shared" si="3"/>
        <v>198.9</v>
      </c>
      <c r="AB7" s="60">
        <f t="shared" si="4"/>
        <v>10</v>
      </c>
      <c r="AC7" s="60">
        <f t="shared" si="5"/>
        <v>0</v>
      </c>
      <c r="AD7" s="69">
        <f t="shared" si="6"/>
        <v>467.99999999999994</v>
      </c>
      <c r="AE7" s="69">
        <f t="shared" si="7"/>
        <v>261.3</v>
      </c>
      <c r="AF7" s="69">
        <f t="shared" si="8"/>
        <v>10</v>
      </c>
      <c r="AG7" s="69">
        <f t="shared" si="9"/>
        <v>0</v>
      </c>
      <c r="AH7" s="23">
        <f t="shared" si="10"/>
        <v>264.89983012452086</v>
      </c>
      <c r="AI7" s="23">
        <f t="shared" si="11"/>
        <v>1.3318241836325833</v>
      </c>
      <c r="AJ7" s="23">
        <f t="shared" si="12"/>
        <v>26489.983012452085</v>
      </c>
      <c r="AK7" s="72">
        <f t="shared" si="13"/>
        <v>34969.758363477435</v>
      </c>
      <c r="AL7" s="20">
        <f>26</f>
        <v>26</v>
      </c>
      <c r="AM7" s="20">
        <f>VLOOKUP($C7,兵士关于时代的建筑和勋号加成!$A$50:$K$59,11,0)+2</f>
        <v>8</v>
      </c>
      <c r="AN7" s="39">
        <f t="shared" si="14"/>
        <v>900659.42242337088</v>
      </c>
      <c r="AO7" s="69">
        <f t="shared" si="15"/>
        <v>1188971.7843582327</v>
      </c>
      <c r="AP7" s="56">
        <f t="shared" si="16"/>
        <v>68</v>
      </c>
      <c r="AQ7" s="20" t="s">
        <v>192</v>
      </c>
      <c r="AR7" s="20" t="s">
        <v>193</v>
      </c>
      <c r="AS7" s="20" t="s">
        <v>109</v>
      </c>
      <c r="AT7" s="20" t="s">
        <v>265</v>
      </c>
      <c r="AU7" s="20"/>
      <c r="AV7" s="20" t="s">
        <v>194</v>
      </c>
    </row>
    <row r="8" spans="1:49">
      <c r="A8" s="20" t="s">
        <v>231</v>
      </c>
      <c r="B8" s="54" t="s">
        <v>206</v>
      </c>
      <c r="C8" s="20" t="s">
        <v>133</v>
      </c>
      <c r="D8" s="20">
        <v>180</v>
      </c>
      <c r="E8" s="20">
        <v>2.4</v>
      </c>
      <c r="F8" s="20">
        <v>1</v>
      </c>
      <c r="G8" s="20">
        <v>100</v>
      </c>
      <c r="H8" s="65">
        <v>60</v>
      </c>
      <c r="I8" s="20">
        <f>VLOOKUP($C8,兵士关于时代的建筑和勋号加成!$A$50:$K$59,2,0)</f>
        <v>4.5999999999999996</v>
      </c>
      <c r="J8" s="67">
        <v>1.6</v>
      </c>
      <c r="K8" s="20">
        <f>VLOOKUP($C8,兵士关于时代的建筑和勋号加成!$A$50:$K$59,6,0)</f>
        <v>1.6</v>
      </c>
      <c r="L8" s="65">
        <v>30</v>
      </c>
      <c r="M8" s="20">
        <f>VLOOKUP($C8,兵士关于时代的建筑和勋号加成!$A$50:$K$59,3,0)</f>
        <v>4</v>
      </c>
      <c r="N8" s="67">
        <v>1.6</v>
      </c>
      <c r="O8" s="20">
        <f>VLOOKUP($C8,兵士关于时代的建筑和勋号加成!$A$50:$K$59,7,0)</f>
        <v>1.3</v>
      </c>
      <c r="P8" s="34">
        <f t="shared" si="0"/>
        <v>156.03703264147123</v>
      </c>
      <c r="Q8" s="34">
        <f t="shared" si="1"/>
        <v>11702.777448110342</v>
      </c>
      <c r="R8" s="65">
        <v>0</v>
      </c>
      <c r="S8" s="20">
        <f>VLOOKUP($C8,兵士关于时代的建筑和勋号加成!$A$50:$K$59,4,0)</f>
        <v>1</v>
      </c>
      <c r="T8" s="67">
        <v>0</v>
      </c>
      <c r="U8" s="20">
        <f>VLOOKUP($C8,兵士关于时代的建筑和勋号加成!$A$50:$K$59,8,0)</f>
        <v>1</v>
      </c>
      <c r="V8" s="65">
        <v>20</v>
      </c>
      <c r="W8" s="20">
        <f>VLOOKUP($C8,兵士关于时代的建筑和勋号加成!$A$50:$K$59,5,0)</f>
        <v>1</v>
      </c>
      <c r="X8" s="67">
        <v>0</v>
      </c>
      <c r="Y8" s="20">
        <f>VLOOKUP($C8,兵士关于时代的建筑和勋号加成!$A$50:$K$59,9,0)</f>
        <v>1</v>
      </c>
      <c r="Z8" s="60">
        <f t="shared" si="2"/>
        <v>470.39999999999992</v>
      </c>
      <c r="AA8" s="60">
        <f t="shared" si="3"/>
        <v>167.70000000000002</v>
      </c>
      <c r="AB8" s="60">
        <f t="shared" si="4"/>
        <v>0</v>
      </c>
      <c r="AC8" s="60">
        <f t="shared" si="5"/>
        <v>20</v>
      </c>
      <c r="AD8" s="69">
        <f t="shared" si="6"/>
        <v>624</v>
      </c>
      <c r="AE8" s="69">
        <f t="shared" si="7"/>
        <v>230.09999999999997</v>
      </c>
      <c r="AF8" s="69">
        <f t="shared" si="8"/>
        <v>0</v>
      </c>
      <c r="AG8" s="69">
        <f t="shared" si="9"/>
        <v>20</v>
      </c>
      <c r="AH8" s="23">
        <f t="shared" si="10"/>
        <v>280.8666587546482</v>
      </c>
      <c r="AI8" s="23">
        <f t="shared" si="11"/>
        <v>1.6748160927528215</v>
      </c>
      <c r="AJ8" s="23">
        <f t="shared" si="12"/>
        <v>28086.66587546482</v>
      </c>
      <c r="AK8" s="72">
        <f t="shared" si="13"/>
        <v>37892.268340652285</v>
      </c>
      <c r="AL8" s="20">
        <f>26</f>
        <v>26</v>
      </c>
      <c r="AM8" s="20">
        <f>VLOOKUP($C8,兵士关于时代的建筑和勋号加成!$A$50:$K$59,11,0)</f>
        <v>6</v>
      </c>
      <c r="AN8" s="39">
        <f t="shared" si="14"/>
        <v>898773.30801487423</v>
      </c>
      <c r="AO8" s="69">
        <f t="shared" si="15"/>
        <v>1212552.5869008731</v>
      </c>
      <c r="AP8" s="56">
        <f t="shared" si="16"/>
        <v>76.8</v>
      </c>
      <c r="AQ8" s="20" t="s">
        <v>115</v>
      </c>
      <c r="AR8" s="20" t="s">
        <v>109</v>
      </c>
      <c r="AS8" s="20" t="s">
        <v>109</v>
      </c>
      <c r="AT8" s="20" t="s">
        <v>269</v>
      </c>
      <c r="AU8" s="20" t="s">
        <v>207</v>
      </c>
      <c r="AV8" s="20" t="s">
        <v>146</v>
      </c>
    </row>
    <row r="9" spans="1:49" ht="16.5" hidden="1">
      <c r="A9" s="20" t="s">
        <v>200</v>
      </c>
      <c r="B9" s="54" t="s">
        <v>196</v>
      </c>
      <c r="C9" s="20" t="s">
        <v>110</v>
      </c>
      <c r="D9" s="20">
        <v>66</v>
      </c>
      <c r="E9" s="20">
        <v>0.72</v>
      </c>
      <c r="F9" s="20">
        <v>1</v>
      </c>
      <c r="G9" s="20">
        <v>100</v>
      </c>
      <c r="H9" s="65">
        <v>36</v>
      </c>
      <c r="I9" s="20">
        <f>VLOOKUP($C9,兵士关于时代的建筑和勋号加成!$A$50:$K$59,2,0)</f>
        <v>6.2</v>
      </c>
      <c r="J9" s="67">
        <v>1.2</v>
      </c>
      <c r="K9" s="20">
        <f>VLOOKUP($C9,兵士关于时代的建筑和勋号加成!$A$50:$K$59,6,0)</f>
        <v>2.2000000000000002</v>
      </c>
      <c r="L9" s="65">
        <v>12</v>
      </c>
      <c r="M9" s="20">
        <f>VLOOKUP($C9,兵士关于时代的建筑和勋号加成!$A$50:$K$59,3,0)</f>
        <v>3.8</v>
      </c>
      <c r="N9" s="67">
        <v>1.6</v>
      </c>
      <c r="O9" s="20">
        <f>VLOOKUP($C9,兵士关于时代的建筑和勋号加成!$A$50:$K$59,7,0)</f>
        <v>1.6</v>
      </c>
      <c r="P9" s="34">
        <f t="shared" si="0"/>
        <v>305.01266739715459</v>
      </c>
      <c r="Q9" s="34">
        <f t="shared" si="1"/>
        <v>27959.494511405839</v>
      </c>
      <c r="R9" s="65">
        <v>0</v>
      </c>
      <c r="S9" s="20">
        <f>VLOOKUP($C9,兵士关于时代的建筑和勋号加成!$A$50:$K$59,4,0)</f>
        <v>1</v>
      </c>
      <c r="T9" s="67">
        <v>0</v>
      </c>
      <c r="U9" s="20">
        <f>VLOOKUP($C9,兵士关于时代的建筑和勋号加成!$A$50:$K$59,8,0)</f>
        <v>1</v>
      </c>
      <c r="V9" s="65">
        <v>0</v>
      </c>
      <c r="W9" s="20">
        <f>VLOOKUP($C9,兵士关于时代的建筑和勋号加成!$A$50:$K$59,5,0)</f>
        <v>1</v>
      </c>
      <c r="X9" s="67">
        <v>0</v>
      </c>
      <c r="Y9" s="20">
        <f>VLOOKUP($C9,兵士关于时代的建筑和勋号加成!$A$50:$K$59,9,0)</f>
        <v>1</v>
      </c>
      <c r="Z9" s="60">
        <f t="shared" si="2"/>
        <v>514.80000000000007</v>
      </c>
      <c r="AA9" s="60">
        <f t="shared" si="3"/>
        <v>78.72</v>
      </c>
      <c r="AB9" s="60">
        <f t="shared" si="4"/>
        <v>0</v>
      </c>
      <c r="AC9" s="60">
        <f t="shared" si="5"/>
        <v>0</v>
      </c>
      <c r="AD9" s="69">
        <f t="shared" si="6"/>
        <v>609.84</v>
      </c>
      <c r="AE9" s="69">
        <f t="shared" si="7"/>
        <v>109.44000000000001</v>
      </c>
      <c r="AF9" s="69">
        <f t="shared" si="8"/>
        <v>0</v>
      </c>
      <c r="AG9" s="69">
        <f t="shared" si="9"/>
        <v>0</v>
      </c>
      <c r="AH9" s="23">
        <f t="shared" si="10"/>
        <v>201.30836048212205</v>
      </c>
      <c r="AI9" s="23">
        <f t="shared" si="11"/>
        <v>2.5572708394578516</v>
      </c>
      <c r="AJ9" s="23">
        <f t="shared" si="12"/>
        <v>20130.836048212204</v>
      </c>
      <c r="AK9" s="72">
        <f t="shared" si="13"/>
        <v>25834.258185595343</v>
      </c>
      <c r="AL9" s="20">
        <f>26</f>
        <v>26</v>
      </c>
      <c r="AM9" s="20">
        <f>2+VLOOKUP($C9,兵士关于时代的建筑和勋号加成!$A$50:$K$59,11,0)</f>
        <v>18</v>
      </c>
      <c r="AN9" s="39">
        <f t="shared" si="14"/>
        <v>885756.78612133698</v>
      </c>
      <c r="AO9" s="69">
        <f t="shared" si="15"/>
        <v>1136707.3601661951</v>
      </c>
      <c r="AP9" s="56">
        <f t="shared" si="16"/>
        <v>31.68</v>
      </c>
      <c r="AQ9" s="20" t="s">
        <v>177</v>
      </c>
      <c r="AR9" s="20" t="s">
        <v>123</v>
      </c>
      <c r="AS9" s="20" t="s">
        <v>109</v>
      </c>
      <c r="AT9" s="20" t="s">
        <v>254</v>
      </c>
      <c r="AU9" s="20"/>
      <c r="AV9" s="20" t="s">
        <v>297</v>
      </c>
    </row>
    <row r="10" spans="1:49">
      <c r="A10" s="20" t="s">
        <v>232</v>
      </c>
      <c r="B10" s="54" t="s">
        <v>224</v>
      </c>
      <c r="C10" s="20" t="s">
        <v>110</v>
      </c>
      <c r="D10" s="20">
        <v>76</v>
      </c>
      <c r="E10" s="20">
        <v>0.66</v>
      </c>
      <c r="F10" s="20">
        <v>1</v>
      </c>
      <c r="G10" s="20">
        <v>100</v>
      </c>
      <c r="H10" s="65">
        <v>28</v>
      </c>
      <c r="I10" s="20">
        <f>VLOOKUP($C10,兵士关于时代的建筑和勋号加成!$A$50:$K$59,2,0)</f>
        <v>6.2</v>
      </c>
      <c r="J10" s="67">
        <v>1.2</v>
      </c>
      <c r="K10" s="20">
        <f>VLOOKUP($C10,兵士关于时代的建筑和勋号加成!$A$50:$K$59,6,0)</f>
        <v>2.2000000000000002</v>
      </c>
      <c r="L10" s="65">
        <v>16</v>
      </c>
      <c r="M10" s="20">
        <f>VLOOKUP($C10,兵士关于时代的建筑和勋号加成!$A$50:$K$59,3,0)</f>
        <v>3.8</v>
      </c>
      <c r="N10" s="67">
        <v>1.6</v>
      </c>
      <c r="O10" s="20">
        <f>VLOOKUP($C10,兵士关于时代的建筑和勋号加成!$A$50:$K$59,7,0)</f>
        <v>1.6</v>
      </c>
      <c r="P10" s="34">
        <f t="shared" si="0"/>
        <v>269.73999998151504</v>
      </c>
      <c r="Q10" s="34">
        <f t="shared" si="1"/>
        <v>31060.969694841122</v>
      </c>
      <c r="R10" s="65">
        <v>10</v>
      </c>
      <c r="S10" s="20">
        <f>VLOOKUP($C10,兵士关于时代的建筑和勋号加成!$A$50:$K$59,4,0)</f>
        <v>1</v>
      </c>
      <c r="T10" s="67">
        <v>0</v>
      </c>
      <c r="U10" s="20">
        <f>VLOOKUP($C10,兵士关于时代的建筑和勋号加成!$A$50:$K$59,8,0)</f>
        <v>1</v>
      </c>
      <c r="V10" s="65">
        <v>10</v>
      </c>
      <c r="W10" s="20">
        <f>VLOOKUP($C10,兵士关于时代的建筑和勋号加成!$A$50:$K$59,5,0)</f>
        <v>1</v>
      </c>
      <c r="X10" s="67">
        <v>0</v>
      </c>
      <c r="Y10" s="20">
        <f>VLOOKUP($C10,兵士关于时代的建筑和勋号加成!$A$50:$K$59,9,0)</f>
        <v>1</v>
      </c>
      <c r="Z10" s="60">
        <f t="shared" si="2"/>
        <v>400.40000000000003</v>
      </c>
      <c r="AA10" s="60">
        <f t="shared" si="3"/>
        <v>104.96</v>
      </c>
      <c r="AB10" s="60">
        <f t="shared" si="4"/>
        <v>10</v>
      </c>
      <c r="AC10" s="60">
        <f t="shared" si="5"/>
        <v>10</v>
      </c>
      <c r="AD10" s="69">
        <f t="shared" si="6"/>
        <v>474.32000000000005</v>
      </c>
      <c r="AE10" s="69">
        <f t="shared" si="7"/>
        <v>145.92000000000002</v>
      </c>
      <c r="AF10" s="69">
        <f t="shared" si="8"/>
        <v>10</v>
      </c>
      <c r="AG10" s="69">
        <f t="shared" si="9"/>
        <v>10</v>
      </c>
      <c r="AH10" s="23">
        <f t="shared" si="10"/>
        <v>205.0023999859514</v>
      </c>
      <c r="AI10" s="23">
        <f t="shared" si="11"/>
        <v>1.9531478657198114</v>
      </c>
      <c r="AJ10" s="23">
        <f t="shared" si="12"/>
        <v>20500.239998595142</v>
      </c>
      <c r="AK10" s="72">
        <f t="shared" si="13"/>
        <v>26308.32081300515</v>
      </c>
      <c r="AL10" s="20">
        <f>26</f>
        <v>26</v>
      </c>
      <c r="AM10" s="20">
        <f>VLOOKUP($C10,兵士关于时代的建筑和勋号加成!$A$50:$K$59,11,0)</f>
        <v>16</v>
      </c>
      <c r="AN10" s="39">
        <f t="shared" si="14"/>
        <v>861010.0799409959</v>
      </c>
      <c r="AO10" s="69">
        <f t="shared" si="15"/>
        <v>1104949.4741462162</v>
      </c>
      <c r="AP10" s="56">
        <f t="shared" si="16"/>
        <v>27.720000000000002</v>
      </c>
      <c r="AQ10" s="20" t="s">
        <v>225</v>
      </c>
      <c r="AR10" s="20" t="s">
        <v>226</v>
      </c>
      <c r="AS10" s="20" t="s">
        <v>109</v>
      </c>
      <c r="AT10" s="20" t="s">
        <v>275</v>
      </c>
      <c r="AU10" s="20" t="s">
        <v>239</v>
      </c>
      <c r="AV10" s="20" t="s">
        <v>140</v>
      </c>
    </row>
    <row r="11" spans="1:49" ht="24.75">
      <c r="A11" s="20" t="s">
        <v>200</v>
      </c>
      <c r="B11" s="54" t="s">
        <v>145</v>
      </c>
      <c r="C11" s="20" t="s">
        <v>119</v>
      </c>
      <c r="D11" s="20">
        <v>240</v>
      </c>
      <c r="E11" s="20">
        <v>2.52</v>
      </c>
      <c r="F11" s="20">
        <v>1</v>
      </c>
      <c r="G11" s="20">
        <v>50</v>
      </c>
      <c r="H11" s="65">
        <v>125</v>
      </c>
      <c r="I11" s="20">
        <f>VLOOKUP($C11,兵士关于时代的建筑和勋号加成!$A$50:$K$59,2,0)</f>
        <v>5</v>
      </c>
      <c r="J11" s="67">
        <v>1.6</v>
      </c>
      <c r="K11" s="20">
        <f>VLOOKUP($C11,兵士关于时代的建筑和勋号加成!$A$50:$K$59,6,0)</f>
        <v>1.6</v>
      </c>
      <c r="L11" s="65">
        <v>43</v>
      </c>
      <c r="M11" s="20">
        <f>VLOOKUP($C11,兵士关于时代的建筑和勋号加成!$A$50:$K$59,3,0)</f>
        <v>4.4000000000000004</v>
      </c>
      <c r="N11" s="67">
        <v>1.6</v>
      </c>
      <c r="O11" s="20">
        <f>VLOOKUP($C11,兵士关于时代的建筑和勋号加成!$A$50:$K$59,7,0)</f>
        <v>1.3</v>
      </c>
      <c r="P11" s="34">
        <f t="shared" si="0"/>
        <v>109.94273288348298</v>
      </c>
      <c r="Q11" s="34">
        <f t="shared" si="1"/>
        <v>10470.736465093618</v>
      </c>
      <c r="R11" s="65">
        <v>20</v>
      </c>
      <c r="S11" s="20">
        <f>VLOOKUP($C11,兵士关于时代的建筑和勋号加成!$A$50:$K$59,4,0)</f>
        <v>1.4</v>
      </c>
      <c r="T11" s="67">
        <v>0</v>
      </c>
      <c r="U11" s="20">
        <f>VLOOKUP($C11,兵士关于时代的建筑和勋号加成!$A$50:$K$59,8,0)</f>
        <v>1</v>
      </c>
      <c r="V11" s="65">
        <v>10</v>
      </c>
      <c r="W11" s="20">
        <f>VLOOKUP($C11,兵士关于时代的建筑和勋号加成!$A$50:$K$59,5,0)</f>
        <v>1.4</v>
      </c>
      <c r="X11" s="67">
        <v>0</v>
      </c>
      <c r="Y11" s="20">
        <f>VLOOKUP($C11,兵士关于时代的建筑和勋号加成!$A$50:$K$59,9,0)</f>
        <v>1</v>
      </c>
      <c r="Z11" s="60">
        <f t="shared" si="2"/>
        <v>1060</v>
      </c>
      <c r="AA11" s="60">
        <f t="shared" si="3"/>
        <v>262.73</v>
      </c>
      <c r="AB11" s="60">
        <f t="shared" si="4"/>
        <v>28</v>
      </c>
      <c r="AC11" s="60">
        <f t="shared" si="5"/>
        <v>14</v>
      </c>
      <c r="AD11" s="69">
        <f t="shared" si="6"/>
        <v>1380</v>
      </c>
      <c r="AE11" s="69">
        <f t="shared" si="7"/>
        <v>352.16999999999996</v>
      </c>
      <c r="AF11" s="69">
        <f t="shared" si="8"/>
        <v>28</v>
      </c>
      <c r="AG11" s="69">
        <f t="shared" si="9"/>
        <v>14</v>
      </c>
      <c r="AH11" s="23">
        <f t="shared" si="10"/>
        <v>527.72511784071833</v>
      </c>
      <c r="AI11" s="23">
        <f t="shared" si="11"/>
        <v>2.0086214662989312</v>
      </c>
      <c r="AJ11" s="23">
        <f t="shared" si="12"/>
        <v>26386.255892035915</v>
      </c>
      <c r="AK11" s="72">
        <f t="shared" si="13"/>
        <v>34856.656466161519</v>
      </c>
      <c r="AL11" s="20">
        <f>26</f>
        <v>26</v>
      </c>
      <c r="AM11" s="20">
        <f>VLOOKUP($C11,兵士关于时代的建筑和勋号加成!$A$50:$K$59,11,0)</f>
        <v>6</v>
      </c>
      <c r="AN11" s="39">
        <f t="shared" si="14"/>
        <v>844360.18854514929</v>
      </c>
      <c r="AO11" s="69">
        <f t="shared" si="15"/>
        <v>1115413.0069171686</v>
      </c>
      <c r="AP11" s="56">
        <f t="shared" si="16"/>
        <v>80.64</v>
      </c>
      <c r="AQ11" s="20" t="s">
        <v>110</v>
      </c>
      <c r="AR11" s="20" t="s">
        <v>113</v>
      </c>
      <c r="AS11" s="20" t="s">
        <v>167</v>
      </c>
      <c r="AT11" s="20" t="s">
        <v>246</v>
      </c>
      <c r="AU11" s="20"/>
      <c r="AV11" s="20" t="s">
        <v>146</v>
      </c>
    </row>
    <row r="12" spans="1:49" ht="24.75">
      <c r="A12" s="20" t="s">
        <v>200</v>
      </c>
      <c r="B12" s="54" t="s">
        <v>162</v>
      </c>
      <c r="C12" s="20" t="s">
        <v>110</v>
      </c>
      <c r="D12" s="20">
        <v>61</v>
      </c>
      <c r="E12" s="20">
        <v>0.66</v>
      </c>
      <c r="F12" s="20">
        <v>1</v>
      </c>
      <c r="G12" s="20">
        <v>100</v>
      </c>
      <c r="H12" s="65">
        <v>18</v>
      </c>
      <c r="I12" s="20">
        <f>VLOOKUP($C12,兵士关于时代的建筑和勋号加成!$A$50:$K$59,2,0)</f>
        <v>6.2</v>
      </c>
      <c r="J12" s="67">
        <v>1.2</v>
      </c>
      <c r="K12" s="20">
        <f>VLOOKUP($C12,兵士关于时代的建筑和勋号加成!$A$50:$K$59,6,0)</f>
        <v>2.2000000000000002</v>
      </c>
      <c r="L12" s="65">
        <v>20</v>
      </c>
      <c r="M12" s="20">
        <f>0.8+VLOOKUP($C12,兵士关于时代的建筑和勋号加成!$A$50:$K$59,3,0)</f>
        <v>4.5999999999999996</v>
      </c>
      <c r="N12" s="67">
        <v>1.6</v>
      </c>
      <c r="O12" s="20">
        <f>VLOOKUP($C12,兵士关于时代的建筑和勋号加成!$A$50:$K$59,7,0)</f>
        <v>1.6</v>
      </c>
      <c r="P12" s="34">
        <f t="shared" si="0"/>
        <v>329.34226308869421</v>
      </c>
      <c r="Q12" s="34">
        <f t="shared" si="1"/>
        <v>30439.209164258104</v>
      </c>
      <c r="R12" s="65">
        <v>0</v>
      </c>
      <c r="S12" s="20">
        <f>VLOOKUP($C12,兵士关于时代的建筑和勋号加成!$A$50:$K$59,4,0)</f>
        <v>1</v>
      </c>
      <c r="T12" s="67">
        <v>0</v>
      </c>
      <c r="U12" s="20">
        <f>VLOOKUP($C12,兵士关于时代的建筑和勋号加成!$A$50:$K$59,8,0)</f>
        <v>1</v>
      </c>
      <c r="V12" s="65">
        <v>22</v>
      </c>
      <c r="W12" s="20">
        <f>VLOOKUP($C12,兵士关于时代的建筑和勋号加成!$A$50:$K$59,5,0)</f>
        <v>1</v>
      </c>
      <c r="X12" s="67">
        <v>0</v>
      </c>
      <c r="Y12" s="20">
        <f>VLOOKUP($C12,兵士关于时代的建筑和勋号加成!$A$50:$K$59,9,0)</f>
        <v>1</v>
      </c>
      <c r="Z12" s="60">
        <f t="shared" si="2"/>
        <v>257.40000000000003</v>
      </c>
      <c r="AA12" s="60">
        <f t="shared" si="3"/>
        <v>156.79999999999998</v>
      </c>
      <c r="AB12" s="60">
        <f t="shared" si="4"/>
        <v>0</v>
      </c>
      <c r="AC12" s="60">
        <f t="shared" si="5"/>
        <v>22</v>
      </c>
      <c r="AD12" s="69">
        <f t="shared" si="6"/>
        <v>304.92</v>
      </c>
      <c r="AE12" s="69">
        <f t="shared" si="7"/>
        <v>207.99999999999997</v>
      </c>
      <c r="AF12" s="69">
        <f t="shared" si="8"/>
        <v>0</v>
      </c>
      <c r="AG12" s="69">
        <f t="shared" si="9"/>
        <v>22</v>
      </c>
      <c r="AH12" s="23">
        <f t="shared" si="10"/>
        <v>200.8987804841035</v>
      </c>
      <c r="AI12" s="23">
        <f t="shared" si="11"/>
        <v>1.2812422224751501</v>
      </c>
      <c r="AJ12" s="23">
        <f t="shared" si="12"/>
        <v>20089.878048410348</v>
      </c>
      <c r="AK12" s="72">
        <f t="shared" si="13"/>
        <v>25183.994917407363</v>
      </c>
      <c r="AL12" s="20">
        <f>26</f>
        <v>26</v>
      </c>
      <c r="AM12" s="20">
        <f>VLOOKUP($C12,兵士关于时代的建筑和勋号加成!$A$50:$K$59,11,0)</f>
        <v>16</v>
      </c>
      <c r="AN12" s="39">
        <f t="shared" si="14"/>
        <v>843774.87803323462</v>
      </c>
      <c r="AO12" s="69">
        <f t="shared" si="15"/>
        <v>1057727.7865311091</v>
      </c>
      <c r="AP12" s="56">
        <f t="shared" si="16"/>
        <v>27.720000000000002</v>
      </c>
      <c r="AQ12" s="20" t="s">
        <v>106</v>
      </c>
      <c r="AR12" s="20" t="s">
        <v>188</v>
      </c>
      <c r="AS12" s="20" t="s">
        <v>109</v>
      </c>
      <c r="AT12" s="20" t="s">
        <v>264</v>
      </c>
      <c r="AU12" s="20"/>
      <c r="AV12" s="20" t="s">
        <v>140</v>
      </c>
    </row>
    <row r="13" spans="1:49" ht="16.5">
      <c r="A13" s="20" t="s">
        <v>200</v>
      </c>
      <c r="B13" s="54" t="s">
        <v>155</v>
      </c>
      <c r="C13" s="20" t="s">
        <v>110</v>
      </c>
      <c r="D13" s="20">
        <v>60.5</v>
      </c>
      <c r="E13" s="20">
        <v>0.66</v>
      </c>
      <c r="F13" s="20">
        <v>1</v>
      </c>
      <c r="G13" s="20">
        <v>100</v>
      </c>
      <c r="H13" s="65">
        <v>30</v>
      </c>
      <c r="I13" s="20">
        <f>VLOOKUP($C13,兵士关于时代的建筑和勋号加成!$A$50:$K$59,2,0)</f>
        <v>6.2</v>
      </c>
      <c r="J13" s="67">
        <v>1.2</v>
      </c>
      <c r="K13" s="20">
        <f>VLOOKUP($C13,兵士关于时代的建筑和勋号加成!$A$50:$K$59,6,0)</f>
        <v>2.2000000000000002</v>
      </c>
      <c r="L13" s="65">
        <v>14</v>
      </c>
      <c r="M13" s="20">
        <f>VLOOKUP($C13,兵士关于时代的建筑和勋号加成!$A$50:$K$59,3,0)</f>
        <v>3.8</v>
      </c>
      <c r="N13" s="67">
        <v>1.6</v>
      </c>
      <c r="O13" s="20">
        <f>VLOOKUP($C13,兵士关于时代的建筑和勋号加成!$A$50:$K$59,7,0)</f>
        <v>1.6</v>
      </c>
      <c r="P13" s="34">
        <f t="shared" si="0"/>
        <v>328.08714094138077</v>
      </c>
      <c r="Q13" s="34">
        <f t="shared" si="1"/>
        <v>30074.654586293233</v>
      </c>
      <c r="R13" s="65">
        <v>10</v>
      </c>
      <c r="S13" s="20">
        <f>VLOOKUP($C13,兵士关于时代的建筑和勋号加成!$A$50:$K$59,4,0)</f>
        <v>1</v>
      </c>
      <c r="T13" s="67">
        <v>0</v>
      </c>
      <c r="U13" s="20">
        <f>VLOOKUP($C13,兵士关于时代的建筑和勋号加成!$A$50:$K$59,8,0)</f>
        <v>1</v>
      </c>
      <c r="V13" s="65">
        <v>10</v>
      </c>
      <c r="W13" s="20">
        <f>VLOOKUP($C13,兵士关于时代的建筑和勋号加成!$A$50:$K$59,5,0)</f>
        <v>1</v>
      </c>
      <c r="X13" s="67">
        <v>0</v>
      </c>
      <c r="Y13" s="20">
        <f>VLOOKUP($C13,兵士关于时代的建筑和勋号加成!$A$50:$K$59,9,0)</f>
        <v>1</v>
      </c>
      <c r="Z13" s="60">
        <f t="shared" si="2"/>
        <v>429.00000000000006</v>
      </c>
      <c r="AA13" s="60">
        <f t="shared" si="3"/>
        <v>91.839999999999989</v>
      </c>
      <c r="AB13" s="60">
        <f t="shared" si="4"/>
        <v>10</v>
      </c>
      <c r="AC13" s="60">
        <f t="shared" si="5"/>
        <v>10</v>
      </c>
      <c r="AD13" s="69">
        <f t="shared" si="6"/>
        <v>508.20000000000005</v>
      </c>
      <c r="AE13" s="69">
        <f t="shared" si="7"/>
        <v>127.68</v>
      </c>
      <c r="AF13" s="69">
        <f t="shared" si="8"/>
        <v>10</v>
      </c>
      <c r="AG13" s="69">
        <f t="shared" si="9"/>
        <v>10</v>
      </c>
      <c r="AH13" s="23">
        <f t="shared" si="10"/>
        <v>198.49272026953534</v>
      </c>
      <c r="AI13" s="23">
        <f t="shared" si="11"/>
        <v>2.1612883304609687</v>
      </c>
      <c r="AJ13" s="23">
        <f t="shared" si="12"/>
        <v>19849.272026953535</v>
      </c>
      <c r="AK13" s="72">
        <f t="shared" si="13"/>
        <v>25472.922093862733</v>
      </c>
      <c r="AL13" s="20">
        <f>26</f>
        <v>26</v>
      </c>
      <c r="AM13" s="20">
        <f>VLOOKUP($C13,兵士关于时代的建筑和勋号加成!$A$50:$K$59,11,0)</f>
        <v>16</v>
      </c>
      <c r="AN13" s="39">
        <f t="shared" si="14"/>
        <v>833669.42513204843</v>
      </c>
      <c r="AO13" s="69">
        <f t="shared" si="15"/>
        <v>1069862.7279422348</v>
      </c>
      <c r="AP13" s="56">
        <f t="shared" si="16"/>
        <v>27.720000000000002</v>
      </c>
      <c r="AQ13" s="20" t="s">
        <v>106</v>
      </c>
      <c r="AR13" s="20" t="s">
        <v>174</v>
      </c>
      <c r="AS13" s="20" t="s">
        <v>109</v>
      </c>
      <c r="AT13" s="20" t="s">
        <v>255</v>
      </c>
      <c r="AU13" s="20"/>
      <c r="AV13" s="20" t="s">
        <v>140</v>
      </c>
    </row>
    <row r="14" spans="1:49" ht="24.75">
      <c r="A14" s="20" t="s">
        <v>200</v>
      </c>
      <c r="B14" s="54" t="s">
        <v>143</v>
      </c>
      <c r="C14" s="20" t="s">
        <v>119</v>
      </c>
      <c r="D14" s="20">
        <v>260</v>
      </c>
      <c r="E14" s="20">
        <v>2.73</v>
      </c>
      <c r="F14" s="20">
        <v>0.85</v>
      </c>
      <c r="G14" s="20">
        <v>50</v>
      </c>
      <c r="H14" s="65">
        <v>120</v>
      </c>
      <c r="I14" s="20">
        <f>VLOOKUP($C14,兵士关于时代的建筑和勋号加成!$A$50:$K$59,2,0)</f>
        <v>5</v>
      </c>
      <c r="J14" s="67">
        <v>1.6</v>
      </c>
      <c r="K14" s="20">
        <f>VLOOKUP($C14,兵士关于时代的建筑和勋号加成!$A$50:$K$59,6,0)</f>
        <v>1.6</v>
      </c>
      <c r="L14" s="65">
        <v>38</v>
      </c>
      <c r="M14" s="20">
        <f>VLOOKUP($C14,兵士关于时代的建筑和勋号加成!$A$50:$K$59,3,0)</f>
        <v>4.4000000000000004</v>
      </c>
      <c r="N14" s="67">
        <v>1.6</v>
      </c>
      <c r="O14" s="20">
        <f>VLOOKUP($C14,兵士关于时代的建筑和勋号加成!$A$50:$K$59,7,0)</f>
        <v>1.3</v>
      </c>
      <c r="P14" s="34">
        <f t="shared" si="0"/>
        <v>93.475459552021135</v>
      </c>
      <c r="Q14" s="34">
        <f t="shared" si="1"/>
        <v>8902.4247192401072</v>
      </c>
      <c r="R14" s="65">
        <v>25</v>
      </c>
      <c r="S14" s="20">
        <f>VLOOKUP($C14,兵士关于时代的建筑和勋号加成!$A$50:$K$59,4,0)</f>
        <v>1.4</v>
      </c>
      <c r="T14" s="67">
        <v>0</v>
      </c>
      <c r="U14" s="20">
        <f>VLOOKUP($C14,兵士关于时代的建筑和勋号加成!$A$50:$K$59,8,0)</f>
        <v>1</v>
      </c>
      <c r="V14" s="65">
        <v>10</v>
      </c>
      <c r="W14" s="20">
        <f>VLOOKUP($C14,兵士关于时代的建筑和勋号加成!$A$50:$K$59,5,0)</f>
        <v>1.4</v>
      </c>
      <c r="X14" s="67">
        <v>0</v>
      </c>
      <c r="Y14" s="20">
        <f>VLOOKUP($C14,兵士关于时代的建筑和勋号加成!$A$50:$K$59,9,0)</f>
        <v>1</v>
      </c>
      <c r="Z14" s="60">
        <f t="shared" si="2"/>
        <v>1017.6</v>
      </c>
      <c r="AA14" s="60">
        <f t="shared" si="3"/>
        <v>232.18</v>
      </c>
      <c r="AB14" s="60">
        <f t="shared" si="4"/>
        <v>35</v>
      </c>
      <c r="AC14" s="60">
        <f t="shared" si="5"/>
        <v>14</v>
      </c>
      <c r="AD14" s="69">
        <f t="shared" si="6"/>
        <v>1324.8</v>
      </c>
      <c r="AE14" s="69">
        <f t="shared" si="7"/>
        <v>311.22000000000003</v>
      </c>
      <c r="AF14" s="69">
        <f t="shared" si="8"/>
        <v>35</v>
      </c>
      <c r="AG14" s="69">
        <f t="shared" si="9"/>
        <v>14</v>
      </c>
      <c r="AH14" s="23">
        <f t="shared" si="10"/>
        <v>486.07238967050989</v>
      </c>
      <c r="AI14" s="23">
        <f t="shared" si="11"/>
        <v>2.0935153315122315</v>
      </c>
      <c r="AJ14" s="23">
        <f t="shared" si="12"/>
        <v>24303.619483525494</v>
      </c>
      <c r="AK14" s="72">
        <f t="shared" si="13"/>
        <v>32105.46121768071</v>
      </c>
      <c r="AL14" s="20">
        <f>26</f>
        <v>26</v>
      </c>
      <c r="AM14" s="20">
        <f>VLOOKUP($C14,兵士关于时代的建筑和勋号加成!$A$50:$K$59,11,0)+2</f>
        <v>8</v>
      </c>
      <c r="AN14" s="39">
        <f t="shared" si="14"/>
        <v>826323.06243986683</v>
      </c>
      <c r="AO14" s="69">
        <f t="shared" si="15"/>
        <v>1091585.681401144</v>
      </c>
      <c r="AP14" s="56">
        <f t="shared" si="16"/>
        <v>92.82</v>
      </c>
      <c r="AQ14" s="20" t="s">
        <v>110</v>
      </c>
      <c r="AR14" s="20" t="s">
        <v>113</v>
      </c>
      <c r="AS14" s="20" t="s">
        <v>120</v>
      </c>
      <c r="AT14" s="20" t="s">
        <v>244</v>
      </c>
      <c r="AU14" s="20"/>
      <c r="AV14" s="20" t="s">
        <v>140</v>
      </c>
    </row>
    <row r="15" spans="1:49" ht="33">
      <c r="A15" s="20" t="s">
        <v>287</v>
      </c>
      <c r="B15" s="64" t="s">
        <v>309</v>
      </c>
      <c r="C15" s="20" t="s">
        <v>289</v>
      </c>
      <c r="D15" s="20">
        <v>63</v>
      </c>
      <c r="E15" s="20">
        <v>0.63</v>
      </c>
      <c r="F15" s="20">
        <v>1</v>
      </c>
      <c r="G15" s="20">
        <v>100</v>
      </c>
      <c r="H15" s="65">
        <v>30</v>
      </c>
      <c r="I15" s="20">
        <f>VLOOKUP($C15,兵士关于时代的建筑和勋号加成!$A$50:$K$59,2,0)</f>
        <v>6.2</v>
      </c>
      <c r="J15" s="67">
        <v>1.6</v>
      </c>
      <c r="K15" s="20">
        <f>VLOOKUP($C15,兵士关于时代的建筑和勋号加成!$A$50:$K$59,6,0)</f>
        <v>1.6</v>
      </c>
      <c r="L15" s="65">
        <v>30</v>
      </c>
      <c r="M15" s="20">
        <f>VLOOKUP($C15,兵士关于时代的建筑和勋号加成!$A$50:$K$59,3,0)</f>
        <v>4.2</v>
      </c>
      <c r="N15" s="67">
        <v>1.6</v>
      </c>
      <c r="O15" s="20">
        <f>VLOOKUP($C15,兵士关于时代的建筑和勋号加成!$A$50:$K$59,7,0)</f>
        <v>1.3</v>
      </c>
      <c r="P15" s="34">
        <f t="shared" si="0"/>
        <v>371.42857142857144</v>
      </c>
      <c r="Q15" s="34">
        <f t="shared" si="1"/>
        <v>37142.857142857145</v>
      </c>
      <c r="R15" s="65">
        <v>40</v>
      </c>
      <c r="S15" s="20">
        <f>VLOOKUP($C15,兵士关于时代的建筑和勋号加成!$A$50:$K$59,4,0)</f>
        <v>2.6</v>
      </c>
      <c r="T15" s="67">
        <v>0</v>
      </c>
      <c r="U15" s="20">
        <f>VLOOKUP($C15,兵士关于时代的建筑和勋号加成!$A$50:$K$59,8,0)</f>
        <v>1</v>
      </c>
      <c r="V15" s="65">
        <v>40</v>
      </c>
      <c r="W15" s="20">
        <f>VLOOKUP($C15,兵士关于时代的建筑和勋号加成!$A$50:$K$59,5,0)</f>
        <v>2.4</v>
      </c>
      <c r="X15" s="67">
        <v>0</v>
      </c>
      <c r="Y15" s="20">
        <f>VLOOKUP($C15,兵士关于时代的建筑和勋号加成!$A$50:$K$59,9,0)</f>
        <v>1.5</v>
      </c>
      <c r="Z15" s="60">
        <f t="shared" si="2"/>
        <v>312</v>
      </c>
      <c r="AA15" s="60">
        <f t="shared" si="3"/>
        <v>175.5</v>
      </c>
      <c r="AB15" s="60">
        <f t="shared" si="4"/>
        <v>104</v>
      </c>
      <c r="AC15" s="60">
        <f t="shared" si="5"/>
        <v>144</v>
      </c>
      <c r="AD15" s="69">
        <f t="shared" si="6"/>
        <v>388.80000000000013</v>
      </c>
      <c r="AE15" s="69">
        <f t="shared" si="7"/>
        <v>237.90000000000003</v>
      </c>
      <c r="AF15" s="69">
        <f t="shared" si="8"/>
        <v>104</v>
      </c>
      <c r="AG15" s="69">
        <f t="shared" si="9"/>
        <v>144</v>
      </c>
      <c r="AH15" s="23">
        <f t="shared" si="10"/>
        <v>234</v>
      </c>
      <c r="AI15" s="23">
        <f t="shared" si="11"/>
        <v>1.3333333333333333</v>
      </c>
      <c r="AJ15" s="23">
        <f t="shared" si="12"/>
        <v>23400</v>
      </c>
      <c r="AK15" s="72">
        <f t="shared" si="13"/>
        <v>30413.076135110048</v>
      </c>
      <c r="AL15" s="20">
        <f>26</f>
        <v>26</v>
      </c>
      <c r="AM15" s="20">
        <f>VLOOKUP($C15,兵士关于时代的建筑和勋号加成!$A$50:$K$59,11,0)</f>
        <v>8</v>
      </c>
      <c r="AN15" s="39">
        <f t="shared" si="14"/>
        <v>795600</v>
      </c>
      <c r="AO15" s="69">
        <f t="shared" si="15"/>
        <v>1034044.5885937416</v>
      </c>
      <c r="AP15" s="56">
        <f t="shared" si="16"/>
        <v>21.42</v>
      </c>
      <c r="AQ15" s="20" t="s">
        <v>134</v>
      </c>
      <c r="AR15" s="20" t="s">
        <v>135</v>
      </c>
      <c r="AS15" s="20" t="s">
        <v>136</v>
      </c>
      <c r="AT15" s="20" t="s">
        <v>137</v>
      </c>
      <c r="AU15" s="20"/>
      <c r="AV15" s="20" t="s">
        <v>194</v>
      </c>
    </row>
    <row r="16" spans="1:49" ht="16.5">
      <c r="A16" s="20" t="s">
        <v>200</v>
      </c>
      <c r="B16" s="54" t="s">
        <v>151</v>
      </c>
      <c r="C16" s="20" t="s">
        <v>107</v>
      </c>
      <c r="D16" s="20">
        <v>115</v>
      </c>
      <c r="E16" s="20">
        <v>1.53</v>
      </c>
      <c r="F16" s="20">
        <v>1</v>
      </c>
      <c r="G16" s="20">
        <v>100</v>
      </c>
      <c r="H16" s="65">
        <v>40</v>
      </c>
      <c r="I16" s="20">
        <f>VLOOKUP($C16,兵士关于时代的建筑和勋号加成!$A$50:$K$59,2,0)</f>
        <v>4.5999999999999996</v>
      </c>
      <c r="J16" s="67">
        <v>1.6</v>
      </c>
      <c r="K16" s="20">
        <f>VLOOKUP($C16,兵士关于时代的建筑和勋号加成!$A$50:$K$59,6,0)</f>
        <v>1.6</v>
      </c>
      <c r="L16" s="65">
        <v>26</v>
      </c>
      <c r="M16" s="20">
        <f>0.8+VLOOKUP($C16,兵士关于时代的建筑和勋号加成!$A$50:$K$59,3,0)</f>
        <v>4.8</v>
      </c>
      <c r="N16" s="67">
        <v>1.6</v>
      </c>
      <c r="O16" s="20">
        <f>VLOOKUP($C16,兵士关于时代的建筑和勋号加成!$A$50:$K$59,7,0)</f>
        <v>1.3</v>
      </c>
      <c r="P16" s="34">
        <f t="shared" si="0"/>
        <v>202.17787373399503</v>
      </c>
      <c r="Q16" s="34">
        <f t="shared" si="1"/>
        <v>15196.376130332959</v>
      </c>
      <c r="R16" s="65">
        <v>0</v>
      </c>
      <c r="S16" s="20">
        <f>VLOOKUP($C16,兵士关于时代的建筑和勋号加成!$A$50:$K$59,4,0)</f>
        <v>1</v>
      </c>
      <c r="T16" s="67">
        <v>0</v>
      </c>
      <c r="U16" s="20">
        <f>VLOOKUP($C16,兵士关于时代的建筑和勋号加成!$A$50:$K$59,8,0)</f>
        <v>1</v>
      </c>
      <c r="V16" s="65">
        <v>24</v>
      </c>
      <c r="W16" s="20">
        <f>VLOOKUP($C16,兵士关于时代的建筑和勋号加成!$A$50:$K$59,5,0)</f>
        <v>1</v>
      </c>
      <c r="X16" s="67">
        <v>0</v>
      </c>
      <c r="Y16" s="20">
        <f>VLOOKUP($C16,兵士关于时代的建筑和勋号加成!$A$50:$K$59,9,0)</f>
        <v>1</v>
      </c>
      <c r="Z16" s="60">
        <f t="shared" si="2"/>
        <v>313.59999999999997</v>
      </c>
      <c r="AA16" s="60">
        <f t="shared" si="3"/>
        <v>172.38</v>
      </c>
      <c r="AB16" s="60">
        <f t="shared" si="4"/>
        <v>0</v>
      </c>
      <c r="AC16" s="60">
        <f t="shared" si="5"/>
        <v>24</v>
      </c>
      <c r="AD16" s="69">
        <f t="shared" si="6"/>
        <v>415.99999999999994</v>
      </c>
      <c r="AE16" s="69">
        <f t="shared" si="7"/>
        <v>226.46000000000004</v>
      </c>
      <c r="AF16" s="69">
        <f t="shared" si="8"/>
        <v>0</v>
      </c>
      <c r="AG16" s="69">
        <f t="shared" si="9"/>
        <v>24</v>
      </c>
      <c r="AH16" s="23">
        <f t="shared" si="10"/>
        <v>232.5045547940943</v>
      </c>
      <c r="AI16" s="23">
        <f t="shared" si="11"/>
        <v>1.3487907807987836</v>
      </c>
      <c r="AJ16" s="23">
        <f t="shared" si="12"/>
        <v>23250.455479409429</v>
      </c>
      <c r="AK16" s="72">
        <f t="shared" si="13"/>
        <v>30693.217491817308</v>
      </c>
      <c r="AL16" s="20">
        <f>26</f>
        <v>26</v>
      </c>
      <c r="AM16" s="20">
        <f>2+VLOOKUP($C16,兵士关于时代的建筑和勋号加成!$A$50:$K$59,11,0)</f>
        <v>8</v>
      </c>
      <c r="AN16" s="39">
        <f t="shared" si="14"/>
        <v>790515.48629992059</v>
      </c>
      <c r="AO16" s="69">
        <f t="shared" si="15"/>
        <v>1043569.3947217885</v>
      </c>
      <c r="AP16" s="56">
        <f t="shared" si="16"/>
        <v>52.02</v>
      </c>
      <c r="AQ16" s="20" t="s">
        <v>173</v>
      </c>
      <c r="AR16" s="20" t="s">
        <v>174</v>
      </c>
      <c r="AS16" s="20" t="s">
        <v>109</v>
      </c>
      <c r="AT16" s="20" t="s">
        <v>251</v>
      </c>
      <c r="AU16" s="20"/>
      <c r="AV16" s="20" t="s">
        <v>140</v>
      </c>
    </row>
    <row r="17" spans="1:48">
      <c r="A17" s="20" t="s">
        <v>200</v>
      </c>
      <c r="B17" s="54" t="s">
        <v>142</v>
      </c>
      <c r="C17" s="20" t="s">
        <v>110</v>
      </c>
      <c r="D17" s="20">
        <v>55</v>
      </c>
      <c r="E17" s="20">
        <v>0.66</v>
      </c>
      <c r="F17" s="20">
        <v>1</v>
      </c>
      <c r="G17" s="20">
        <v>100</v>
      </c>
      <c r="H17" s="65">
        <v>30</v>
      </c>
      <c r="I17" s="20">
        <f>VLOOKUP($C17,兵士关于时代的建筑和勋号加成!$A$50:$K$59,2,0)</f>
        <v>6.2</v>
      </c>
      <c r="J17" s="67">
        <v>1.2</v>
      </c>
      <c r="K17" s="20">
        <f>VLOOKUP($C17,兵士关于时代的建筑和勋号加成!$A$50:$K$59,6,0)</f>
        <v>2.2000000000000002</v>
      </c>
      <c r="L17" s="65">
        <v>12</v>
      </c>
      <c r="M17" s="20">
        <f>VLOOKUP($C17,兵士关于时代的建筑和勋号加成!$A$50:$K$59,3,0)</f>
        <v>3.8</v>
      </c>
      <c r="N17" s="67">
        <v>1.6</v>
      </c>
      <c r="O17" s="20">
        <f>VLOOKUP($C17,兵士关于时代的建筑和勋号加成!$A$50:$K$59,7,0)</f>
        <v>1.6</v>
      </c>
      <c r="P17" s="34">
        <f t="shared" si="0"/>
        <v>334.12463651648432</v>
      </c>
      <c r="Q17" s="34">
        <f t="shared" si="1"/>
        <v>27843.719709707024</v>
      </c>
      <c r="R17" s="65">
        <v>5</v>
      </c>
      <c r="S17" s="20">
        <f>VLOOKUP($C17,兵士关于时代的建筑和勋号加成!$A$50:$K$59,4,0)</f>
        <v>1</v>
      </c>
      <c r="T17" s="67">
        <v>0</v>
      </c>
      <c r="U17" s="20">
        <f>VLOOKUP($C17,兵士关于时代的建筑和勋号加成!$A$50:$K$59,8,0)</f>
        <v>1</v>
      </c>
      <c r="V17" s="65">
        <v>0</v>
      </c>
      <c r="W17" s="20">
        <f>VLOOKUP($C17,兵士关于时代的建筑和勋号加成!$A$50:$K$59,5,0)</f>
        <v>1</v>
      </c>
      <c r="X17" s="67">
        <v>0</v>
      </c>
      <c r="Y17" s="20">
        <f>VLOOKUP($C17,兵士关于时代的建筑和勋号加成!$A$50:$K$59,9,0)</f>
        <v>1</v>
      </c>
      <c r="Z17" s="60">
        <f t="shared" si="2"/>
        <v>429.00000000000006</v>
      </c>
      <c r="AA17" s="60">
        <f t="shared" si="3"/>
        <v>78.72</v>
      </c>
      <c r="AB17" s="60">
        <f t="shared" si="4"/>
        <v>5</v>
      </c>
      <c r="AC17" s="60">
        <f t="shared" si="5"/>
        <v>0</v>
      </c>
      <c r="AD17" s="69">
        <f t="shared" si="6"/>
        <v>508.20000000000005</v>
      </c>
      <c r="AE17" s="69">
        <f t="shared" si="7"/>
        <v>109.44000000000001</v>
      </c>
      <c r="AF17" s="69">
        <f t="shared" si="8"/>
        <v>5</v>
      </c>
      <c r="AG17" s="69">
        <f t="shared" si="9"/>
        <v>0</v>
      </c>
      <c r="AH17" s="23">
        <f t="shared" si="10"/>
        <v>183.76855008406636</v>
      </c>
      <c r="AI17" s="23">
        <f t="shared" si="11"/>
        <v>2.334458207368729</v>
      </c>
      <c r="AJ17" s="23">
        <f t="shared" si="12"/>
        <v>18376.855008406637</v>
      </c>
      <c r="AK17" s="72">
        <f t="shared" si="13"/>
        <v>23583.343274438426</v>
      </c>
      <c r="AL17" s="20">
        <f>26</f>
        <v>26</v>
      </c>
      <c r="AM17" s="20">
        <f>VLOOKUP($C17,兵士关于时代的建筑和勋号加成!$A$50:$K$59,11,0)</f>
        <v>16</v>
      </c>
      <c r="AN17" s="39">
        <f t="shared" si="14"/>
        <v>771827.91035307874</v>
      </c>
      <c r="AO17" s="69">
        <f t="shared" si="15"/>
        <v>990500.41752641392</v>
      </c>
      <c r="AP17" s="56">
        <f t="shared" si="16"/>
        <v>27.720000000000002</v>
      </c>
      <c r="AQ17" s="20" t="s">
        <v>106</v>
      </c>
      <c r="AR17" s="20" t="s">
        <v>166</v>
      </c>
      <c r="AS17" s="20" t="s">
        <v>109</v>
      </c>
      <c r="AT17" s="20" t="s">
        <v>243</v>
      </c>
      <c r="AU17" s="20"/>
      <c r="AV17" s="20" t="s">
        <v>140</v>
      </c>
    </row>
    <row r="18" spans="1:48">
      <c r="A18" s="20" t="s">
        <v>200</v>
      </c>
      <c r="B18" s="54" t="s">
        <v>144</v>
      </c>
      <c r="C18" s="20" t="s">
        <v>107</v>
      </c>
      <c r="D18" s="20">
        <v>117</v>
      </c>
      <c r="E18" s="20">
        <v>1.56</v>
      </c>
      <c r="F18" s="20">
        <v>1</v>
      </c>
      <c r="G18" s="20">
        <v>100</v>
      </c>
      <c r="H18" s="65">
        <v>40</v>
      </c>
      <c r="I18" s="20">
        <f>VLOOKUP($C18,兵士关于时代的建筑和勋号加成!$A$50:$K$59,2,0)</f>
        <v>4.5999999999999996</v>
      </c>
      <c r="J18" s="67">
        <v>1.6</v>
      </c>
      <c r="K18" s="20">
        <f>VLOOKUP($C18,兵士关于时代的建筑和勋号加成!$A$50:$K$59,6,0)</f>
        <v>1.6</v>
      </c>
      <c r="L18" s="65">
        <v>30</v>
      </c>
      <c r="M18" s="20">
        <f>VLOOKUP($C18,兵士关于时代的建筑和勋号加成!$A$50:$K$59,3,0)</f>
        <v>4</v>
      </c>
      <c r="N18" s="67">
        <v>1.6</v>
      </c>
      <c r="O18" s="20">
        <f>VLOOKUP($C18,兵士关于时代的建筑和勋号加成!$A$50:$K$59,7,0)</f>
        <v>1.3</v>
      </c>
      <c r="P18" s="34">
        <f t="shared" si="0"/>
        <v>196.00569792287575</v>
      </c>
      <c r="Q18" s="34">
        <f t="shared" si="1"/>
        <v>14700.427344215681</v>
      </c>
      <c r="R18" s="65">
        <v>0</v>
      </c>
      <c r="S18" s="20">
        <f>VLOOKUP($C18,兵士关于时代的建筑和勋号加成!$A$50:$K$59,4,0)</f>
        <v>1</v>
      </c>
      <c r="T18" s="67">
        <v>0</v>
      </c>
      <c r="U18" s="20">
        <f>VLOOKUP($C18,兵士关于时代的建筑和勋号加成!$A$50:$K$59,8,0)</f>
        <v>1</v>
      </c>
      <c r="V18" s="65">
        <v>30</v>
      </c>
      <c r="W18" s="20">
        <f>VLOOKUP($C18,兵士关于时代的建筑和勋号加成!$A$50:$K$59,5,0)</f>
        <v>1</v>
      </c>
      <c r="X18" s="67">
        <v>0</v>
      </c>
      <c r="Y18" s="20">
        <f>VLOOKUP($C18,兵士关于时代的建筑和勋号加成!$A$50:$K$59,9,0)</f>
        <v>1</v>
      </c>
      <c r="Z18" s="60">
        <f t="shared" si="2"/>
        <v>313.59999999999997</v>
      </c>
      <c r="AA18" s="60">
        <f t="shared" si="3"/>
        <v>167.70000000000002</v>
      </c>
      <c r="AB18" s="60">
        <f t="shared" si="4"/>
        <v>0</v>
      </c>
      <c r="AC18" s="60">
        <f t="shared" si="5"/>
        <v>30</v>
      </c>
      <c r="AD18" s="69">
        <f t="shared" si="6"/>
        <v>415.99999999999994</v>
      </c>
      <c r="AE18" s="69">
        <f t="shared" si="7"/>
        <v>230.09999999999997</v>
      </c>
      <c r="AF18" s="69">
        <f t="shared" si="8"/>
        <v>0</v>
      </c>
      <c r="AG18" s="69">
        <f t="shared" si="9"/>
        <v>30</v>
      </c>
      <c r="AH18" s="23">
        <f t="shared" si="10"/>
        <v>229.32666656976463</v>
      </c>
      <c r="AI18" s="23">
        <f t="shared" si="11"/>
        <v>1.367481613415412</v>
      </c>
      <c r="AJ18" s="23">
        <f t="shared" si="12"/>
        <v>22932.666656976464</v>
      </c>
      <c r="AK18" s="72">
        <f t="shared" si="13"/>
        <v>30938.907543738507</v>
      </c>
      <c r="AL18" s="20">
        <f>26</f>
        <v>26</v>
      </c>
      <c r="AM18" s="20">
        <f>VLOOKUP($C18,兵士关于时代的建筑和勋号加成!$A$50:$K$59,11,0)</f>
        <v>6</v>
      </c>
      <c r="AN18" s="39">
        <f t="shared" si="14"/>
        <v>733845.33302324684</v>
      </c>
      <c r="AO18" s="69">
        <f t="shared" si="15"/>
        <v>990045.04139963223</v>
      </c>
      <c r="AP18" s="56">
        <f t="shared" si="16"/>
        <v>49.92</v>
      </c>
      <c r="AQ18" s="20" t="s">
        <v>115</v>
      </c>
      <c r="AR18" s="20" t="s">
        <v>109</v>
      </c>
      <c r="AS18" s="20" t="s">
        <v>109</v>
      </c>
      <c r="AT18" s="20" t="s">
        <v>245</v>
      </c>
      <c r="AU18" s="20"/>
      <c r="AV18" s="20" t="s">
        <v>140</v>
      </c>
    </row>
    <row r="19" spans="1:48" ht="16.5">
      <c r="A19" s="20" t="s">
        <v>200</v>
      </c>
      <c r="B19" s="54" t="s">
        <v>159</v>
      </c>
      <c r="C19" s="20" t="s">
        <v>115</v>
      </c>
      <c r="D19" s="20">
        <v>112.5</v>
      </c>
      <c r="E19" s="20">
        <v>1.35</v>
      </c>
      <c r="F19" s="20">
        <v>1</v>
      </c>
      <c r="G19" s="20">
        <v>100</v>
      </c>
      <c r="H19" s="65">
        <v>36</v>
      </c>
      <c r="I19" s="20">
        <f>VLOOKUP($C19,兵士关于时代的建筑和勋号加成!$A$50:$K$59,2,0)</f>
        <v>4.8</v>
      </c>
      <c r="J19" s="67">
        <v>1.6</v>
      </c>
      <c r="K19" s="20">
        <f>VLOOKUP($C19,兵士关于时代的建筑和勋号加成!$A$50:$K$59,6,0)</f>
        <v>1.5</v>
      </c>
      <c r="L19" s="65">
        <v>28</v>
      </c>
      <c r="M19" s="20">
        <f>VLOOKUP($C19,兵士关于时代的建筑和勋号加成!$A$50:$K$59,3,0)</f>
        <v>3.85</v>
      </c>
      <c r="N19" s="67">
        <v>1.6</v>
      </c>
      <c r="O19" s="20">
        <f>VLOOKUP($C19,兵士关于时代的建筑和勋号加成!$A$50:$K$59,7,0)</f>
        <v>1.6</v>
      </c>
      <c r="P19" s="34">
        <f t="shared" si="0"/>
        <v>201.13724667500051</v>
      </c>
      <c r="Q19" s="34">
        <f t="shared" si="1"/>
        <v>16761.437222916709</v>
      </c>
      <c r="R19" s="65">
        <v>0</v>
      </c>
      <c r="S19" s="20">
        <f>VLOOKUP($C19,兵士关于时代的建筑和勋号加成!$A$50:$K$59,4,0)</f>
        <v>1</v>
      </c>
      <c r="T19" s="67">
        <v>0</v>
      </c>
      <c r="U19" s="20">
        <f>VLOOKUP($C19,兵士关于时代的建筑和勋号加成!$A$50:$K$59,8,0)</f>
        <v>1</v>
      </c>
      <c r="V19" s="65">
        <v>0</v>
      </c>
      <c r="W19" s="20">
        <f>VLOOKUP($C19,兵士关于时代的建筑和勋号加成!$A$50:$K$59,5,0)</f>
        <v>1</v>
      </c>
      <c r="X19" s="67">
        <v>0</v>
      </c>
      <c r="Y19" s="20">
        <f>VLOOKUP($C19,兵士关于时代的建筑和勋号加成!$A$50:$K$59,9,0)</f>
        <v>1</v>
      </c>
      <c r="Z19" s="60">
        <f t="shared" si="2"/>
        <v>275.39999999999998</v>
      </c>
      <c r="AA19" s="60">
        <f t="shared" si="3"/>
        <v>185.92000000000004</v>
      </c>
      <c r="AB19" s="60">
        <f t="shared" si="4"/>
        <v>0</v>
      </c>
      <c r="AC19" s="60">
        <f t="shared" si="5"/>
        <v>0</v>
      </c>
      <c r="AD19" s="69">
        <f t="shared" si="6"/>
        <v>361.8</v>
      </c>
      <c r="AE19" s="69">
        <f t="shared" si="7"/>
        <v>257.60000000000002</v>
      </c>
      <c r="AF19" s="69">
        <f t="shared" si="8"/>
        <v>0</v>
      </c>
      <c r="AG19" s="69">
        <f t="shared" si="9"/>
        <v>0</v>
      </c>
      <c r="AH19" s="23">
        <f t="shared" si="10"/>
        <v>226.27940250937559</v>
      </c>
      <c r="AI19" s="23">
        <f t="shared" si="11"/>
        <v>1.217079402481581</v>
      </c>
      <c r="AJ19" s="23">
        <f t="shared" si="12"/>
        <v>22627.940250937558</v>
      </c>
      <c r="AK19" s="72">
        <f t="shared" si="13"/>
        <v>30528.622635159947</v>
      </c>
      <c r="AL19" s="20">
        <f>26</f>
        <v>26</v>
      </c>
      <c r="AM19" s="20">
        <f>VLOOKUP($C19,兵士关于时代的建筑和勋号加成!$A$50:$K$59,11,0)</f>
        <v>6</v>
      </c>
      <c r="AN19" s="39">
        <f t="shared" si="14"/>
        <v>724094.08803000185</v>
      </c>
      <c r="AO19" s="69">
        <f t="shared" si="15"/>
        <v>976915.92432511831</v>
      </c>
      <c r="AP19" s="56">
        <f t="shared" si="16"/>
        <v>43.2</v>
      </c>
      <c r="AQ19" s="20" t="s">
        <v>183</v>
      </c>
      <c r="AR19" s="20" t="s">
        <v>184</v>
      </c>
      <c r="AS19" s="20" t="s">
        <v>109</v>
      </c>
      <c r="AT19" s="20" t="s">
        <v>261</v>
      </c>
      <c r="AU19" s="20"/>
      <c r="AV19" s="20" t="s">
        <v>298</v>
      </c>
    </row>
    <row r="20" spans="1:48" ht="16.5" hidden="1">
      <c r="A20" s="20" t="s">
        <v>200</v>
      </c>
      <c r="B20" s="54" t="s">
        <v>199</v>
      </c>
      <c r="C20" s="20" t="s">
        <v>110</v>
      </c>
      <c r="D20" s="20">
        <v>66</v>
      </c>
      <c r="E20" s="20">
        <v>0.72</v>
      </c>
      <c r="F20" s="20">
        <v>1</v>
      </c>
      <c r="G20" s="20">
        <v>100</v>
      </c>
      <c r="H20" s="65">
        <v>28</v>
      </c>
      <c r="I20" s="20">
        <f>VLOOKUP($C20,兵士关于时代的建筑和勋号加成!$A$50:$K$59,2,0)</f>
        <v>6.2</v>
      </c>
      <c r="J20" s="67">
        <v>1.2</v>
      </c>
      <c r="K20" s="20">
        <f>VLOOKUP($C20,兵士关于时代的建筑和勋号加成!$A$50:$K$59,6,0)</f>
        <v>2.2000000000000002</v>
      </c>
      <c r="L20" s="65">
        <v>10</v>
      </c>
      <c r="M20" s="20">
        <f>VLOOKUP($C20,兵士关于时代的建筑和勋号加成!$A$50:$K$59,3,0)</f>
        <v>3.8</v>
      </c>
      <c r="N20" s="67">
        <v>1.6</v>
      </c>
      <c r="O20" s="20">
        <f>VLOOKUP($C20,兵士关于时代的建筑和勋号加成!$A$50:$K$59,7,0)</f>
        <v>1.6</v>
      </c>
      <c r="P20" s="34">
        <f t="shared" si="0"/>
        <v>245.55852642290782</v>
      </c>
      <c r="Q20" s="34">
        <f t="shared" si="1"/>
        <v>22509.531588766549</v>
      </c>
      <c r="R20" s="65">
        <v>0</v>
      </c>
      <c r="S20" s="20">
        <f>VLOOKUP($C20,兵士关于时代的建筑和勋号加成!$A$50:$K$59,4,0)</f>
        <v>1</v>
      </c>
      <c r="T20" s="67">
        <v>0</v>
      </c>
      <c r="U20" s="20">
        <f>VLOOKUP($C20,兵士关于时代的建筑和勋号加成!$A$50:$K$59,8,0)</f>
        <v>1</v>
      </c>
      <c r="V20" s="65">
        <v>0</v>
      </c>
      <c r="W20" s="20">
        <f>VLOOKUP($C20,兵士关于时代的建筑和勋号加成!$A$50:$K$59,5,0)</f>
        <v>1</v>
      </c>
      <c r="X20" s="67">
        <v>0</v>
      </c>
      <c r="Y20" s="20">
        <f>VLOOKUP($C20,兵士关于时代的建筑和勋号加成!$A$50:$K$59,9,0)</f>
        <v>1</v>
      </c>
      <c r="Z20" s="60">
        <f t="shared" si="2"/>
        <v>400.40000000000003</v>
      </c>
      <c r="AA20" s="60">
        <f t="shared" si="3"/>
        <v>65.600000000000009</v>
      </c>
      <c r="AB20" s="60">
        <f t="shared" si="4"/>
        <v>0</v>
      </c>
      <c r="AC20" s="60">
        <f t="shared" si="5"/>
        <v>0</v>
      </c>
      <c r="AD20" s="69">
        <f t="shared" si="6"/>
        <v>474.32000000000005</v>
      </c>
      <c r="AE20" s="69">
        <f t="shared" si="7"/>
        <v>91.2</v>
      </c>
      <c r="AF20" s="69">
        <f t="shared" si="8"/>
        <v>0</v>
      </c>
      <c r="AG20" s="69">
        <f t="shared" si="9"/>
        <v>0</v>
      </c>
      <c r="AH20" s="23">
        <f t="shared" si="10"/>
        <v>162.06862743911915</v>
      </c>
      <c r="AI20" s="23">
        <f t="shared" si="11"/>
        <v>2.4705583451085236</v>
      </c>
      <c r="AJ20" s="23">
        <f t="shared" si="12"/>
        <v>16206.862743911915</v>
      </c>
      <c r="AK20" s="72">
        <f t="shared" si="13"/>
        <v>20798.553795877251</v>
      </c>
      <c r="AL20" s="20">
        <f>26</f>
        <v>26</v>
      </c>
      <c r="AM20" s="20">
        <f>2+VLOOKUP($C20,兵士关于时代的建筑和勋号加成!$A$50:$K$59,11,0)</f>
        <v>18</v>
      </c>
      <c r="AN20" s="39">
        <f t="shared" si="14"/>
        <v>713101.96073212428</v>
      </c>
      <c r="AO20" s="69">
        <f t="shared" si="15"/>
        <v>915136.36701859906</v>
      </c>
      <c r="AP20" s="56">
        <f t="shared" si="16"/>
        <v>31.68</v>
      </c>
      <c r="AQ20" s="20" t="s">
        <v>177</v>
      </c>
      <c r="AR20" s="20" t="s">
        <v>123</v>
      </c>
      <c r="AS20" s="20" t="s">
        <v>109</v>
      </c>
      <c r="AT20" s="20" t="s">
        <v>254</v>
      </c>
      <c r="AU20" s="20"/>
      <c r="AV20" s="20" t="s">
        <v>195</v>
      </c>
    </row>
    <row r="21" spans="1:48">
      <c r="A21" s="20" t="s">
        <v>200</v>
      </c>
      <c r="B21" s="54" t="s">
        <v>311</v>
      </c>
      <c r="C21" s="20" t="s">
        <v>107</v>
      </c>
      <c r="D21" s="20">
        <v>108</v>
      </c>
      <c r="E21" s="20">
        <v>1.44</v>
      </c>
      <c r="F21" s="20">
        <v>1</v>
      </c>
      <c r="G21" s="20">
        <v>100</v>
      </c>
      <c r="H21" s="65">
        <v>45</v>
      </c>
      <c r="I21" s="20">
        <f>VLOOKUP($C21,兵士关于时代的建筑和勋号加成!$A$50:$K$59,2,0)</f>
        <v>4.5999999999999996</v>
      </c>
      <c r="J21" s="67">
        <v>1.6</v>
      </c>
      <c r="K21" s="20">
        <f>VLOOKUP($C21,兵士关于时代的建筑和勋号加成!$A$50:$K$59,6,0)</f>
        <v>1.6</v>
      </c>
      <c r="L21" s="65">
        <v>25</v>
      </c>
      <c r="M21" s="20">
        <f>VLOOKUP($C21,兵士关于时代的建筑和勋号加成!$A$50:$K$59,3,0)</f>
        <v>4</v>
      </c>
      <c r="N21" s="67">
        <v>1.6</v>
      </c>
      <c r="O21" s="20">
        <f>VLOOKUP($C21,兵士关于时代的建筑和勋号加成!$A$50:$K$59,7,0)</f>
        <v>1.3</v>
      </c>
      <c r="P21" s="34">
        <f t="shared" si="0"/>
        <v>205.59684270045358</v>
      </c>
      <c r="Q21" s="34">
        <f t="shared" si="1"/>
        <v>15419.763202534019</v>
      </c>
      <c r="R21" s="65">
        <v>0</v>
      </c>
      <c r="S21" s="20">
        <f>VLOOKUP($C21,兵士关于时代的建筑和勋号加成!$A$50:$K$59,4,0)</f>
        <v>1</v>
      </c>
      <c r="T21" s="67">
        <v>0</v>
      </c>
      <c r="U21" s="20">
        <f>VLOOKUP($C21,兵士关于时代的建筑和勋号加成!$A$50:$K$59,8,0)</f>
        <v>1</v>
      </c>
      <c r="V21" s="65">
        <v>0</v>
      </c>
      <c r="W21" s="20">
        <f>VLOOKUP($C21,兵士关于时代的建筑和勋号加成!$A$50:$K$59,5,0)</f>
        <v>1</v>
      </c>
      <c r="X21" s="67">
        <v>0</v>
      </c>
      <c r="Y21" s="20">
        <f>VLOOKUP($C21,兵士关于时代的建筑和勋号加成!$A$50:$K$59,9,0)</f>
        <v>1</v>
      </c>
      <c r="Z21" s="60">
        <f t="shared" si="2"/>
        <v>352.79999999999995</v>
      </c>
      <c r="AA21" s="60">
        <f t="shared" si="3"/>
        <v>139.75</v>
      </c>
      <c r="AB21" s="60">
        <f t="shared" si="4"/>
        <v>0</v>
      </c>
      <c r="AC21" s="60">
        <f t="shared" si="5"/>
        <v>0</v>
      </c>
      <c r="AD21" s="69">
        <f t="shared" si="6"/>
        <v>467.99999999999994</v>
      </c>
      <c r="AE21" s="69">
        <f t="shared" si="7"/>
        <v>191.75</v>
      </c>
      <c r="AF21" s="69">
        <f t="shared" si="8"/>
        <v>0</v>
      </c>
      <c r="AG21" s="69">
        <f t="shared" si="9"/>
        <v>0</v>
      </c>
      <c r="AH21" s="23">
        <f t="shared" si="10"/>
        <v>222.04459011648987</v>
      </c>
      <c r="AI21" s="23">
        <f t="shared" si="11"/>
        <v>1.5888700545008221</v>
      </c>
      <c r="AJ21" s="23">
        <f t="shared" si="12"/>
        <v>22204.459011648985</v>
      </c>
      <c r="AK21" s="72">
        <f t="shared" si="13"/>
        <v>29956.468416687567</v>
      </c>
      <c r="AL21" s="20">
        <f>26</f>
        <v>26</v>
      </c>
      <c r="AM21" s="20">
        <f>VLOOKUP($C21,兵士关于时代的建筑和勋号加成!$A$50:$K$59,11,0)</f>
        <v>6</v>
      </c>
      <c r="AN21" s="39">
        <f t="shared" si="14"/>
        <v>710542.68837276753</v>
      </c>
      <c r="AO21" s="69">
        <f t="shared" si="15"/>
        <v>958606.98933400214</v>
      </c>
      <c r="AP21" s="56">
        <f t="shared" si="16"/>
        <v>46.08</v>
      </c>
      <c r="AQ21" s="20" t="s">
        <v>179</v>
      </c>
      <c r="AR21" s="20" t="s">
        <v>109</v>
      </c>
      <c r="AS21" s="20" t="s">
        <v>109</v>
      </c>
      <c r="AT21" s="20" t="s">
        <v>257</v>
      </c>
      <c r="AU21" s="20"/>
      <c r="AV21" s="20" t="s">
        <v>140</v>
      </c>
    </row>
    <row r="22" spans="1:48" ht="24.75">
      <c r="A22" s="20" t="s">
        <v>127</v>
      </c>
      <c r="B22" s="54" t="s">
        <v>118</v>
      </c>
      <c r="C22" s="20" t="s">
        <v>119</v>
      </c>
      <c r="D22" s="20">
        <v>200</v>
      </c>
      <c r="E22" s="20">
        <v>2.1</v>
      </c>
      <c r="F22" s="20">
        <v>1</v>
      </c>
      <c r="G22" s="20">
        <v>50</v>
      </c>
      <c r="H22" s="65">
        <v>100</v>
      </c>
      <c r="I22" s="20">
        <f>VLOOKUP($C22,兵士关于时代的建筑和勋号加成!$A$50:$K$59,2,0)</f>
        <v>5</v>
      </c>
      <c r="J22" s="67">
        <v>1.6</v>
      </c>
      <c r="K22" s="20">
        <f>VLOOKUP($C22,兵士关于时代的建筑和勋号加成!$A$50:$K$59,6,0)</f>
        <v>1.6</v>
      </c>
      <c r="L22" s="65">
        <v>38</v>
      </c>
      <c r="M22" s="20">
        <f>VLOOKUP($C22,兵士关于时代的建筑和勋号加成!$A$50:$K$59,3,0)</f>
        <v>4.4000000000000004</v>
      </c>
      <c r="N22" s="67">
        <v>1.6</v>
      </c>
      <c r="O22" s="20">
        <f>VLOOKUP($C22,兵士关于时代的建筑和勋号加成!$A$50:$K$59,7,0)</f>
        <v>1.3</v>
      </c>
      <c r="P22" s="34">
        <f t="shared" si="0"/>
        <v>110.93033850124141</v>
      </c>
      <c r="Q22" s="34">
        <f t="shared" si="1"/>
        <v>10564.794142975372</v>
      </c>
      <c r="R22" s="65">
        <v>20</v>
      </c>
      <c r="S22" s="20">
        <f>VLOOKUP($C22,兵士关于时代的建筑和勋号加成!$A$50:$K$59,4,0)</f>
        <v>1.4</v>
      </c>
      <c r="T22" s="67">
        <v>0</v>
      </c>
      <c r="U22" s="20">
        <f>VLOOKUP($C22,兵士关于时代的建筑和勋号加成!$A$50:$K$59,8,0)</f>
        <v>1</v>
      </c>
      <c r="V22" s="65">
        <v>0</v>
      </c>
      <c r="W22" s="20">
        <f>VLOOKUP($C22,兵士关于时代的建筑和勋号加成!$A$50:$K$59,5,0)</f>
        <v>1.4</v>
      </c>
      <c r="X22" s="67">
        <v>0</v>
      </c>
      <c r="Y22" s="20">
        <f>VLOOKUP($C22,兵士关于时代的建筑和勋号加成!$A$50:$K$59,9,0)</f>
        <v>1</v>
      </c>
      <c r="Z22" s="60">
        <f t="shared" si="2"/>
        <v>848</v>
      </c>
      <c r="AA22" s="60">
        <f t="shared" si="3"/>
        <v>232.18</v>
      </c>
      <c r="AB22" s="60">
        <f t="shared" si="4"/>
        <v>28</v>
      </c>
      <c r="AC22" s="60">
        <f t="shared" si="5"/>
        <v>0</v>
      </c>
      <c r="AD22" s="69">
        <f t="shared" si="6"/>
        <v>1104</v>
      </c>
      <c r="AE22" s="69">
        <f t="shared" si="7"/>
        <v>311.22000000000003</v>
      </c>
      <c r="AF22" s="69">
        <f t="shared" si="8"/>
        <v>28</v>
      </c>
      <c r="AG22" s="69">
        <f t="shared" si="9"/>
        <v>0</v>
      </c>
      <c r="AH22" s="23">
        <f t="shared" si="10"/>
        <v>443.72135400496563</v>
      </c>
      <c r="AI22" s="23">
        <f t="shared" si="11"/>
        <v>1.9111092859202583</v>
      </c>
      <c r="AJ22" s="23">
        <f t="shared" si="12"/>
        <v>22186.067700248281</v>
      </c>
      <c r="AK22" s="72">
        <f t="shared" si="13"/>
        <v>29308.142213385003</v>
      </c>
      <c r="AL22" s="20">
        <f>26</f>
        <v>26</v>
      </c>
      <c r="AM22" s="20">
        <f>VLOOKUP($C22,兵士关于时代的建筑和勋号加成!$A$50:$K$59,11,0)</f>
        <v>6</v>
      </c>
      <c r="AN22" s="39">
        <f t="shared" si="14"/>
        <v>709954.16640794498</v>
      </c>
      <c r="AO22" s="69">
        <f t="shared" si="15"/>
        <v>937860.55082832009</v>
      </c>
      <c r="AP22" s="56">
        <f t="shared" si="16"/>
        <v>67.2</v>
      </c>
      <c r="AQ22" s="20" t="s">
        <v>110</v>
      </c>
      <c r="AR22" s="20" t="s">
        <v>113</v>
      </c>
      <c r="AS22" s="20" t="s">
        <v>120</v>
      </c>
      <c r="AT22" s="20" t="s">
        <v>284</v>
      </c>
      <c r="AU22" s="20"/>
      <c r="AV22" s="20" t="s">
        <v>195</v>
      </c>
    </row>
    <row r="23" spans="1:48" ht="16.5">
      <c r="A23" s="20" t="s">
        <v>200</v>
      </c>
      <c r="B23" s="54" t="s">
        <v>312</v>
      </c>
      <c r="C23" s="20" t="s">
        <v>115</v>
      </c>
      <c r="D23" s="20">
        <v>97.5</v>
      </c>
      <c r="E23" s="20">
        <v>1.17</v>
      </c>
      <c r="F23" s="20">
        <v>1</v>
      </c>
      <c r="G23" s="20">
        <v>100</v>
      </c>
      <c r="H23" s="65">
        <v>40</v>
      </c>
      <c r="I23" s="20">
        <f>VLOOKUP($C23,兵士关于时代的建筑和勋号加成!$A$50:$K$59,2,0)</f>
        <v>4.8</v>
      </c>
      <c r="J23" s="67">
        <v>1.6</v>
      </c>
      <c r="K23" s="20">
        <f>VLOOKUP($C23,兵士关于时代的建筑和勋号加成!$A$50:$K$59,6,0)</f>
        <v>1.5</v>
      </c>
      <c r="L23" s="65">
        <v>24</v>
      </c>
      <c r="M23" s="20">
        <f>VLOOKUP($C23,兵士关于时代的建筑和勋号加成!$A$50:$K$59,3,0)</f>
        <v>3.85</v>
      </c>
      <c r="N23" s="67">
        <v>1.6</v>
      </c>
      <c r="O23" s="20">
        <f>VLOOKUP($C23,兵士关于时代的建筑和勋号加成!$A$50:$K$59,7,0)</f>
        <v>1.6</v>
      </c>
      <c r="P23" s="34">
        <f t="shared" si="0"/>
        <v>226.48829273400011</v>
      </c>
      <c r="Q23" s="34">
        <f t="shared" si="1"/>
        <v>18874.024394500011</v>
      </c>
      <c r="R23" s="65">
        <v>0</v>
      </c>
      <c r="S23" s="20">
        <f>VLOOKUP($C23,兵士关于时代的建筑和勋号加成!$A$50:$K$59,4,0)</f>
        <v>1</v>
      </c>
      <c r="T23" s="67">
        <v>0</v>
      </c>
      <c r="U23" s="20">
        <f>VLOOKUP($C23,兵士关于时代的建筑和勋号加成!$A$50:$K$59,8,0)</f>
        <v>1</v>
      </c>
      <c r="V23" s="65">
        <v>0</v>
      </c>
      <c r="W23" s="20">
        <f>VLOOKUP($C23,兵士关于时代的建筑和勋号加成!$A$50:$K$59,5,0)</f>
        <v>1</v>
      </c>
      <c r="X23" s="67">
        <v>0</v>
      </c>
      <c r="Y23" s="20">
        <f>VLOOKUP($C23,兵士关于时代的建筑和勋号加成!$A$50:$K$59,9,0)</f>
        <v>1</v>
      </c>
      <c r="Z23" s="60">
        <f t="shared" si="2"/>
        <v>306</v>
      </c>
      <c r="AA23" s="60">
        <f t="shared" si="3"/>
        <v>159.36000000000001</v>
      </c>
      <c r="AB23" s="60">
        <f t="shared" si="4"/>
        <v>0</v>
      </c>
      <c r="AC23" s="60">
        <f t="shared" si="5"/>
        <v>0</v>
      </c>
      <c r="AD23" s="69">
        <f t="shared" si="6"/>
        <v>402</v>
      </c>
      <c r="AE23" s="69">
        <f t="shared" si="7"/>
        <v>220.8</v>
      </c>
      <c r="AF23" s="69">
        <f t="shared" si="8"/>
        <v>0</v>
      </c>
      <c r="AG23" s="69">
        <f t="shared" si="9"/>
        <v>0</v>
      </c>
      <c r="AH23" s="23">
        <f t="shared" si="10"/>
        <v>220.82608541565011</v>
      </c>
      <c r="AI23" s="23">
        <f t="shared" si="11"/>
        <v>1.3857058572769207</v>
      </c>
      <c r="AJ23" s="23">
        <f t="shared" si="12"/>
        <v>22082.608541565012</v>
      </c>
      <c r="AK23" s="72">
        <f t="shared" si="13"/>
        <v>29792.885056670832</v>
      </c>
      <c r="AL23" s="20">
        <f>26</f>
        <v>26</v>
      </c>
      <c r="AM23" s="20">
        <f>VLOOKUP($C23,兵士关于时代的建筑和勋号加成!$A$50:$K$59,11,0)</f>
        <v>6</v>
      </c>
      <c r="AN23" s="39">
        <f t="shared" si="14"/>
        <v>706643.47333008039</v>
      </c>
      <c r="AO23" s="69">
        <f t="shared" si="15"/>
        <v>953372.32181346661</v>
      </c>
      <c r="AP23" s="56">
        <f t="shared" si="16"/>
        <v>37.44</v>
      </c>
      <c r="AQ23" s="20" t="s">
        <v>95</v>
      </c>
      <c r="AR23" s="20" t="s">
        <v>116</v>
      </c>
      <c r="AS23" s="20" t="s">
        <v>109</v>
      </c>
      <c r="AT23" s="20" t="s">
        <v>259</v>
      </c>
      <c r="AU23" s="20"/>
      <c r="AV23" s="20" t="s">
        <v>315</v>
      </c>
    </row>
    <row r="24" spans="1:48" ht="16.5">
      <c r="A24" s="20" t="s">
        <v>200</v>
      </c>
      <c r="B24" s="54" t="s">
        <v>290</v>
      </c>
      <c r="C24" s="20" t="s">
        <v>291</v>
      </c>
      <c r="D24" s="20">
        <v>250</v>
      </c>
      <c r="E24" s="20">
        <f>2.1*1.25</f>
        <v>2.625</v>
      </c>
      <c r="F24" s="20">
        <v>1</v>
      </c>
      <c r="G24" s="20">
        <v>50</v>
      </c>
      <c r="H24" s="65">
        <v>110</v>
      </c>
      <c r="I24" s="20">
        <f>VLOOKUP($C24,兵士关于时代的建筑和勋号加成!$A$50:$K$59,2,0)</f>
        <v>5</v>
      </c>
      <c r="J24" s="67">
        <v>1.6</v>
      </c>
      <c r="K24" s="20">
        <f>VLOOKUP($C24,兵士关于时代的建筑和勋号加成!$A$50:$K$59,6,0)</f>
        <v>1.6</v>
      </c>
      <c r="L24" s="65">
        <v>33</v>
      </c>
      <c r="M24" s="20">
        <f>VLOOKUP($C24,兵士关于时代的建筑和勋号加成!$A$50:$K$59,3,0)</f>
        <v>4.4000000000000004</v>
      </c>
      <c r="N24" s="67">
        <v>1.6</v>
      </c>
      <c r="O24" s="20">
        <f>VLOOKUP($C24,兵士关于时代的建筑和勋号加成!$A$50:$K$59,7,0)</f>
        <v>1.3</v>
      </c>
      <c r="P24" s="34">
        <f t="shared" si="0"/>
        <v>86.736489207253484</v>
      </c>
      <c r="Q24" s="34">
        <f t="shared" si="1"/>
        <v>8260.6180197384274</v>
      </c>
      <c r="R24" s="65">
        <v>25</v>
      </c>
      <c r="S24" s="20">
        <f>VLOOKUP($C24,兵士关于时代的建筑和勋号加成!$A$50:$K$59,4,0)</f>
        <v>1.4</v>
      </c>
      <c r="T24" s="67">
        <v>0</v>
      </c>
      <c r="U24" s="20">
        <f>VLOOKUP($C24,兵士关于时代的建筑和勋号加成!$A$50:$K$59,8,0)</f>
        <v>1</v>
      </c>
      <c r="V24" s="65">
        <v>10</v>
      </c>
      <c r="W24" s="20">
        <f>VLOOKUP($C24,兵士关于时代的建筑和勋号加成!$A$50:$K$59,5,0)</f>
        <v>1.4</v>
      </c>
      <c r="X24" s="67">
        <v>0</v>
      </c>
      <c r="Y24" s="20">
        <f>VLOOKUP($C24,兵士关于时代的建筑和勋号加成!$A$50:$K$59,9,0)</f>
        <v>1</v>
      </c>
      <c r="Z24" s="60">
        <f t="shared" si="2"/>
        <v>932.80000000000007</v>
      </c>
      <c r="AA24" s="60">
        <f t="shared" si="3"/>
        <v>201.63</v>
      </c>
      <c r="AB24" s="60">
        <f t="shared" si="4"/>
        <v>35</v>
      </c>
      <c r="AC24" s="60">
        <f t="shared" si="5"/>
        <v>14</v>
      </c>
      <c r="AD24" s="69">
        <f t="shared" si="6"/>
        <v>1214.3999999999999</v>
      </c>
      <c r="AE24" s="69">
        <f t="shared" si="7"/>
        <v>270.27000000000004</v>
      </c>
      <c r="AF24" s="69">
        <f t="shared" si="8"/>
        <v>35</v>
      </c>
      <c r="AG24" s="69">
        <f t="shared" si="9"/>
        <v>14</v>
      </c>
      <c r="AH24" s="23">
        <f t="shared" si="10"/>
        <v>433.68244603626744</v>
      </c>
      <c r="AI24" s="23">
        <f t="shared" si="11"/>
        <v>2.1508825375007063</v>
      </c>
      <c r="AJ24" s="23">
        <f t="shared" si="12"/>
        <v>21684.122301813371</v>
      </c>
      <c r="AK24" s="72">
        <f t="shared" si="13"/>
        <v>28645.064496349107</v>
      </c>
      <c r="AL24" s="20">
        <f>26</f>
        <v>26</v>
      </c>
      <c r="AM24" s="20">
        <f>VLOOKUP($C24,兵士关于时代的建筑和勋号加成!$A$50:$K$59,11,0)</f>
        <v>6</v>
      </c>
      <c r="AN24" s="39">
        <f t="shared" si="14"/>
        <v>693891.91365802789</v>
      </c>
      <c r="AO24" s="69">
        <f t="shared" si="15"/>
        <v>916642.06388317142</v>
      </c>
      <c r="AP24" s="56">
        <f t="shared" si="16"/>
        <v>84</v>
      </c>
      <c r="AQ24" s="20" t="s">
        <v>197</v>
      </c>
      <c r="AR24" s="20" t="s">
        <v>292</v>
      </c>
      <c r="AS24" s="20" t="s">
        <v>293</v>
      </c>
      <c r="AT24" s="20" t="s">
        <v>299</v>
      </c>
      <c r="AV24" s="20" t="s">
        <v>194</v>
      </c>
    </row>
    <row r="25" spans="1:48" ht="16.5">
      <c r="A25" s="20" t="s">
        <v>200</v>
      </c>
      <c r="B25" s="54" t="s">
        <v>313</v>
      </c>
      <c r="C25" s="20" t="s">
        <v>107</v>
      </c>
      <c r="D25" s="20">
        <v>108</v>
      </c>
      <c r="E25" s="20">
        <v>1.44</v>
      </c>
      <c r="F25" s="20">
        <v>1</v>
      </c>
      <c r="G25" s="20">
        <v>100</v>
      </c>
      <c r="H25" s="65">
        <v>40</v>
      </c>
      <c r="I25" s="20">
        <f>VLOOKUP($C25,兵士关于时代的建筑和勋号加成!$A$50:$K$59,2,0)</f>
        <v>4.5999999999999996</v>
      </c>
      <c r="J25" s="67">
        <v>1.6</v>
      </c>
      <c r="K25" s="20">
        <f>VLOOKUP($C25,兵士关于时代的建筑和勋号加成!$A$50:$K$59,6,0)</f>
        <v>1.6</v>
      </c>
      <c r="L25" s="65">
        <v>26</v>
      </c>
      <c r="M25" s="20">
        <f>VLOOKUP($C25,兵士关于时代的建筑和勋号加成!$A$50:$K$59,3,0)</f>
        <v>4</v>
      </c>
      <c r="N25" s="67">
        <v>1.6</v>
      </c>
      <c r="O25" s="20">
        <f>VLOOKUP($C25,兵士关于时代的建筑和勋号加成!$A$50:$K$59,7,0)</f>
        <v>1.3</v>
      </c>
      <c r="P25" s="34">
        <f t="shared" si="0"/>
        <v>197.67732224799724</v>
      </c>
      <c r="Q25" s="34">
        <f t="shared" si="1"/>
        <v>14825.799168599793</v>
      </c>
      <c r="R25" s="65">
        <v>0</v>
      </c>
      <c r="S25" s="20">
        <f>VLOOKUP($C25,兵士关于时代的建筑和勋号加成!$A$50:$K$59,4,0)</f>
        <v>1</v>
      </c>
      <c r="T25" s="67">
        <v>0</v>
      </c>
      <c r="U25" s="20">
        <f>VLOOKUP($C25,兵士关于时代的建筑和勋号加成!$A$50:$K$59,8,0)</f>
        <v>1</v>
      </c>
      <c r="V25" s="65">
        <v>0</v>
      </c>
      <c r="W25" s="20">
        <f>VLOOKUP($C25,兵士关于时代的建筑和勋号加成!$A$50:$K$59,5,0)</f>
        <v>1</v>
      </c>
      <c r="X25" s="67">
        <v>0</v>
      </c>
      <c r="Y25" s="20">
        <f>VLOOKUP($C25,兵士关于时代的建筑和勋号加成!$A$50:$K$59,9,0)</f>
        <v>1</v>
      </c>
      <c r="Z25" s="60">
        <f t="shared" si="2"/>
        <v>313.59999999999997</v>
      </c>
      <c r="AA25" s="60">
        <f t="shared" si="3"/>
        <v>145.34</v>
      </c>
      <c r="AB25" s="60">
        <f t="shared" si="4"/>
        <v>0</v>
      </c>
      <c r="AC25" s="60">
        <f t="shared" si="5"/>
        <v>0</v>
      </c>
      <c r="AD25" s="69">
        <f t="shared" si="6"/>
        <v>415.99999999999994</v>
      </c>
      <c r="AE25" s="69">
        <f t="shared" si="7"/>
        <v>199.42</v>
      </c>
      <c r="AF25" s="69">
        <f t="shared" si="8"/>
        <v>0</v>
      </c>
      <c r="AG25" s="69">
        <f t="shared" si="9"/>
        <v>0</v>
      </c>
      <c r="AH25" s="23">
        <f t="shared" si="10"/>
        <v>213.491508027837</v>
      </c>
      <c r="AI25" s="23">
        <f t="shared" si="11"/>
        <v>1.4689108850133274</v>
      </c>
      <c r="AJ25" s="23">
        <f t="shared" si="12"/>
        <v>21349.150802783701</v>
      </c>
      <c r="AK25" s="72">
        <f t="shared" si="13"/>
        <v>28802.555442182551</v>
      </c>
      <c r="AL25" s="20">
        <f>26</f>
        <v>26</v>
      </c>
      <c r="AM25" s="20">
        <f>VLOOKUP($C25,兵士关于时代的建筑和勋号加成!$A$50:$K$59,11,0)</f>
        <v>6</v>
      </c>
      <c r="AN25" s="39">
        <f t="shared" si="14"/>
        <v>683172.82568907843</v>
      </c>
      <c r="AO25" s="69">
        <f t="shared" si="15"/>
        <v>921681.77414984163</v>
      </c>
      <c r="AP25" s="56">
        <f t="shared" si="16"/>
        <v>46.08</v>
      </c>
      <c r="AQ25" s="20" t="s">
        <v>115</v>
      </c>
      <c r="AR25" s="20" t="s">
        <v>178</v>
      </c>
      <c r="AS25" s="20" t="s">
        <v>109</v>
      </c>
      <c r="AT25" s="20" t="s">
        <v>256</v>
      </c>
      <c r="AU25" s="20"/>
      <c r="AV25" s="20" t="s">
        <v>140</v>
      </c>
    </row>
    <row r="26" spans="1:48" ht="24.75">
      <c r="A26" s="20" t="s">
        <v>231</v>
      </c>
      <c r="B26" s="54" t="s">
        <v>202</v>
      </c>
      <c r="C26" s="20" t="s">
        <v>112</v>
      </c>
      <c r="D26" s="20">
        <v>111</v>
      </c>
      <c r="E26" s="20">
        <v>1.36</v>
      </c>
      <c r="F26" s="20">
        <v>1</v>
      </c>
      <c r="G26" s="20">
        <v>100</v>
      </c>
      <c r="H26" s="65">
        <v>40</v>
      </c>
      <c r="I26" s="20">
        <f>VLOOKUP($C26,兵士关于时代的建筑和勋号加成!$A$50:$K$59,2,0)</f>
        <v>6.2</v>
      </c>
      <c r="J26" s="67">
        <v>0.8</v>
      </c>
      <c r="K26" s="20">
        <f>VLOOKUP($C26,兵士关于时代的建筑和勋号加成!$A$50:$K$59,6,0)</f>
        <v>1.6</v>
      </c>
      <c r="L26" s="65">
        <v>15</v>
      </c>
      <c r="M26" s="20">
        <f>VLOOKUP($C26,兵士关于时代的建筑和勋号加成!$A$50:$K$59,3,0)</f>
        <v>5.0999999999999996</v>
      </c>
      <c r="N26" s="67">
        <v>1.2</v>
      </c>
      <c r="O26" s="20">
        <f>VLOOKUP($C26,兵士关于时代的建筑和勋号加成!$A$50:$K$59,7,0)</f>
        <v>1.3</v>
      </c>
      <c r="P26" s="34">
        <f t="shared" si="0"/>
        <v>188.55492134592819</v>
      </c>
      <c r="Q26" s="34">
        <f t="shared" si="1"/>
        <v>15389.409021616197</v>
      </c>
      <c r="R26" s="65">
        <v>40</v>
      </c>
      <c r="S26" s="20">
        <f>VLOOKUP($C26,兵士关于时代的建筑和勋号加成!$A$50:$K$59,4,0)</f>
        <v>2.2000000000000002</v>
      </c>
      <c r="T26" s="67">
        <v>-0.3</v>
      </c>
      <c r="U26" s="20">
        <f>VLOOKUP($C26,兵士关于时代的建筑和勋号加成!$A$50:$K$59,8,0)</f>
        <v>1.4</v>
      </c>
      <c r="V26" s="65">
        <v>15</v>
      </c>
      <c r="W26" s="20">
        <f>VLOOKUP($C26,兵士关于时代的建筑和勋号加成!$A$50:$K$59,5,0)</f>
        <v>1.4</v>
      </c>
      <c r="X26" s="67">
        <v>-0.3</v>
      </c>
      <c r="Y26" s="20">
        <f>VLOOKUP($C26,兵士关于时代的建筑和勋号加成!$A$50:$K$59,9,0)</f>
        <v>1</v>
      </c>
      <c r="Z26" s="60">
        <f t="shared" si="2"/>
        <v>416</v>
      </c>
      <c r="AA26" s="60">
        <f t="shared" si="3"/>
        <v>105.29999999999998</v>
      </c>
      <c r="AB26" s="60">
        <f t="shared" si="4"/>
        <v>123.19999999999999</v>
      </c>
      <c r="AC26" s="60">
        <f t="shared" si="5"/>
        <v>21</v>
      </c>
      <c r="AD26" s="69">
        <f t="shared" si="6"/>
        <v>467.20000000000005</v>
      </c>
      <c r="AE26" s="69">
        <f t="shared" si="7"/>
        <v>128.70000000000002</v>
      </c>
      <c r="AF26" s="69">
        <f t="shared" si="8"/>
        <v>106.39999999999999</v>
      </c>
      <c r="AG26" s="69">
        <f t="shared" si="9"/>
        <v>16.499999999999996</v>
      </c>
      <c r="AH26" s="23">
        <f t="shared" si="10"/>
        <v>209.2959626939803</v>
      </c>
      <c r="AI26" s="23">
        <f t="shared" si="11"/>
        <v>1.9876159799998132</v>
      </c>
      <c r="AJ26" s="23">
        <f t="shared" si="12"/>
        <v>20929.596269398029</v>
      </c>
      <c r="AK26" s="72">
        <f t="shared" si="13"/>
        <v>24521.141898370071</v>
      </c>
      <c r="AL26" s="20">
        <f>26</f>
        <v>26</v>
      </c>
      <c r="AM26" s="20">
        <f>VLOOKUP($C26,兵士关于时代的建筑和勋号加成!$A$50:$K$59,11,0)</f>
        <v>6</v>
      </c>
      <c r="AN26" s="39">
        <f t="shared" si="14"/>
        <v>669747.08062073693</v>
      </c>
      <c r="AO26" s="69">
        <f t="shared" si="15"/>
        <v>784676.54074784229</v>
      </c>
      <c r="AP26" s="56">
        <f t="shared" si="16"/>
        <v>43.52</v>
      </c>
      <c r="AQ26" s="20" t="s">
        <v>110</v>
      </c>
      <c r="AR26" s="20" t="s">
        <v>124</v>
      </c>
      <c r="AS26" s="20" t="s">
        <v>114</v>
      </c>
      <c r="AT26" s="20" t="s">
        <v>266</v>
      </c>
      <c r="AU26" s="20" t="s">
        <v>203</v>
      </c>
      <c r="AV26" s="20" t="s">
        <v>315</v>
      </c>
    </row>
    <row r="27" spans="1:48">
      <c r="A27" s="20" t="s">
        <v>287</v>
      </c>
      <c r="B27" s="64" t="s">
        <v>310</v>
      </c>
      <c r="C27" s="20" t="s">
        <v>133</v>
      </c>
      <c r="D27" s="20">
        <v>90</v>
      </c>
      <c r="E27" s="20">
        <v>1.2</v>
      </c>
      <c r="F27" s="20">
        <v>1</v>
      </c>
      <c r="G27" s="20">
        <v>100</v>
      </c>
      <c r="H27" s="65">
        <v>36</v>
      </c>
      <c r="I27" s="20">
        <f>VLOOKUP($C27,兵士关于时代的建筑和勋号加成!$A$50:$K$59,2,0)</f>
        <v>4.5999999999999996</v>
      </c>
      <c r="J27" s="67">
        <v>1.6</v>
      </c>
      <c r="K27" s="20">
        <f>VLOOKUP($C27,兵士关于时代的建筑和勋号加成!$A$50:$K$59,6,0)</f>
        <v>1.6</v>
      </c>
      <c r="L27" s="65">
        <v>26</v>
      </c>
      <c r="M27" s="20">
        <f>VLOOKUP($C27,兵士关于时代的建筑和勋号加成!$A$50:$K$59,3,0)</f>
        <v>4</v>
      </c>
      <c r="N27" s="67">
        <v>1.6</v>
      </c>
      <c r="O27" s="20">
        <f>VLOOKUP($C27,兵士关于时代的建筑和勋号加成!$A$50:$K$59,7,0)</f>
        <v>1.3</v>
      </c>
      <c r="P27" s="34">
        <f t="shared" si="0"/>
        <v>225.03980882402902</v>
      </c>
      <c r="Q27" s="34">
        <f t="shared" si="1"/>
        <v>16877.985661802177</v>
      </c>
      <c r="R27" s="65">
        <v>0</v>
      </c>
      <c r="S27" s="20">
        <f>VLOOKUP($C27,兵士关于时代的建筑和勋号加成!$A$50:$K$59,4,0)</f>
        <v>1</v>
      </c>
      <c r="T27" s="67">
        <v>0</v>
      </c>
      <c r="U27" s="20">
        <f>VLOOKUP($C27,兵士关于时代的建筑和勋号加成!$A$50:$K$59,8,0)</f>
        <v>1</v>
      </c>
      <c r="V27" s="65">
        <v>0</v>
      </c>
      <c r="W27" s="20">
        <f>VLOOKUP($C27,兵士关于时代的建筑和勋号加成!$A$50:$K$59,5,0)</f>
        <v>1</v>
      </c>
      <c r="X27" s="67">
        <v>0</v>
      </c>
      <c r="Y27" s="20">
        <f>VLOOKUP($C27,兵士关于时代的建筑和勋号加成!$A$50:$K$59,9,0)</f>
        <v>1</v>
      </c>
      <c r="Z27" s="60">
        <f t="shared" si="2"/>
        <v>282.23999999999995</v>
      </c>
      <c r="AA27" s="60">
        <f t="shared" si="3"/>
        <v>145.34</v>
      </c>
      <c r="AB27" s="60">
        <f t="shared" si="4"/>
        <v>0</v>
      </c>
      <c r="AC27" s="60">
        <f t="shared" si="5"/>
        <v>0</v>
      </c>
      <c r="AD27" s="69">
        <f t="shared" si="6"/>
        <v>374.4</v>
      </c>
      <c r="AE27" s="69">
        <f t="shared" si="7"/>
        <v>199.42</v>
      </c>
      <c r="AF27" s="69">
        <f t="shared" si="8"/>
        <v>0</v>
      </c>
      <c r="AG27" s="69">
        <f t="shared" si="9"/>
        <v>0</v>
      </c>
      <c r="AH27" s="23">
        <f t="shared" si="10"/>
        <v>202.53582794162614</v>
      </c>
      <c r="AI27" s="23">
        <f t="shared" si="11"/>
        <v>1.3935312229367425</v>
      </c>
      <c r="AJ27" s="23">
        <f t="shared" si="12"/>
        <v>20253.582794162612</v>
      </c>
      <c r="AK27" s="72">
        <f t="shared" si="13"/>
        <v>27324.50328917252</v>
      </c>
      <c r="AL27" s="20">
        <f>26</f>
        <v>26</v>
      </c>
      <c r="AM27" s="20">
        <f>VLOOKUP($C27,兵士关于时代的建筑和勋号加成!$A$50:$K$59,11,0)</f>
        <v>6</v>
      </c>
      <c r="AN27" s="39">
        <f t="shared" si="14"/>
        <v>648114.64941320359</v>
      </c>
      <c r="AO27" s="69">
        <f t="shared" si="15"/>
        <v>874384.10525352065</v>
      </c>
      <c r="AP27" s="56">
        <f t="shared" si="16"/>
        <v>38.4</v>
      </c>
      <c r="AQ27" s="20" t="s">
        <v>282</v>
      </c>
      <c r="AR27" s="20" t="s">
        <v>109</v>
      </c>
      <c r="AS27" s="20" t="s">
        <v>136</v>
      </c>
      <c r="AT27" s="20" t="s">
        <v>131</v>
      </c>
      <c r="AU27" s="20"/>
      <c r="AV27" s="20" t="s">
        <v>194</v>
      </c>
    </row>
    <row r="28" spans="1:48">
      <c r="A28" s="20" t="s">
        <v>200</v>
      </c>
      <c r="B28" s="54" t="s">
        <v>152</v>
      </c>
      <c r="C28" s="20" t="s">
        <v>107</v>
      </c>
      <c r="D28" s="20">
        <v>108</v>
      </c>
      <c r="E28" s="20">
        <v>1.44</v>
      </c>
      <c r="F28" s="20">
        <v>1</v>
      </c>
      <c r="G28" s="20">
        <v>100</v>
      </c>
      <c r="H28" s="65">
        <v>42</v>
      </c>
      <c r="I28" s="20">
        <f>VLOOKUP($C28,兵士关于时代的建筑和勋号加成!$A$50:$K$59,2,0)</f>
        <v>4.5999999999999996</v>
      </c>
      <c r="J28" s="67">
        <v>1.6</v>
      </c>
      <c r="K28" s="20">
        <f>VLOOKUP($C28,兵士关于时代的建筑和勋号加成!$A$50:$K$59,6,0)</f>
        <v>1.6</v>
      </c>
      <c r="L28" s="65">
        <v>22</v>
      </c>
      <c r="M28" s="20">
        <f>VLOOKUP($C28,兵士关于时代的建筑和勋号加成!$A$50:$K$59,3,0)</f>
        <v>4</v>
      </c>
      <c r="N28" s="67">
        <v>1.6</v>
      </c>
      <c r="O28" s="20">
        <f>VLOOKUP($C28,兵士关于时代的建筑和勋号加成!$A$50:$K$59,7,0)</f>
        <v>1.3</v>
      </c>
      <c r="P28" s="34">
        <f t="shared" si="0"/>
        <v>186.32716039157705</v>
      </c>
      <c r="Q28" s="34">
        <f t="shared" si="1"/>
        <v>13974.537029368279</v>
      </c>
      <c r="R28" s="65">
        <v>0</v>
      </c>
      <c r="S28" s="20">
        <f>VLOOKUP($C28,兵士关于时代的建筑和勋号加成!$A$50:$K$59,4,0)</f>
        <v>1</v>
      </c>
      <c r="T28" s="67">
        <v>0</v>
      </c>
      <c r="U28" s="20">
        <f>VLOOKUP($C28,兵士关于时代的建筑和勋号加成!$A$50:$K$59,8,0)</f>
        <v>1</v>
      </c>
      <c r="V28" s="65">
        <v>0</v>
      </c>
      <c r="W28" s="20">
        <f>VLOOKUP($C28,兵士关于时代的建筑和勋号加成!$A$50:$K$59,5,0)</f>
        <v>1</v>
      </c>
      <c r="X28" s="67">
        <v>0</v>
      </c>
      <c r="Y28" s="20">
        <f>VLOOKUP($C28,兵士关于时代的建筑和勋号加成!$A$50:$K$59,9,0)</f>
        <v>1</v>
      </c>
      <c r="Z28" s="60">
        <f t="shared" si="2"/>
        <v>329.28</v>
      </c>
      <c r="AA28" s="60">
        <f t="shared" si="3"/>
        <v>122.97999999999999</v>
      </c>
      <c r="AB28" s="60">
        <f t="shared" si="4"/>
        <v>0</v>
      </c>
      <c r="AC28" s="60">
        <f t="shared" si="5"/>
        <v>0</v>
      </c>
      <c r="AD28" s="69">
        <f t="shared" si="6"/>
        <v>436.79999999999995</v>
      </c>
      <c r="AE28" s="69">
        <f t="shared" si="7"/>
        <v>168.73999999999998</v>
      </c>
      <c r="AF28" s="69">
        <f t="shared" si="8"/>
        <v>0</v>
      </c>
      <c r="AG28" s="69">
        <f t="shared" si="9"/>
        <v>0</v>
      </c>
      <c r="AH28" s="23">
        <f t="shared" si="10"/>
        <v>201.23333322290321</v>
      </c>
      <c r="AI28" s="23">
        <f t="shared" si="11"/>
        <v>1.6363094261091495</v>
      </c>
      <c r="AJ28" s="23">
        <f t="shared" si="12"/>
        <v>20123.33332229032</v>
      </c>
      <c r="AK28" s="72">
        <f t="shared" si="13"/>
        <v>27148.781188112291</v>
      </c>
      <c r="AL28" s="20">
        <f>26</f>
        <v>26</v>
      </c>
      <c r="AM28" s="20">
        <f>VLOOKUP($C28,兵士关于时代的建筑和勋号加成!$A$50:$K$59,11,0)</f>
        <v>6</v>
      </c>
      <c r="AN28" s="39">
        <f t="shared" si="14"/>
        <v>643946.66631329025</v>
      </c>
      <c r="AO28" s="69">
        <f t="shared" si="15"/>
        <v>868760.9980195933</v>
      </c>
      <c r="AP28" s="56">
        <f t="shared" si="16"/>
        <v>46.08</v>
      </c>
      <c r="AQ28" s="20" t="s">
        <v>175</v>
      </c>
      <c r="AR28" s="20" t="s">
        <v>176</v>
      </c>
      <c r="AS28" s="20" t="s">
        <v>109</v>
      </c>
      <c r="AT28" s="20" t="s">
        <v>252</v>
      </c>
      <c r="AU28" s="20"/>
      <c r="AV28" s="20" t="s">
        <v>140</v>
      </c>
    </row>
    <row r="29" spans="1:48" ht="16.5">
      <c r="A29" s="20" t="s">
        <v>127</v>
      </c>
      <c r="B29" s="54" t="s">
        <v>110</v>
      </c>
      <c r="C29" s="20" t="s">
        <v>110</v>
      </c>
      <c r="D29" s="20">
        <v>55</v>
      </c>
      <c r="E29" s="20">
        <v>0.6</v>
      </c>
      <c r="F29" s="20">
        <v>1</v>
      </c>
      <c r="G29" s="20">
        <v>100</v>
      </c>
      <c r="H29" s="65">
        <v>25</v>
      </c>
      <c r="I29" s="20">
        <f>VLOOKUP($C29,兵士关于时代的建筑和勋号加成!$A$50:$K$59,2,0)</f>
        <v>6.2</v>
      </c>
      <c r="J29" s="67">
        <v>1.2</v>
      </c>
      <c r="K29" s="20">
        <f>VLOOKUP($C29,兵士关于时代的建筑和勋号加成!$A$50:$K$59,6,0)</f>
        <v>2.2000000000000002</v>
      </c>
      <c r="L29" s="65">
        <v>10</v>
      </c>
      <c r="M29" s="20">
        <f>VLOOKUP($C29,兵士关于时代的建筑和勋号加成!$A$50:$K$59,3,0)</f>
        <v>3.8</v>
      </c>
      <c r="N29" s="67">
        <v>1.6</v>
      </c>
      <c r="O29" s="20">
        <f>VLOOKUP($C29,兵士关于时代的建筑和勋号加成!$A$50:$K$59,7,0)</f>
        <v>1.6</v>
      </c>
      <c r="P29" s="34">
        <f t="shared" si="0"/>
        <v>278.43719709707023</v>
      </c>
      <c r="Q29" s="34">
        <f t="shared" si="1"/>
        <v>25523.409733898108</v>
      </c>
      <c r="R29" s="65">
        <v>0</v>
      </c>
      <c r="S29" s="20">
        <f>VLOOKUP($C29,兵士关于时代的建筑和勋号加成!$A$50:$K$59,4,0)</f>
        <v>1</v>
      </c>
      <c r="T29" s="67">
        <v>0</v>
      </c>
      <c r="U29" s="20">
        <f>VLOOKUP($C29,兵士关于时代的建筑和勋号加成!$A$50:$K$59,8,0)</f>
        <v>1</v>
      </c>
      <c r="V29" s="65">
        <v>0</v>
      </c>
      <c r="W29" s="20">
        <f>VLOOKUP($C29,兵士关于时代的建筑和勋号加成!$A$50:$K$59,5,0)</f>
        <v>1</v>
      </c>
      <c r="X29" s="67">
        <v>0</v>
      </c>
      <c r="Y29" s="20">
        <f>VLOOKUP($C29,兵士关于时代的建筑和勋号加成!$A$50:$K$59,9,0)</f>
        <v>1</v>
      </c>
      <c r="Z29" s="60">
        <f t="shared" si="2"/>
        <v>357.50000000000006</v>
      </c>
      <c r="AA29" s="60">
        <f t="shared" si="3"/>
        <v>65.600000000000009</v>
      </c>
      <c r="AB29" s="60">
        <f t="shared" si="4"/>
        <v>0</v>
      </c>
      <c r="AC29" s="60">
        <f t="shared" si="5"/>
        <v>0</v>
      </c>
      <c r="AD29" s="69">
        <f t="shared" si="6"/>
        <v>423.50000000000006</v>
      </c>
      <c r="AE29" s="69">
        <f t="shared" si="7"/>
        <v>91.2</v>
      </c>
      <c r="AF29" s="69">
        <f t="shared" si="8"/>
        <v>0</v>
      </c>
      <c r="AG29" s="69">
        <f t="shared" si="9"/>
        <v>0</v>
      </c>
      <c r="AH29" s="23">
        <f t="shared" si="10"/>
        <v>153.14045840338864</v>
      </c>
      <c r="AI29" s="23">
        <f t="shared" si="11"/>
        <v>2.334458207368729</v>
      </c>
      <c r="AJ29" s="23">
        <f t="shared" si="12"/>
        <v>15314.045840338864</v>
      </c>
      <c r="AK29" s="72">
        <f t="shared" si="13"/>
        <v>19652.786062032021</v>
      </c>
      <c r="AL29" s="20">
        <f>26</f>
        <v>26</v>
      </c>
      <c r="AM29" s="20">
        <f>VLOOKUP($C29,兵士关于时代的建筑和勋号加成!$A$50:$K$59,11,0)</f>
        <v>16</v>
      </c>
      <c r="AN29" s="39">
        <f t="shared" si="14"/>
        <v>643189.92529423232</v>
      </c>
      <c r="AO29" s="69">
        <f t="shared" si="15"/>
        <v>825417.01460534486</v>
      </c>
      <c r="AP29" s="56">
        <f t="shared" si="16"/>
        <v>25.2</v>
      </c>
      <c r="AQ29" s="20" t="s">
        <v>106</v>
      </c>
      <c r="AR29" s="20" t="s">
        <v>111</v>
      </c>
      <c r="AS29" s="20" t="s">
        <v>109</v>
      </c>
      <c r="AT29" s="20" t="s">
        <v>109</v>
      </c>
      <c r="AU29" s="20"/>
      <c r="AV29" s="20" t="s">
        <v>194</v>
      </c>
    </row>
    <row r="30" spans="1:48">
      <c r="A30" s="20" t="s">
        <v>200</v>
      </c>
      <c r="B30" s="54" t="s">
        <v>156</v>
      </c>
      <c r="C30" s="20" t="s">
        <v>107</v>
      </c>
      <c r="D30" s="20">
        <v>108</v>
      </c>
      <c r="E30" s="20">
        <v>1.44</v>
      </c>
      <c r="F30" s="20">
        <v>1</v>
      </c>
      <c r="G30" s="20">
        <v>100</v>
      </c>
      <c r="H30" s="65">
        <v>38</v>
      </c>
      <c r="I30" s="20">
        <f>VLOOKUP($C30,兵士关于时代的建筑和勋号加成!$A$50:$K$59,2,0)</f>
        <v>4.5999999999999996</v>
      </c>
      <c r="J30" s="67">
        <v>1.6</v>
      </c>
      <c r="K30" s="20">
        <f>VLOOKUP($C30,兵士关于时代的建筑和勋号加成!$A$50:$K$59,6,0)</f>
        <v>1.6</v>
      </c>
      <c r="L30" s="65">
        <v>24</v>
      </c>
      <c r="M30" s="20">
        <f>VLOOKUP($C30,兵士关于时代的建筑和勋号加成!$A$50:$K$59,3,0)</f>
        <v>4</v>
      </c>
      <c r="N30" s="67">
        <v>1.6</v>
      </c>
      <c r="O30" s="20">
        <f>VLOOKUP($C30,兵士关于时代的建筑和勋号加成!$A$50:$K$59,7,0)</f>
        <v>1.3</v>
      </c>
      <c r="P30" s="34">
        <f t="shared" si="0"/>
        <v>185.11328974752803</v>
      </c>
      <c r="Q30" s="34">
        <f t="shared" si="1"/>
        <v>13883.496731064604</v>
      </c>
      <c r="R30" s="65">
        <v>0</v>
      </c>
      <c r="S30" s="20">
        <f>VLOOKUP($C30,兵士关于时代的建筑和勋号加成!$A$50:$K$59,4,0)</f>
        <v>1</v>
      </c>
      <c r="T30" s="67">
        <v>0</v>
      </c>
      <c r="U30" s="20">
        <f>VLOOKUP($C30,兵士关于时代的建筑和勋号加成!$A$50:$K$59,8,0)</f>
        <v>1</v>
      </c>
      <c r="V30" s="65">
        <v>20</v>
      </c>
      <c r="W30" s="20">
        <f>VLOOKUP($C30,兵士关于时代的建筑和勋号加成!$A$50:$K$59,5,0)</f>
        <v>1</v>
      </c>
      <c r="X30" s="67">
        <v>0</v>
      </c>
      <c r="Y30" s="20">
        <f>VLOOKUP($C30,兵士关于时代的建筑和勋号加成!$A$50:$K$59,9,0)</f>
        <v>1</v>
      </c>
      <c r="Z30" s="60">
        <f t="shared" si="2"/>
        <v>297.92</v>
      </c>
      <c r="AA30" s="60">
        <f t="shared" si="3"/>
        <v>134.16</v>
      </c>
      <c r="AB30" s="60">
        <f t="shared" si="4"/>
        <v>0</v>
      </c>
      <c r="AC30" s="60">
        <f t="shared" si="5"/>
        <v>20</v>
      </c>
      <c r="AD30" s="69">
        <f t="shared" si="6"/>
        <v>395.2</v>
      </c>
      <c r="AE30" s="69">
        <f t="shared" si="7"/>
        <v>184.08</v>
      </c>
      <c r="AF30" s="69">
        <f t="shared" si="8"/>
        <v>0</v>
      </c>
      <c r="AG30" s="69">
        <f t="shared" si="9"/>
        <v>20</v>
      </c>
      <c r="AH30" s="23">
        <f t="shared" si="10"/>
        <v>199.92235292733028</v>
      </c>
      <c r="AI30" s="23">
        <f t="shared" si="11"/>
        <v>1.4901785400069341</v>
      </c>
      <c r="AJ30" s="23">
        <f t="shared" si="12"/>
        <v>19992.235292733028</v>
      </c>
      <c r="AK30" s="72">
        <f t="shared" si="13"/>
        <v>26971.914281340876</v>
      </c>
      <c r="AL30" s="20">
        <f>26</f>
        <v>26</v>
      </c>
      <c r="AM30" s="20">
        <f>VLOOKUP($C30,兵士关于时代的建筑和勋号加成!$A$50:$K$59,11,0)</f>
        <v>6</v>
      </c>
      <c r="AN30" s="39">
        <f t="shared" si="14"/>
        <v>639751.52936745691</v>
      </c>
      <c r="AO30" s="69">
        <f t="shared" si="15"/>
        <v>863101.25700290804</v>
      </c>
      <c r="AP30" s="56">
        <f t="shared" si="16"/>
        <v>46.08</v>
      </c>
      <c r="AQ30" s="20" t="s">
        <v>180</v>
      </c>
      <c r="AR30" s="20" t="s">
        <v>181</v>
      </c>
      <c r="AS30" s="20" t="s">
        <v>109</v>
      </c>
      <c r="AT30" s="20" t="s">
        <v>258</v>
      </c>
      <c r="AU30" s="20"/>
      <c r="AV30" s="20" t="s">
        <v>140</v>
      </c>
    </row>
    <row r="31" spans="1:48" ht="16.5">
      <c r="A31" s="20" t="s">
        <v>231</v>
      </c>
      <c r="B31" s="54" t="s">
        <v>314</v>
      </c>
      <c r="C31" s="20" t="s">
        <v>115</v>
      </c>
      <c r="D31" s="20">
        <v>90</v>
      </c>
      <c r="E31" s="20">
        <v>1.08</v>
      </c>
      <c r="F31" s="20">
        <v>1</v>
      </c>
      <c r="G31" s="20">
        <v>100</v>
      </c>
      <c r="H31" s="65">
        <v>30</v>
      </c>
      <c r="I31" s="20">
        <f>VLOOKUP($C31,兵士关于时代的建筑和勋号加成!$A$50:$K$59,2,0)</f>
        <v>4.8</v>
      </c>
      <c r="J31" s="67">
        <v>1.6</v>
      </c>
      <c r="K31" s="20">
        <f>VLOOKUP($C31,兵士关于时代的建筑和勋号加成!$A$50:$K$59,6,0)</f>
        <v>1.5</v>
      </c>
      <c r="L31" s="65">
        <v>24</v>
      </c>
      <c r="M31" s="20">
        <f>VLOOKUP($C31,兵士关于时代的建筑和勋号加成!$A$50:$K$59,3,0)</f>
        <v>3.85</v>
      </c>
      <c r="N31" s="67">
        <v>1.6</v>
      </c>
      <c r="O31" s="20">
        <f>VLOOKUP($C31,兵士关于时代的建筑和勋号加成!$A$50:$K$59,7,0)</f>
        <v>1.6</v>
      </c>
      <c r="P31" s="34">
        <f t="shared" si="0"/>
        <v>212.48999976469483</v>
      </c>
      <c r="Q31" s="34">
        <f t="shared" si="1"/>
        <v>17707.499980391236</v>
      </c>
      <c r="R31" s="65">
        <v>0</v>
      </c>
      <c r="S31" s="20">
        <f>VLOOKUP($C31,兵士关于时代的建筑和勋号加成!$A$50:$K$59,4,0)</f>
        <v>1</v>
      </c>
      <c r="T31" s="67">
        <v>0</v>
      </c>
      <c r="U31" s="20">
        <f>VLOOKUP($C31,兵士关于时代的建筑和勋号加成!$A$50:$K$59,8,0)</f>
        <v>1</v>
      </c>
      <c r="V31" s="65">
        <v>0</v>
      </c>
      <c r="W31" s="20">
        <f>VLOOKUP($C31,兵士关于时代的建筑和勋号加成!$A$50:$K$59,5,0)</f>
        <v>1</v>
      </c>
      <c r="X31" s="67">
        <v>0</v>
      </c>
      <c r="Y31" s="20">
        <f>VLOOKUP($C31,兵士关于时代的建筑和勋号加成!$A$50:$K$59,9,0)</f>
        <v>1</v>
      </c>
      <c r="Z31" s="60">
        <f t="shared" si="2"/>
        <v>229.5</v>
      </c>
      <c r="AA31" s="60">
        <f t="shared" si="3"/>
        <v>159.36000000000001</v>
      </c>
      <c r="AB31" s="60">
        <f t="shared" si="4"/>
        <v>0</v>
      </c>
      <c r="AC31" s="60">
        <f t="shared" si="5"/>
        <v>0</v>
      </c>
      <c r="AD31" s="69">
        <f t="shared" si="6"/>
        <v>301.5</v>
      </c>
      <c r="AE31" s="69">
        <f t="shared" si="7"/>
        <v>220.8</v>
      </c>
      <c r="AF31" s="69">
        <f t="shared" si="8"/>
        <v>0</v>
      </c>
      <c r="AG31" s="69">
        <f t="shared" si="9"/>
        <v>0</v>
      </c>
      <c r="AH31" s="23">
        <f t="shared" si="10"/>
        <v>191.24099978822534</v>
      </c>
      <c r="AI31" s="23">
        <f t="shared" si="11"/>
        <v>1.2000564745747071</v>
      </c>
      <c r="AJ31" s="23">
        <f t="shared" si="12"/>
        <v>19124.099978822534</v>
      </c>
      <c r="AK31" s="72">
        <f t="shared" si="13"/>
        <v>25801.395311106724</v>
      </c>
      <c r="AL31" s="20">
        <f>26</f>
        <v>26</v>
      </c>
      <c r="AM31" s="20">
        <f>VLOOKUP($C31,兵士关于时代的建筑和勋号加成!$A$50:$K$59,11,0)</f>
        <v>6</v>
      </c>
      <c r="AN31" s="39">
        <f t="shared" si="14"/>
        <v>611971.1993223211</v>
      </c>
      <c r="AO31" s="69">
        <f t="shared" si="15"/>
        <v>825644.64995541517</v>
      </c>
      <c r="AP31" s="56">
        <f t="shared" si="16"/>
        <v>34.56</v>
      </c>
      <c r="AQ31" s="20" t="s">
        <v>210</v>
      </c>
      <c r="AR31" s="20" t="s">
        <v>116</v>
      </c>
      <c r="AS31" s="20" t="s">
        <v>109</v>
      </c>
      <c r="AT31" s="20" t="s">
        <v>268</v>
      </c>
      <c r="AU31" s="20" t="s">
        <v>213</v>
      </c>
      <c r="AV31" s="20" t="s">
        <v>146</v>
      </c>
    </row>
    <row r="32" spans="1:48" ht="16.5">
      <c r="A32" s="20" t="s">
        <v>200</v>
      </c>
      <c r="B32" s="54" t="s">
        <v>158</v>
      </c>
      <c r="C32" s="20" t="s">
        <v>107</v>
      </c>
      <c r="D32" s="20">
        <v>108</v>
      </c>
      <c r="E32" s="20">
        <v>1.44</v>
      </c>
      <c r="F32" s="20">
        <v>1</v>
      </c>
      <c r="G32" s="20">
        <v>100</v>
      </c>
      <c r="H32" s="65">
        <v>32</v>
      </c>
      <c r="I32" s="20">
        <f>VLOOKUP($C32,兵士关于时代的建筑和勋号加成!$A$50:$K$59,2,0)</f>
        <v>4.5999999999999996</v>
      </c>
      <c r="J32" s="67">
        <v>1.6</v>
      </c>
      <c r="K32" s="20">
        <f>VLOOKUP($C32,兵士关于时代的建筑和勋号加成!$A$50:$K$59,6,0)</f>
        <v>1.6</v>
      </c>
      <c r="L32" s="65">
        <v>26</v>
      </c>
      <c r="M32" s="20">
        <f>VLOOKUP($C32,兵士关于时代的建筑和勋号加成!$A$50:$K$59,3,0)</f>
        <v>4</v>
      </c>
      <c r="N32" s="67">
        <v>1.6</v>
      </c>
      <c r="O32" s="20">
        <f>VLOOKUP($C32,兵士关于时代的建筑和勋号加成!$A$50:$K$59,7,0)</f>
        <v>1.3</v>
      </c>
      <c r="P32" s="34">
        <f t="shared" si="0"/>
        <v>176.80797206266132</v>
      </c>
      <c r="Q32" s="34">
        <f t="shared" si="1"/>
        <v>13260.5979046996</v>
      </c>
      <c r="R32" s="65">
        <v>0</v>
      </c>
      <c r="S32" s="20">
        <f>VLOOKUP($C32,兵士关于时代的建筑和勋号加成!$A$50:$K$59,4,0)</f>
        <v>1</v>
      </c>
      <c r="T32" s="67">
        <v>0</v>
      </c>
      <c r="U32" s="20">
        <f>VLOOKUP($C32,兵士关于时代的建筑和勋号加成!$A$50:$K$59,8,0)</f>
        <v>1</v>
      </c>
      <c r="V32" s="65">
        <v>10</v>
      </c>
      <c r="W32" s="20">
        <f>VLOOKUP($C32,兵士关于时代的建筑和勋号加成!$A$50:$K$59,5,0)</f>
        <v>1</v>
      </c>
      <c r="X32" s="67">
        <v>0</v>
      </c>
      <c r="Y32" s="20">
        <f>VLOOKUP($C32,兵士关于时代的建筑和勋号加成!$A$50:$K$59,9,0)</f>
        <v>1</v>
      </c>
      <c r="Z32" s="60">
        <f t="shared" si="2"/>
        <v>250.88</v>
      </c>
      <c r="AA32" s="60">
        <f t="shared" si="3"/>
        <v>145.34</v>
      </c>
      <c r="AB32" s="60">
        <f t="shared" si="4"/>
        <v>0</v>
      </c>
      <c r="AC32" s="60">
        <f t="shared" si="5"/>
        <v>10</v>
      </c>
      <c r="AD32" s="69">
        <f t="shared" si="6"/>
        <v>332.79999999999995</v>
      </c>
      <c r="AE32" s="69">
        <f t="shared" si="7"/>
        <v>199.42</v>
      </c>
      <c r="AF32" s="69">
        <f t="shared" si="8"/>
        <v>0</v>
      </c>
      <c r="AG32" s="69">
        <f t="shared" si="9"/>
        <v>10</v>
      </c>
      <c r="AH32" s="23">
        <f t="shared" si="10"/>
        <v>190.95260982767425</v>
      </c>
      <c r="AI32" s="23">
        <f t="shared" si="11"/>
        <v>1.3138338367116709</v>
      </c>
      <c r="AJ32" s="23">
        <f t="shared" si="12"/>
        <v>19095.260982767424</v>
      </c>
      <c r="AK32" s="72">
        <f t="shared" si="13"/>
        <v>25761.788757770682</v>
      </c>
      <c r="AL32" s="20">
        <f>26</f>
        <v>26</v>
      </c>
      <c r="AM32" s="20">
        <f>VLOOKUP($C32,兵士关于时代的建筑和勋号加成!$A$50:$K$59,11,0)</f>
        <v>6</v>
      </c>
      <c r="AN32" s="39">
        <f t="shared" si="14"/>
        <v>611048.35144855757</v>
      </c>
      <c r="AO32" s="69">
        <f t="shared" si="15"/>
        <v>824377.24024866184</v>
      </c>
      <c r="AP32" s="56">
        <f t="shared" si="16"/>
        <v>46.08</v>
      </c>
      <c r="AQ32" s="20" t="s">
        <v>112</v>
      </c>
      <c r="AR32" s="20" t="s">
        <v>116</v>
      </c>
      <c r="AS32" s="20" t="s">
        <v>182</v>
      </c>
      <c r="AT32" s="20" t="s">
        <v>260</v>
      </c>
      <c r="AU32" s="20"/>
      <c r="AV32" s="20" t="s">
        <v>315</v>
      </c>
    </row>
    <row r="33" spans="1:48">
      <c r="A33" s="20" t="s">
        <v>200</v>
      </c>
      <c r="B33" s="54" t="s">
        <v>141</v>
      </c>
      <c r="C33" s="20" t="s">
        <v>107</v>
      </c>
      <c r="D33" s="20">
        <v>75</v>
      </c>
      <c r="E33" s="20">
        <v>1.08</v>
      </c>
      <c r="F33" s="20">
        <v>1</v>
      </c>
      <c r="G33" s="20">
        <v>100</v>
      </c>
      <c r="H33" s="65">
        <v>35</v>
      </c>
      <c r="I33" s="20">
        <f>VLOOKUP($C33,兵士关于时代的建筑和勋号加成!$A$50:$K$59,2,0)</f>
        <v>4.5999999999999996</v>
      </c>
      <c r="J33" s="67">
        <v>1.6</v>
      </c>
      <c r="K33" s="20">
        <f>VLOOKUP($C33,兵士关于时代的建筑和勋号加成!$A$50:$K$59,6,0)</f>
        <v>1.6</v>
      </c>
      <c r="L33" s="65">
        <v>22</v>
      </c>
      <c r="M33" s="20">
        <f>VLOOKUP($C33,兵士关于时代的建筑和勋号加成!$A$50:$K$59,3,0)</f>
        <v>4</v>
      </c>
      <c r="N33" s="67">
        <v>1.6</v>
      </c>
      <c r="O33" s="20">
        <f>VLOOKUP($C33,兵士关于时代的建筑和勋号加成!$A$50:$K$59,7,0)</f>
        <v>1.3</v>
      </c>
      <c r="P33" s="34">
        <f t="shared" si="0"/>
        <v>244.93341317363965</v>
      </c>
      <c r="Q33" s="34">
        <f t="shared" si="1"/>
        <v>17009.264803724975</v>
      </c>
      <c r="R33" s="65">
        <v>12</v>
      </c>
      <c r="S33" s="20">
        <f>VLOOKUP($C33,兵士关于时代的建筑和勋号加成!$A$50:$K$59,4,0)</f>
        <v>1</v>
      </c>
      <c r="T33" s="67">
        <v>0</v>
      </c>
      <c r="U33" s="20">
        <f>VLOOKUP($C33,兵士关于时代的建筑和勋号加成!$A$50:$K$59,8,0)</f>
        <v>1</v>
      </c>
      <c r="V33" s="65">
        <v>0</v>
      </c>
      <c r="W33" s="20">
        <f>VLOOKUP($C33,兵士关于时代的建筑和勋号加成!$A$50:$K$59,5,0)</f>
        <v>1</v>
      </c>
      <c r="X33" s="67">
        <v>0</v>
      </c>
      <c r="Y33" s="20">
        <f>VLOOKUP($C33,兵士关于时代的建筑和勋号加成!$A$50:$K$59,9,0)</f>
        <v>1</v>
      </c>
      <c r="Z33" s="60">
        <f t="shared" si="2"/>
        <v>274.39999999999998</v>
      </c>
      <c r="AA33" s="60">
        <f t="shared" si="3"/>
        <v>122.97999999999999</v>
      </c>
      <c r="AB33" s="60">
        <f t="shared" si="4"/>
        <v>12</v>
      </c>
      <c r="AC33" s="60">
        <f t="shared" si="5"/>
        <v>0</v>
      </c>
      <c r="AD33" s="69">
        <f t="shared" si="6"/>
        <v>364</v>
      </c>
      <c r="AE33" s="69">
        <f t="shared" si="7"/>
        <v>168.73999999999998</v>
      </c>
      <c r="AF33" s="69">
        <f t="shared" si="8"/>
        <v>12</v>
      </c>
      <c r="AG33" s="69">
        <f t="shared" si="9"/>
        <v>0</v>
      </c>
      <c r="AH33" s="23">
        <f t="shared" si="10"/>
        <v>183.70005988022973</v>
      </c>
      <c r="AI33" s="23">
        <f t="shared" si="11"/>
        <v>1.4937393062305233</v>
      </c>
      <c r="AJ33" s="23">
        <f t="shared" si="12"/>
        <v>18370.005988022975</v>
      </c>
      <c r="AK33" s="72">
        <f t="shared" si="13"/>
        <v>24783.333109168343</v>
      </c>
      <c r="AL33" s="20">
        <f>26</f>
        <v>26</v>
      </c>
      <c r="AM33" s="20">
        <f>VLOOKUP($C33,兵士关于时代的建筑和勋号加成!$A$50:$K$59,11,0)</f>
        <v>6</v>
      </c>
      <c r="AN33" s="39">
        <f t="shared" si="14"/>
        <v>587840.19161673519</v>
      </c>
      <c r="AO33" s="69">
        <f t="shared" si="15"/>
        <v>793066.65949338698</v>
      </c>
      <c r="AP33" s="56">
        <f t="shared" si="16"/>
        <v>34.56</v>
      </c>
      <c r="AQ33" s="20" t="s">
        <v>115</v>
      </c>
      <c r="AR33" s="20" t="s">
        <v>109</v>
      </c>
      <c r="AS33" s="20" t="s">
        <v>109</v>
      </c>
      <c r="AT33" s="20" t="s">
        <v>242</v>
      </c>
      <c r="AU33" s="20"/>
      <c r="AV33" s="20" t="s">
        <v>140</v>
      </c>
    </row>
    <row r="34" spans="1:48">
      <c r="A34" s="20" t="s">
        <v>127</v>
      </c>
      <c r="B34" s="54" t="s">
        <v>117</v>
      </c>
      <c r="C34" s="20" t="s">
        <v>107</v>
      </c>
      <c r="D34" s="20">
        <v>90</v>
      </c>
      <c r="E34" s="20">
        <v>1.2</v>
      </c>
      <c r="F34" s="20">
        <v>1</v>
      </c>
      <c r="G34" s="20">
        <v>100</v>
      </c>
      <c r="H34" s="65">
        <v>32</v>
      </c>
      <c r="I34" s="20">
        <f>VLOOKUP($C34,兵士关于时代的建筑和勋号加成!$A$50:$K$59,2,0)</f>
        <v>4.5999999999999996</v>
      </c>
      <c r="J34" s="67">
        <v>1.6</v>
      </c>
      <c r="K34" s="20">
        <f>VLOOKUP($C34,兵士关于时代的建筑和勋号加成!$A$50:$K$59,6,0)</f>
        <v>1.6</v>
      </c>
      <c r="L34" s="65">
        <v>22</v>
      </c>
      <c r="M34" s="20">
        <f>VLOOKUP($C34,兵士关于时代的建筑和勋号加成!$A$50:$K$59,3,0)</f>
        <v>4</v>
      </c>
      <c r="N34" s="67">
        <v>1.6</v>
      </c>
      <c r="O34" s="20">
        <f>VLOOKUP($C34,兵士关于时代的建筑和勋号加成!$A$50:$K$59,7,0)</f>
        <v>1.3</v>
      </c>
      <c r="P34" s="34">
        <f t="shared" si="0"/>
        <v>195.16761520470388</v>
      </c>
      <c r="Q34" s="34">
        <f t="shared" si="1"/>
        <v>14637.571140352791</v>
      </c>
      <c r="R34" s="65">
        <v>0</v>
      </c>
      <c r="S34" s="20">
        <f>VLOOKUP($C34,兵士关于时代的建筑和勋号加成!$A$50:$K$59,4,0)</f>
        <v>1</v>
      </c>
      <c r="T34" s="67">
        <v>0</v>
      </c>
      <c r="U34" s="20">
        <f>VLOOKUP($C34,兵士关于时代的建筑和勋号加成!$A$50:$K$59,8,0)</f>
        <v>1</v>
      </c>
      <c r="V34" s="65">
        <v>0</v>
      </c>
      <c r="W34" s="20">
        <f>VLOOKUP($C34,兵士关于时代的建筑和勋号加成!$A$50:$K$59,5,0)</f>
        <v>1</v>
      </c>
      <c r="X34" s="67">
        <v>0</v>
      </c>
      <c r="Y34" s="20">
        <f>VLOOKUP($C34,兵士关于时代的建筑和勋号加成!$A$50:$K$59,9,0)</f>
        <v>1</v>
      </c>
      <c r="Z34" s="60">
        <f t="shared" si="2"/>
        <v>250.88</v>
      </c>
      <c r="AA34" s="60">
        <f t="shared" si="3"/>
        <v>122.97999999999999</v>
      </c>
      <c r="AB34" s="60">
        <f t="shared" si="4"/>
        <v>0</v>
      </c>
      <c r="AC34" s="60">
        <f t="shared" si="5"/>
        <v>0</v>
      </c>
      <c r="AD34" s="69">
        <f t="shared" si="6"/>
        <v>332.79999999999995</v>
      </c>
      <c r="AE34" s="69">
        <f t="shared" si="7"/>
        <v>168.73999999999998</v>
      </c>
      <c r="AF34" s="69">
        <f t="shared" si="8"/>
        <v>0</v>
      </c>
      <c r="AG34" s="69">
        <f t="shared" si="9"/>
        <v>0</v>
      </c>
      <c r="AH34" s="23">
        <f t="shared" si="10"/>
        <v>175.65085368423348</v>
      </c>
      <c r="AI34" s="23">
        <f t="shared" si="11"/>
        <v>1.4282879629552243</v>
      </c>
      <c r="AJ34" s="23">
        <f t="shared" si="12"/>
        <v>17565.085368423348</v>
      </c>
      <c r="AK34" s="72">
        <f t="shared" si="13"/>
        <v>23697.39901339385</v>
      </c>
      <c r="AL34" s="20">
        <f>26</f>
        <v>26</v>
      </c>
      <c r="AM34" s="20">
        <f>VLOOKUP($C34,兵士关于时代的建筑和勋号加成!$A$50:$K$59,11,0)</f>
        <v>6</v>
      </c>
      <c r="AN34" s="39">
        <f t="shared" si="14"/>
        <v>562082.73178954714</v>
      </c>
      <c r="AO34" s="69">
        <f t="shared" si="15"/>
        <v>758316.76842860319</v>
      </c>
      <c r="AP34" s="56">
        <f t="shared" si="16"/>
        <v>38.4</v>
      </c>
      <c r="AQ34" s="20" t="s">
        <v>115</v>
      </c>
      <c r="AR34" s="20" t="s">
        <v>109</v>
      </c>
      <c r="AS34" s="20" t="s">
        <v>109</v>
      </c>
      <c r="AT34" s="20" t="s">
        <v>283</v>
      </c>
      <c r="AU34" s="20"/>
      <c r="AV34" s="20" t="s">
        <v>194</v>
      </c>
    </row>
    <row r="35" spans="1:48">
      <c r="A35" s="20" t="s">
        <v>200</v>
      </c>
      <c r="B35" s="54" t="s">
        <v>161</v>
      </c>
      <c r="C35" s="20" t="s">
        <v>107</v>
      </c>
      <c r="D35" s="20">
        <v>99</v>
      </c>
      <c r="E35" s="20">
        <v>1.32</v>
      </c>
      <c r="F35" s="20">
        <v>1</v>
      </c>
      <c r="G35" s="20">
        <v>100</v>
      </c>
      <c r="H35" s="65">
        <v>34</v>
      </c>
      <c r="I35" s="20">
        <f>VLOOKUP($C35,兵士关于时代的建筑和勋号加成!$A$50:$K$59,2,0)</f>
        <v>4.5999999999999996</v>
      </c>
      <c r="J35" s="67">
        <v>1.6</v>
      </c>
      <c r="K35" s="20">
        <f>VLOOKUP($C35,兵士关于时代的建筑和勋号加成!$A$50:$K$59,6,0)</f>
        <v>1.6</v>
      </c>
      <c r="L35" s="65">
        <v>20</v>
      </c>
      <c r="M35" s="20">
        <f>VLOOKUP($C35,兵士关于时代的建筑和勋号加成!$A$50:$K$59,3,0)</f>
        <v>4</v>
      </c>
      <c r="N35" s="67">
        <v>1.6</v>
      </c>
      <c r="O35" s="20">
        <f>VLOOKUP($C35,兵士关于时代的建筑和勋号加成!$A$50:$K$59,7,0)</f>
        <v>1.3</v>
      </c>
      <c r="P35" s="34">
        <f t="shared" si="0"/>
        <v>174.37458902086126</v>
      </c>
      <c r="Q35" s="34">
        <f t="shared" si="1"/>
        <v>13078.094176564593</v>
      </c>
      <c r="R35" s="65">
        <v>0</v>
      </c>
      <c r="S35" s="20">
        <f>VLOOKUP($C35,兵士关于时代的建筑和勋号加成!$A$50:$K$59,4,0)</f>
        <v>1</v>
      </c>
      <c r="T35" s="67">
        <v>0</v>
      </c>
      <c r="U35" s="20">
        <f>VLOOKUP($C35,兵士关于时代的建筑和勋号加成!$A$50:$K$59,8,0)</f>
        <v>1</v>
      </c>
      <c r="V35" s="65">
        <v>10</v>
      </c>
      <c r="W35" s="20">
        <f>VLOOKUP($C35,兵士关于时代的建筑和勋号加成!$A$50:$K$59,5,0)</f>
        <v>1</v>
      </c>
      <c r="X35" s="67">
        <v>0</v>
      </c>
      <c r="Y35" s="20">
        <f>VLOOKUP($C35,兵士关于时代的建筑和勋号加成!$A$50:$K$59,9,0)</f>
        <v>1</v>
      </c>
      <c r="Z35" s="60">
        <f t="shared" si="2"/>
        <v>266.56</v>
      </c>
      <c r="AA35" s="60">
        <f t="shared" si="3"/>
        <v>111.8</v>
      </c>
      <c r="AB35" s="60">
        <f t="shared" si="4"/>
        <v>0</v>
      </c>
      <c r="AC35" s="60">
        <f t="shared" si="5"/>
        <v>10</v>
      </c>
      <c r="AD35" s="69">
        <f t="shared" si="6"/>
        <v>353.59999999999997</v>
      </c>
      <c r="AE35" s="69">
        <f t="shared" si="7"/>
        <v>153.39999999999998</v>
      </c>
      <c r="AF35" s="69">
        <f t="shared" si="8"/>
        <v>0</v>
      </c>
      <c r="AG35" s="69">
        <f t="shared" si="9"/>
        <v>10</v>
      </c>
      <c r="AH35" s="23">
        <f t="shared" si="10"/>
        <v>172.63084313065264</v>
      </c>
      <c r="AI35" s="23">
        <f t="shared" si="11"/>
        <v>1.5441041424924209</v>
      </c>
      <c r="AJ35" s="23">
        <f t="shared" si="12"/>
        <v>17263.084313065265</v>
      </c>
      <c r="AK35" s="72">
        <f t="shared" si="13"/>
        <v>23289.963503621035</v>
      </c>
      <c r="AL35" s="20">
        <f>26</f>
        <v>26</v>
      </c>
      <c r="AM35" s="20">
        <f>VLOOKUP($C35,兵士关于时代的建筑和勋号加成!$A$50:$K$59,11,0)</f>
        <v>6</v>
      </c>
      <c r="AN35" s="39">
        <f t="shared" si="14"/>
        <v>552418.69801808847</v>
      </c>
      <c r="AO35" s="69">
        <f t="shared" si="15"/>
        <v>745278.83211587311</v>
      </c>
      <c r="AP35" s="56">
        <f t="shared" si="16"/>
        <v>42.24</v>
      </c>
      <c r="AQ35" s="20" t="s">
        <v>185</v>
      </c>
      <c r="AR35" s="20" t="s">
        <v>186</v>
      </c>
      <c r="AS35" s="20" t="s">
        <v>187</v>
      </c>
      <c r="AT35" s="20" t="s">
        <v>263</v>
      </c>
      <c r="AU35" s="20"/>
      <c r="AV35" s="20" t="s">
        <v>154</v>
      </c>
    </row>
    <row r="36" spans="1:48" ht="16.5" hidden="1">
      <c r="A36" s="20" t="s">
        <v>200</v>
      </c>
      <c r="B36" s="54" t="s">
        <v>198</v>
      </c>
      <c r="C36" s="20" t="s">
        <v>110</v>
      </c>
      <c r="D36" s="20">
        <v>66</v>
      </c>
      <c r="E36" s="20">
        <v>0.72</v>
      </c>
      <c r="F36" s="20">
        <v>1</v>
      </c>
      <c r="G36" s="20">
        <v>100</v>
      </c>
      <c r="H36" s="65">
        <v>20</v>
      </c>
      <c r="I36" s="20">
        <f>VLOOKUP($C36,兵士关于时代的建筑和勋号加成!$A$50:$K$59,2,0)</f>
        <v>6.2</v>
      </c>
      <c r="J36" s="67">
        <v>1.2</v>
      </c>
      <c r="K36" s="20">
        <f>VLOOKUP($C36,兵士关于时代的建筑和勋号加成!$A$50:$K$59,6,0)</f>
        <v>2.2000000000000002</v>
      </c>
      <c r="L36" s="65">
        <v>8</v>
      </c>
      <c r="M36" s="20">
        <f>VLOOKUP($C36,兵士关于时代的建筑和勋号加成!$A$50:$K$59,3,0)</f>
        <v>3.8</v>
      </c>
      <c r="N36" s="67">
        <v>1.6</v>
      </c>
      <c r="O36" s="20">
        <f>VLOOKUP($C36,兵士关于时代的建筑和勋号加成!$A$50:$K$59,7,0)</f>
        <v>1.6</v>
      </c>
      <c r="P36" s="34">
        <f t="shared" ref="P36:P54" si="17">AJ36/D36</f>
        <v>185.62479806471347</v>
      </c>
      <c r="Q36" s="34">
        <f t="shared" ref="Q36:Q54" si="18">AJ36/E36</f>
        <v>17015.606489265403</v>
      </c>
      <c r="R36" s="65">
        <v>0</v>
      </c>
      <c r="S36" s="20">
        <f>VLOOKUP($C36,兵士关于时代的建筑和勋号加成!$A$50:$K$59,4,0)</f>
        <v>1</v>
      </c>
      <c r="T36" s="67">
        <v>0</v>
      </c>
      <c r="U36" s="20">
        <f>VLOOKUP($C36,兵士关于时代的建筑和勋号加成!$A$50:$K$59,8,0)</f>
        <v>1</v>
      </c>
      <c r="V36" s="65">
        <v>0</v>
      </c>
      <c r="W36" s="20">
        <f>VLOOKUP($C36,兵士关于时代的建筑和勋号加成!$A$50:$K$59,5,0)</f>
        <v>1</v>
      </c>
      <c r="X36" s="67">
        <v>0</v>
      </c>
      <c r="Y36" s="20">
        <f>VLOOKUP($C36,兵士关于时代的建筑和勋号加成!$A$50:$K$59,9,0)</f>
        <v>1</v>
      </c>
      <c r="Z36" s="60">
        <f t="shared" ref="Z36:Z54" si="19">H36*(I36+$B$1/100)*K36</f>
        <v>286</v>
      </c>
      <c r="AA36" s="60">
        <f t="shared" ref="AA36:AA54" si="20">L36*(M36+$B$1/100)*O36</f>
        <v>52.48</v>
      </c>
      <c r="AB36" s="60">
        <f t="shared" ref="AB36:AB54" si="21">R36*S36*U36</f>
        <v>0</v>
      </c>
      <c r="AC36" s="60">
        <f t="shared" ref="AC36:AC54" si="22">V36*W36*Y36</f>
        <v>0</v>
      </c>
      <c r="AD36" s="69">
        <f t="shared" ref="AD36:AD54" si="23">H36*(I36+J36+$B$1/100)*K36</f>
        <v>338.8</v>
      </c>
      <c r="AE36" s="69">
        <f t="shared" ref="AE36:AE54" si="24">L36*(M36+N36+$B$1/100)*O36</f>
        <v>72.960000000000008</v>
      </c>
      <c r="AF36" s="69">
        <f t="shared" ref="AF36:AF54" si="25">R36*(S36+T36)*U36</f>
        <v>0</v>
      </c>
      <c r="AG36" s="69">
        <f t="shared" ref="AG36:AG54" si="26">V36*(W36+X36)*Y36</f>
        <v>0</v>
      </c>
      <c r="AH36" s="23">
        <f t="shared" ref="AH36:AH54" si="27">SQRT(Z36*AA36)</f>
        <v>122.51236672271089</v>
      </c>
      <c r="AI36" s="23">
        <f t="shared" ref="AI36:AI54" si="28">SQRT(Z36/AA36)</f>
        <v>2.334458207368729</v>
      </c>
      <c r="AJ36" s="23">
        <f t="shared" ref="AJ36:AJ54" si="29">AH36*G36</f>
        <v>12251.236672271089</v>
      </c>
      <c r="AK36" s="72">
        <f t="shared" ref="AK36:AK54" si="30">SQRT(AD36*AE36)*G36</f>
        <v>15722.228849625617</v>
      </c>
      <c r="AL36" s="20">
        <f>26</f>
        <v>26</v>
      </c>
      <c r="AM36" s="20">
        <f>2+VLOOKUP($C36,兵士关于时代的建筑和勋号加成!$A$50:$K$59,11,0)</f>
        <v>18</v>
      </c>
      <c r="AN36" s="39">
        <f t="shared" ref="AN36:AN54" si="31">AJ36*SUM(AL36:AM36)</f>
        <v>539054.41357992787</v>
      </c>
      <c r="AO36" s="69">
        <f t="shared" ref="AO36:AO54" si="32">AK36*SUM(AL36:AM36)</f>
        <v>691778.06938352715</v>
      </c>
      <c r="AP36" s="56">
        <f t="shared" ref="AP36:AP54" si="33">E36*SUM(AL36:AM36)</f>
        <v>31.68</v>
      </c>
      <c r="AQ36" s="20" t="s">
        <v>177</v>
      </c>
      <c r="AR36" s="20" t="s">
        <v>123</v>
      </c>
      <c r="AS36" s="20" t="s">
        <v>109</v>
      </c>
      <c r="AT36" s="20" t="s">
        <v>254</v>
      </c>
      <c r="AU36" s="20"/>
      <c r="AV36" s="20" t="s">
        <v>140</v>
      </c>
    </row>
    <row r="37" spans="1:48" ht="16.5">
      <c r="A37" s="20" t="s">
        <v>200</v>
      </c>
      <c r="B37" s="54" t="s">
        <v>153</v>
      </c>
      <c r="C37" s="20" t="s">
        <v>112</v>
      </c>
      <c r="D37" s="20">
        <v>110.5</v>
      </c>
      <c r="E37" s="20">
        <v>1.36</v>
      </c>
      <c r="F37" s="20">
        <v>1</v>
      </c>
      <c r="G37" s="20">
        <v>100</v>
      </c>
      <c r="H37" s="65">
        <v>25</v>
      </c>
      <c r="I37" s="20">
        <f>VLOOKUP($C37,兵士关于时代的建筑和勋号加成!$A$50:$K$59,2,0)</f>
        <v>6.2</v>
      </c>
      <c r="J37" s="67">
        <v>0.8</v>
      </c>
      <c r="K37" s="20">
        <f>VLOOKUP($C37,兵士关于时代的建筑和勋号加成!$A$50:$K$59,6,0)</f>
        <v>1.6</v>
      </c>
      <c r="L37" s="65">
        <v>15</v>
      </c>
      <c r="M37" s="20">
        <f>VLOOKUP($C37,兵士关于时代的建筑和勋号加成!$A$50:$K$59,3,0)</f>
        <v>5.0999999999999996</v>
      </c>
      <c r="N37" s="67">
        <v>1.2</v>
      </c>
      <c r="O37" s="20">
        <f>VLOOKUP($C37,兵士关于时代的建筑和勋号加成!$A$50:$K$59,7,0)</f>
        <v>1.3</v>
      </c>
      <c r="P37" s="34">
        <f t="shared" si="17"/>
        <v>149.74025954538652</v>
      </c>
      <c r="Q37" s="34">
        <f t="shared" si="18"/>
        <v>12166.396088062655</v>
      </c>
      <c r="R37" s="65">
        <v>60</v>
      </c>
      <c r="S37" s="20">
        <f>VLOOKUP($C37,兵士关于时代的建筑和勋号加成!$A$50:$K$59,4,0)</f>
        <v>2.2000000000000002</v>
      </c>
      <c r="T37" s="67">
        <v>-0.3</v>
      </c>
      <c r="U37" s="20">
        <f>VLOOKUP($C37,兵士关于时代的建筑和勋号加成!$A$50:$K$59,8,0)</f>
        <v>1.4</v>
      </c>
      <c r="V37" s="65">
        <v>20</v>
      </c>
      <c r="W37" s="20">
        <f>VLOOKUP($C37,兵士关于时代的建筑和勋号加成!$A$50:$K$59,5,0)</f>
        <v>1.4</v>
      </c>
      <c r="X37" s="67">
        <v>-0.3</v>
      </c>
      <c r="Y37" s="20">
        <f>VLOOKUP($C37,兵士关于时代的建筑和勋号加成!$A$50:$K$59,9,0)</f>
        <v>1</v>
      </c>
      <c r="Z37" s="60">
        <f t="shared" si="19"/>
        <v>260</v>
      </c>
      <c r="AA37" s="60">
        <f t="shared" si="20"/>
        <v>105.29999999999998</v>
      </c>
      <c r="AB37" s="60">
        <f t="shared" si="21"/>
        <v>184.79999999999998</v>
      </c>
      <c r="AC37" s="60">
        <f t="shared" si="22"/>
        <v>28</v>
      </c>
      <c r="AD37" s="69">
        <f t="shared" si="23"/>
        <v>292</v>
      </c>
      <c r="AE37" s="69">
        <f t="shared" si="24"/>
        <v>128.70000000000002</v>
      </c>
      <c r="AF37" s="69">
        <f t="shared" si="25"/>
        <v>159.60000000000002</v>
      </c>
      <c r="AG37" s="69">
        <f t="shared" si="26"/>
        <v>21.999999999999996</v>
      </c>
      <c r="AH37" s="23">
        <f t="shared" si="27"/>
        <v>165.46298679765212</v>
      </c>
      <c r="AI37" s="23">
        <f t="shared" si="28"/>
        <v>1.5713484026367723</v>
      </c>
      <c r="AJ37" s="23">
        <f t="shared" si="29"/>
        <v>16546.298679765212</v>
      </c>
      <c r="AK37" s="72">
        <f t="shared" si="30"/>
        <v>19385.664806758625</v>
      </c>
      <c r="AL37" s="20">
        <f>26</f>
        <v>26</v>
      </c>
      <c r="AM37" s="20">
        <f>VLOOKUP($C37,兵士关于时代的建筑和勋号加成!$A$50:$K$59,11,0)</f>
        <v>6</v>
      </c>
      <c r="AN37" s="39">
        <f t="shared" si="31"/>
        <v>529481.55775248678</v>
      </c>
      <c r="AO37" s="69">
        <f t="shared" si="32"/>
        <v>620341.27381627599</v>
      </c>
      <c r="AP37" s="56">
        <f t="shared" si="33"/>
        <v>43.52</v>
      </c>
      <c r="AQ37" s="20" t="s">
        <v>110</v>
      </c>
      <c r="AR37" s="20" t="s">
        <v>113</v>
      </c>
      <c r="AS37" s="20" t="s">
        <v>114</v>
      </c>
      <c r="AT37" s="20" t="s">
        <v>253</v>
      </c>
      <c r="AU37" s="20"/>
      <c r="AV37" s="20" t="s">
        <v>154</v>
      </c>
    </row>
    <row r="38" spans="1:48" ht="16.5">
      <c r="A38" s="20" t="s">
        <v>200</v>
      </c>
      <c r="B38" s="54" t="s">
        <v>150</v>
      </c>
      <c r="C38" s="20" t="s">
        <v>150</v>
      </c>
      <c r="D38" s="20">
        <v>135</v>
      </c>
      <c r="E38" s="20">
        <v>1.35</v>
      </c>
      <c r="F38" s="20">
        <v>1</v>
      </c>
      <c r="G38" s="20">
        <v>100</v>
      </c>
      <c r="H38" s="65">
        <v>45</v>
      </c>
      <c r="I38" s="20">
        <f>VLOOKUP($C38,兵士关于时代的建筑和勋号加成!$A$50:$K$59,2,0)</f>
        <v>3.8</v>
      </c>
      <c r="J38" s="67">
        <v>1.6</v>
      </c>
      <c r="K38" s="20">
        <f>VLOOKUP($C38,兵士关于时代的建筑和勋号加成!$A$50:$K$59,6,0)</f>
        <v>1.6</v>
      </c>
      <c r="L38" s="65">
        <v>20</v>
      </c>
      <c r="M38" s="20">
        <f>VLOOKUP($C38,兵士关于时代的建筑和勋号加成!$A$50:$K$59,3,0)</f>
        <v>3.2</v>
      </c>
      <c r="N38" s="67">
        <v>1.6</v>
      </c>
      <c r="O38" s="20">
        <f>VLOOKUP($C38,兵士关于时代的建筑和勋号加成!$A$50:$K$59,7,0)</f>
        <v>1.3</v>
      </c>
      <c r="P38" s="34">
        <f t="shared" si="17"/>
        <v>121.40738481006728</v>
      </c>
      <c r="Q38" s="34">
        <f t="shared" si="18"/>
        <v>12140.738481006727</v>
      </c>
      <c r="R38" s="65">
        <v>40</v>
      </c>
      <c r="S38" s="20">
        <f>VLOOKUP($C38,兵士关于时代的建筑和勋号加成!$A$50:$K$59,4,0)</f>
        <v>1.8</v>
      </c>
      <c r="T38" s="67">
        <v>0</v>
      </c>
      <c r="U38" s="20">
        <f>VLOOKUP($C38,兵士关于时代的建筑和勋号加成!$A$50:$K$59,8,0)</f>
        <v>1.4</v>
      </c>
      <c r="V38" s="65">
        <v>30</v>
      </c>
      <c r="W38" s="20">
        <f>VLOOKUP($C38,兵士关于时代的建筑和勋号加成!$A$50:$K$59,5,0)</f>
        <v>1.8</v>
      </c>
      <c r="X38" s="67">
        <v>0</v>
      </c>
      <c r="Y38" s="20">
        <f>VLOOKUP($C38,兵士关于时代的建筑和勋号加成!$A$50:$K$59,9,0)</f>
        <v>1</v>
      </c>
      <c r="Z38" s="60">
        <f t="shared" si="19"/>
        <v>295.2</v>
      </c>
      <c r="AA38" s="60">
        <f t="shared" si="20"/>
        <v>91</v>
      </c>
      <c r="AB38" s="60">
        <f t="shared" si="21"/>
        <v>100.8</v>
      </c>
      <c r="AC38" s="60">
        <f t="shared" si="22"/>
        <v>54</v>
      </c>
      <c r="AD38" s="69">
        <f t="shared" si="23"/>
        <v>410.40000000000003</v>
      </c>
      <c r="AE38" s="69">
        <f t="shared" si="24"/>
        <v>132.60000000000002</v>
      </c>
      <c r="AF38" s="69">
        <f t="shared" si="25"/>
        <v>100.8</v>
      </c>
      <c r="AG38" s="69">
        <f t="shared" si="26"/>
        <v>54</v>
      </c>
      <c r="AH38" s="23">
        <f t="shared" si="27"/>
        <v>163.89996949359082</v>
      </c>
      <c r="AI38" s="23">
        <f t="shared" si="28"/>
        <v>1.8010985658636354</v>
      </c>
      <c r="AJ38" s="23">
        <f t="shared" si="29"/>
        <v>16389.996949359083</v>
      </c>
      <c r="AK38" s="72">
        <f t="shared" si="30"/>
        <v>23327.888888624282</v>
      </c>
      <c r="AL38" s="20">
        <f>26</f>
        <v>26</v>
      </c>
      <c r="AM38" s="20">
        <f>VLOOKUP($C38,兵士关于时代的建筑和勋号加成!$A$50:$K$59,11,0)</f>
        <v>6</v>
      </c>
      <c r="AN38" s="39">
        <f t="shared" si="31"/>
        <v>524479.90237949067</v>
      </c>
      <c r="AO38" s="69">
        <f t="shared" si="32"/>
        <v>746492.44443597703</v>
      </c>
      <c r="AP38" s="56">
        <f t="shared" si="33"/>
        <v>43.2</v>
      </c>
      <c r="AQ38" s="20" t="s">
        <v>170</v>
      </c>
      <c r="AR38" s="20" t="s">
        <v>171</v>
      </c>
      <c r="AS38" s="20" t="s">
        <v>172</v>
      </c>
      <c r="AT38" s="20" t="s">
        <v>250</v>
      </c>
      <c r="AU38" s="20"/>
      <c r="AV38" s="20" t="s">
        <v>140</v>
      </c>
    </row>
    <row r="39" spans="1:48" ht="16.5">
      <c r="A39" s="20" t="s">
        <v>127</v>
      </c>
      <c r="B39" s="54" t="s">
        <v>115</v>
      </c>
      <c r="C39" s="20" t="s">
        <v>115</v>
      </c>
      <c r="D39" s="20">
        <v>75</v>
      </c>
      <c r="E39" s="20">
        <v>0.9</v>
      </c>
      <c r="F39" s="20">
        <v>1</v>
      </c>
      <c r="G39" s="20">
        <v>100</v>
      </c>
      <c r="H39" s="65">
        <v>22</v>
      </c>
      <c r="I39" s="20">
        <f>VLOOKUP($C39,兵士关于时代的建筑和勋号加成!$A$50:$K$59,2,0)</f>
        <v>4.8</v>
      </c>
      <c r="J39" s="67">
        <v>1.6</v>
      </c>
      <c r="K39" s="20">
        <f>VLOOKUP($C39,兵士关于时代的建筑和勋号加成!$A$50:$K$59,6,0)</f>
        <v>1.5</v>
      </c>
      <c r="L39" s="65">
        <v>24</v>
      </c>
      <c r="M39" s="20">
        <f>VLOOKUP($C39,兵士关于时代的建筑和勋号加成!$A$50:$K$59,3,0)</f>
        <v>3.85</v>
      </c>
      <c r="N39" s="67">
        <v>1.6</v>
      </c>
      <c r="O39" s="20">
        <f>VLOOKUP($C39,兵士关于时代的建筑和勋号加成!$A$50:$K$59,7,0)</f>
        <v>1.6</v>
      </c>
      <c r="P39" s="34">
        <f t="shared" si="17"/>
        <v>218.35867740944028</v>
      </c>
      <c r="Q39" s="34">
        <f t="shared" si="18"/>
        <v>18196.556450786691</v>
      </c>
      <c r="R39" s="65">
        <v>0</v>
      </c>
      <c r="S39" s="20">
        <f>VLOOKUP($C39,兵士关于时代的建筑和勋号加成!$A$50:$K$59,4,0)</f>
        <v>1</v>
      </c>
      <c r="T39" s="67">
        <v>0</v>
      </c>
      <c r="U39" s="20">
        <f>VLOOKUP($C39,兵士关于时代的建筑和勋号加成!$A$50:$K$59,8,0)</f>
        <v>1</v>
      </c>
      <c r="V39" s="65">
        <v>0</v>
      </c>
      <c r="W39" s="20">
        <f>VLOOKUP($C39,兵士关于时代的建筑和勋号加成!$A$50:$K$59,5,0)</f>
        <v>1</v>
      </c>
      <c r="X39" s="67">
        <v>0</v>
      </c>
      <c r="Y39" s="20">
        <f>VLOOKUP($C39,兵士关于时代的建筑和勋号加成!$A$50:$K$59,9,0)</f>
        <v>1</v>
      </c>
      <c r="Z39" s="60">
        <f t="shared" si="19"/>
        <v>168.29999999999998</v>
      </c>
      <c r="AA39" s="60">
        <f t="shared" si="20"/>
        <v>159.36000000000001</v>
      </c>
      <c r="AB39" s="60">
        <f t="shared" si="21"/>
        <v>0</v>
      </c>
      <c r="AC39" s="60">
        <f t="shared" si="22"/>
        <v>0</v>
      </c>
      <c r="AD39" s="69">
        <f t="shared" si="23"/>
        <v>221.10000000000002</v>
      </c>
      <c r="AE39" s="69">
        <f t="shared" si="24"/>
        <v>220.8</v>
      </c>
      <c r="AF39" s="69">
        <f t="shared" si="25"/>
        <v>0</v>
      </c>
      <c r="AG39" s="69">
        <f t="shared" si="26"/>
        <v>0</v>
      </c>
      <c r="AH39" s="23">
        <f t="shared" si="27"/>
        <v>163.76900805708021</v>
      </c>
      <c r="AI39" s="23">
        <f t="shared" si="28"/>
        <v>1.0276669682296697</v>
      </c>
      <c r="AJ39" s="23">
        <f t="shared" si="29"/>
        <v>16376.900805708021</v>
      </c>
      <c r="AK39" s="72">
        <f t="shared" si="30"/>
        <v>22094.994908349719</v>
      </c>
      <c r="AL39" s="20">
        <f>26</f>
        <v>26</v>
      </c>
      <c r="AM39" s="20">
        <f>VLOOKUP($C39,兵士关于时代的建筑和勋号加成!$A$50:$K$59,11,0)</f>
        <v>6</v>
      </c>
      <c r="AN39" s="39">
        <f t="shared" si="31"/>
        <v>524060.82578265667</v>
      </c>
      <c r="AO39" s="69">
        <f t="shared" si="32"/>
        <v>707039.83706719102</v>
      </c>
      <c r="AP39" s="56">
        <f t="shared" si="33"/>
        <v>28.8</v>
      </c>
      <c r="AQ39" s="20" t="s">
        <v>95</v>
      </c>
      <c r="AR39" s="20" t="s">
        <v>116</v>
      </c>
      <c r="AS39" s="20" t="s">
        <v>109</v>
      </c>
      <c r="AT39" s="20" t="s">
        <v>109</v>
      </c>
      <c r="AU39" s="20"/>
      <c r="AV39" s="20" t="s">
        <v>194</v>
      </c>
    </row>
    <row r="40" spans="1:48" ht="16.5">
      <c r="A40" s="20" t="s">
        <v>232</v>
      </c>
      <c r="B40" s="54" t="s">
        <v>214</v>
      </c>
      <c r="C40" s="20" t="s">
        <v>112</v>
      </c>
      <c r="D40" s="20">
        <v>85</v>
      </c>
      <c r="E40" s="20">
        <v>1.1499999999999999</v>
      </c>
      <c r="F40" s="20">
        <v>1</v>
      </c>
      <c r="G40" s="20">
        <v>100</v>
      </c>
      <c r="H40" s="65">
        <v>22</v>
      </c>
      <c r="I40" s="20">
        <f>VLOOKUP($C40,兵士关于时代的建筑和勋号加成!$A$50:$K$59,2,0)</f>
        <v>6.2</v>
      </c>
      <c r="J40" s="67">
        <v>0.8</v>
      </c>
      <c r="K40" s="20">
        <f>VLOOKUP($C40,兵士关于时代的建筑和勋号加成!$A$50:$K$59,6,0)</f>
        <v>1.6</v>
      </c>
      <c r="L40" s="65">
        <v>16</v>
      </c>
      <c r="M40" s="20">
        <f>VLOOKUP($C40,兵士关于时代的建筑和勋号加成!$A$50:$K$59,3,0)</f>
        <v>5.0999999999999996</v>
      </c>
      <c r="N40" s="67">
        <v>1.2</v>
      </c>
      <c r="O40" s="20">
        <f>VLOOKUP($C40,兵士关于时代的建筑和勋号加成!$A$50:$K$59,7,0)</f>
        <v>1.3</v>
      </c>
      <c r="P40" s="34">
        <f t="shared" si="17"/>
        <v>188.59823833145978</v>
      </c>
      <c r="Q40" s="34">
        <f t="shared" si="18"/>
        <v>13939.869789716593</v>
      </c>
      <c r="R40" s="65">
        <v>30</v>
      </c>
      <c r="S40" s="20">
        <f>VLOOKUP($C40,兵士关于时代的建筑和勋号加成!$A$50:$K$59,4,0)</f>
        <v>2.2000000000000002</v>
      </c>
      <c r="T40" s="67">
        <v>-0.3</v>
      </c>
      <c r="U40" s="20">
        <f>VLOOKUP($C40,兵士关于时代的建筑和勋号加成!$A$50:$K$59,8,0)</f>
        <v>1.4</v>
      </c>
      <c r="V40" s="65">
        <v>50</v>
      </c>
      <c r="W40" s="20">
        <f>VLOOKUP($C40,兵士关于时代的建筑和勋号加成!$A$50:$K$59,5,0)</f>
        <v>1.4</v>
      </c>
      <c r="X40" s="67">
        <v>-0.3</v>
      </c>
      <c r="Y40" s="20">
        <f>VLOOKUP($C40,兵士关于时代的建筑和勋号加成!$A$50:$K$59,9,0)</f>
        <v>1</v>
      </c>
      <c r="Z40" s="60">
        <f t="shared" si="19"/>
        <v>228.8</v>
      </c>
      <c r="AA40" s="60">
        <f t="shared" si="20"/>
        <v>112.32</v>
      </c>
      <c r="AB40" s="60">
        <f t="shared" si="21"/>
        <v>92.399999999999991</v>
      </c>
      <c r="AC40" s="60">
        <f t="shared" si="22"/>
        <v>70</v>
      </c>
      <c r="AD40" s="69">
        <f t="shared" si="23"/>
        <v>256.95999999999998</v>
      </c>
      <c r="AE40" s="69">
        <f t="shared" si="24"/>
        <v>137.28</v>
      </c>
      <c r="AF40" s="69">
        <f t="shared" si="25"/>
        <v>79.800000000000011</v>
      </c>
      <c r="AG40" s="69">
        <f t="shared" si="26"/>
        <v>54.999999999999993</v>
      </c>
      <c r="AH40" s="23">
        <f t="shared" si="27"/>
        <v>160.30850258174081</v>
      </c>
      <c r="AI40" s="23">
        <f t="shared" si="28"/>
        <v>1.4272480642961256</v>
      </c>
      <c r="AJ40" s="23">
        <f t="shared" si="29"/>
        <v>16030.850258174081</v>
      </c>
      <c r="AK40" s="72">
        <f t="shared" si="30"/>
        <v>18781.76477331137</v>
      </c>
      <c r="AL40" s="20">
        <f>26</f>
        <v>26</v>
      </c>
      <c r="AM40" s="20">
        <f>VLOOKUP($C40,兵士关于时代的建筑和勋号加成!$A$50:$K$59,11,0)</f>
        <v>6</v>
      </c>
      <c r="AN40" s="39">
        <f t="shared" si="31"/>
        <v>512987.2082615706</v>
      </c>
      <c r="AO40" s="69">
        <f t="shared" si="32"/>
        <v>601016.47274596384</v>
      </c>
      <c r="AP40" s="56">
        <f t="shared" si="33"/>
        <v>36.799999999999997</v>
      </c>
      <c r="AQ40" s="20" t="s">
        <v>110</v>
      </c>
      <c r="AR40" s="20" t="s">
        <v>215</v>
      </c>
      <c r="AS40" s="20" t="s">
        <v>216</v>
      </c>
      <c r="AT40" s="20" t="s">
        <v>271</v>
      </c>
      <c r="AU40" s="20" t="s">
        <v>235</v>
      </c>
      <c r="AV40" s="20" t="s">
        <v>140</v>
      </c>
    </row>
    <row r="41" spans="1:48" ht="16.5">
      <c r="A41" s="20" t="s">
        <v>232</v>
      </c>
      <c r="B41" s="54" t="s">
        <v>217</v>
      </c>
      <c r="C41" s="20" t="s">
        <v>112</v>
      </c>
      <c r="D41" s="20">
        <v>90</v>
      </c>
      <c r="E41" s="20">
        <v>1.1499999999999999</v>
      </c>
      <c r="F41" s="20">
        <v>1</v>
      </c>
      <c r="G41" s="20">
        <v>100</v>
      </c>
      <c r="H41" s="65">
        <v>22</v>
      </c>
      <c r="I41" s="20">
        <f>VLOOKUP($C41,兵士关于时代的建筑和勋号加成!$A$50:$K$59,2,0)</f>
        <v>6.2</v>
      </c>
      <c r="J41" s="67">
        <v>0.8</v>
      </c>
      <c r="K41" s="20">
        <f>VLOOKUP($C41,兵士关于时代的建筑和勋号加成!$A$50:$K$59,6,0)</f>
        <v>1.6</v>
      </c>
      <c r="L41" s="65">
        <v>15</v>
      </c>
      <c r="M41" s="20">
        <f>VLOOKUP($C41,兵士关于时代的建筑和勋号加成!$A$50:$K$59,3,0)</f>
        <v>5.0999999999999996</v>
      </c>
      <c r="N41" s="67">
        <v>1.2</v>
      </c>
      <c r="O41" s="20">
        <f>VLOOKUP($C41,兵士关于时代的建筑和勋号加成!$A$50:$K$59,7,0)</f>
        <v>1.3</v>
      </c>
      <c r="P41" s="34">
        <f t="shared" si="17"/>
        <v>172.46448909848078</v>
      </c>
      <c r="Q41" s="34">
        <f t="shared" si="18"/>
        <v>13497.220885968061</v>
      </c>
      <c r="R41" s="65">
        <v>30</v>
      </c>
      <c r="S41" s="20">
        <f>VLOOKUP($C41,兵士关于时代的建筑和勋号加成!$A$50:$K$59,4,0)</f>
        <v>2.2000000000000002</v>
      </c>
      <c r="T41" s="67">
        <v>-0.3</v>
      </c>
      <c r="U41" s="20">
        <f>VLOOKUP($C41,兵士关于时代的建筑和勋号加成!$A$50:$K$59,8,0)</f>
        <v>1.4</v>
      </c>
      <c r="V41" s="65">
        <v>30</v>
      </c>
      <c r="W41" s="20">
        <f>VLOOKUP($C41,兵士关于时代的建筑和勋号加成!$A$50:$K$59,5,0)</f>
        <v>1.4</v>
      </c>
      <c r="X41" s="67">
        <v>-0.3</v>
      </c>
      <c r="Y41" s="20">
        <f>VLOOKUP($C41,兵士关于时代的建筑和勋号加成!$A$50:$K$59,9,0)</f>
        <v>1</v>
      </c>
      <c r="Z41" s="60">
        <f t="shared" si="19"/>
        <v>228.8</v>
      </c>
      <c r="AA41" s="60">
        <f t="shared" si="20"/>
        <v>105.29999999999998</v>
      </c>
      <c r="AB41" s="60">
        <f t="shared" si="21"/>
        <v>92.399999999999991</v>
      </c>
      <c r="AC41" s="60">
        <f t="shared" si="22"/>
        <v>42</v>
      </c>
      <c r="AD41" s="69">
        <f t="shared" si="23"/>
        <v>256.95999999999998</v>
      </c>
      <c r="AE41" s="69">
        <f t="shared" si="24"/>
        <v>128.70000000000002</v>
      </c>
      <c r="AF41" s="69">
        <f t="shared" si="25"/>
        <v>79.800000000000011</v>
      </c>
      <c r="AG41" s="69">
        <f t="shared" si="26"/>
        <v>32.999999999999993</v>
      </c>
      <c r="AH41" s="23">
        <f t="shared" si="27"/>
        <v>155.2180401886327</v>
      </c>
      <c r="AI41" s="23">
        <f t="shared" si="28"/>
        <v>1.4740554623801778</v>
      </c>
      <c r="AJ41" s="23">
        <f t="shared" si="29"/>
        <v>15521.804018863269</v>
      </c>
      <c r="AK41" s="72">
        <f t="shared" si="30"/>
        <v>18185.365544855016</v>
      </c>
      <c r="AL41" s="20">
        <f>26</f>
        <v>26</v>
      </c>
      <c r="AM41" s="20">
        <f>VLOOKUP($C41,兵士关于时代的建筑和勋号加成!$A$50:$K$59,11,0)</f>
        <v>6</v>
      </c>
      <c r="AN41" s="39">
        <f t="shared" si="31"/>
        <v>496697.72860362462</v>
      </c>
      <c r="AO41" s="69">
        <f t="shared" si="32"/>
        <v>581931.69743536052</v>
      </c>
      <c r="AP41" s="56">
        <f t="shared" si="33"/>
        <v>36.799999999999997</v>
      </c>
      <c r="AQ41" s="20" t="s">
        <v>218</v>
      </c>
      <c r="AR41" s="20" t="s">
        <v>219</v>
      </c>
      <c r="AS41" s="20" t="s">
        <v>114</v>
      </c>
      <c r="AT41" s="20" t="s">
        <v>272</v>
      </c>
      <c r="AU41" s="20" t="s">
        <v>236</v>
      </c>
      <c r="AV41" s="20" t="s">
        <v>140</v>
      </c>
    </row>
    <row r="42" spans="1:48" ht="16.5">
      <c r="A42" s="20" t="s">
        <v>127</v>
      </c>
      <c r="B42" s="54" t="s">
        <v>112</v>
      </c>
      <c r="C42" s="20" t="s">
        <v>112</v>
      </c>
      <c r="D42" s="20">
        <v>85</v>
      </c>
      <c r="E42" s="20">
        <v>1.05</v>
      </c>
      <c r="F42" s="20">
        <v>1</v>
      </c>
      <c r="G42" s="20">
        <v>100</v>
      </c>
      <c r="H42" s="65">
        <v>22</v>
      </c>
      <c r="I42" s="20">
        <f>VLOOKUP($C42,兵士关于时代的建筑和勋号加成!$A$50:$K$59,2,0)</f>
        <v>6.2</v>
      </c>
      <c r="J42" s="67">
        <v>0.8</v>
      </c>
      <c r="K42" s="20">
        <f>VLOOKUP($C42,兵士关于时代的建筑和勋号加成!$A$50:$K$59,6,0)</f>
        <v>1.6</v>
      </c>
      <c r="L42" s="65">
        <v>15</v>
      </c>
      <c r="M42" s="20">
        <f>VLOOKUP($C42,兵士关于时代的建筑和勋号加成!$A$50:$K$59,3,0)</f>
        <v>5.0999999999999996</v>
      </c>
      <c r="N42" s="67">
        <v>1.2</v>
      </c>
      <c r="O42" s="20">
        <f>VLOOKUP($C42,兵士关于时代的建筑和勋号加成!$A$50:$K$59,7,0)</f>
        <v>1.3</v>
      </c>
      <c r="P42" s="34">
        <f t="shared" si="17"/>
        <v>182.60945904545022</v>
      </c>
      <c r="Q42" s="34">
        <f t="shared" si="18"/>
        <v>14782.670494155494</v>
      </c>
      <c r="R42" s="65">
        <v>30</v>
      </c>
      <c r="S42" s="20">
        <f>VLOOKUP($C42,兵士关于时代的建筑和勋号加成!$A$50:$K$59,4,0)</f>
        <v>2.2000000000000002</v>
      </c>
      <c r="T42" s="67">
        <v>-0.3</v>
      </c>
      <c r="U42" s="20">
        <f>VLOOKUP($C42,兵士关于时代的建筑和勋号加成!$A$50:$K$59,8,0)</f>
        <v>1.4</v>
      </c>
      <c r="V42" s="65">
        <v>30</v>
      </c>
      <c r="W42" s="20">
        <f>VLOOKUP($C42,兵士关于时代的建筑和勋号加成!$A$50:$K$59,5,0)</f>
        <v>1.4</v>
      </c>
      <c r="X42" s="67">
        <v>-0.3</v>
      </c>
      <c r="Y42" s="20">
        <f>VLOOKUP($C42,兵士关于时代的建筑和勋号加成!$A$50:$K$59,9,0)</f>
        <v>1</v>
      </c>
      <c r="Z42" s="60">
        <f t="shared" si="19"/>
        <v>228.8</v>
      </c>
      <c r="AA42" s="60">
        <f t="shared" si="20"/>
        <v>105.29999999999998</v>
      </c>
      <c r="AB42" s="60">
        <f t="shared" si="21"/>
        <v>92.399999999999991</v>
      </c>
      <c r="AC42" s="60">
        <f t="shared" si="22"/>
        <v>42</v>
      </c>
      <c r="AD42" s="69">
        <f t="shared" si="23"/>
        <v>256.95999999999998</v>
      </c>
      <c r="AE42" s="69">
        <f t="shared" si="24"/>
        <v>128.70000000000002</v>
      </c>
      <c r="AF42" s="69">
        <f t="shared" si="25"/>
        <v>79.800000000000011</v>
      </c>
      <c r="AG42" s="69">
        <f t="shared" si="26"/>
        <v>32.999999999999993</v>
      </c>
      <c r="AH42" s="23">
        <f t="shared" si="27"/>
        <v>155.2180401886327</v>
      </c>
      <c r="AI42" s="23">
        <f t="shared" si="28"/>
        <v>1.4740554623801778</v>
      </c>
      <c r="AJ42" s="23">
        <f t="shared" si="29"/>
        <v>15521.804018863269</v>
      </c>
      <c r="AK42" s="72">
        <f t="shared" si="30"/>
        <v>18185.365544855016</v>
      </c>
      <c r="AL42" s="20">
        <f>26</f>
        <v>26</v>
      </c>
      <c r="AM42" s="20">
        <f>VLOOKUP($C42,兵士关于时代的建筑和勋号加成!$A$50:$K$59,11,0)</f>
        <v>6</v>
      </c>
      <c r="AN42" s="39">
        <f t="shared" si="31"/>
        <v>496697.72860362462</v>
      </c>
      <c r="AO42" s="69">
        <f t="shared" si="32"/>
        <v>581931.69743536052</v>
      </c>
      <c r="AP42" s="56">
        <f t="shared" si="33"/>
        <v>33.6</v>
      </c>
      <c r="AQ42" s="20" t="s">
        <v>197</v>
      </c>
      <c r="AR42" s="20" t="s">
        <v>113</v>
      </c>
      <c r="AS42" s="20" t="s">
        <v>114</v>
      </c>
      <c r="AT42" s="20" t="s">
        <v>136</v>
      </c>
      <c r="AU42" s="20"/>
      <c r="AV42" s="20" t="s">
        <v>194</v>
      </c>
    </row>
    <row r="43" spans="1:48" ht="16.5">
      <c r="A43" s="20" t="s">
        <v>232</v>
      </c>
      <c r="B43" s="54" t="s">
        <v>220</v>
      </c>
      <c r="C43" s="20" t="s">
        <v>112</v>
      </c>
      <c r="D43" s="20">
        <v>94</v>
      </c>
      <c r="E43" s="20">
        <v>0.92</v>
      </c>
      <c r="F43" s="20">
        <v>1</v>
      </c>
      <c r="G43" s="20">
        <v>100</v>
      </c>
      <c r="H43" s="65">
        <v>22</v>
      </c>
      <c r="I43" s="20">
        <f>VLOOKUP($C43,兵士关于时代的建筑和勋号加成!$A$50:$K$59,2,0)</f>
        <v>6.2</v>
      </c>
      <c r="J43" s="67">
        <v>0.8</v>
      </c>
      <c r="K43" s="20">
        <f>VLOOKUP($C43,兵士关于时代的建筑和勋号加成!$A$50:$K$59,6,0)</f>
        <v>1.6</v>
      </c>
      <c r="L43" s="65">
        <v>15</v>
      </c>
      <c r="M43" s="20">
        <f>VLOOKUP($C43,兵士关于时代的建筑和勋号加成!$A$50:$K$59,3,0)</f>
        <v>5.0999999999999996</v>
      </c>
      <c r="N43" s="67">
        <v>1.2</v>
      </c>
      <c r="O43" s="20">
        <f>VLOOKUP($C43,兵士关于时代的建筑和勋号加成!$A$50:$K$59,7,0)</f>
        <v>1.3</v>
      </c>
      <c r="P43" s="34">
        <f t="shared" si="17"/>
        <v>165.12557466875819</v>
      </c>
      <c r="Q43" s="34">
        <f t="shared" si="18"/>
        <v>16871.526107460075</v>
      </c>
      <c r="R43" s="65">
        <v>52</v>
      </c>
      <c r="S43" s="20">
        <f>VLOOKUP($C43,兵士关于时代的建筑和勋号加成!$A$50:$K$59,4,0)</f>
        <v>2.2000000000000002</v>
      </c>
      <c r="T43" s="67">
        <v>-0.3</v>
      </c>
      <c r="U43" s="20">
        <f>VLOOKUP($C43,兵士关于时代的建筑和勋号加成!$A$50:$K$59,8,0)</f>
        <v>1.4</v>
      </c>
      <c r="V43" s="65">
        <v>30</v>
      </c>
      <c r="W43" s="20">
        <f>VLOOKUP($C43,兵士关于时代的建筑和勋号加成!$A$50:$K$59,5,0)</f>
        <v>1.4</v>
      </c>
      <c r="X43" s="67">
        <v>-0.3</v>
      </c>
      <c r="Y43" s="20">
        <f>VLOOKUP($C43,兵士关于时代的建筑和勋号加成!$A$50:$K$59,9,0)</f>
        <v>1</v>
      </c>
      <c r="Z43" s="60">
        <f t="shared" si="19"/>
        <v>228.8</v>
      </c>
      <c r="AA43" s="60">
        <f t="shared" si="20"/>
        <v>105.29999999999998</v>
      </c>
      <c r="AB43" s="60">
        <f t="shared" si="21"/>
        <v>160.16</v>
      </c>
      <c r="AC43" s="60">
        <f t="shared" si="22"/>
        <v>42</v>
      </c>
      <c r="AD43" s="69">
        <f t="shared" si="23"/>
        <v>256.95999999999998</v>
      </c>
      <c r="AE43" s="69">
        <f t="shared" si="24"/>
        <v>128.70000000000002</v>
      </c>
      <c r="AF43" s="69">
        <f t="shared" si="25"/>
        <v>138.32</v>
      </c>
      <c r="AG43" s="69">
        <f t="shared" si="26"/>
        <v>32.999999999999993</v>
      </c>
      <c r="AH43" s="23">
        <f t="shared" si="27"/>
        <v>155.2180401886327</v>
      </c>
      <c r="AI43" s="23">
        <f t="shared" si="28"/>
        <v>1.4740554623801778</v>
      </c>
      <c r="AJ43" s="23">
        <f t="shared" si="29"/>
        <v>15521.804018863269</v>
      </c>
      <c r="AK43" s="72">
        <f t="shared" si="30"/>
        <v>18185.365544855016</v>
      </c>
      <c r="AL43" s="20">
        <f>26</f>
        <v>26</v>
      </c>
      <c r="AM43" s="20">
        <f>VLOOKUP($C43,兵士关于时代的建筑和勋号加成!$A$50:$K$59,11,0)</f>
        <v>6</v>
      </c>
      <c r="AN43" s="39">
        <f t="shared" si="31"/>
        <v>496697.72860362462</v>
      </c>
      <c r="AO43" s="69">
        <f t="shared" si="32"/>
        <v>581931.69743536052</v>
      </c>
      <c r="AP43" s="56">
        <f t="shared" si="33"/>
        <v>29.44</v>
      </c>
      <c r="AQ43" s="20" t="s">
        <v>110</v>
      </c>
      <c r="AR43" s="20" t="s">
        <v>221</v>
      </c>
      <c r="AS43" s="20" t="s">
        <v>216</v>
      </c>
      <c r="AT43" s="20" t="s">
        <v>273</v>
      </c>
      <c r="AU43" s="20" t="s">
        <v>237</v>
      </c>
      <c r="AV43" s="20" t="s">
        <v>315</v>
      </c>
    </row>
    <row r="44" spans="1:48" ht="16.5">
      <c r="A44" s="20" t="s">
        <v>200</v>
      </c>
      <c r="B44" s="54" t="s">
        <v>139</v>
      </c>
      <c r="C44" s="20" t="s">
        <v>106</v>
      </c>
      <c r="D44" s="20">
        <v>81</v>
      </c>
      <c r="E44" s="20">
        <v>0.81</v>
      </c>
      <c r="F44" s="20">
        <v>1</v>
      </c>
      <c r="G44" s="20">
        <v>100</v>
      </c>
      <c r="H44" s="65">
        <v>20</v>
      </c>
      <c r="I44" s="20">
        <f>VLOOKUP($C44,兵士关于时代的建筑和勋号加成!$A$50:$K$59,2,0)</f>
        <v>6.2</v>
      </c>
      <c r="J44" s="67">
        <v>1.6</v>
      </c>
      <c r="K44" s="20">
        <f>VLOOKUP($C44,兵士关于时代的建筑和勋号加成!$A$50:$K$59,6,0)</f>
        <v>1.6</v>
      </c>
      <c r="L44" s="65">
        <v>16</v>
      </c>
      <c r="M44" s="20">
        <f>VLOOKUP($C44,兵士关于时代的建筑和勋号加成!$A$50:$K$59,3,0)</f>
        <v>4.2</v>
      </c>
      <c r="N44" s="67">
        <v>1.6</v>
      </c>
      <c r="O44" s="20">
        <f>VLOOKUP($C44,兵士关于时代的建筑和勋号加成!$A$50:$K$59,7,0)</f>
        <v>1.3</v>
      </c>
      <c r="P44" s="34">
        <f t="shared" si="17"/>
        <v>172.26005159998383</v>
      </c>
      <c r="Q44" s="34">
        <f t="shared" si="18"/>
        <v>17226.005159998382</v>
      </c>
      <c r="R44" s="65">
        <v>20</v>
      </c>
      <c r="S44" s="20">
        <f>VLOOKUP($C44,兵士关于时代的建筑和勋号加成!$A$50:$K$59,4,0)</f>
        <v>2.6</v>
      </c>
      <c r="T44" s="67">
        <v>0</v>
      </c>
      <c r="U44" s="20">
        <f>VLOOKUP($C44,兵士关于时代的建筑和勋号加成!$A$50:$K$59,8,0)</f>
        <v>1</v>
      </c>
      <c r="V44" s="65">
        <v>10</v>
      </c>
      <c r="W44" s="20">
        <f>VLOOKUP($C44,兵士关于时代的建筑和勋号加成!$A$50:$K$59,5,0)</f>
        <v>2.4</v>
      </c>
      <c r="X44" s="67">
        <v>0</v>
      </c>
      <c r="Y44" s="20">
        <f>VLOOKUP($C44,兵士关于时代的建筑和勋号加成!$A$50:$K$59,9,0)</f>
        <v>1.5</v>
      </c>
      <c r="Z44" s="60">
        <f t="shared" si="19"/>
        <v>208</v>
      </c>
      <c r="AA44" s="60">
        <f t="shared" si="20"/>
        <v>93.600000000000009</v>
      </c>
      <c r="AB44" s="60">
        <f t="shared" si="21"/>
        <v>52</v>
      </c>
      <c r="AC44" s="60">
        <f t="shared" si="22"/>
        <v>36</v>
      </c>
      <c r="AD44" s="69">
        <f t="shared" si="23"/>
        <v>259.20000000000005</v>
      </c>
      <c r="AE44" s="69">
        <f t="shared" si="24"/>
        <v>126.88000000000001</v>
      </c>
      <c r="AF44" s="69">
        <f t="shared" si="25"/>
        <v>52</v>
      </c>
      <c r="AG44" s="69">
        <f t="shared" si="26"/>
        <v>36</v>
      </c>
      <c r="AH44" s="23">
        <f t="shared" si="27"/>
        <v>139.5306417959869</v>
      </c>
      <c r="AI44" s="23">
        <f t="shared" si="28"/>
        <v>1.4907119849998596</v>
      </c>
      <c r="AJ44" s="23">
        <f t="shared" si="29"/>
        <v>13953.06417959869</v>
      </c>
      <c r="AK44" s="72">
        <f t="shared" si="30"/>
        <v>18134.854838128707</v>
      </c>
      <c r="AL44" s="20">
        <f>26</f>
        <v>26</v>
      </c>
      <c r="AM44" s="20">
        <f>VLOOKUP($C44,兵士关于时代的建筑和勋号加成!$A$50:$K$59,11,0)</f>
        <v>8</v>
      </c>
      <c r="AN44" s="39">
        <f t="shared" si="31"/>
        <v>474404.1821063555</v>
      </c>
      <c r="AO44" s="69">
        <f t="shared" si="32"/>
        <v>616585.06449637609</v>
      </c>
      <c r="AP44" s="56">
        <f t="shared" si="33"/>
        <v>27.540000000000003</v>
      </c>
      <c r="AQ44" s="20" t="s">
        <v>165</v>
      </c>
      <c r="AR44" s="20" t="s">
        <v>116</v>
      </c>
      <c r="AS44" s="20" t="s">
        <v>2</v>
      </c>
      <c r="AT44" s="20" t="s">
        <v>241</v>
      </c>
      <c r="AU44" s="20"/>
      <c r="AV44" s="20" t="s">
        <v>194</v>
      </c>
    </row>
    <row r="45" spans="1:48">
      <c r="A45" s="20" t="s">
        <v>200</v>
      </c>
      <c r="B45" s="54" t="s">
        <v>148</v>
      </c>
      <c r="C45" s="20" t="s">
        <v>106</v>
      </c>
      <c r="D45" s="20">
        <v>54</v>
      </c>
      <c r="E45" s="20">
        <v>0.54</v>
      </c>
      <c r="F45" s="20">
        <v>1</v>
      </c>
      <c r="G45" s="20">
        <v>100</v>
      </c>
      <c r="H45" s="65">
        <v>18</v>
      </c>
      <c r="I45" s="20">
        <f>VLOOKUP($C45,兵士关于时代的建筑和勋号加成!$A$50:$K$59,2,0)</f>
        <v>6.2</v>
      </c>
      <c r="J45" s="67">
        <v>1.6</v>
      </c>
      <c r="K45" s="20">
        <f>VLOOKUP($C45,兵士关于时代的建筑和勋号加成!$A$50:$K$59,6,0)</f>
        <v>1.6</v>
      </c>
      <c r="L45" s="65">
        <v>14</v>
      </c>
      <c r="M45" s="20">
        <f>VLOOKUP($C45,兵士关于时代的建筑和勋号加成!$A$50:$K$59,3,0)</f>
        <v>4.2</v>
      </c>
      <c r="N45" s="67">
        <v>1.6</v>
      </c>
      <c r="O45" s="20">
        <f>VLOOKUP($C45,兵士关于时代的建筑和勋号加成!$A$50:$K$59,7,0)</f>
        <v>1.3</v>
      </c>
      <c r="P45" s="34">
        <f t="shared" si="17"/>
        <v>229.29844695893118</v>
      </c>
      <c r="Q45" s="34">
        <f t="shared" si="18"/>
        <v>22929.844695893116</v>
      </c>
      <c r="R45" s="65">
        <v>0</v>
      </c>
      <c r="S45" s="20">
        <f>VLOOKUP($C45,兵士关于时代的建筑和勋号加成!$A$50:$K$59,4,0)</f>
        <v>2.6</v>
      </c>
      <c r="T45" s="67">
        <v>0</v>
      </c>
      <c r="U45" s="20">
        <f>VLOOKUP($C45,兵士关于时代的建筑和勋号加成!$A$50:$K$59,8,0)</f>
        <v>1</v>
      </c>
      <c r="V45" s="65">
        <v>20</v>
      </c>
      <c r="W45" s="20">
        <f>VLOOKUP($C45,兵士关于时代的建筑和勋号加成!$A$50:$K$59,5,0)</f>
        <v>2.4</v>
      </c>
      <c r="X45" s="67">
        <v>0</v>
      </c>
      <c r="Y45" s="20">
        <f>VLOOKUP($C45,兵士关于时代的建筑和勋号加成!$A$50:$K$59,9,0)</f>
        <v>1.5</v>
      </c>
      <c r="Z45" s="60">
        <f t="shared" si="19"/>
        <v>187.20000000000002</v>
      </c>
      <c r="AA45" s="60">
        <f t="shared" si="20"/>
        <v>81.900000000000006</v>
      </c>
      <c r="AB45" s="60">
        <f t="shared" si="21"/>
        <v>0</v>
      </c>
      <c r="AC45" s="60">
        <f t="shared" si="22"/>
        <v>72</v>
      </c>
      <c r="AD45" s="69">
        <f t="shared" si="23"/>
        <v>233.28000000000003</v>
      </c>
      <c r="AE45" s="69">
        <f t="shared" si="24"/>
        <v>111.02000000000001</v>
      </c>
      <c r="AF45" s="69">
        <f t="shared" si="25"/>
        <v>0</v>
      </c>
      <c r="AG45" s="69">
        <f t="shared" si="26"/>
        <v>72</v>
      </c>
      <c r="AH45" s="23">
        <f t="shared" si="27"/>
        <v>123.82116135782285</v>
      </c>
      <c r="AI45" s="23">
        <f t="shared" si="28"/>
        <v>1.5118578920369088</v>
      </c>
      <c r="AJ45" s="23">
        <f t="shared" si="29"/>
        <v>12382.116135782284</v>
      </c>
      <c r="AK45" s="72">
        <f t="shared" si="30"/>
        <v>16093.087211594922</v>
      </c>
      <c r="AL45" s="20">
        <f>26</f>
        <v>26</v>
      </c>
      <c r="AM45" s="20">
        <f>VLOOKUP($C45,兵士关于时代的建筑和勋号加成!$A$50:$K$59,11,0)</f>
        <v>8</v>
      </c>
      <c r="AN45" s="39">
        <f t="shared" si="31"/>
        <v>420991.94861659763</v>
      </c>
      <c r="AO45" s="69">
        <f t="shared" si="32"/>
        <v>547164.96519422741</v>
      </c>
      <c r="AP45" s="56">
        <f t="shared" si="33"/>
        <v>18.36</v>
      </c>
      <c r="AQ45" s="20" t="s">
        <v>107</v>
      </c>
      <c r="AR45" s="20" t="s">
        <v>169</v>
      </c>
      <c r="AS45" s="20" t="s">
        <v>109</v>
      </c>
      <c r="AT45" s="20" t="s">
        <v>248</v>
      </c>
      <c r="AU45" s="20"/>
      <c r="AV45" s="20" t="s">
        <v>140</v>
      </c>
    </row>
    <row r="46" spans="1:48">
      <c r="A46" s="20" t="s">
        <v>200</v>
      </c>
      <c r="B46" s="54" t="s">
        <v>160</v>
      </c>
      <c r="C46" s="20" t="s">
        <v>106</v>
      </c>
      <c r="D46" s="20">
        <v>45</v>
      </c>
      <c r="E46" s="20">
        <v>0.45</v>
      </c>
      <c r="F46" s="20">
        <v>1</v>
      </c>
      <c r="G46" s="20">
        <v>100</v>
      </c>
      <c r="H46" s="65">
        <v>10</v>
      </c>
      <c r="I46" s="20">
        <f>VLOOKUP($C46,兵士关于时代的建筑和勋号加成!$A$50:$K$59,2,0)</f>
        <v>6.2</v>
      </c>
      <c r="J46" s="67">
        <v>1.6</v>
      </c>
      <c r="K46" s="20">
        <f>VLOOKUP($C46,兵士关于时代的建筑和勋号加成!$A$50:$K$59,6,0)</f>
        <v>1.6</v>
      </c>
      <c r="L46" s="65">
        <v>24</v>
      </c>
      <c r="M46" s="20">
        <f>VLOOKUP($C46,兵士关于时代的建筑和勋号加成!$A$50:$K$59,3,0)</f>
        <v>4.2</v>
      </c>
      <c r="N46" s="67">
        <v>1.6</v>
      </c>
      <c r="O46" s="20">
        <f>VLOOKUP($C46,兵士关于时代的建筑和勋号加成!$A$50:$K$59,7,0)</f>
        <v>1.3</v>
      </c>
      <c r="P46" s="34">
        <f t="shared" si="17"/>
        <v>268.52684533704758</v>
      </c>
      <c r="Q46" s="34">
        <f t="shared" si="18"/>
        <v>26852.684533704756</v>
      </c>
      <c r="R46" s="65">
        <v>0</v>
      </c>
      <c r="S46" s="20">
        <f>VLOOKUP($C46,兵士关于时代的建筑和勋号加成!$A$50:$K$59,4,0)</f>
        <v>2.6</v>
      </c>
      <c r="T46" s="67">
        <v>0</v>
      </c>
      <c r="U46" s="20">
        <f>VLOOKUP($C46,兵士关于时代的建筑和勋号加成!$A$50:$K$59,8,0)</f>
        <v>1</v>
      </c>
      <c r="V46" s="65">
        <v>40</v>
      </c>
      <c r="W46" s="20">
        <f>VLOOKUP($C46,兵士关于时代的建筑和勋号加成!$A$50:$K$59,5,0)</f>
        <v>2.4</v>
      </c>
      <c r="X46" s="67">
        <v>0</v>
      </c>
      <c r="Y46" s="20">
        <f>VLOOKUP($C46,兵士关于时代的建筑和勋号加成!$A$50:$K$59,9,0)</f>
        <v>1.5</v>
      </c>
      <c r="Z46" s="60">
        <f t="shared" si="19"/>
        <v>104</v>
      </c>
      <c r="AA46" s="60">
        <f t="shared" si="20"/>
        <v>140.4</v>
      </c>
      <c r="AB46" s="60">
        <f t="shared" si="21"/>
        <v>0</v>
      </c>
      <c r="AC46" s="60">
        <f t="shared" si="22"/>
        <v>144</v>
      </c>
      <c r="AD46" s="69">
        <f t="shared" si="23"/>
        <v>129.60000000000002</v>
      </c>
      <c r="AE46" s="69">
        <f t="shared" si="24"/>
        <v>190.32000000000002</v>
      </c>
      <c r="AF46" s="69">
        <f t="shared" si="25"/>
        <v>0</v>
      </c>
      <c r="AG46" s="69">
        <f t="shared" si="26"/>
        <v>144</v>
      </c>
      <c r="AH46" s="23">
        <f t="shared" si="27"/>
        <v>120.83708040167141</v>
      </c>
      <c r="AI46" s="23">
        <f t="shared" si="28"/>
        <v>0.86066296582387036</v>
      </c>
      <c r="AJ46" s="23">
        <f t="shared" si="29"/>
        <v>12083.708040167141</v>
      </c>
      <c r="AK46" s="72">
        <f t="shared" si="30"/>
        <v>15705.244983762594</v>
      </c>
      <c r="AL46" s="20">
        <f>26</f>
        <v>26</v>
      </c>
      <c r="AM46" s="20">
        <f>VLOOKUP($C46,兵士关于时代的建筑和勋号加成!$A$50:$K$59,11,0)</f>
        <v>8</v>
      </c>
      <c r="AN46" s="39">
        <f t="shared" si="31"/>
        <v>410846.07336568279</v>
      </c>
      <c r="AO46" s="69">
        <f t="shared" si="32"/>
        <v>533978.32944792823</v>
      </c>
      <c r="AP46" s="56">
        <f t="shared" si="33"/>
        <v>15.3</v>
      </c>
      <c r="AQ46" s="20" t="s">
        <v>107</v>
      </c>
      <c r="AR46" s="20" t="s">
        <v>109</v>
      </c>
      <c r="AS46" s="20" t="s">
        <v>109</v>
      </c>
      <c r="AT46" s="20" t="s">
        <v>262</v>
      </c>
      <c r="AU46" s="20"/>
      <c r="AV46" s="20" t="s">
        <v>140</v>
      </c>
    </row>
    <row r="47" spans="1:48">
      <c r="A47" s="20" t="s">
        <v>200</v>
      </c>
      <c r="B47" s="54" t="s">
        <v>147</v>
      </c>
      <c r="C47" s="20" t="s">
        <v>106</v>
      </c>
      <c r="D47" s="20">
        <v>45</v>
      </c>
      <c r="E47" s="20">
        <v>0.45</v>
      </c>
      <c r="F47" s="20">
        <v>1</v>
      </c>
      <c r="G47" s="20">
        <v>100</v>
      </c>
      <c r="H47" s="65">
        <v>13</v>
      </c>
      <c r="I47" s="20">
        <f>VLOOKUP($C47,兵士关于时代的建筑和勋号加成!$A$50:$K$59,2,0)</f>
        <v>6.2</v>
      </c>
      <c r="J47" s="67">
        <v>1.6</v>
      </c>
      <c r="K47" s="20">
        <f>VLOOKUP($C47,兵士关于时代的建筑和勋号加成!$A$50:$K$59,6,0)</f>
        <v>1.6</v>
      </c>
      <c r="L47" s="65">
        <v>18</v>
      </c>
      <c r="M47" s="20">
        <f>VLOOKUP($C47,兵士关于时代的建筑和勋号加成!$A$50:$K$59,3,0)</f>
        <v>4.2</v>
      </c>
      <c r="N47" s="67">
        <v>1.6</v>
      </c>
      <c r="O47" s="20">
        <f>VLOOKUP($C47,兵士关于时代的建筑和勋号加成!$A$50:$K$59,7,0)</f>
        <v>1.3</v>
      </c>
      <c r="P47" s="34">
        <f t="shared" si="17"/>
        <v>265.14901470682486</v>
      </c>
      <c r="Q47" s="34">
        <f t="shared" si="18"/>
        <v>26514.901470682486</v>
      </c>
      <c r="R47" s="65">
        <v>0</v>
      </c>
      <c r="S47" s="20">
        <f>VLOOKUP($C47,兵士关于时代的建筑和勋号加成!$A$50:$K$59,4,0)</f>
        <v>2.6</v>
      </c>
      <c r="T47" s="67">
        <v>0</v>
      </c>
      <c r="U47" s="20">
        <f>VLOOKUP($C47,兵士关于时代的建筑和勋号加成!$A$50:$K$59,8,0)</f>
        <v>1</v>
      </c>
      <c r="V47" s="65">
        <v>16</v>
      </c>
      <c r="W47" s="20">
        <f>VLOOKUP($C47,兵士关于时代的建筑和勋号加成!$A$50:$K$59,5,0)</f>
        <v>2.4</v>
      </c>
      <c r="X47" s="67">
        <v>0</v>
      </c>
      <c r="Y47" s="20">
        <f>VLOOKUP($C47,兵士关于时代的建筑和勋号加成!$A$50:$K$59,9,0)</f>
        <v>1.5</v>
      </c>
      <c r="Z47" s="60">
        <f t="shared" si="19"/>
        <v>135.20000000000002</v>
      </c>
      <c r="AA47" s="60">
        <f t="shared" si="20"/>
        <v>105.3</v>
      </c>
      <c r="AB47" s="60">
        <f t="shared" si="21"/>
        <v>0</v>
      </c>
      <c r="AC47" s="60">
        <f t="shared" si="22"/>
        <v>57.599999999999994</v>
      </c>
      <c r="AD47" s="69">
        <f t="shared" si="23"/>
        <v>168.48000000000002</v>
      </c>
      <c r="AE47" s="69">
        <f t="shared" si="24"/>
        <v>142.74</v>
      </c>
      <c r="AF47" s="69">
        <f t="shared" si="25"/>
        <v>0</v>
      </c>
      <c r="AG47" s="69">
        <f t="shared" si="26"/>
        <v>57.599999999999994</v>
      </c>
      <c r="AH47" s="23">
        <f t="shared" si="27"/>
        <v>119.31705661807118</v>
      </c>
      <c r="AI47" s="23">
        <f t="shared" si="28"/>
        <v>1.1331154474650633</v>
      </c>
      <c r="AJ47" s="23">
        <f t="shared" si="29"/>
        <v>11931.705661807118</v>
      </c>
      <c r="AK47" s="72">
        <f t="shared" si="30"/>
        <v>15507.686868130915</v>
      </c>
      <c r="AL47" s="20">
        <f>26</f>
        <v>26</v>
      </c>
      <c r="AM47" s="20">
        <f>VLOOKUP($C47,兵士关于时代的建筑和勋号加成!$A$50:$K$59,11,0)</f>
        <v>8</v>
      </c>
      <c r="AN47" s="39">
        <f t="shared" si="31"/>
        <v>405677.99250144203</v>
      </c>
      <c r="AO47" s="69">
        <f t="shared" si="32"/>
        <v>527261.35351645108</v>
      </c>
      <c r="AP47" s="56">
        <f t="shared" si="33"/>
        <v>15.3</v>
      </c>
      <c r="AQ47" s="20" t="s">
        <v>168</v>
      </c>
      <c r="AR47" s="20" t="s">
        <v>109</v>
      </c>
      <c r="AS47" s="20" t="s">
        <v>109</v>
      </c>
      <c r="AT47" s="20" t="s">
        <v>247</v>
      </c>
      <c r="AU47" s="20"/>
      <c r="AV47" s="20" t="s">
        <v>146</v>
      </c>
    </row>
    <row r="48" spans="1:48" ht="16.5">
      <c r="A48" s="20" t="s">
        <v>200</v>
      </c>
      <c r="B48" s="54" t="s">
        <v>163</v>
      </c>
      <c r="C48" s="20" t="s">
        <v>115</v>
      </c>
      <c r="D48" s="20">
        <v>50.2</v>
      </c>
      <c r="E48" s="20">
        <v>0.6</v>
      </c>
      <c r="F48" s="20">
        <v>1</v>
      </c>
      <c r="G48" s="20">
        <v>100</v>
      </c>
      <c r="H48" s="65">
        <v>14</v>
      </c>
      <c r="I48" s="20">
        <f>VLOOKUP($C48,兵士关于时代的建筑和勋号加成!$A$50:$K$59,2,0)</f>
        <v>4.8</v>
      </c>
      <c r="J48" s="67">
        <v>1.6</v>
      </c>
      <c r="K48" s="20">
        <f>VLOOKUP($C48,兵士关于时代的建筑和勋号加成!$A$50:$K$59,6,0)</f>
        <v>1.5</v>
      </c>
      <c r="L48" s="65">
        <v>18</v>
      </c>
      <c r="M48" s="20">
        <f>0.8+VLOOKUP($C48,兵士关于时代的建筑和勋号加成!$A$50:$K$59,3,0)</f>
        <v>4.6500000000000004</v>
      </c>
      <c r="N48" s="67">
        <v>1.6</v>
      </c>
      <c r="O48" s="20">
        <f>VLOOKUP($C48,兵士关于时代的建筑和勋号加成!$A$50:$K$59,7,0)</f>
        <v>1.6</v>
      </c>
      <c r="P48" s="34">
        <f t="shared" si="17"/>
        <v>246.14434444240101</v>
      </c>
      <c r="Q48" s="34">
        <f t="shared" si="18"/>
        <v>20594.076818347552</v>
      </c>
      <c r="R48" s="65">
        <v>12</v>
      </c>
      <c r="S48" s="20">
        <f>VLOOKUP($C48,兵士关于时代的建筑和勋号加成!$A$50:$K$59,4,0)</f>
        <v>1</v>
      </c>
      <c r="T48" s="67">
        <v>0</v>
      </c>
      <c r="U48" s="20">
        <f>VLOOKUP($C48,兵士关于时代的建筑和勋号加成!$A$50:$K$59,8,0)</f>
        <v>1</v>
      </c>
      <c r="V48" s="65">
        <v>0</v>
      </c>
      <c r="W48" s="20">
        <f>VLOOKUP($C48,兵士关于时代的建筑和勋号加成!$A$50:$K$59,5,0)</f>
        <v>1</v>
      </c>
      <c r="X48" s="67">
        <v>0</v>
      </c>
      <c r="Y48" s="20">
        <f>VLOOKUP($C48,兵士关于时代的建筑和勋号加成!$A$50:$K$59,9,0)</f>
        <v>1</v>
      </c>
      <c r="Z48" s="60">
        <f t="shared" si="19"/>
        <v>107.1</v>
      </c>
      <c r="AA48" s="60">
        <f t="shared" si="20"/>
        <v>142.56000000000003</v>
      </c>
      <c r="AB48" s="60">
        <f t="shared" si="21"/>
        <v>12</v>
      </c>
      <c r="AC48" s="60">
        <f t="shared" si="22"/>
        <v>0</v>
      </c>
      <c r="AD48" s="69">
        <f t="shared" si="23"/>
        <v>140.69999999999999</v>
      </c>
      <c r="AE48" s="69">
        <f t="shared" si="24"/>
        <v>188.64</v>
      </c>
      <c r="AF48" s="69">
        <f t="shared" si="25"/>
        <v>12</v>
      </c>
      <c r="AG48" s="69">
        <f t="shared" si="26"/>
        <v>0</v>
      </c>
      <c r="AH48" s="23">
        <f t="shared" si="27"/>
        <v>123.56446091008532</v>
      </c>
      <c r="AI48" s="23">
        <f t="shared" si="28"/>
        <v>0.86675407484627731</v>
      </c>
      <c r="AJ48" s="23">
        <f t="shared" si="29"/>
        <v>12356.446091008531</v>
      </c>
      <c r="AK48" s="72">
        <f t="shared" si="30"/>
        <v>16291.607655477097</v>
      </c>
      <c r="AL48" s="20">
        <f>26</f>
        <v>26</v>
      </c>
      <c r="AM48" s="20">
        <f>VLOOKUP($C48,兵士关于时代的建筑和勋号加成!$A$50:$K$59,11,0)</f>
        <v>6</v>
      </c>
      <c r="AN48" s="39">
        <f t="shared" si="31"/>
        <v>395406.27491227299</v>
      </c>
      <c r="AO48" s="69">
        <f t="shared" si="32"/>
        <v>521331.44497526711</v>
      </c>
      <c r="AP48" s="56">
        <f t="shared" si="33"/>
        <v>19.2</v>
      </c>
      <c r="AQ48" s="20" t="s">
        <v>189</v>
      </c>
      <c r="AR48" s="20" t="s">
        <v>190</v>
      </c>
      <c r="AS48" s="20" t="s">
        <v>191</v>
      </c>
      <c r="AT48" s="20" t="s">
        <v>265</v>
      </c>
      <c r="AU48" s="20"/>
      <c r="AV48" s="20" t="s">
        <v>140</v>
      </c>
    </row>
    <row r="49" spans="1:48" ht="24.75">
      <c r="A49" s="20" t="s">
        <v>232</v>
      </c>
      <c r="B49" s="54" t="s">
        <v>227</v>
      </c>
      <c r="C49" s="20" t="s">
        <v>225</v>
      </c>
      <c r="D49" s="20">
        <v>400</v>
      </c>
      <c r="E49" s="20">
        <v>2.94</v>
      </c>
      <c r="F49" s="20">
        <v>0.8</v>
      </c>
      <c r="G49" s="20">
        <v>25</v>
      </c>
      <c r="H49" s="65">
        <v>250</v>
      </c>
      <c r="I49" s="20">
        <f>VLOOKUP($C49,兵士关于时代的建筑和勋号加成!$A$50:$K$59,2,0)</f>
        <v>3.8</v>
      </c>
      <c r="J49" s="67">
        <v>1.6</v>
      </c>
      <c r="K49" s="20">
        <f>VLOOKUP($C49,兵士关于时代的建筑和勋号加成!$A$50:$K$59,6,0)</f>
        <v>1.2</v>
      </c>
      <c r="L49" s="65">
        <v>50</v>
      </c>
      <c r="M49" s="20">
        <f>VLOOKUP($C49,兵士关于时代的建筑和勋号加成!$A$50:$K$59,3,0)</f>
        <v>3.6</v>
      </c>
      <c r="N49" s="67">
        <v>1.6</v>
      </c>
      <c r="O49" s="20">
        <f>VLOOKUP($C49,兵士关于时代的建筑和勋号加成!$A$50:$K$59,7,0)</f>
        <v>1.2</v>
      </c>
      <c r="P49" s="34">
        <f t="shared" si="17"/>
        <v>33.530536455595218</v>
      </c>
      <c r="Q49" s="34">
        <f t="shared" si="18"/>
        <v>4561.9777490605738</v>
      </c>
      <c r="R49" s="65">
        <v>0</v>
      </c>
      <c r="S49" s="20">
        <f>VLOOKUP($C49,兵士关于时代的建筑和勋号加成!$A$50:$K$59,4,0)</f>
        <v>1</v>
      </c>
      <c r="T49" s="67">
        <v>0</v>
      </c>
      <c r="U49" s="20">
        <f>VLOOKUP($C49,兵士关于时代的建筑和勋号加成!$A$50:$K$59,8,0)</f>
        <v>1</v>
      </c>
      <c r="V49" s="65">
        <v>0</v>
      </c>
      <c r="W49" s="20">
        <f>VLOOKUP($C49,兵士关于时代的建筑和勋号加成!$A$50:$K$59,5,0)</f>
        <v>1</v>
      </c>
      <c r="X49" s="67">
        <v>0</v>
      </c>
      <c r="Y49" s="20">
        <f>VLOOKUP($C49,兵士关于时代的建筑和勋号加成!$A$50:$K$59,9,0)</f>
        <v>1</v>
      </c>
      <c r="Z49" s="60">
        <f t="shared" si="19"/>
        <v>1230</v>
      </c>
      <c r="AA49" s="60">
        <f t="shared" si="20"/>
        <v>234</v>
      </c>
      <c r="AB49" s="60">
        <f t="shared" si="21"/>
        <v>0</v>
      </c>
      <c r="AC49" s="60">
        <f t="shared" si="22"/>
        <v>0</v>
      </c>
      <c r="AD49" s="69">
        <f t="shared" si="23"/>
        <v>1710</v>
      </c>
      <c r="AE49" s="69">
        <f t="shared" si="24"/>
        <v>330</v>
      </c>
      <c r="AF49" s="69">
        <f t="shared" si="25"/>
        <v>0</v>
      </c>
      <c r="AG49" s="69">
        <f t="shared" si="26"/>
        <v>0</v>
      </c>
      <c r="AH49" s="23">
        <f t="shared" si="27"/>
        <v>536.48858328952349</v>
      </c>
      <c r="AI49" s="23">
        <f t="shared" si="28"/>
        <v>2.2926862533740322</v>
      </c>
      <c r="AJ49" s="23">
        <f t="shared" si="29"/>
        <v>13412.214582238088</v>
      </c>
      <c r="AK49" s="72">
        <f t="shared" si="30"/>
        <v>18779.976038323373</v>
      </c>
      <c r="AL49" s="20">
        <f>26</f>
        <v>26</v>
      </c>
      <c r="AM49" s="20">
        <f>VLOOKUP($C49,兵士关于时代的建筑和勋号加成!$A$50:$K$59,11,0)</f>
        <v>3</v>
      </c>
      <c r="AN49" s="39">
        <f t="shared" si="31"/>
        <v>388954.22288490454</v>
      </c>
      <c r="AO49" s="69">
        <f t="shared" si="32"/>
        <v>544619.30511137785</v>
      </c>
      <c r="AP49" s="56">
        <f t="shared" si="33"/>
        <v>85.26</v>
      </c>
      <c r="AQ49" s="20" t="s">
        <v>228</v>
      </c>
      <c r="AR49" s="20" t="s">
        <v>176</v>
      </c>
      <c r="AS49" s="20" t="s">
        <v>229</v>
      </c>
      <c r="AT49" s="20" t="s">
        <v>276</v>
      </c>
      <c r="AU49" s="20" t="s">
        <v>240</v>
      </c>
      <c r="AV49" s="20" t="s">
        <v>140</v>
      </c>
    </row>
    <row r="50" spans="1:48" ht="24.75">
      <c r="A50" s="20" t="s">
        <v>232</v>
      </c>
      <c r="B50" s="54" t="s">
        <v>222</v>
      </c>
      <c r="C50" s="20" t="s">
        <v>331</v>
      </c>
      <c r="D50" s="20">
        <v>85</v>
      </c>
      <c r="E50" s="20">
        <v>0.84</v>
      </c>
      <c r="F50" s="20">
        <v>1</v>
      </c>
      <c r="G50" s="20">
        <v>100</v>
      </c>
      <c r="H50" s="65">
        <v>22</v>
      </c>
      <c r="I50" s="20">
        <f>VLOOKUP($C50,兵士关于时代的建筑和勋号加成!$A$50:$K$59,2,0)</f>
        <v>4.5999999999999996</v>
      </c>
      <c r="J50" s="67">
        <v>0</v>
      </c>
      <c r="K50" s="20">
        <f>VLOOKUP($C50,兵士关于时代的建筑和勋号加成!$A$50:$K$59,6,0)</f>
        <v>1.6</v>
      </c>
      <c r="L50" s="65">
        <v>15</v>
      </c>
      <c r="M50" s="20">
        <f>VLOOKUP($C50,兵士关于时代的建筑和勋号加成!$A$50:$K$59,3,0)</f>
        <v>4</v>
      </c>
      <c r="N50" s="67">
        <v>0</v>
      </c>
      <c r="O50" s="20">
        <f>VLOOKUP($C50,兵士关于时代的建筑和勋号加成!$A$50:$K$59,7,0)</f>
        <v>1.3</v>
      </c>
      <c r="P50" s="34">
        <f t="shared" si="17"/>
        <v>141.4822570704325</v>
      </c>
      <c r="Q50" s="34">
        <f t="shared" si="18"/>
        <v>14316.656965460432</v>
      </c>
      <c r="R50" s="65">
        <v>20</v>
      </c>
      <c r="S50" s="20">
        <f>VLOOKUP($C50,兵士关于时代的建筑和勋号加成!$A$50:$K$59,4,0)</f>
        <v>1.8</v>
      </c>
      <c r="T50" s="67">
        <v>0</v>
      </c>
      <c r="U50" s="20">
        <f>VLOOKUP($C50,兵士关于时代的建筑和勋号加成!$A$50:$K$59,8,0)</f>
        <v>1.3</v>
      </c>
      <c r="V50" s="65">
        <v>20</v>
      </c>
      <c r="W50" s="20">
        <f>VLOOKUP($C50,兵士关于时代的建筑和勋号加成!$A$50:$K$59,5,0)</f>
        <v>1.6</v>
      </c>
      <c r="X50" s="67">
        <v>0</v>
      </c>
      <c r="Y50" s="20">
        <f>VLOOKUP($C50,兵士关于时代的建筑和勋号加成!$A$50:$K$59,9,0)</f>
        <v>1.3</v>
      </c>
      <c r="Z50" s="60">
        <f t="shared" si="19"/>
        <v>172.48</v>
      </c>
      <c r="AA50" s="60">
        <f t="shared" si="20"/>
        <v>83.850000000000009</v>
      </c>
      <c r="AB50" s="60">
        <f t="shared" si="21"/>
        <v>46.800000000000004</v>
      </c>
      <c r="AC50" s="60">
        <f t="shared" si="22"/>
        <v>41.6</v>
      </c>
      <c r="AD50" s="69">
        <f t="shared" si="23"/>
        <v>172.48</v>
      </c>
      <c r="AE50" s="69">
        <f t="shared" si="24"/>
        <v>83.850000000000009</v>
      </c>
      <c r="AF50" s="69">
        <f t="shared" si="25"/>
        <v>46.800000000000004</v>
      </c>
      <c r="AG50" s="69">
        <f t="shared" si="26"/>
        <v>41.6</v>
      </c>
      <c r="AH50" s="23">
        <f t="shared" si="27"/>
        <v>120.25991850986762</v>
      </c>
      <c r="AI50" s="23">
        <f t="shared" si="28"/>
        <v>1.4342268158600788</v>
      </c>
      <c r="AJ50" s="23">
        <f t="shared" si="29"/>
        <v>12025.991850986762</v>
      </c>
      <c r="AK50" s="72">
        <f t="shared" si="30"/>
        <v>12025.991850986762</v>
      </c>
      <c r="AL50" s="20">
        <f>26</f>
        <v>26</v>
      </c>
      <c r="AM50" s="20">
        <f>VLOOKUP($C50,兵士关于时代的建筑和勋号加成!$A$50:$K$59,11,0)</f>
        <v>6</v>
      </c>
      <c r="AN50" s="39">
        <f t="shared" si="31"/>
        <v>384831.73923157639</v>
      </c>
      <c r="AO50" s="69">
        <f t="shared" si="32"/>
        <v>384831.73923157639</v>
      </c>
      <c r="AP50" s="56">
        <f t="shared" si="33"/>
        <v>26.88</v>
      </c>
      <c r="AQ50" s="20" t="s">
        <v>112</v>
      </c>
      <c r="AR50" s="20" t="s">
        <v>223</v>
      </c>
      <c r="AS50" s="20" t="s">
        <v>120</v>
      </c>
      <c r="AT50" s="20" t="s">
        <v>274</v>
      </c>
      <c r="AU50" s="20" t="s">
        <v>238</v>
      </c>
      <c r="AV50" s="20" t="s">
        <v>140</v>
      </c>
    </row>
    <row r="51" spans="1:48" ht="16.5">
      <c r="A51" s="20" t="s">
        <v>200</v>
      </c>
      <c r="B51" s="54" t="s">
        <v>149</v>
      </c>
      <c r="C51" s="20" t="s">
        <v>106</v>
      </c>
      <c r="D51" s="20">
        <v>45</v>
      </c>
      <c r="E51" s="20">
        <v>0.45</v>
      </c>
      <c r="F51" s="20">
        <v>1</v>
      </c>
      <c r="G51" s="20">
        <v>100</v>
      </c>
      <c r="H51" s="65">
        <v>12</v>
      </c>
      <c r="I51" s="20">
        <f>VLOOKUP($C51,兵士关于时代的建筑和勋号加成!$A$50:$K$59,2,0)</f>
        <v>6.2</v>
      </c>
      <c r="J51" s="67">
        <v>1.6</v>
      </c>
      <c r="K51" s="20">
        <f>VLOOKUP($C51,兵士关于时代的建筑和勋号加成!$A$50:$K$59,6,0)</f>
        <v>1.6</v>
      </c>
      <c r="L51" s="65">
        <v>16</v>
      </c>
      <c r="M51" s="20">
        <f>VLOOKUP($C51,兵士关于时代的建筑和勋号加成!$A$50:$K$59,3,0)</f>
        <v>4.2</v>
      </c>
      <c r="N51" s="67">
        <v>1.6</v>
      </c>
      <c r="O51" s="20">
        <f>VLOOKUP($C51,兵士关于时代的建筑和勋号加成!$A$50:$K$59,7,0)</f>
        <v>1.3</v>
      </c>
      <c r="P51" s="34">
        <f t="shared" si="17"/>
        <v>240.17771198288432</v>
      </c>
      <c r="Q51" s="34">
        <f t="shared" si="18"/>
        <v>24017.771198288432</v>
      </c>
      <c r="R51" s="65">
        <v>0</v>
      </c>
      <c r="S51" s="20">
        <f>VLOOKUP($C51,兵士关于时代的建筑和勋号加成!$A$50:$K$59,4,0)</f>
        <v>2.6</v>
      </c>
      <c r="T51" s="67">
        <v>0</v>
      </c>
      <c r="U51" s="20">
        <f>VLOOKUP($C51,兵士关于时代的建筑和勋号加成!$A$50:$K$59,8,0)</f>
        <v>1</v>
      </c>
      <c r="V51" s="65">
        <v>20</v>
      </c>
      <c r="W51" s="20">
        <f>VLOOKUP($C51,兵士关于时代的建筑和勋号加成!$A$50:$K$59,5,0)</f>
        <v>2.4</v>
      </c>
      <c r="X51" s="67">
        <v>0</v>
      </c>
      <c r="Y51" s="20">
        <f>VLOOKUP($C51,兵士关于时代的建筑和勋号加成!$A$50:$K$59,9,0)</f>
        <v>1.5</v>
      </c>
      <c r="Z51" s="60">
        <f t="shared" si="19"/>
        <v>124.80000000000001</v>
      </c>
      <c r="AA51" s="60">
        <f t="shared" si="20"/>
        <v>93.600000000000009</v>
      </c>
      <c r="AB51" s="60">
        <f t="shared" si="21"/>
        <v>0</v>
      </c>
      <c r="AC51" s="60">
        <f t="shared" si="22"/>
        <v>72</v>
      </c>
      <c r="AD51" s="69">
        <f t="shared" si="23"/>
        <v>155.52000000000004</v>
      </c>
      <c r="AE51" s="69">
        <f t="shared" si="24"/>
        <v>126.88000000000001</v>
      </c>
      <c r="AF51" s="69">
        <f t="shared" si="25"/>
        <v>0</v>
      </c>
      <c r="AG51" s="69">
        <f t="shared" si="26"/>
        <v>72</v>
      </c>
      <c r="AH51" s="23">
        <f t="shared" si="27"/>
        <v>108.07997039229795</v>
      </c>
      <c r="AI51" s="23">
        <f t="shared" si="28"/>
        <v>1.1547005383792515</v>
      </c>
      <c r="AJ51" s="23">
        <f t="shared" si="29"/>
        <v>10807.997039229795</v>
      </c>
      <c r="AK51" s="72">
        <f t="shared" si="30"/>
        <v>14047.198154792295</v>
      </c>
      <c r="AL51" s="20">
        <f>26</f>
        <v>26</v>
      </c>
      <c r="AM51" s="20">
        <f>VLOOKUP($C51,兵士关于时代的建筑和勋号加成!$A$50:$K$59,11,0)</f>
        <v>8</v>
      </c>
      <c r="AN51" s="39">
        <f t="shared" si="31"/>
        <v>367471.89933381299</v>
      </c>
      <c r="AO51" s="69">
        <f t="shared" si="32"/>
        <v>477604.73726293806</v>
      </c>
      <c r="AP51" s="56">
        <f t="shared" si="33"/>
        <v>15.3</v>
      </c>
      <c r="AQ51" s="20" t="s">
        <v>107</v>
      </c>
      <c r="AR51" s="20" t="s">
        <v>116</v>
      </c>
      <c r="AS51" s="20" t="s">
        <v>109</v>
      </c>
      <c r="AT51" s="20" t="s">
        <v>249</v>
      </c>
      <c r="AU51" s="20"/>
      <c r="AV51" s="20" t="s">
        <v>140</v>
      </c>
    </row>
    <row r="52" spans="1:48" ht="16.5">
      <c r="A52" s="20" t="s">
        <v>127</v>
      </c>
      <c r="B52" s="54" t="s">
        <v>105</v>
      </c>
      <c r="C52" s="20" t="s">
        <v>289</v>
      </c>
      <c r="D52" s="20">
        <v>45</v>
      </c>
      <c r="E52" s="20">
        <v>0.45</v>
      </c>
      <c r="F52" s="20">
        <v>1</v>
      </c>
      <c r="G52" s="20">
        <v>100</v>
      </c>
      <c r="H52" s="65">
        <v>10</v>
      </c>
      <c r="I52" s="20">
        <f>VLOOKUP($C52,兵士关于时代的建筑和勋号加成!$A$50:$K$59,2,0)</f>
        <v>6.2</v>
      </c>
      <c r="J52" s="67">
        <v>1.6</v>
      </c>
      <c r="K52" s="20">
        <f>VLOOKUP($C52,兵士关于时代的建筑和勋号加成!$A$50:$K$59,6,0)</f>
        <v>1.6</v>
      </c>
      <c r="L52" s="65">
        <v>16</v>
      </c>
      <c r="M52" s="20">
        <f>VLOOKUP($C52,兵士关于时代的建筑和勋号加成!$A$50:$K$59,3,0)</f>
        <v>4.2</v>
      </c>
      <c r="N52" s="67">
        <v>1.6</v>
      </c>
      <c r="O52" s="20">
        <f>VLOOKUP($C52,兵士关于时代的建筑和勋号加成!$A$50:$K$59,7,0)</f>
        <v>1.3</v>
      </c>
      <c r="P52" s="34">
        <f t="shared" si="17"/>
        <v>219.25125110500767</v>
      </c>
      <c r="Q52" s="34">
        <f t="shared" si="18"/>
        <v>21925.125110500769</v>
      </c>
      <c r="R52" s="65">
        <v>10</v>
      </c>
      <c r="S52" s="20">
        <f>VLOOKUP($C52,兵士关于时代的建筑和勋号加成!$A$50:$K$59,4,0)</f>
        <v>2.6</v>
      </c>
      <c r="T52" s="67">
        <v>0</v>
      </c>
      <c r="U52" s="20">
        <f>VLOOKUP($C52,兵士关于时代的建筑和勋号加成!$A$50:$K$59,8,0)</f>
        <v>1</v>
      </c>
      <c r="V52" s="65">
        <v>16</v>
      </c>
      <c r="W52" s="20">
        <f>VLOOKUP($C52,兵士关于时代的建筑和勋号加成!$A$50:$K$59,5,0)</f>
        <v>2.4</v>
      </c>
      <c r="X52" s="67">
        <v>0</v>
      </c>
      <c r="Y52" s="20">
        <f>VLOOKUP($C52,兵士关于时代的建筑和勋号加成!$A$50:$K$59,9,0)</f>
        <v>1.5</v>
      </c>
      <c r="Z52" s="60">
        <f t="shared" si="19"/>
        <v>104</v>
      </c>
      <c r="AA52" s="60">
        <f t="shared" si="20"/>
        <v>93.600000000000009</v>
      </c>
      <c r="AB52" s="60">
        <f t="shared" si="21"/>
        <v>26</v>
      </c>
      <c r="AC52" s="60">
        <f t="shared" si="22"/>
        <v>57.599999999999994</v>
      </c>
      <c r="AD52" s="69">
        <f t="shared" si="23"/>
        <v>129.60000000000002</v>
      </c>
      <c r="AE52" s="69">
        <f t="shared" si="24"/>
        <v>126.88000000000001</v>
      </c>
      <c r="AF52" s="69">
        <f t="shared" si="25"/>
        <v>26</v>
      </c>
      <c r="AG52" s="69">
        <f t="shared" si="26"/>
        <v>57.599999999999994</v>
      </c>
      <c r="AH52" s="23">
        <f t="shared" si="27"/>
        <v>98.663062997253448</v>
      </c>
      <c r="AI52" s="23">
        <f t="shared" si="28"/>
        <v>1.0540925533894596</v>
      </c>
      <c r="AJ52" s="23">
        <f t="shared" si="29"/>
        <v>9866.3062997253455</v>
      </c>
      <c r="AK52" s="72">
        <f t="shared" si="30"/>
        <v>12823.278831874479</v>
      </c>
      <c r="AL52" s="20">
        <f>26</f>
        <v>26</v>
      </c>
      <c r="AM52" s="20">
        <f>VLOOKUP($C52,兵士关于时代的建筑和勋号加成!$A$50:$K$59,11,0)</f>
        <v>8</v>
      </c>
      <c r="AN52" s="39">
        <f t="shared" si="31"/>
        <v>335454.41419066174</v>
      </c>
      <c r="AO52" s="69">
        <f t="shared" si="32"/>
        <v>435991.48028373229</v>
      </c>
      <c r="AP52" s="56">
        <f t="shared" si="33"/>
        <v>15.3</v>
      </c>
      <c r="AQ52" s="20" t="s">
        <v>107</v>
      </c>
      <c r="AR52" s="20" t="s">
        <v>108</v>
      </c>
      <c r="AS52" s="20" t="s">
        <v>109</v>
      </c>
      <c r="AT52" s="20" t="s">
        <v>109</v>
      </c>
      <c r="AU52" s="20"/>
      <c r="AV52" s="20" t="s">
        <v>194</v>
      </c>
    </row>
    <row r="53" spans="1:48" ht="16.5">
      <c r="A53" s="20" t="s">
        <v>231</v>
      </c>
      <c r="B53" s="54" t="s">
        <v>208</v>
      </c>
      <c r="C53" s="20" t="s">
        <v>289</v>
      </c>
      <c r="D53" s="20">
        <v>54</v>
      </c>
      <c r="E53" s="20">
        <v>0.54</v>
      </c>
      <c r="F53" s="20">
        <v>1</v>
      </c>
      <c r="G53" s="20">
        <v>100</v>
      </c>
      <c r="H53" s="65">
        <v>10</v>
      </c>
      <c r="I53" s="20">
        <f>VLOOKUP($C53,兵士关于时代的建筑和勋号加成!$A$50:$K$59,2,0)</f>
        <v>6.2</v>
      </c>
      <c r="J53" s="67">
        <v>1.6</v>
      </c>
      <c r="K53" s="20">
        <f>VLOOKUP($C53,兵士关于时代的建筑和勋号加成!$A$50:$K$59,6,0)</f>
        <v>1.6</v>
      </c>
      <c r="L53" s="65">
        <v>12</v>
      </c>
      <c r="M53" s="20">
        <f>VLOOKUP($C53,兵士关于时代的建筑和勋号加成!$A$50:$K$59,3,0)</f>
        <v>4.2</v>
      </c>
      <c r="N53" s="67">
        <v>1.6</v>
      </c>
      <c r="O53" s="20">
        <f>VLOOKUP($C53,兵士关于时代的建筑和勋号加成!$A$50:$K$59,7,0)</f>
        <v>1.3</v>
      </c>
      <c r="P53" s="34">
        <f t="shared" si="17"/>
        <v>158.23096105704801</v>
      </c>
      <c r="Q53" s="34">
        <f t="shared" si="18"/>
        <v>15823.096105704799</v>
      </c>
      <c r="R53" s="65">
        <v>15</v>
      </c>
      <c r="S53" s="20">
        <f>VLOOKUP($C53,兵士关于时代的建筑和勋号加成!$A$50:$K$59,4,0)</f>
        <v>2.6</v>
      </c>
      <c r="T53" s="67">
        <v>0</v>
      </c>
      <c r="U53" s="20">
        <f>VLOOKUP($C53,兵士关于时代的建筑和勋号加成!$A$50:$K$59,8,0)</f>
        <v>1</v>
      </c>
      <c r="V53" s="65">
        <v>20</v>
      </c>
      <c r="W53" s="20">
        <f>VLOOKUP($C53,兵士关于时代的建筑和勋号加成!$A$50:$K$59,5,0)</f>
        <v>2.4</v>
      </c>
      <c r="X53" s="67">
        <v>0</v>
      </c>
      <c r="Y53" s="20">
        <f>VLOOKUP($C53,兵士关于时代的建筑和勋号加成!$A$50:$K$59,9,0)</f>
        <v>1.5</v>
      </c>
      <c r="Z53" s="60">
        <f t="shared" si="19"/>
        <v>104</v>
      </c>
      <c r="AA53" s="60">
        <f t="shared" si="20"/>
        <v>70.2</v>
      </c>
      <c r="AB53" s="60">
        <f t="shared" si="21"/>
        <v>39</v>
      </c>
      <c r="AC53" s="60">
        <f t="shared" si="22"/>
        <v>72</v>
      </c>
      <c r="AD53" s="69">
        <f t="shared" si="23"/>
        <v>129.60000000000002</v>
      </c>
      <c r="AE53" s="69">
        <f t="shared" si="24"/>
        <v>95.160000000000011</v>
      </c>
      <c r="AF53" s="69">
        <f t="shared" si="25"/>
        <v>39</v>
      </c>
      <c r="AG53" s="69">
        <f t="shared" si="26"/>
        <v>72</v>
      </c>
      <c r="AH53" s="23">
        <f t="shared" si="27"/>
        <v>85.444718970805908</v>
      </c>
      <c r="AI53" s="23">
        <f t="shared" si="28"/>
        <v>1.2171612389003692</v>
      </c>
      <c r="AJ53" s="23">
        <f t="shared" si="29"/>
        <v>8544.4718970805916</v>
      </c>
      <c r="AK53" s="72">
        <f t="shared" si="30"/>
        <v>11105.28522821454</v>
      </c>
      <c r="AL53" s="20">
        <f>26</f>
        <v>26</v>
      </c>
      <c r="AM53" s="20">
        <f>VLOOKUP($C53,兵士关于时代的建筑和勋号加成!$A$50:$K$59,11,0)</f>
        <v>8</v>
      </c>
      <c r="AN53" s="39">
        <f t="shared" si="31"/>
        <v>290512.04450074013</v>
      </c>
      <c r="AO53" s="69">
        <f t="shared" si="32"/>
        <v>377579.69775929436</v>
      </c>
      <c r="AP53" s="56">
        <f t="shared" si="33"/>
        <v>18.36</v>
      </c>
      <c r="AQ53" s="20" t="s">
        <v>107</v>
      </c>
      <c r="AR53" s="20" t="s">
        <v>211</v>
      </c>
      <c r="AS53" s="20" t="s">
        <v>109</v>
      </c>
      <c r="AT53" s="20" t="s">
        <v>270</v>
      </c>
      <c r="AU53" s="20" t="s">
        <v>209</v>
      </c>
      <c r="AV53" s="20" t="s">
        <v>140</v>
      </c>
    </row>
    <row r="54" spans="1:48" ht="16.5">
      <c r="A54" s="20" t="s">
        <v>286</v>
      </c>
      <c r="B54" s="64" t="s">
        <v>125</v>
      </c>
      <c r="C54" s="20" t="s">
        <v>107</v>
      </c>
      <c r="D54" s="20">
        <v>50</v>
      </c>
      <c r="E54" s="20">
        <v>1</v>
      </c>
      <c r="F54" s="20">
        <v>1</v>
      </c>
      <c r="G54" s="20">
        <v>100</v>
      </c>
      <c r="H54" s="65">
        <v>40</v>
      </c>
      <c r="I54" s="20">
        <f>VLOOKUP($C54,兵士关于时代的建筑和勋号加成!$A$50:$K$59,2,0)</f>
        <v>4.5999999999999996</v>
      </c>
      <c r="J54" s="67">
        <v>1.6</v>
      </c>
      <c r="K54" s="20">
        <f>VLOOKUP($C54,兵士关于时代的建筑和勋号加成!$A$50:$K$59,6,0)</f>
        <v>1.6</v>
      </c>
      <c r="L54" s="65">
        <v>32</v>
      </c>
      <c r="M54" s="20">
        <f>VLOOKUP($C54,兵士关于时代的建筑和勋号加成!$A$50:$K$59,3,0)</f>
        <v>4</v>
      </c>
      <c r="N54" s="67">
        <v>1.6</v>
      </c>
      <c r="O54" s="20">
        <f>VLOOKUP($C54,兵士关于时代的建筑和勋号加成!$A$50:$K$59,7,0)</f>
        <v>1.3</v>
      </c>
      <c r="P54" s="34">
        <f t="shared" si="17"/>
        <v>473.69512558184505</v>
      </c>
      <c r="Q54" s="34">
        <f t="shared" si="18"/>
        <v>23684.756279092253</v>
      </c>
      <c r="R54" s="65">
        <v>0</v>
      </c>
      <c r="S54" s="20">
        <f>VLOOKUP($C54,兵士关于时代的建筑和勋号加成!$A$50:$K$59,4,0)</f>
        <v>1</v>
      </c>
      <c r="T54" s="67">
        <v>0</v>
      </c>
      <c r="U54" s="20">
        <f>VLOOKUP($C54,兵士关于时代的建筑和勋号加成!$A$50:$K$59,8,0)</f>
        <v>1</v>
      </c>
      <c r="V54" s="65">
        <v>24</v>
      </c>
      <c r="W54" s="20">
        <f>VLOOKUP($C54,兵士关于时代的建筑和勋号加成!$A$50:$K$59,5,0)</f>
        <v>1</v>
      </c>
      <c r="X54" s="67">
        <v>0</v>
      </c>
      <c r="Y54" s="20">
        <f>VLOOKUP($C54,兵士关于时代的建筑和勋号加成!$A$50:$K$59,9,0)</f>
        <v>1</v>
      </c>
      <c r="Z54" s="60">
        <f t="shared" si="19"/>
        <v>313.59999999999997</v>
      </c>
      <c r="AA54" s="60">
        <f t="shared" si="20"/>
        <v>178.88</v>
      </c>
      <c r="AB54" s="60">
        <f t="shared" si="21"/>
        <v>0</v>
      </c>
      <c r="AC54" s="60">
        <f t="shared" si="22"/>
        <v>24</v>
      </c>
      <c r="AD54" s="69">
        <f t="shared" si="23"/>
        <v>415.99999999999994</v>
      </c>
      <c r="AE54" s="69">
        <f t="shared" si="24"/>
        <v>245.44</v>
      </c>
      <c r="AF54" s="69">
        <f t="shared" si="25"/>
        <v>0</v>
      </c>
      <c r="AG54" s="69">
        <f t="shared" si="26"/>
        <v>24</v>
      </c>
      <c r="AH54" s="23">
        <f t="shared" si="27"/>
        <v>236.84756279092252</v>
      </c>
      <c r="AI54" s="23">
        <f t="shared" si="28"/>
        <v>1.324058378750685</v>
      </c>
      <c r="AJ54" s="23">
        <f t="shared" si="29"/>
        <v>23684.756279092253</v>
      </c>
      <c r="AK54" s="72">
        <f t="shared" si="30"/>
        <v>31953.566311133407</v>
      </c>
      <c r="AL54" s="20">
        <f>5</f>
        <v>5</v>
      </c>
      <c r="AM54" s="20">
        <v>0</v>
      </c>
      <c r="AN54" s="39">
        <f t="shared" si="31"/>
        <v>118423.78139546126</v>
      </c>
      <c r="AO54" s="69">
        <f t="shared" si="32"/>
        <v>159767.83155566704</v>
      </c>
      <c r="AP54" s="56">
        <f t="shared" si="33"/>
        <v>5</v>
      </c>
      <c r="AQ54" s="20" t="s">
        <v>126</v>
      </c>
      <c r="AR54" s="20" t="s">
        <v>109</v>
      </c>
      <c r="AS54" s="20" t="s">
        <v>109</v>
      </c>
      <c r="AT54" s="22" t="s">
        <v>280</v>
      </c>
      <c r="AU54" s="20"/>
      <c r="AV54" s="20" t="s">
        <v>194</v>
      </c>
    </row>
  </sheetData>
  <autoFilter ref="A3:AV54">
    <sortState ref="A4:AV54">
      <sortCondition descending="1" ref="AN3:AN54"/>
    </sortState>
  </autoFilter>
  <mergeCells count="4">
    <mergeCell ref="C1:AN1"/>
    <mergeCell ref="A2:AP2"/>
    <mergeCell ref="AQ2:AS2"/>
    <mergeCell ref="AT2:AV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"/>
  <sheetViews>
    <sheetView zoomScaleNormal="100" workbookViewId="0">
      <selection activeCell="L59" sqref="L59"/>
    </sheetView>
  </sheetViews>
  <sheetFormatPr defaultRowHeight="14.25"/>
  <cols>
    <col min="5" max="6" width="10.75" bestFit="1" customWidth="1"/>
    <col min="7" max="7" width="9.125" customWidth="1"/>
    <col min="8" max="8" width="14.875" bestFit="1" customWidth="1"/>
    <col min="9" max="9" width="6.875" customWidth="1"/>
    <col min="10" max="10" width="12.875" bestFit="1" customWidth="1"/>
    <col min="11" max="11" width="33.375" bestFit="1" customWidth="1"/>
  </cols>
  <sheetData>
    <row r="1" spans="1:68" ht="24" thickBot="1">
      <c r="A1" s="82" t="s">
        <v>96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68" ht="15" thickBot="1">
      <c r="A2" s="9" t="s">
        <v>82</v>
      </c>
      <c r="B2" s="10" t="s">
        <v>59</v>
      </c>
      <c r="C2" s="10" t="s">
        <v>60</v>
      </c>
      <c r="D2" s="10" t="s">
        <v>79</v>
      </c>
      <c r="E2" s="10" t="s">
        <v>80</v>
      </c>
      <c r="F2" s="10" t="s">
        <v>76</v>
      </c>
      <c r="G2" s="10" t="s">
        <v>75</v>
      </c>
      <c r="H2" s="10" t="s">
        <v>91</v>
      </c>
      <c r="I2" s="94" t="s">
        <v>90</v>
      </c>
      <c r="J2" s="90" t="s">
        <v>62</v>
      </c>
      <c r="K2" s="91"/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D2">
        <v>19</v>
      </c>
      <c r="AE2">
        <v>20</v>
      </c>
      <c r="AF2">
        <v>21</v>
      </c>
      <c r="AG2">
        <v>22</v>
      </c>
      <c r="AH2">
        <v>23</v>
      </c>
      <c r="AI2">
        <v>24</v>
      </c>
      <c r="AJ2">
        <v>25</v>
      </c>
      <c r="AK2">
        <v>26</v>
      </c>
      <c r="AL2">
        <v>27</v>
      </c>
      <c r="AM2">
        <v>28</v>
      </c>
      <c r="AN2">
        <v>29</v>
      </c>
      <c r="AO2">
        <v>30</v>
      </c>
      <c r="AP2">
        <v>31</v>
      </c>
      <c r="AQ2">
        <v>32</v>
      </c>
      <c r="AR2">
        <v>33</v>
      </c>
      <c r="AS2">
        <v>34</v>
      </c>
      <c r="AT2">
        <v>35</v>
      </c>
      <c r="AU2">
        <v>36</v>
      </c>
      <c r="AV2">
        <v>37</v>
      </c>
      <c r="AW2">
        <v>38</v>
      </c>
      <c r="AX2">
        <v>39</v>
      </c>
      <c r="AY2">
        <v>40</v>
      </c>
      <c r="AZ2">
        <v>41</v>
      </c>
      <c r="BA2">
        <v>42</v>
      </c>
      <c r="BB2">
        <v>43</v>
      </c>
      <c r="BC2">
        <v>44</v>
      </c>
      <c r="BD2">
        <v>45</v>
      </c>
      <c r="BE2">
        <v>46</v>
      </c>
      <c r="BF2">
        <v>47</v>
      </c>
      <c r="BG2">
        <v>48</v>
      </c>
      <c r="BH2">
        <v>49</v>
      </c>
      <c r="BI2">
        <v>50</v>
      </c>
      <c r="BJ2">
        <v>51</v>
      </c>
      <c r="BK2">
        <v>52</v>
      </c>
      <c r="BL2">
        <v>53</v>
      </c>
      <c r="BM2">
        <v>54</v>
      </c>
      <c r="BN2">
        <v>55</v>
      </c>
      <c r="BO2">
        <v>56</v>
      </c>
      <c r="BP2">
        <v>57</v>
      </c>
    </row>
    <row r="3" spans="1:68">
      <c r="A3" t="s">
        <v>57</v>
      </c>
      <c r="B3" s="14">
        <v>45</v>
      </c>
      <c r="C3" s="14">
        <v>30</v>
      </c>
      <c r="D3">
        <f>SQRT(B3/C3)</f>
        <v>1.2247448713915889</v>
      </c>
      <c r="E3">
        <f>SQRT(B3*C3)</f>
        <v>36.742346141747674</v>
      </c>
      <c r="F3" s="14">
        <v>100</v>
      </c>
      <c r="G3" s="14">
        <v>0</v>
      </c>
      <c r="H3" s="14" t="s">
        <v>92</v>
      </c>
      <c r="I3" s="94"/>
      <c r="J3" s="90" t="s">
        <v>72</v>
      </c>
      <c r="K3" s="2" t="s">
        <v>66</v>
      </c>
      <c r="L3">
        <f>F3*G3</f>
        <v>0</v>
      </c>
      <c r="M3">
        <f>IF((L3-0.03*L$14*IF($B$16-$B$8&gt;0,1+($B$16-$B$8)*2%,1)*L3/SUM(L$3:L$5,L$7)/C3)&gt;0,(L3-0.03*L$14*IF($B$16-$B$8&gt;0,1+($B$16-$B$8)*2%,1)*L3/SUM(L$3:L$5,L$7)/C3),0)</f>
        <v>0</v>
      </c>
      <c r="N3">
        <f>IF((M3-0.03*M$14*IF($B$16-$B$8&gt;0,1+($B$16-$B$8)*2%,1)*M3/SUM(M$3:M$5,M$7)/$C3)&gt;0,(M3-0.03*M$14*IF($B$16-$B$8&gt;0,1+($B$16-$B$8)*2%,1)*M3/SUM(M$3:M$5,M$7)/$C3),0)</f>
        <v>0</v>
      </c>
      <c r="O3">
        <f t="shared" ref="O3:BP7" si="0">IF((N3-0.03*N$14*IF($B$16-$B$8&gt;0,1+($B$16-$B$8)*2%,1)*N3/SUM(N$3:N$5,N$7)/$C3)&gt;0,(N3-0.03*N$14*IF($B$16-$B$8&gt;0,1+($B$16-$B$8)*2%,1)*N3/SUM(N$3:N$5,N$7)/$C3),0)</f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  <c r="BH3">
        <f t="shared" si="0"/>
        <v>0</v>
      </c>
      <c r="BI3">
        <f t="shared" si="0"/>
        <v>0</v>
      </c>
      <c r="BJ3">
        <f t="shared" si="0"/>
        <v>0</v>
      </c>
      <c r="BK3">
        <f t="shared" si="0"/>
        <v>0</v>
      </c>
      <c r="BL3">
        <f t="shared" si="0"/>
        <v>0</v>
      </c>
      <c r="BM3">
        <f t="shared" si="0"/>
        <v>0</v>
      </c>
      <c r="BN3">
        <f t="shared" si="0"/>
        <v>0</v>
      </c>
      <c r="BO3">
        <f t="shared" si="0"/>
        <v>0</v>
      </c>
      <c r="BP3">
        <f t="shared" si="0"/>
        <v>0</v>
      </c>
    </row>
    <row r="4" spans="1:68">
      <c r="A4" t="s">
        <v>58</v>
      </c>
      <c r="B4" s="14">
        <v>250</v>
      </c>
      <c r="C4" s="14">
        <v>50</v>
      </c>
      <c r="D4">
        <f t="shared" ref="D4:D5" si="1">SQRT(B4/C4)</f>
        <v>2.2360679774997898</v>
      </c>
      <c r="E4">
        <f t="shared" ref="E4:E5" si="2">SQRT(B4*C4)</f>
        <v>111.80339887498948</v>
      </c>
      <c r="F4" s="14">
        <v>25</v>
      </c>
      <c r="G4" s="14">
        <v>0</v>
      </c>
      <c r="H4" s="14" t="s">
        <v>30</v>
      </c>
      <c r="I4" s="94"/>
      <c r="J4" s="90"/>
      <c r="K4" s="2" t="s">
        <v>67</v>
      </c>
      <c r="L4">
        <f t="shared" ref="L4" si="3">F4*G4</f>
        <v>0</v>
      </c>
      <c r="M4">
        <f t="shared" ref="M4:M7" si="4">IF((L4-0.03*L$14*IF($B$16-$B$8&gt;0,1+($B$16-$B$8)*2%,1)*L4/SUM(L$3:L$5,L$7)/C4)&gt;0,(L4-0.03*L$14*IF($B$16-$B$8&gt;0,1+($B$16-$B$8)*2%,1)*L4/SUM(L$3:L$5,L$7)/C4),0)</f>
        <v>0</v>
      </c>
      <c r="N4">
        <f t="shared" ref="N4:AC7" si="5">IF((M4-0.03*M$14*IF($B$16-$B$8&gt;0,1+($B$16-$B$8)*2%,1)*M4/SUM(M$3:M$5,M$7)/$C4)&gt;0,(M4-0.03*M$14*IF($B$16-$B$8&gt;0,1+($B$16-$B$8)*2%,1)*M4/SUM(M$3:M$5,M$7)/$C4),0)</f>
        <v>0</v>
      </c>
      <c r="O4">
        <f t="shared" si="5"/>
        <v>0</v>
      </c>
      <c r="P4">
        <f t="shared" si="5"/>
        <v>0</v>
      </c>
      <c r="Q4">
        <f t="shared" si="5"/>
        <v>0</v>
      </c>
      <c r="R4">
        <f t="shared" si="5"/>
        <v>0</v>
      </c>
      <c r="S4">
        <f t="shared" si="5"/>
        <v>0</v>
      </c>
      <c r="T4">
        <f t="shared" si="5"/>
        <v>0</v>
      </c>
      <c r="U4">
        <f t="shared" si="5"/>
        <v>0</v>
      </c>
      <c r="V4">
        <f t="shared" si="5"/>
        <v>0</v>
      </c>
      <c r="W4">
        <f t="shared" si="5"/>
        <v>0</v>
      </c>
      <c r="X4">
        <f t="shared" si="5"/>
        <v>0</v>
      </c>
      <c r="Y4">
        <f t="shared" si="5"/>
        <v>0</v>
      </c>
      <c r="Z4">
        <f t="shared" si="5"/>
        <v>0</v>
      </c>
      <c r="AA4">
        <f t="shared" si="5"/>
        <v>0</v>
      </c>
      <c r="AB4">
        <f t="shared" si="5"/>
        <v>0</v>
      </c>
      <c r="AC4">
        <f t="shared" si="5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D4">
        <f t="shared" si="0"/>
        <v>0</v>
      </c>
      <c r="BE4">
        <f t="shared" si="0"/>
        <v>0</v>
      </c>
      <c r="BF4">
        <f t="shared" si="0"/>
        <v>0</v>
      </c>
      <c r="BG4">
        <f t="shared" si="0"/>
        <v>0</v>
      </c>
      <c r="BH4">
        <f t="shared" si="0"/>
        <v>0</v>
      </c>
      <c r="BI4">
        <f t="shared" si="0"/>
        <v>0</v>
      </c>
      <c r="BJ4">
        <f t="shared" si="0"/>
        <v>0</v>
      </c>
      <c r="BK4">
        <f t="shared" si="0"/>
        <v>0</v>
      </c>
      <c r="BL4">
        <f t="shared" si="0"/>
        <v>0</v>
      </c>
      <c r="BM4">
        <f t="shared" si="0"/>
        <v>0</v>
      </c>
      <c r="BN4">
        <f t="shared" si="0"/>
        <v>0</v>
      </c>
      <c r="BO4">
        <f t="shared" si="0"/>
        <v>0</v>
      </c>
      <c r="BP4">
        <f t="shared" si="0"/>
        <v>0</v>
      </c>
    </row>
    <row r="5" spans="1:68" ht="15" thickBot="1">
      <c r="A5" t="s">
        <v>77</v>
      </c>
      <c r="B5" s="14">
        <v>10</v>
      </c>
      <c r="C5" s="14">
        <v>10</v>
      </c>
      <c r="D5">
        <f t="shared" si="1"/>
        <v>1</v>
      </c>
      <c r="E5">
        <f t="shared" si="2"/>
        <v>10</v>
      </c>
      <c r="F5" s="14">
        <v>2788</v>
      </c>
      <c r="G5">
        <v>1</v>
      </c>
      <c r="H5" s="15"/>
      <c r="I5" s="94"/>
      <c r="J5" s="90"/>
      <c r="K5" s="2" t="s">
        <v>71</v>
      </c>
      <c r="L5">
        <f>F5*G5</f>
        <v>2788</v>
      </c>
      <c r="M5">
        <f t="shared" si="4"/>
        <v>2698</v>
      </c>
      <c r="N5">
        <f t="shared" si="5"/>
        <v>2610.6215522388061</v>
      </c>
      <c r="O5">
        <f t="shared" si="0"/>
        <v>2525.7842565320525</v>
      </c>
      <c r="P5">
        <f t="shared" si="0"/>
        <v>2443.4101043872556</v>
      </c>
      <c r="Q5">
        <f t="shared" si="0"/>
        <v>2363.4234082190937</v>
      </c>
      <c r="R5">
        <f t="shared" si="0"/>
        <v>2285.7507328266406</v>
      </c>
      <c r="S5">
        <f t="shared" si="0"/>
        <v>2210.3208290788771</v>
      </c>
      <c r="T5">
        <f t="shared" si="0"/>
        <v>2137.064569758003</v>
      </c>
      <c r="U5">
        <f t="shared" si="0"/>
        <v>2065.914887513356</v>
      </c>
      <c r="V5">
        <f t="shared" si="0"/>
        <v>1996.8067148821938</v>
      </c>
      <c r="W5">
        <f t="shared" si="0"/>
        <v>1929.6769263371943</v>
      </c>
      <c r="X5">
        <f t="shared" si="0"/>
        <v>1864.464282324358</v>
      </c>
      <c r="Y5">
        <f t="shared" si="0"/>
        <v>1801.1093752590696</v>
      </c>
      <c r="Z5">
        <f t="shared" si="0"/>
        <v>1739.5545774524796</v>
      </c>
      <c r="AA5">
        <f t="shared" si="0"/>
        <v>1679.7439909451334</v>
      </c>
      <c r="AB5">
        <f t="shared" si="0"/>
        <v>1621.6233992300158</v>
      </c>
      <c r="AC5">
        <f t="shared" si="0"/>
        <v>1565.1402208529694</v>
      </c>
      <c r="AD5">
        <f t="shared" si="0"/>
        <v>1510.2434648849135</v>
      </c>
      <c r="AE5">
        <f t="shared" si="0"/>
        <v>1456.8836882675646</v>
      </c>
      <c r="AF5">
        <f t="shared" si="0"/>
        <v>1405.0129550426382</v>
      </c>
      <c r="AG5">
        <f t="shared" si="0"/>
        <v>1354.5847974839762</v>
      </c>
      <c r="AH5">
        <f t="shared" si="0"/>
        <v>1305.5541791629967</v>
      </c>
      <c r="AI5">
        <f t="shared" si="0"/>
        <v>1257.8774599906003</v>
      </c>
      <c r="AJ5">
        <f t="shared" si="0"/>
        <v>1211.5123632936279</v>
      </c>
      <c r="AK5">
        <f t="shared" si="0"/>
        <v>1166.4179450016611</v>
      </c>
      <c r="AL5">
        <f t="shared" si="0"/>
        <v>1122.5545650410454</v>
      </c>
      <c r="AM5">
        <f t="shared" si="0"/>
        <v>1079.8838610583584</v>
      </c>
      <c r="AN5">
        <f t="shared" si="0"/>
        <v>1038.3687246262045</v>
      </c>
      <c r="AO5">
        <f t="shared" si="0"/>
        <v>997.97328012161927</v>
      </c>
      <c r="AP5">
        <f t="shared" si="0"/>
        <v>958.66286651333189</v>
      </c>
      <c r="AQ5">
        <f t="shared" si="0"/>
        <v>920.40402235107661</v>
      </c>
      <c r="AR5">
        <f t="shared" si="0"/>
        <v>883.16447432126245</v>
      </c>
      <c r="AS5">
        <f t="shared" si="0"/>
        <v>846.91312982287911</v>
      </c>
      <c r="AT5">
        <f t="shared" si="0"/>
        <v>811.62007413132096</v>
      </c>
      <c r="AU5">
        <f t="shared" si="0"/>
        <v>777.25657286373905</v>
      </c>
      <c r="AV5">
        <f t="shared" si="0"/>
        <v>743.79508064846857</v>
      </c>
      <c r="AW5">
        <f t="shared" si="0"/>
        <v>711.2092571482392</v>
      </c>
      <c r="AX5">
        <f t="shared" si="0"/>
        <v>679.47399191373688</v>
      </c>
      <c r="AY5">
        <f t="shared" si="0"/>
        <v>648.56543998145287</v>
      </c>
      <c r="AZ5">
        <f t="shared" si="0"/>
        <v>618.46107072237123</v>
      </c>
      <c r="BA5">
        <f t="shared" si="0"/>
        <v>589.13973326199596</v>
      </c>
      <c r="BB5">
        <f t="shared" si="0"/>
        <v>560.581742926679</v>
      </c>
      <c r="BC5">
        <f t="shared" si="0"/>
        <v>532.76899477784548</v>
      </c>
      <c r="BD5">
        <f t="shared" si="0"/>
        <v>505.68511261100127</v>
      </c>
      <c r="BE5">
        <f t="shared" si="0"/>
        <v>479.31564519716898</v>
      </c>
      <c r="BF5">
        <f t="shared" si="0"/>
        <v>453.64832664531139</v>
      </c>
      <c r="BG5">
        <f t="shared" si="0"/>
        <v>428.67342559408928</v>
      </c>
      <c r="BH5">
        <f t="shared" si="0"/>
        <v>404.38422027045709</v>
      </c>
      <c r="BI5">
        <f t="shared" si="0"/>
        <v>380.77765642219799</v>
      </c>
      <c r="BJ5">
        <f t="shared" si="0"/>
        <v>357.85527849952678</v>
      </c>
      <c r="BK5">
        <f t="shared" si="0"/>
        <v>335.62458215294146</v>
      </c>
      <c r="BL5">
        <f t="shared" si="0"/>
        <v>314.10103959273721</v>
      </c>
      <c r="BM5">
        <f t="shared" si="0"/>
        <v>293.31124208300588</v>
      </c>
      <c r="BN5">
        <f t="shared" si="0"/>
        <v>273.29797507699817</v>
      </c>
      <c r="BO5">
        <f t="shared" si="0"/>
        <v>254.1287668954906</v>
      </c>
      <c r="BP5">
        <f t="shared" si="0"/>
        <v>235.91078592157729</v>
      </c>
    </row>
    <row r="6" spans="1:68">
      <c r="A6" s="85" t="s">
        <v>78</v>
      </c>
      <c r="B6" s="6" t="s">
        <v>83</v>
      </c>
      <c r="C6" s="6" t="s">
        <v>84</v>
      </c>
      <c r="D6" s="6" t="s">
        <v>79</v>
      </c>
      <c r="E6" s="6" t="s">
        <v>81</v>
      </c>
      <c r="F6" s="6" t="s">
        <v>87</v>
      </c>
      <c r="G6" s="6" t="s">
        <v>61</v>
      </c>
      <c r="H6" s="7" t="s">
        <v>86</v>
      </c>
      <c r="I6" s="94"/>
      <c r="J6" s="90"/>
      <c r="K6" s="2" t="s">
        <v>93</v>
      </c>
      <c r="L6">
        <f>SUMPRODUCT($B$3:$B$5,L3:L5)*L8+L7*$B$7</f>
        <v>27880</v>
      </c>
      <c r="M6">
        <f>SUMPRODUCT($B$3:$B$5,M3:M5)*M8+M7*$B$7</f>
        <v>26980</v>
      </c>
      <c r="N6">
        <f>SUMPRODUCT($B$3:$B$5,N3:N5)*N8+N7*$B$7</f>
        <v>26106.215522388062</v>
      </c>
      <c r="O6">
        <f t="shared" ref="O6:BP6" si="6">SUMPRODUCT($B$3:$B$5,O3:O5)*O8+O7*$B$7</f>
        <v>25257.842565320527</v>
      </c>
      <c r="P6">
        <f t="shared" si="6"/>
        <v>24434.101043872557</v>
      </c>
      <c r="Q6">
        <f t="shared" si="6"/>
        <v>23634.234082190938</v>
      </c>
      <c r="R6">
        <f t="shared" si="6"/>
        <v>22857.507328266405</v>
      </c>
      <c r="S6">
        <f t="shared" si="6"/>
        <v>22103.208290788771</v>
      </c>
      <c r="T6">
        <f t="shared" si="6"/>
        <v>21370.645697580032</v>
      </c>
      <c r="U6">
        <f t="shared" si="6"/>
        <v>20659.14887513356</v>
      </c>
      <c r="V6">
        <f t="shared" si="6"/>
        <v>19968.067148821938</v>
      </c>
      <c r="W6">
        <f t="shared" si="6"/>
        <v>19296.769263371942</v>
      </c>
      <c r="X6">
        <f t="shared" si="6"/>
        <v>18644.642823243579</v>
      </c>
      <c r="Y6">
        <f t="shared" si="6"/>
        <v>18011.093752590696</v>
      </c>
      <c r="Z6">
        <f t="shared" si="6"/>
        <v>17395.545774524795</v>
      </c>
      <c r="AA6">
        <f t="shared" si="6"/>
        <v>16797.439909451336</v>
      </c>
      <c r="AB6">
        <f t="shared" si="6"/>
        <v>16216.233992300158</v>
      </c>
      <c r="AC6">
        <f t="shared" si="6"/>
        <v>15651.402208529693</v>
      </c>
      <c r="AD6">
        <f t="shared" si="6"/>
        <v>15102.434648849136</v>
      </c>
      <c r="AE6">
        <f t="shared" si="6"/>
        <v>14568.836882675645</v>
      </c>
      <c r="AF6">
        <f t="shared" si="6"/>
        <v>14050.129550426382</v>
      </c>
      <c r="AG6">
        <f t="shared" si="6"/>
        <v>13545.847974839762</v>
      </c>
      <c r="AH6">
        <f t="shared" si="6"/>
        <v>13055.541791629967</v>
      </c>
      <c r="AI6">
        <f t="shared" si="6"/>
        <v>12578.774599906003</v>
      </c>
      <c r="AJ6">
        <f t="shared" si="6"/>
        <v>12115.12363293628</v>
      </c>
      <c r="AK6">
        <f t="shared" si="6"/>
        <v>11664.179450016611</v>
      </c>
      <c r="AL6">
        <f t="shared" si="6"/>
        <v>11225.545650410455</v>
      </c>
      <c r="AM6">
        <f t="shared" si="6"/>
        <v>10798.838610583585</v>
      </c>
      <c r="AN6">
        <f t="shared" si="6"/>
        <v>10383.687246262045</v>
      </c>
      <c r="AO6">
        <f t="shared" si="6"/>
        <v>9979.7328012161925</v>
      </c>
      <c r="AP6">
        <f t="shared" si="6"/>
        <v>9586.6286651333194</v>
      </c>
      <c r="AQ6">
        <f t="shared" si="6"/>
        <v>9204.0402235107667</v>
      </c>
      <c r="AR6">
        <f t="shared" si="6"/>
        <v>8831.6447432126242</v>
      </c>
      <c r="AS6">
        <f t="shared" si="6"/>
        <v>8469.1312982287909</v>
      </c>
      <c r="AT6">
        <f t="shared" si="6"/>
        <v>8116.2007413132096</v>
      </c>
      <c r="AU6">
        <f t="shared" si="6"/>
        <v>7772.5657286373907</v>
      </c>
      <c r="AV6">
        <f t="shared" si="6"/>
        <v>7437.9508064846859</v>
      </c>
      <c r="AW6">
        <f t="shared" si="6"/>
        <v>7112.0925714823916</v>
      </c>
      <c r="AX6">
        <f t="shared" si="6"/>
        <v>6794.7399191373688</v>
      </c>
      <c r="AY6">
        <f t="shared" si="6"/>
        <v>6485.6543998145289</v>
      </c>
      <c r="AZ6">
        <f t="shared" si="6"/>
        <v>6184.6107072237119</v>
      </c>
      <c r="BA6">
        <f t="shared" si="6"/>
        <v>5891.3973326199593</v>
      </c>
      <c r="BB6">
        <f t="shared" si="6"/>
        <v>5605.81742926679</v>
      </c>
      <c r="BC6">
        <f t="shared" si="6"/>
        <v>5327.6899477784546</v>
      </c>
      <c r="BD6">
        <f t="shared" si="6"/>
        <v>5056.851126110013</v>
      </c>
      <c r="BE6">
        <f t="shared" si="6"/>
        <v>4793.1564519716894</v>
      </c>
      <c r="BF6">
        <f t="shared" si="6"/>
        <v>4536.4832664531141</v>
      </c>
      <c r="BG6">
        <f t="shared" si="6"/>
        <v>4286.7342559408926</v>
      </c>
      <c r="BH6">
        <f t="shared" si="6"/>
        <v>4043.8422027045708</v>
      </c>
      <c r="BI6">
        <f t="shared" si="6"/>
        <v>3807.7765642219802</v>
      </c>
      <c r="BJ6">
        <f t="shared" si="6"/>
        <v>3578.5527849952678</v>
      </c>
      <c r="BK6">
        <f t="shared" si="6"/>
        <v>3356.2458215294146</v>
      </c>
      <c r="BL6">
        <f t="shared" si="6"/>
        <v>3141.010395927372</v>
      </c>
      <c r="BM6">
        <f t="shared" si="6"/>
        <v>2933.1124208300589</v>
      </c>
      <c r="BN6">
        <f t="shared" si="6"/>
        <v>2732.9797507699818</v>
      </c>
      <c r="BO6">
        <f t="shared" si="6"/>
        <v>2541.2876689549062</v>
      </c>
      <c r="BP6">
        <f t="shared" si="6"/>
        <v>2359.1078592157728</v>
      </c>
    </row>
    <row r="7" spans="1:68" ht="15" thickBot="1">
      <c r="A7" s="93"/>
      <c r="B7" s="8">
        <f>F7*100*(1+H7)</f>
        <v>2000</v>
      </c>
      <c r="C7" s="8">
        <f>10*F7*(1+H7)</f>
        <v>200</v>
      </c>
      <c r="D7">
        <f t="shared" ref="D7" si="7">SQRT(B7/C7)</f>
        <v>3.1622776601683795</v>
      </c>
      <c r="E7">
        <f t="shared" ref="E7" si="8">SQRT(B7*C7)</f>
        <v>632.45553203367592</v>
      </c>
      <c r="F7" s="13">
        <v>20</v>
      </c>
      <c r="G7" s="13">
        <v>0</v>
      </c>
      <c r="H7" s="17">
        <v>0</v>
      </c>
      <c r="I7" s="94"/>
      <c r="J7" s="90"/>
      <c r="K7" s="2" t="s">
        <v>70</v>
      </c>
      <c r="L7">
        <f>G7</f>
        <v>0</v>
      </c>
      <c r="M7">
        <f t="shared" si="4"/>
        <v>0</v>
      </c>
      <c r="N7">
        <f t="shared" si="5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 t="shared" si="0"/>
        <v>0</v>
      </c>
      <c r="AL7">
        <f t="shared" si="0"/>
        <v>0</v>
      </c>
      <c r="AM7">
        <f t="shared" si="0"/>
        <v>0</v>
      </c>
      <c r="AN7">
        <f t="shared" si="0"/>
        <v>0</v>
      </c>
      <c r="AO7">
        <f t="shared" si="0"/>
        <v>0</v>
      </c>
      <c r="AP7">
        <f t="shared" si="0"/>
        <v>0</v>
      </c>
      <c r="AQ7">
        <f t="shared" si="0"/>
        <v>0</v>
      </c>
      <c r="AR7">
        <f t="shared" si="0"/>
        <v>0</v>
      </c>
      <c r="AS7">
        <f t="shared" si="0"/>
        <v>0</v>
      </c>
      <c r="AT7">
        <f t="shared" si="0"/>
        <v>0</v>
      </c>
      <c r="AU7">
        <f t="shared" si="0"/>
        <v>0</v>
      </c>
      <c r="AV7">
        <f t="shared" si="0"/>
        <v>0</v>
      </c>
      <c r="AW7">
        <f t="shared" si="0"/>
        <v>0</v>
      </c>
      <c r="AX7">
        <f t="shared" si="0"/>
        <v>0</v>
      </c>
      <c r="AY7">
        <f t="shared" si="0"/>
        <v>0</v>
      </c>
      <c r="AZ7">
        <f t="shared" si="0"/>
        <v>0</v>
      </c>
      <c r="BA7">
        <f t="shared" si="0"/>
        <v>0</v>
      </c>
      <c r="BB7">
        <f t="shared" si="0"/>
        <v>0</v>
      </c>
      <c r="BC7">
        <f t="shared" si="0"/>
        <v>0</v>
      </c>
      <c r="BD7">
        <f t="shared" si="0"/>
        <v>0</v>
      </c>
      <c r="BE7">
        <f t="shared" si="0"/>
        <v>0</v>
      </c>
      <c r="BF7">
        <f t="shared" si="0"/>
        <v>0</v>
      </c>
      <c r="BG7">
        <f t="shared" si="0"/>
        <v>0</v>
      </c>
      <c r="BH7">
        <f t="shared" si="0"/>
        <v>0</v>
      </c>
      <c r="BI7">
        <f t="shared" si="0"/>
        <v>0</v>
      </c>
      <c r="BJ7">
        <f t="shared" si="0"/>
        <v>0</v>
      </c>
      <c r="BK7">
        <f t="shared" si="0"/>
        <v>0</v>
      </c>
      <c r="BL7">
        <f t="shared" si="0"/>
        <v>0</v>
      </c>
      <c r="BM7">
        <f t="shared" si="0"/>
        <v>0</v>
      </c>
      <c r="BN7">
        <f t="shared" si="0"/>
        <v>0</v>
      </c>
      <c r="BO7">
        <f t="shared" si="0"/>
        <v>0</v>
      </c>
      <c r="BP7">
        <f t="shared" si="0"/>
        <v>0</v>
      </c>
    </row>
    <row r="8" spans="1:68" ht="15" thickBot="1">
      <c r="A8" s="5" t="s">
        <v>88</v>
      </c>
      <c r="B8" s="16">
        <v>10</v>
      </c>
      <c r="C8" s="85"/>
      <c r="D8" s="86"/>
      <c r="E8" s="86"/>
      <c r="F8" s="86"/>
      <c r="G8" s="86"/>
      <c r="H8" s="87"/>
      <c r="I8" s="94"/>
      <c r="J8" s="90"/>
      <c r="K8" s="2" t="s">
        <v>65</v>
      </c>
      <c r="L8" s="18">
        <f>IF((SUM(L3:L5)-$K$10)&gt;0,$K$10/SUM(L3:L5),1)</f>
        <v>1</v>
      </c>
      <c r="M8" s="18">
        <f>IF((SUM(M3:M5)-$K$10)&gt;0,$K$10/SUM(M3:M5),1)</f>
        <v>1</v>
      </c>
      <c r="N8" s="18">
        <f>IF((SUM(N3:N5)-$K$10)&gt;0,$K$10/SUM(N3:N5),1)</f>
        <v>1</v>
      </c>
      <c r="O8" s="18">
        <f t="shared" ref="O8:BP8" si="9">IF((SUM(O3:O5)-$K$10)&gt;0,$K$10/SUM(O3:O5),1)</f>
        <v>1</v>
      </c>
      <c r="P8" s="18">
        <f t="shared" si="9"/>
        <v>1</v>
      </c>
      <c r="Q8" s="18">
        <f t="shared" si="9"/>
        <v>1</v>
      </c>
      <c r="R8" s="18">
        <f t="shared" si="9"/>
        <v>1</v>
      </c>
      <c r="S8" s="18">
        <f t="shared" si="9"/>
        <v>1</v>
      </c>
      <c r="T8" s="18">
        <f t="shared" si="9"/>
        <v>1</v>
      </c>
      <c r="U8" s="18">
        <f t="shared" si="9"/>
        <v>1</v>
      </c>
      <c r="V8" s="18">
        <f t="shared" si="9"/>
        <v>1</v>
      </c>
      <c r="W8" s="18">
        <f t="shared" si="9"/>
        <v>1</v>
      </c>
      <c r="X8" s="18">
        <f t="shared" si="9"/>
        <v>1</v>
      </c>
      <c r="Y8" s="18">
        <f t="shared" si="9"/>
        <v>1</v>
      </c>
      <c r="Z8" s="18">
        <f t="shared" si="9"/>
        <v>1</v>
      </c>
      <c r="AA8" s="18">
        <f t="shared" si="9"/>
        <v>1</v>
      </c>
      <c r="AB8" s="18">
        <f t="shared" si="9"/>
        <v>1</v>
      </c>
      <c r="AC8" s="18">
        <f t="shared" si="9"/>
        <v>1</v>
      </c>
      <c r="AD8" s="18">
        <f t="shared" si="9"/>
        <v>1</v>
      </c>
      <c r="AE8" s="18">
        <f t="shared" si="9"/>
        <v>1</v>
      </c>
      <c r="AF8" s="18">
        <f t="shared" si="9"/>
        <v>1</v>
      </c>
      <c r="AG8" s="18">
        <f t="shared" si="9"/>
        <v>1</v>
      </c>
      <c r="AH8" s="18">
        <f t="shared" si="9"/>
        <v>1</v>
      </c>
      <c r="AI8" s="18">
        <f t="shared" si="9"/>
        <v>1</v>
      </c>
      <c r="AJ8" s="18">
        <f t="shared" si="9"/>
        <v>1</v>
      </c>
      <c r="AK8" s="18">
        <f t="shared" si="9"/>
        <v>1</v>
      </c>
      <c r="AL8" s="18">
        <f t="shared" si="9"/>
        <v>1</v>
      </c>
      <c r="AM8" s="18">
        <f t="shared" si="9"/>
        <v>1</v>
      </c>
      <c r="AN8" s="18">
        <f t="shared" si="9"/>
        <v>1</v>
      </c>
      <c r="AO8" s="18">
        <f t="shared" si="9"/>
        <v>1</v>
      </c>
      <c r="AP8" s="18">
        <f t="shared" si="9"/>
        <v>1</v>
      </c>
      <c r="AQ8" s="18">
        <f t="shared" si="9"/>
        <v>1</v>
      </c>
      <c r="AR8" s="18">
        <f t="shared" si="9"/>
        <v>1</v>
      </c>
      <c r="AS8" s="18">
        <f t="shared" si="9"/>
        <v>1</v>
      </c>
      <c r="AT8" s="18">
        <f t="shared" si="9"/>
        <v>1</v>
      </c>
      <c r="AU8" s="18">
        <f t="shared" si="9"/>
        <v>1</v>
      </c>
      <c r="AV8" s="18">
        <f t="shared" si="9"/>
        <v>1</v>
      </c>
      <c r="AW8" s="18">
        <f t="shared" si="9"/>
        <v>1</v>
      </c>
      <c r="AX8" s="18">
        <f t="shared" si="9"/>
        <v>1</v>
      </c>
      <c r="AY8" s="18">
        <f t="shared" si="9"/>
        <v>1</v>
      </c>
      <c r="AZ8" s="18">
        <f t="shared" si="9"/>
        <v>1</v>
      </c>
      <c r="BA8" s="18">
        <f t="shared" si="9"/>
        <v>1</v>
      </c>
      <c r="BB8" s="18">
        <f t="shared" si="9"/>
        <v>1</v>
      </c>
      <c r="BC8" s="18">
        <f t="shared" si="9"/>
        <v>1</v>
      </c>
      <c r="BD8" s="18">
        <f t="shared" si="9"/>
        <v>1</v>
      </c>
      <c r="BE8" s="18">
        <f t="shared" si="9"/>
        <v>1</v>
      </c>
      <c r="BF8" s="18">
        <f t="shared" si="9"/>
        <v>1</v>
      </c>
      <c r="BG8" s="18">
        <f t="shared" si="9"/>
        <v>1</v>
      </c>
      <c r="BH8" s="18">
        <f t="shared" si="9"/>
        <v>1</v>
      </c>
      <c r="BI8" s="18">
        <f t="shared" si="9"/>
        <v>1</v>
      </c>
      <c r="BJ8" s="18">
        <f t="shared" si="9"/>
        <v>1</v>
      </c>
      <c r="BK8" s="18">
        <f t="shared" si="9"/>
        <v>1</v>
      </c>
      <c r="BL8" s="18">
        <f t="shared" si="9"/>
        <v>1</v>
      </c>
      <c r="BM8" s="18">
        <f t="shared" si="9"/>
        <v>1</v>
      </c>
      <c r="BN8" s="18">
        <f t="shared" si="9"/>
        <v>1</v>
      </c>
      <c r="BO8" s="18">
        <f t="shared" si="9"/>
        <v>1</v>
      </c>
      <c r="BP8" s="18">
        <f t="shared" si="9"/>
        <v>1</v>
      </c>
    </row>
    <row r="9" spans="1:68" ht="15" thickBot="1">
      <c r="A9" s="88" t="s">
        <v>89</v>
      </c>
      <c r="B9" s="88"/>
      <c r="C9" s="88"/>
      <c r="D9" s="88"/>
      <c r="E9" s="88"/>
      <c r="F9" s="88"/>
      <c r="G9" s="88"/>
      <c r="H9" s="89"/>
      <c r="I9" s="94"/>
      <c r="J9" s="4" t="s">
        <v>64</v>
      </c>
      <c r="K9" s="2">
        <v>2</v>
      </c>
    </row>
    <row r="10" spans="1:68" ht="15" thickBot="1">
      <c r="A10" s="11" t="s">
        <v>82</v>
      </c>
      <c r="B10" s="12" t="s">
        <v>59</v>
      </c>
      <c r="C10" s="12" t="s">
        <v>60</v>
      </c>
      <c r="D10" s="12" t="s">
        <v>79</v>
      </c>
      <c r="E10" s="12" t="s">
        <v>80</v>
      </c>
      <c r="F10" s="12" t="s">
        <v>76</v>
      </c>
      <c r="G10" s="12" t="s">
        <v>75</v>
      </c>
      <c r="H10" s="12" t="s">
        <v>91</v>
      </c>
      <c r="I10" s="94"/>
      <c r="J10" s="4" t="s">
        <v>74</v>
      </c>
      <c r="K10" s="2">
        <f>SUM(L3:L5,L11:L13)/2*K9</f>
        <v>4788</v>
      </c>
    </row>
    <row r="11" spans="1:68">
      <c r="A11" t="s">
        <v>63</v>
      </c>
      <c r="B11" s="14">
        <v>45</v>
      </c>
      <c r="C11" s="14">
        <v>30</v>
      </c>
      <c r="D11">
        <f>SQRT(B11/C11)</f>
        <v>1.2247448713915889</v>
      </c>
      <c r="E11">
        <f>SQRT(B11*C11)</f>
        <v>36.742346141747674</v>
      </c>
      <c r="F11" s="14">
        <v>100</v>
      </c>
      <c r="G11" s="14">
        <v>0</v>
      </c>
      <c r="H11" s="14" t="s">
        <v>92</v>
      </c>
      <c r="I11" s="94"/>
      <c r="J11" s="90" t="s">
        <v>73</v>
      </c>
      <c r="K11" s="2" t="s">
        <v>68</v>
      </c>
      <c r="L11">
        <f>F11*G11</f>
        <v>0</v>
      </c>
      <c r="M11">
        <f>IF((L11-0.03*L$6*IF($B$8-$B$16&gt;0,1+($B$8-$B$16)*2%,1)*L11/SUM(L$11:L$13,L$15)/$C11)&gt;0,(L11-0.03*L$6*IF($B$8-$B$16&gt;0,1+($B$8-$B$16)*2%,1)*L11/SUM(L$11:L$13,L$15)/$C11),0)</f>
        <v>0</v>
      </c>
      <c r="N11">
        <f>IF((M11-0.03*M$6*IF($B$8-$B$16&gt;0,1+($B$8-$B$16)*2%,1)*M11/SUM(M$11:M$13,M$15)/$C11)&gt;0,(M11-0.03*M$6*IF($B$8-$B$16&gt;0,1+($B$8-$B$16)*2%,1)*M11/SUM(M$11:M$13,M$15)/$C11),0)</f>
        <v>0</v>
      </c>
      <c r="O11">
        <f t="shared" ref="O11:BP11" si="10">IF((N11-0.03*N$6*IF($B$8-$B$16&gt;0,1+($B$8-$B$16)*2%,1)*N11/SUM(N$11:N$13,N$15)/$C11)&gt;0,(N11-0.03*N$6*IF($B$8-$B$16&gt;0,1+($B$8-$B$16)*2%,1)*N11/SUM(N$11:N$13,N$15)/$C11),0)</f>
        <v>0</v>
      </c>
      <c r="P11">
        <f t="shared" si="10"/>
        <v>0</v>
      </c>
      <c r="Q11">
        <f t="shared" si="10"/>
        <v>0</v>
      </c>
      <c r="R11">
        <f t="shared" si="10"/>
        <v>0</v>
      </c>
      <c r="S11">
        <f t="shared" si="10"/>
        <v>0</v>
      </c>
      <c r="T11">
        <f t="shared" si="10"/>
        <v>0</v>
      </c>
      <c r="U11">
        <f t="shared" si="10"/>
        <v>0</v>
      </c>
      <c r="V11">
        <f t="shared" si="10"/>
        <v>0</v>
      </c>
      <c r="W11">
        <f t="shared" si="10"/>
        <v>0</v>
      </c>
      <c r="X11">
        <f t="shared" si="10"/>
        <v>0</v>
      </c>
      <c r="Y11">
        <f t="shared" si="10"/>
        <v>0</v>
      </c>
      <c r="Z11">
        <f t="shared" si="10"/>
        <v>0</v>
      </c>
      <c r="AA11">
        <f t="shared" si="10"/>
        <v>0</v>
      </c>
      <c r="AB11">
        <f t="shared" si="10"/>
        <v>0</v>
      </c>
      <c r="AC11">
        <f t="shared" si="10"/>
        <v>0</v>
      </c>
      <c r="AD11">
        <f t="shared" si="10"/>
        <v>0</v>
      </c>
      <c r="AE11">
        <f t="shared" si="10"/>
        <v>0</v>
      </c>
      <c r="AF11">
        <f t="shared" si="10"/>
        <v>0</v>
      </c>
      <c r="AG11">
        <f t="shared" si="10"/>
        <v>0</v>
      </c>
      <c r="AH11">
        <f t="shared" si="10"/>
        <v>0</v>
      </c>
      <c r="AI11">
        <f t="shared" si="10"/>
        <v>0</v>
      </c>
      <c r="AJ11">
        <f t="shared" si="10"/>
        <v>0</v>
      </c>
      <c r="AK11">
        <f t="shared" si="10"/>
        <v>0</v>
      </c>
      <c r="AL11">
        <f t="shared" si="10"/>
        <v>0</v>
      </c>
      <c r="AM11">
        <f t="shared" si="10"/>
        <v>0</v>
      </c>
      <c r="AN11">
        <f t="shared" si="10"/>
        <v>0</v>
      </c>
      <c r="AO11">
        <f t="shared" si="10"/>
        <v>0</v>
      </c>
      <c r="AP11">
        <f t="shared" si="10"/>
        <v>0</v>
      </c>
      <c r="AQ11">
        <f t="shared" si="10"/>
        <v>0</v>
      </c>
      <c r="AR11">
        <f t="shared" si="10"/>
        <v>0</v>
      </c>
      <c r="AS11">
        <f t="shared" si="10"/>
        <v>0</v>
      </c>
      <c r="AT11">
        <f t="shared" si="10"/>
        <v>0</v>
      </c>
      <c r="AU11">
        <f t="shared" si="10"/>
        <v>0</v>
      </c>
      <c r="AV11">
        <f t="shared" si="10"/>
        <v>0</v>
      </c>
      <c r="AW11">
        <f t="shared" si="10"/>
        <v>0</v>
      </c>
      <c r="AX11">
        <f t="shared" si="10"/>
        <v>0</v>
      </c>
      <c r="AY11">
        <f t="shared" si="10"/>
        <v>0</v>
      </c>
      <c r="AZ11">
        <f t="shared" si="10"/>
        <v>0</v>
      </c>
      <c r="BA11">
        <f t="shared" si="10"/>
        <v>0</v>
      </c>
      <c r="BB11">
        <f t="shared" si="10"/>
        <v>0</v>
      </c>
      <c r="BC11">
        <f t="shared" si="10"/>
        <v>0</v>
      </c>
      <c r="BD11">
        <f t="shared" si="10"/>
        <v>0</v>
      </c>
      <c r="BE11">
        <f t="shared" si="10"/>
        <v>0</v>
      </c>
      <c r="BF11">
        <f t="shared" si="10"/>
        <v>0</v>
      </c>
      <c r="BG11">
        <f t="shared" si="10"/>
        <v>0</v>
      </c>
      <c r="BH11">
        <f t="shared" si="10"/>
        <v>0</v>
      </c>
      <c r="BI11">
        <f t="shared" si="10"/>
        <v>0</v>
      </c>
      <c r="BJ11">
        <f t="shared" si="10"/>
        <v>0</v>
      </c>
      <c r="BK11">
        <f t="shared" si="10"/>
        <v>0</v>
      </c>
      <c r="BL11">
        <f t="shared" si="10"/>
        <v>0</v>
      </c>
      <c r="BM11">
        <f t="shared" si="10"/>
        <v>0</v>
      </c>
      <c r="BN11">
        <f t="shared" si="10"/>
        <v>0</v>
      </c>
      <c r="BO11">
        <f t="shared" si="10"/>
        <v>0</v>
      </c>
      <c r="BP11">
        <f t="shared" si="10"/>
        <v>0</v>
      </c>
    </row>
    <row r="12" spans="1:68">
      <c r="A12" t="s">
        <v>85</v>
      </c>
      <c r="B12" s="14">
        <v>250</v>
      </c>
      <c r="C12" s="14">
        <v>50</v>
      </c>
      <c r="D12">
        <f t="shared" ref="D12:D13" si="11">SQRT(B12/C12)</f>
        <v>2.2360679774997898</v>
      </c>
      <c r="E12">
        <f t="shared" ref="E12:E13" si="12">SQRT(B12*C12)</f>
        <v>111.80339887498948</v>
      </c>
      <c r="F12" s="14">
        <v>25</v>
      </c>
      <c r="G12" s="14">
        <v>0</v>
      </c>
      <c r="H12" s="14" t="s">
        <v>30</v>
      </c>
      <c r="I12" s="94"/>
      <c r="J12" s="90"/>
      <c r="K12" s="2" t="s">
        <v>69</v>
      </c>
      <c r="L12">
        <f t="shared" ref="L12:L13" si="13">F12*G12</f>
        <v>0</v>
      </c>
      <c r="M12">
        <f>IF((L12-0.03*L$6*IF($B$8-$B$16&gt;0,1+($B$8-$B$16)*2%,1)*L12/SUM(L$11:L$13,L$15)/$C12)&gt;0,(L12-0.03*L$6*IF($B$8-$B$16&gt;0,1+($B$8-$B$16)*2%,1)*L12/SUM(L$11:L$13,L$15)/$C12),0)</f>
        <v>0</v>
      </c>
      <c r="N12">
        <f>IF((M12-0.03*M$6*IF($B$8-$B$16&gt;0,1+($B$8-$B$16)*2%,1)*M12/SUM(M$11:M$13,M$15)/$C12)&gt;0,(M12-0.03*M$6*IF($B$8-$B$16&gt;0,1+($B$8-$B$16)*2%,1)*M12/SUM(M$11:M$13,M$15)/$C12),0)</f>
        <v>0</v>
      </c>
      <c r="O12">
        <f t="shared" ref="O12:BP12" si="14">IF((N12-0.03*N$6*IF($B$8-$B$16&gt;0,1+($B$8-$B$16)*2%,1)*N12/SUM(N$11:N$13,N$15)/$C12)&gt;0,(N12-0.03*N$6*IF($B$8-$B$16&gt;0,1+($B$8-$B$16)*2%,1)*N12/SUM(N$11:N$13,N$15)/$C12),0)</f>
        <v>0</v>
      </c>
      <c r="P12">
        <f t="shared" si="14"/>
        <v>0</v>
      </c>
      <c r="Q12">
        <f t="shared" si="14"/>
        <v>0</v>
      </c>
      <c r="R12">
        <f t="shared" si="14"/>
        <v>0</v>
      </c>
      <c r="S12">
        <f t="shared" si="14"/>
        <v>0</v>
      </c>
      <c r="T12">
        <f t="shared" si="14"/>
        <v>0</v>
      </c>
      <c r="U12">
        <f t="shared" si="14"/>
        <v>0</v>
      </c>
      <c r="V12">
        <f t="shared" si="14"/>
        <v>0</v>
      </c>
      <c r="W12">
        <f t="shared" si="14"/>
        <v>0</v>
      </c>
      <c r="X12">
        <f t="shared" si="14"/>
        <v>0</v>
      </c>
      <c r="Y12">
        <f t="shared" si="14"/>
        <v>0</v>
      </c>
      <c r="Z12">
        <f t="shared" si="14"/>
        <v>0</v>
      </c>
      <c r="AA12">
        <f t="shared" si="14"/>
        <v>0</v>
      </c>
      <c r="AB12">
        <f t="shared" si="14"/>
        <v>0</v>
      </c>
      <c r="AC12">
        <f t="shared" si="14"/>
        <v>0</v>
      </c>
      <c r="AD12">
        <f t="shared" si="14"/>
        <v>0</v>
      </c>
      <c r="AE12">
        <f t="shared" si="14"/>
        <v>0</v>
      </c>
      <c r="AF12">
        <f t="shared" si="14"/>
        <v>0</v>
      </c>
      <c r="AG12">
        <f t="shared" si="14"/>
        <v>0</v>
      </c>
      <c r="AH12">
        <f t="shared" si="14"/>
        <v>0</v>
      </c>
      <c r="AI12">
        <f t="shared" si="14"/>
        <v>0</v>
      </c>
      <c r="AJ12">
        <f t="shared" si="14"/>
        <v>0</v>
      </c>
      <c r="AK12">
        <f t="shared" si="14"/>
        <v>0</v>
      </c>
      <c r="AL12">
        <f t="shared" si="14"/>
        <v>0</v>
      </c>
      <c r="AM12">
        <f t="shared" si="14"/>
        <v>0</v>
      </c>
      <c r="AN12">
        <f t="shared" si="14"/>
        <v>0</v>
      </c>
      <c r="AO12">
        <f t="shared" si="14"/>
        <v>0</v>
      </c>
      <c r="AP12">
        <f t="shared" si="14"/>
        <v>0</v>
      </c>
      <c r="AQ12">
        <f t="shared" si="14"/>
        <v>0</v>
      </c>
      <c r="AR12">
        <f t="shared" si="14"/>
        <v>0</v>
      </c>
      <c r="AS12">
        <f t="shared" si="14"/>
        <v>0</v>
      </c>
      <c r="AT12">
        <f t="shared" si="14"/>
        <v>0</v>
      </c>
      <c r="AU12">
        <f t="shared" si="14"/>
        <v>0</v>
      </c>
      <c r="AV12">
        <f t="shared" si="14"/>
        <v>0</v>
      </c>
      <c r="AW12">
        <f t="shared" si="14"/>
        <v>0</v>
      </c>
      <c r="AX12">
        <f t="shared" si="14"/>
        <v>0</v>
      </c>
      <c r="AY12">
        <f t="shared" si="14"/>
        <v>0</v>
      </c>
      <c r="AZ12">
        <f t="shared" si="14"/>
        <v>0</v>
      </c>
      <c r="BA12">
        <f t="shared" si="14"/>
        <v>0</v>
      </c>
      <c r="BB12">
        <f t="shared" si="14"/>
        <v>0</v>
      </c>
      <c r="BC12">
        <f t="shared" si="14"/>
        <v>0</v>
      </c>
      <c r="BD12">
        <f t="shared" si="14"/>
        <v>0</v>
      </c>
      <c r="BE12">
        <f t="shared" si="14"/>
        <v>0</v>
      </c>
      <c r="BF12">
        <f t="shared" si="14"/>
        <v>0</v>
      </c>
      <c r="BG12">
        <f t="shared" si="14"/>
        <v>0</v>
      </c>
      <c r="BH12">
        <f t="shared" si="14"/>
        <v>0</v>
      </c>
      <c r="BI12">
        <f t="shared" si="14"/>
        <v>0</v>
      </c>
      <c r="BJ12">
        <f t="shared" si="14"/>
        <v>0</v>
      </c>
      <c r="BK12">
        <f t="shared" si="14"/>
        <v>0</v>
      </c>
      <c r="BL12">
        <f t="shared" si="14"/>
        <v>0</v>
      </c>
      <c r="BM12">
        <f t="shared" si="14"/>
        <v>0</v>
      </c>
      <c r="BN12">
        <f t="shared" si="14"/>
        <v>0</v>
      </c>
      <c r="BO12">
        <f t="shared" si="14"/>
        <v>0</v>
      </c>
      <c r="BP12">
        <f t="shared" si="14"/>
        <v>0</v>
      </c>
    </row>
    <row r="13" spans="1:68" ht="15" thickBot="1">
      <c r="A13" t="s">
        <v>77</v>
      </c>
      <c r="B13" s="14">
        <v>10</v>
      </c>
      <c r="C13" s="14">
        <v>10</v>
      </c>
      <c r="D13">
        <f t="shared" si="11"/>
        <v>1</v>
      </c>
      <c r="E13">
        <f t="shared" si="12"/>
        <v>10</v>
      </c>
      <c r="F13" s="14">
        <v>2000</v>
      </c>
      <c r="G13">
        <v>1</v>
      </c>
      <c r="H13" s="15"/>
      <c r="I13" s="94"/>
      <c r="J13" s="90"/>
      <c r="K13" s="2" t="s">
        <v>71</v>
      </c>
      <c r="L13">
        <f t="shared" si="13"/>
        <v>2000</v>
      </c>
      <c r="M13">
        <f t="shared" ref="M13:N15" si="15">IF((L13-0.03*L$6*IF($B$8-$B$16&gt;0,1+($B$8-$B$16)*2%,1)*L13/SUM(L$11:L$13,L$15)/$C13)&gt;0,(L13-0.03*L$6*IF($B$8-$B$16&gt;0,1+($B$8-$B$16)*2%,1)*L13/SUM(L$11:L$13,L$15)/$C13),0)</f>
        <v>1916.7761194029852</v>
      </c>
      <c r="N13">
        <f t="shared" si="15"/>
        <v>1836.2544603453571</v>
      </c>
      <c r="O13">
        <f t="shared" ref="O13:BP13" si="16">IF((N13-0.03*N$6*IF($B$8-$B$16&gt;0,1+($B$8-$B$16)*2%,1)*N13/SUM(N$11:N$13,N$15)/$C13)&gt;0,(N13-0.03*N$6*IF($B$8-$B$16&gt;0,1+($B$8-$B$16)*2%,1)*N13/SUM(N$11:N$13,N$15)/$C13),0)</f>
        <v>1758.3564958705695</v>
      </c>
      <c r="P13">
        <f t="shared" si="16"/>
        <v>1683.0061168625946</v>
      </c>
      <c r="Q13">
        <f t="shared" si="16"/>
        <v>1610.1295607004586</v>
      </c>
      <c r="R13">
        <f t="shared" si="16"/>
        <v>1539.6553420734881</v>
      </c>
      <c r="S13">
        <f t="shared" si="16"/>
        <v>1471.5141858936709</v>
      </c>
      <c r="T13">
        <f t="shared" si="16"/>
        <v>1405.6389622437346</v>
      </c>
      <c r="U13">
        <f t="shared" si="16"/>
        <v>1341.9646233017447</v>
      </c>
      <c r="V13">
        <f t="shared" si="16"/>
        <v>1280.4281421852363</v>
      </c>
      <c r="W13">
        <f t="shared" si="16"/>
        <v>1220.9684536601371</v>
      </c>
      <c r="X13">
        <f t="shared" si="16"/>
        <v>1163.526396662038</v>
      </c>
      <c r="Y13">
        <f t="shared" si="16"/>
        <v>1108.044658579739</v>
      </c>
      <c r="Z13">
        <f t="shared" si="16"/>
        <v>1054.467721253488</v>
      </c>
      <c r="AA13">
        <f t="shared" si="16"/>
        <v>1002.7418086429551</v>
      </c>
      <c r="AB13">
        <f t="shared" si="16"/>
        <v>952.81483612282602</v>
      </c>
      <c r="AC13">
        <f t="shared" si="16"/>
        <v>904.63636136697505</v>
      </c>
      <c r="AD13">
        <f t="shared" si="16"/>
        <v>858.15753678560645</v>
      </c>
      <c r="AE13">
        <f t="shared" si="16"/>
        <v>813.33106348359945</v>
      </c>
      <c r="AF13">
        <f t="shared" si="16"/>
        <v>770.11114671269684</v>
      </c>
      <c r="AG13">
        <f t="shared" si="16"/>
        <v>728.45345279528487</v>
      </c>
      <c r="AH13">
        <f t="shared" si="16"/>
        <v>688.31506750353401</v>
      </c>
      <c r="AI13">
        <f t="shared" si="16"/>
        <v>649.6544558848567</v>
      </c>
      <c r="AJ13">
        <f t="shared" si="16"/>
        <v>612.43142353333826</v>
      </c>
      <c r="AK13">
        <f t="shared" si="16"/>
        <v>576.60707931744378</v>
      </c>
      <c r="AL13">
        <f t="shared" si="16"/>
        <v>542.14379958749498</v>
      </c>
      <c r="AM13">
        <f t="shared" si="16"/>
        <v>509.00519390291612</v>
      </c>
      <c r="AN13">
        <f t="shared" si="16"/>
        <v>477.15607234011401</v>
      </c>
      <c r="AO13">
        <f t="shared" si="16"/>
        <v>446.56241446849162</v>
      </c>
      <c r="AP13">
        <f t="shared" si="16"/>
        <v>417.19134011640858</v>
      </c>
      <c r="AQ13">
        <f t="shared" si="16"/>
        <v>389.01108209352395</v>
      </c>
      <c r="AR13">
        <f t="shared" si="16"/>
        <v>361.9909610945279</v>
      </c>
      <c r="AS13">
        <f t="shared" si="16"/>
        <v>336.10136308687572</v>
      </c>
      <c r="AT13">
        <f t="shared" si="16"/>
        <v>311.31371958898791</v>
      </c>
      <c r="AU13">
        <f t="shared" si="16"/>
        <v>287.60049138576403</v>
      </c>
      <c r="AV13">
        <f t="shared" si="16"/>
        <v>264.93515642008759</v>
      </c>
      <c r="AW13">
        <f t="shared" si="16"/>
        <v>243.29220286412806</v>
      </c>
      <c r="AX13">
        <f t="shared" si="16"/>
        <v>222.64712874518034</v>
      </c>
      <c r="AY13">
        <f t="shared" si="16"/>
        <v>202.97645002658331</v>
      </c>
      <c r="AZ13">
        <f t="shared" si="16"/>
        <v>184.25771980018806</v>
      </c>
      <c r="BA13">
        <f t="shared" si="16"/>
        <v>166.46956235039892</v>
      </c>
      <c r="BB13">
        <f t="shared" si="16"/>
        <v>149.59172748790073</v>
      </c>
      <c r="BC13">
        <f t="shared" si="16"/>
        <v>133.60517302734209</v>
      </c>
      <c r="BD13">
        <f t="shared" si="16"/>
        <v>118.49218710145809</v>
      </c>
      <c r="BE13">
        <f t="shared" si="16"/>
        <v>104.23656802173839</v>
      </c>
      <c r="BF13">
        <f t="shared" si="16"/>
        <v>90.823889110112432</v>
      </c>
      <c r="BG13">
        <f t="shared" si="16"/>
        <v>78.241892027823852</v>
      </c>
      <c r="BH13">
        <f t="shared" si="16"/>
        <v>66.481079601995418</v>
      </c>
      <c r="BI13">
        <f t="shared" si="16"/>
        <v>55.535627539601819</v>
      </c>
      <c r="BJ13">
        <f t="shared" si="16"/>
        <v>45.404822607328207</v>
      </c>
      <c r="BK13">
        <f t="shared" si="16"/>
        <v>36.095401421718336</v>
      </c>
      <c r="BL13">
        <f t="shared" si="16"/>
        <v>27.625489610964365</v>
      </c>
      <c r="BM13">
        <f t="shared" si="16"/>
        <v>20.031493860553368</v>
      </c>
      <c r="BN13">
        <f t="shared" si="16"/>
        <v>13.380596252231372</v>
      </c>
      <c r="BO13">
        <f t="shared" si="16"/>
        <v>7.7937274814953987</v>
      </c>
      <c r="BP13">
        <f t="shared" si="16"/>
        <v>3.4844462829445737</v>
      </c>
    </row>
    <row r="14" spans="1:68">
      <c r="A14" s="85" t="s">
        <v>78</v>
      </c>
      <c r="B14" s="6" t="s">
        <v>83</v>
      </c>
      <c r="C14" s="6" t="s">
        <v>84</v>
      </c>
      <c r="D14" s="6" t="s">
        <v>79</v>
      </c>
      <c r="E14" s="6" t="s">
        <v>81</v>
      </c>
      <c r="F14" s="6" t="s">
        <v>87</v>
      </c>
      <c r="G14" s="6" t="s">
        <v>61</v>
      </c>
      <c r="H14" s="7" t="s">
        <v>86</v>
      </c>
      <c r="I14" s="94"/>
      <c r="J14" s="90"/>
      <c r="K14" s="2" t="s">
        <v>93</v>
      </c>
      <c r="L14">
        <f>SUMPRODUCT($B$11:$B$13,L11:L13)*L16+L15*$B$15</f>
        <v>30000</v>
      </c>
      <c r="M14">
        <f t="shared" ref="M14:BP14" si="17">SUMPRODUCT($B$11:$B$13,M11:M13)*M16+M15*$B$15</f>
        <v>29126.149253731346</v>
      </c>
      <c r="N14">
        <f t="shared" si="17"/>
        <v>28279.098568917881</v>
      </c>
      <c r="O14">
        <f t="shared" si="17"/>
        <v>27458.050714932338</v>
      </c>
      <c r="P14">
        <f t="shared" si="17"/>
        <v>26662.232056053923</v>
      </c>
      <c r="Q14">
        <f t="shared" si="17"/>
        <v>25890.891797484393</v>
      </c>
      <c r="R14">
        <f t="shared" si="17"/>
        <v>25143.301249254459</v>
      </c>
      <c r="S14">
        <f t="shared" si="17"/>
        <v>24418.75310695808</v>
      </c>
      <c r="T14">
        <f t="shared" si="17"/>
        <v>23716.560748215707</v>
      </c>
      <c r="U14">
        <f t="shared" si="17"/>
        <v>23036.057543720781</v>
      </c>
      <c r="V14">
        <f t="shared" si="17"/>
        <v>22376.596181666468</v>
      </c>
      <c r="W14">
        <f t="shared" si="17"/>
        <v>21737.548004278819</v>
      </c>
      <c r="X14">
        <f t="shared" si="17"/>
        <v>21118.302355096166</v>
      </c>
      <c r="Y14">
        <f t="shared" si="17"/>
        <v>20518.265935529991</v>
      </c>
      <c r="Z14">
        <f t="shared" si="17"/>
        <v>19936.862169115382</v>
      </c>
      <c r="AA14">
        <f t="shared" si="17"/>
        <v>19373.530571705902</v>
      </c>
      <c r="AB14">
        <f t="shared" si="17"/>
        <v>18827.726125682115</v>
      </c>
      <c r="AC14">
        <f t="shared" si="17"/>
        <v>18298.91865601865</v>
      </c>
      <c r="AD14">
        <f t="shared" si="17"/>
        <v>17786.592205782923</v>
      </c>
      <c r="AE14">
        <f t="shared" si="17"/>
        <v>17290.244408308805</v>
      </c>
      <c r="AF14">
        <f t="shared" si="17"/>
        <v>16809.385852887346</v>
      </c>
      <c r="AG14">
        <f t="shared" si="17"/>
        <v>16343.5394403265</v>
      </c>
      <c r="AH14">
        <f t="shared" si="17"/>
        <v>15892.239724132152</v>
      </c>
      <c r="AI14">
        <f t="shared" si="17"/>
        <v>15455.032232324116</v>
      </c>
      <c r="AJ14">
        <f t="shared" si="17"/>
        <v>15031.472763988972</v>
      </c>
      <c r="AK14">
        <f t="shared" si="17"/>
        <v>14621.126653538591</v>
      </c>
      <c r="AL14">
        <f t="shared" si="17"/>
        <v>14223.567994228997</v>
      </c>
      <c r="AM14">
        <f t="shared" si="17"/>
        <v>13838.378810717959</v>
      </c>
      <c r="AN14">
        <f t="shared" si="17"/>
        <v>13465.148168195075</v>
      </c>
      <c r="AO14">
        <f t="shared" si="17"/>
        <v>13103.471202762472</v>
      </c>
      <c r="AP14">
        <f t="shared" si="17"/>
        <v>12752.948054085091</v>
      </c>
      <c r="AQ14">
        <f t="shared" si="17"/>
        <v>12413.182676604712</v>
      </c>
      <c r="AR14">
        <f t="shared" si="17"/>
        <v>12083.781499461125</v>
      </c>
      <c r="AS14">
        <f t="shared" si="17"/>
        <v>11764.351897186032</v>
      </c>
      <c r="AT14">
        <f t="shared" si="17"/>
        <v>11454.500422527297</v>
      </c>
      <c r="AU14">
        <f t="shared" si="17"/>
        <v>11153.830738423483</v>
      </c>
      <c r="AV14">
        <f t="shared" si="17"/>
        <v>10861.941166743141</v>
      </c>
      <c r="AW14">
        <f t="shared" si="17"/>
        <v>10578.421744834095</v>
      </c>
      <c r="AX14">
        <f t="shared" si="17"/>
        <v>10302.850644094673</v>
      </c>
      <c r="AY14">
        <f t="shared" si="17"/>
        <v>10034.789753027195</v>
      </c>
      <c r="AZ14">
        <f t="shared" si="17"/>
        <v>9773.7791534584085</v>
      </c>
      <c r="BA14">
        <f t="shared" si="17"/>
        <v>9519.3301117723167</v>
      </c>
      <c r="BB14">
        <f t="shared" si="17"/>
        <v>9270.9160496111672</v>
      </c>
      <c r="BC14">
        <f t="shared" si="17"/>
        <v>9027.9607222814102</v>
      </c>
      <c r="BD14">
        <f t="shared" si="17"/>
        <v>8789.8224712774336</v>
      </c>
      <c r="BE14">
        <f t="shared" si="17"/>
        <v>8555.7728506192016</v>
      </c>
      <c r="BF14">
        <f t="shared" si="17"/>
        <v>8324.9670170740319</v>
      </c>
      <c r="BG14">
        <f t="shared" si="17"/>
        <v>8096.4017745440688</v>
      </c>
      <c r="BH14">
        <f t="shared" si="17"/>
        <v>7868.8546160863607</v>
      </c>
      <c r="BI14">
        <f t="shared" si="17"/>
        <v>7640.7926408904132</v>
      </c>
      <c r="BJ14">
        <f t="shared" si="17"/>
        <v>7410.2321155284435</v>
      </c>
      <c r="BK14">
        <f t="shared" si="17"/>
        <v>7174.514186734752</v>
      </c>
      <c r="BL14">
        <f t="shared" si="17"/>
        <v>6929.9325032437837</v>
      </c>
      <c r="BM14">
        <f t="shared" si="17"/>
        <v>6671.0890020025627</v>
      </c>
      <c r="BN14">
        <f t="shared" si="17"/>
        <v>6389.7360605025251</v>
      </c>
      <c r="BO14">
        <f t="shared" si="17"/>
        <v>6072.6603246377672</v>
      </c>
      <c r="BP14">
        <f t="shared" si="17"/>
        <v>5698.1093318208696</v>
      </c>
    </row>
    <row r="15" spans="1:68" ht="15" thickBot="1">
      <c r="A15" s="93"/>
      <c r="B15" s="8">
        <f>F15*100*(1+H15)</f>
        <v>1000</v>
      </c>
      <c r="C15" s="8">
        <f>10*F15*(1+H15)</f>
        <v>100</v>
      </c>
      <c r="D15">
        <f t="shared" ref="D15" si="18">SQRT(B15/C15)</f>
        <v>3.1622776601683795</v>
      </c>
      <c r="E15">
        <f t="shared" ref="E15" si="19">SQRT(B15*C15)</f>
        <v>316.22776601683796</v>
      </c>
      <c r="F15" s="13">
        <v>10</v>
      </c>
      <c r="G15" s="13">
        <v>10</v>
      </c>
      <c r="H15" s="17">
        <v>0</v>
      </c>
      <c r="I15" s="94"/>
      <c r="J15" s="90"/>
      <c r="K15" s="2" t="s">
        <v>70</v>
      </c>
      <c r="L15">
        <f>G15</f>
        <v>10</v>
      </c>
      <c r="M15">
        <f t="shared" si="15"/>
        <v>9.9583880597014929</v>
      </c>
      <c r="N15">
        <f t="shared" si="15"/>
        <v>9.9165539654643116</v>
      </c>
      <c r="O15">
        <f t="shared" ref="O15:BP15" si="20">IF((N15-0.03*N$6*IF($B$8-$B$16&gt;0,1+($B$8-$B$16)*2%,1)*N15/SUM(N$11:N$13,N$15)/$C15)&gt;0,(N15-0.03*N$6*IF($B$8-$B$16&gt;0,1+($B$8-$B$16)*2%,1)*N15/SUM(N$11:N$13,N$15)/$C15),0)</f>
        <v>9.8744857562266457</v>
      </c>
      <c r="P15">
        <f t="shared" si="20"/>
        <v>9.8321708874279761</v>
      </c>
      <c r="Q15">
        <f t="shared" si="20"/>
        <v>9.7895961904798092</v>
      </c>
      <c r="R15">
        <f t="shared" si="20"/>
        <v>9.7467478285195774</v>
      </c>
      <c r="S15">
        <f t="shared" si="20"/>
        <v>9.7036112480213728</v>
      </c>
      <c r="T15">
        <f t="shared" si="20"/>
        <v>9.660171125778362</v>
      </c>
      <c r="U15">
        <f t="shared" si="20"/>
        <v>9.6164113107033309</v>
      </c>
      <c r="V15">
        <f t="shared" si="20"/>
        <v>9.5723147598141036</v>
      </c>
      <c r="W15">
        <f t="shared" si="20"/>
        <v>9.5278634676774452</v>
      </c>
      <c r="X15">
        <f t="shared" si="20"/>
        <v>9.4830383884757854</v>
      </c>
      <c r="Y15">
        <f t="shared" si="20"/>
        <v>9.4378193497325995</v>
      </c>
      <c r="Z15">
        <f t="shared" si="20"/>
        <v>9.3921849565805005</v>
      </c>
      <c r="AA15">
        <f t="shared" si="20"/>
        <v>9.3461124852763504</v>
      </c>
      <c r="AB15">
        <f t="shared" si="20"/>
        <v>9.299577764453856</v>
      </c>
      <c r="AC15">
        <f t="shared" si="20"/>
        <v>9.2525550423489022</v>
      </c>
      <c r="AD15">
        <f t="shared" si="20"/>
        <v>9.2050168379268555</v>
      </c>
      <c r="AE15">
        <f t="shared" si="20"/>
        <v>9.1569337734728116</v>
      </c>
      <c r="AF15">
        <f t="shared" si="20"/>
        <v>9.1082743857603763</v>
      </c>
      <c r="AG15">
        <f t="shared" si="20"/>
        <v>9.059004912373652</v>
      </c>
      <c r="AH15">
        <f t="shared" si="20"/>
        <v>9.0090890490968114</v>
      </c>
      <c r="AI15">
        <f t="shared" si="20"/>
        <v>8.958487673475549</v>
      </c>
      <c r="AJ15">
        <f t="shared" si="20"/>
        <v>8.9071585286555894</v>
      </c>
      <c r="AK15">
        <f t="shared" si="20"/>
        <v>8.8550558603641534</v>
      </c>
      <c r="AL15">
        <f t="shared" si="20"/>
        <v>8.8021299983540473</v>
      </c>
      <c r="AM15">
        <f t="shared" si="20"/>
        <v>8.7483268716887981</v>
      </c>
      <c r="AN15">
        <f t="shared" si="20"/>
        <v>8.6935874447939341</v>
      </c>
      <c r="AO15">
        <f t="shared" si="20"/>
        <v>8.6378470580775559</v>
      </c>
      <c r="AP15">
        <f t="shared" si="20"/>
        <v>8.5810346529210051</v>
      </c>
      <c r="AQ15">
        <f t="shared" si="20"/>
        <v>8.5230718556694711</v>
      </c>
      <c r="AR15">
        <f t="shared" si="20"/>
        <v>8.4638718885158468</v>
      </c>
      <c r="AS15">
        <f t="shared" si="20"/>
        <v>8.4033382663172738</v>
      </c>
      <c r="AT15">
        <f t="shared" si="20"/>
        <v>8.3413632266374176</v>
      </c>
      <c r="AU15">
        <f t="shared" si="20"/>
        <v>8.2778258245658414</v>
      </c>
      <c r="AV15">
        <f t="shared" si="20"/>
        <v>8.2125896025422662</v>
      </c>
      <c r="AW15">
        <f t="shared" si="20"/>
        <v>8.1454997161928144</v>
      </c>
      <c r="AX15">
        <f t="shared" si="20"/>
        <v>8.0763793566428692</v>
      </c>
      <c r="AY15">
        <f t="shared" si="20"/>
        <v>8.0050252527613619</v>
      </c>
      <c r="AZ15">
        <f t="shared" si="20"/>
        <v>7.9312019554565287</v>
      </c>
      <c r="BA15">
        <f t="shared" si="20"/>
        <v>7.8546344882683279</v>
      </c>
      <c r="BB15">
        <f t="shared" si="20"/>
        <v>7.7749987747321603</v>
      </c>
      <c r="BC15">
        <f t="shared" si="20"/>
        <v>7.6919089920079884</v>
      </c>
      <c r="BD15">
        <f t="shared" si="20"/>
        <v>7.6049006002628516</v>
      </c>
      <c r="BE15">
        <f t="shared" si="20"/>
        <v>7.513407170401817</v>
      </c>
      <c r="BF15">
        <f t="shared" si="20"/>
        <v>7.4167281259729068</v>
      </c>
      <c r="BG15">
        <f t="shared" si="20"/>
        <v>7.3139828542658307</v>
      </c>
      <c r="BH15">
        <f t="shared" si="20"/>
        <v>7.2040438200664063</v>
      </c>
      <c r="BI15">
        <f t="shared" si="20"/>
        <v>7.0854363654943944</v>
      </c>
      <c r="BJ15">
        <f t="shared" si="20"/>
        <v>6.9561838894551613</v>
      </c>
      <c r="BK15">
        <f t="shared" si="20"/>
        <v>6.8135601725175681</v>
      </c>
      <c r="BL15">
        <f t="shared" si="20"/>
        <v>6.6536776071341404</v>
      </c>
      <c r="BM15">
        <f t="shared" si="20"/>
        <v>6.4707740633970285</v>
      </c>
      <c r="BN15">
        <f t="shared" si="20"/>
        <v>6.2559300979802108</v>
      </c>
      <c r="BO15">
        <f t="shared" si="20"/>
        <v>5.9947230498228139</v>
      </c>
      <c r="BP15">
        <f t="shared" si="20"/>
        <v>5.6632648689914244</v>
      </c>
    </row>
    <row r="16" spans="1:68" ht="15" thickBot="1">
      <c r="A16" s="5" t="s">
        <v>88</v>
      </c>
      <c r="B16" s="16">
        <v>10</v>
      </c>
      <c r="C16" s="85"/>
      <c r="D16" s="86"/>
      <c r="E16" s="86"/>
      <c r="F16" s="86"/>
      <c r="G16" s="86"/>
      <c r="H16" s="87"/>
      <c r="I16" s="93"/>
      <c r="J16" s="92"/>
      <c r="K16" s="3" t="s">
        <v>65</v>
      </c>
      <c r="L16" s="18">
        <f>IF((SUM(L11:L13)-$K$10)&gt;0,$K$10/SUM(L11:L13),1)</f>
        <v>1</v>
      </c>
      <c r="M16" s="18">
        <f>IF((SUM(M11:M13)-$K$10)&gt;0,$K$10/SUM(M11:M13),1)</f>
        <v>1</v>
      </c>
      <c r="N16" s="18">
        <f>IF((SUM(N11:N13)-$K$10)&gt;0,$K$10/SUM(N11:N13),1)</f>
        <v>1</v>
      </c>
      <c r="O16" s="18">
        <f t="shared" ref="O16:BP16" si="21">IF((SUM(O11:O13)-$K$10)&gt;0,$K$10/SUM(O11:O13),1)</f>
        <v>1</v>
      </c>
      <c r="P16" s="18">
        <f t="shared" si="21"/>
        <v>1</v>
      </c>
      <c r="Q16" s="18">
        <f t="shared" si="21"/>
        <v>1</v>
      </c>
      <c r="R16" s="18">
        <f t="shared" si="21"/>
        <v>1</v>
      </c>
      <c r="S16" s="18">
        <f t="shared" si="21"/>
        <v>1</v>
      </c>
      <c r="T16" s="18">
        <f t="shared" si="21"/>
        <v>1</v>
      </c>
      <c r="U16" s="18">
        <f t="shared" si="21"/>
        <v>1</v>
      </c>
      <c r="V16" s="18">
        <f t="shared" si="21"/>
        <v>1</v>
      </c>
      <c r="W16" s="18">
        <f t="shared" si="21"/>
        <v>1</v>
      </c>
      <c r="X16" s="18">
        <f t="shared" si="21"/>
        <v>1</v>
      </c>
      <c r="Y16" s="18">
        <f t="shared" si="21"/>
        <v>1</v>
      </c>
      <c r="Z16" s="18">
        <f t="shared" si="21"/>
        <v>1</v>
      </c>
      <c r="AA16" s="18">
        <f t="shared" si="21"/>
        <v>1</v>
      </c>
      <c r="AB16" s="18">
        <f t="shared" si="21"/>
        <v>1</v>
      </c>
      <c r="AC16" s="18">
        <f t="shared" si="21"/>
        <v>1</v>
      </c>
      <c r="AD16" s="18">
        <f t="shared" si="21"/>
        <v>1</v>
      </c>
      <c r="AE16" s="18">
        <f t="shared" si="21"/>
        <v>1</v>
      </c>
      <c r="AF16" s="18">
        <f t="shared" si="21"/>
        <v>1</v>
      </c>
      <c r="AG16" s="18">
        <f t="shared" si="21"/>
        <v>1</v>
      </c>
      <c r="AH16" s="18">
        <f t="shared" si="21"/>
        <v>1</v>
      </c>
      <c r="AI16" s="18">
        <f t="shared" si="21"/>
        <v>1</v>
      </c>
      <c r="AJ16" s="18">
        <f t="shared" si="21"/>
        <v>1</v>
      </c>
      <c r="AK16" s="18">
        <f t="shared" si="21"/>
        <v>1</v>
      </c>
      <c r="AL16" s="18">
        <f t="shared" si="21"/>
        <v>1</v>
      </c>
      <c r="AM16" s="18">
        <f t="shared" si="21"/>
        <v>1</v>
      </c>
      <c r="AN16" s="18">
        <f t="shared" si="21"/>
        <v>1</v>
      </c>
      <c r="AO16" s="18">
        <f t="shared" si="21"/>
        <v>1</v>
      </c>
      <c r="AP16" s="18">
        <f t="shared" si="21"/>
        <v>1</v>
      </c>
      <c r="AQ16" s="18">
        <f t="shared" si="21"/>
        <v>1</v>
      </c>
      <c r="AR16" s="18">
        <f t="shared" si="21"/>
        <v>1</v>
      </c>
      <c r="AS16" s="18">
        <f t="shared" si="21"/>
        <v>1</v>
      </c>
      <c r="AT16" s="18">
        <f t="shared" si="21"/>
        <v>1</v>
      </c>
      <c r="AU16" s="18">
        <f t="shared" si="21"/>
        <v>1</v>
      </c>
      <c r="AV16" s="18">
        <f t="shared" si="21"/>
        <v>1</v>
      </c>
      <c r="AW16" s="18">
        <f t="shared" si="21"/>
        <v>1</v>
      </c>
      <c r="AX16" s="18">
        <f t="shared" si="21"/>
        <v>1</v>
      </c>
      <c r="AY16" s="18">
        <f t="shared" si="21"/>
        <v>1</v>
      </c>
      <c r="AZ16" s="18">
        <f t="shared" si="21"/>
        <v>1</v>
      </c>
      <c r="BA16" s="18">
        <f t="shared" si="21"/>
        <v>1</v>
      </c>
      <c r="BB16" s="18">
        <f t="shared" si="21"/>
        <v>1</v>
      </c>
      <c r="BC16" s="18">
        <f t="shared" si="21"/>
        <v>1</v>
      </c>
      <c r="BD16" s="18">
        <f t="shared" si="21"/>
        <v>1</v>
      </c>
      <c r="BE16" s="18">
        <f t="shared" si="21"/>
        <v>1</v>
      </c>
      <c r="BF16" s="18">
        <f t="shared" si="21"/>
        <v>1</v>
      </c>
      <c r="BG16" s="18">
        <f t="shared" si="21"/>
        <v>1</v>
      </c>
      <c r="BH16" s="18">
        <f t="shared" si="21"/>
        <v>1</v>
      </c>
      <c r="BI16" s="18">
        <f t="shared" si="21"/>
        <v>1</v>
      </c>
      <c r="BJ16" s="18">
        <f t="shared" si="21"/>
        <v>1</v>
      </c>
      <c r="BK16" s="18">
        <f t="shared" si="21"/>
        <v>1</v>
      </c>
      <c r="BL16" s="18">
        <f t="shared" si="21"/>
        <v>1</v>
      </c>
      <c r="BM16" s="18">
        <f t="shared" si="21"/>
        <v>1</v>
      </c>
      <c r="BN16" s="18">
        <f t="shared" si="21"/>
        <v>1</v>
      </c>
      <c r="BO16" s="18">
        <f t="shared" si="21"/>
        <v>1</v>
      </c>
      <c r="BP16" s="18">
        <f t="shared" si="21"/>
        <v>1</v>
      </c>
    </row>
    <row r="18" spans="1:1">
      <c r="A18" s="19" t="s">
        <v>94</v>
      </c>
    </row>
  </sheetData>
  <mergeCells count="10">
    <mergeCell ref="A1:M1"/>
    <mergeCell ref="C8:H8"/>
    <mergeCell ref="C16:H16"/>
    <mergeCell ref="A9:H9"/>
    <mergeCell ref="J2:K2"/>
    <mergeCell ref="J11:J16"/>
    <mergeCell ref="J3:J8"/>
    <mergeCell ref="A6:A7"/>
    <mergeCell ref="A14:A15"/>
    <mergeCell ref="I2:I1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M35" sqref="M35"/>
    </sheetView>
  </sheetViews>
  <sheetFormatPr defaultRowHeight="14.25"/>
  <cols>
    <col min="2" max="2" width="13" bestFit="1" customWidth="1"/>
    <col min="3" max="3" width="12.75" bestFit="1" customWidth="1"/>
  </cols>
  <sheetData>
    <row r="1" spans="2:5">
      <c r="C1" t="s">
        <v>301</v>
      </c>
      <c r="D1" t="s">
        <v>302</v>
      </c>
      <c r="E1" t="s">
        <v>303</v>
      </c>
    </row>
    <row r="2" spans="2:5">
      <c r="B2" t="s">
        <v>128</v>
      </c>
      <c r="C2">
        <f>100*SQRT(10)*10</f>
        <v>3162.2776601683795</v>
      </c>
      <c r="D2">
        <f>100*SQRT(10)*10</f>
        <v>3162.2776601683795</v>
      </c>
    </row>
    <row r="3" spans="2:5">
      <c r="B3" t="s">
        <v>80</v>
      </c>
      <c r="C3">
        <f>100*SQRT(10)</f>
        <v>316.22776601683796</v>
      </c>
      <c r="D3">
        <v>10</v>
      </c>
      <c r="E3">
        <f>C3/D3</f>
        <v>31.622776601683796</v>
      </c>
    </row>
    <row r="4" spans="2:5">
      <c r="B4" t="s">
        <v>79</v>
      </c>
      <c r="C4">
        <f>SQRT(10)</f>
        <v>3.1622776601683795</v>
      </c>
      <c r="D4">
        <v>1</v>
      </c>
      <c r="E4">
        <f>C4/D4</f>
        <v>3.1622776601683795</v>
      </c>
    </row>
    <row r="6" spans="2:5">
      <c r="B6" t="s">
        <v>305</v>
      </c>
      <c r="C6">
        <v>1.9</v>
      </c>
    </row>
    <row r="7" spans="2:5">
      <c r="B7" t="s">
        <v>304</v>
      </c>
      <c r="C7">
        <f>SQRT(C2^2+D2^2+2*(C6+1)*C2*D2)</f>
        <v>8831.7608663278461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zoomScale="220" zoomScaleNormal="220" workbookViewId="0">
      <pane ySplit="3" topLeftCell="A4" activePane="bottomLeft" state="frozen"/>
      <selection pane="bottomLeft" activeCell="P61" sqref="P61"/>
    </sheetView>
  </sheetViews>
  <sheetFormatPr defaultRowHeight="14.25"/>
  <cols>
    <col min="1" max="1" width="7.75" customWidth="1"/>
    <col min="2" max="2" width="9.125" style="32" customWidth="1"/>
    <col min="3" max="3" width="7.75" customWidth="1"/>
    <col min="4" max="4" width="6.75" customWidth="1"/>
    <col min="5" max="5" width="8.75" customWidth="1"/>
    <col min="6" max="6" width="5.25" customWidth="1"/>
    <col min="7" max="7" width="4.75" customWidth="1"/>
    <col min="8" max="8" width="5.75" customWidth="1"/>
    <col min="9" max="9" width="5.25" customWidth="1"/>
    <col min="10" max="10" width="6.125" customWidth="1"/>
    <col min="11" max="11" width="6.875" customWidth="1"/>
    <col min="12" max="12" width="10.375" style="27" customWidth="1"/>
    <col min="13" max="13" width="10.75" style="30" customWidth="1"/>
    <col min="14" max="14" width="7.25" customWidth="1"/>
    <col min="15" max="15" width="7" customWidth="1"/>
    <col min="17" max="17" width="8.875" bestFit="1" customWidth="1"/>
    <col min="18" max="18" width="8.875" customWidth="1"/>
  </cols>
  <sheetData>
    <row r="1" spans="1:22">
      <c r="A1" s="80" t="s">
        <v>308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2">
      <c r="A2" s="78" t="s">
        <v>277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 t="s">
        <v>278</v>
      </c>
      <c r="O2" s="78"/>
      <c r="P2" s="78"/>
      <c r="Q2" s="78"/>
      <c r="R2" s="78"/>
      <c r="S2" s="78" t="s">
        <v>279</v>
      </c>
      <c r="T2" s="78"/>
      <c r="U2" s="78"/>
      <c r="V2" s="21"/>
    </row>
    <row r="3" spans="1:22">
      <c r="A3" s="20" t="s">
        <v>230</v>
      </c>
      <c r="B3" s="31" t="s">
        <v>288</v>
      </c>
      <c r="C3" s="20" t="s">
        <v>97</v>
      </c>
      <c r="D3" s="20" t="s">
        <v>98</v>
      </c>
      <c r="E3" s="20" t="s">
        <v>307</v>
      </c>
      <c r="F3" s="20" t="s">
        <v>306</v>
      </c>
      <c r="G3" s="20" t="s">
        <v>99</v>
      </c>
      <c r="H3" s="20" t="s">
        <v>100</v>
      </c>
      <c r="I3" s="20" t="s">
        <v>80</v>
      </c>
      <c r="J3" s="20" t="s">
        <v>295</v>
      </c>
      <c r="K3" s="20" t="s">
        <v>128</v>
      </c>
      <c r="L3" s="25" t="s">
        <v>130</v>
      </c>
      <c r="M3" s="28" t="s">
        <v>129</v>
      </c>
      <c r="N3" s="20" t="s">
        <v>101</v>
      </c>
      <c r="O3" s="20" t="s">
        <v>102</v>
      </c>
      <c r="P3" s="20" t="s">
        <v>103</v>
      </c>
      <c r="Q3" s="20" t="s">
        <v>104</v>
      </c>
      <c r="R3" s="20" t="s">
        <v>132</v>
      </c>
      <c r="S3" s="20" t="s">
        <v>233</v>
      </c>
      <c r="T3" s="20" t="s">
        <v>234</v>
      </c>
      <c r="U3" s="20" t="s">
        <v>138</v>
      </c>
    </row>
    <row r="4" spans="1:22" ht="24.75">
      <c r="A4" s="20" t="s">
        <v>200</v>
      </c>
      <c r="B4" s="31" t="s">
        <v>145</v>
      </c>
      <c r="C4" s="20" t="s">
        <v>119</v>
      </c>
      <c r="D4" s="20">
        <v>240</v>
      </c>
      <c r="E4" s="20">
        <v>2.52</v>
      </c>
      <c r="F4" s="20">
        <v>50</v>
      </c>
      <c r="G4" s="20">
        <v>125</v>
      </c>
      <c r="H4" s="20">
        <v>40</v>
      </c>
      <c r="I4" s="23">
        <f t="shared" ref="I4:I35" si="0">SQRT(G4*H4)</f>
        <v>70.710678118654755</v>
      </c>
      <c r="J4" s="23">
        <f t="shared" ref="J4:J35" si="1">SQRT(G4/H4)</f>
        <v>1.7677669529663689</v>
      </c>
      <c r="K4" s="23">
        <f t="shared" ref="K4:K35" si="2">I4*F4</f>
        <v>3535.533905932738</v>
      </c>
      <c r="L4" s="26">
        <f t="shared" ref="L4:L35" si="3">K4/D4</f>
        <v>14.731391274719742</v>
      </c>
      <c r="M4" s="29">
        <f t="shared" ref="M4:M35" si="4">K4/E4</f>
        <v>1402.989645211404</v>
      </c>
      <c r="N4" s="20">
        <v>20</v>
      </c>
      <c r="O4" s="20">
        <v>10</v>
      </c>
      <c r="P4" s="20" t="s">
        <v>110</v>
      </c>
      <c r="Q4" s="20" t="s">
        <v>113</v>
      </c>
      <c r="R4" s="20" t="s">
        <v>167</v>
      </c>
      <c r="S4" s="20" t="s">
        <v>246</v>
      </c>
      <c r="T4" s="20"/>
      <c r="U4" s="20" t="s">
        <v>146</v>
      </c>
    </row>
    <row r="5" spans="1:22" ht="16.5">
      <c r="A5" s="20" t="s">
        <v>200</v>
      </c>
      <c r="B5" s="31" t="s">
        <v>143</v>
      </c>
      <c r="C5" s="20" t="s">
        <v>119</v>
      </c>
      <c r="D5" s="20">
        <v>260</v>
      </c>
      <c r="E5" s="20">
        <v>2.73</v>
      </c>
      <c r="F5" s="20">
        <v>50</v>
      </c>
      <c r="G5" s="20">
        <v>120</v>
      </c>
      <c r="H5" s="20">
        <v>35</v>
      </c>
      <c r="I5" s="23">
        <f t="shared" si="0"/>
        <v>64.807406984078597</v>
      </c>
      <c r="J5" s="23">
        <f t="shared" si="1"/>
        <v>1.8516401995451028</v>
      </c>
      <c r="K5" s="23">
        <f t="shared" si="2"/>
        <v>3240.3703492039299</v>
      </c>
      <c r="L5" s="26">
        <f t="shared" si="3"/>
        <v>12.462962881553576</v>
      </c>
      <c r="M5" s="29">
        <f t="shared" si="4"/>
        <v>1186.9488458622454</v>
      </c>
      <c r="N5" s="20">
        <v>25</v>
      </c>
      <c r="O5" s="20">
        <v>10</v>
      </c>
      <c r="P5" s="20" t="s">
        <v>110</v>
      </c>
      <c r="Q5" s="20" t="s">
        <v>113</v>
      </c>
      <c r="R5" s="20" t="s">
        <v>120</v>
      </c>
      <c r="S5" s="20" t="s">
        <v>244</v>
      </c>
      <c r="T5" s="20"/>
      <c r="U5" s="20" t="s">
        <v>140</v>
      </c>
    </row>
    <row r="6" spans="1:22" ht="16.5">
      <c r="A6" s="20" t="s">
        <v>127</v>
      </c>
      <c r="B6" s="31" t="s">
        <v>118</v>
      </c>
      <c r="C6" s="20" t="s">
        <v>119</v>
      </c>
      <c r="D6" s="20">
        <v>200</v>
      </c>
      <c r="E6" s="20">
        <v>2.1</v>
      </c>
      <c r="F6" s="20">
        <v>50</v>
      </c>
      <c r="G6" s="20">
        <v>100</v>
      </c>
      <c r="H6" s="20">
        <v>35</v>
      </c>
      <c r="I6" s="23">
        <f t="shared" si="0"/>
        <v>59.16079783099616</v>
      </c>
      <c r="J6" s="23">
        <f t="shared" si="1"/>
        <v>1.6903085094570331</v>
      </c>
      <c r="K6" s="23">
        <f t="shared" si="2"/>
        <v>2958.0398915498081</v>
      </c>
      <c r="L6" s="26">
        <f t="shared" si="3"/>
        <v>14.79019945774904</v>
      </c>
      <c r="M6" s="29">
        <f t="shared" si="4"/>
        <v>1408.5904245475276</v>
      </c>
      <c r="N6" s="20">
        <v>20</v>
      </c>
      <c r="O6" s="20">
        <v>0</v>
      </c>
      <c r="P6" s="20" t="s">
        <v>110</v>
      </c>
      <c r="Q6" s="20" t="s">
        <v>113</v>
      </c>
      <c r="R6" s="20" t="s">
        <v>120</v>
      </c>
      <c r="S6" s="20" t="s">
        <v>284</v>
      </c>
      <c r="T6" s="20"/>
      <c r="U6" s="20" t="s">
        <v>195</v>
      </c>
    </row>
    <row r="7" spans="1:22" ht="16.5">
      <c r="A7" s="20" t="s">
        <v>200</v>
      </c>
      <c r="B7" s="31" t="s">
        <v>290</v>
      </c>
      <c r="C7" s="20" t="s">
        <v>291</v>
      </c>
      <c r="D7" s="20">
        <v>250</v>
      </c>
      <c r="E7" s="20">
        <f>2.1*1.25</f>
        <v>2.625</v>
      </c>
      <c r="F7" s="20">
        <v>50</v>
      </c>
      <c r="G7" s="20">
        <v>110</v>
      </c>
      <c r="H7" s="20">
        <v>30</v>
      </c>
      <c r="I7" s="23">
        <f t="shared" si="0"/>
        <v>57.445626465380286</v>
      </c>
      <c r="J7" s="23">
        <f t="shared" si="1"/>
        <v>1.9148542155126762</v>
      </c>
      <c r="K7" s="23">
        <f t="shared" si="2"/>
        <v>2872.2813232690141</v>
      </c>
      <c r="L7" s="26">
        <f t="shared" si="3"/>
        <v>11.489125293076057</v>
      </c>
      <c r="M7" s="29">
        <f t="shared" si="4"/>
        <v>1094.2024088643864</v>
      </c>
      <c r="N7" s="20">
        <v>25</v>
      </c>
      <c r="O7" s="20">
        <v>10</v>
      </c>
      <c r="P7" s="20" t="s">
        <v>197</v>
      </c>
      <c r="Q7" s="20" t="s">
        <v>292</v>
      </c>
      <c r="R7" s="20" t="s">
        <v>293</v>
      </c>
      <c r="S7" s="20" t="s">
        <v>299</v>
      </c>
      <c r="U7" s="20" t="s">
        <v>194</v>
      </c>
    </row>
    <row r="8" spans="1:22">
      <c r="A8" s="20" t="s">
        <v>200</v>
      </c>
      <c r="B8" s="31" t="s">
        <v>395</v>
      </c>
      <c r="C8" s="20" t="s">
        <v>396</v>
      </c>
      <c r="D8" s="20">
        <v>260</v>
      </c>
      <c r="E8" s="20">
        <v>2.73</v>
      </c>
      <c r="F8" s="20">
        <v>50</v>
      </c>
      <c r="G8" s="20">
        <v>110</v>
      </c>
      <c r="H8" s="20">
        <v>30</v>
      </c>
      <c r="I8" s="23">
        <f t="shared" si="0"/>
        <v>57.445626465380286</v>
      </c>
      <c r="J8" s="23">
        <f t="shared" si="1"/>
        <v>1.9148542155126762</v>
      </c>
      <c r="K8" s="23">
        <f t="shared" si="2"/>
        <v>2872.2813232690141</v>
      </c>
      <c r="L8" s="26">
        <f t="shared" si="3"/>
        <v>11.047235858726978</v>
      </c>
      <c r="M8" s="29">
        <f t="shared" si="4"/>
        <v>1052.1177008311406</v>
      </c>
      <c r="N8" s="20">
        <v>30</v>
      </c>
      <c r="O8" s="20">
        <v>10</v>
      </c>
      <c r="P8" s="20" t="s">
        <v>397</v>
      </c>
      <c r="Q8" s="20" t="s">
        <v>398</v>
      </c>
      <c r="R8" s="20" t="s">
        <v>399</v>
      </c>
      <c r="S8" s="20" t="s">
        <v>400</v>
      </c>
      <c r="U8" s="20" t="s">
        <v>401</v>
      </c>
    </row>
    <row r="9" spans="1:22">
      <c r="A9" s="20" t="s">
        <v>231</v>
      </c>
      <c r="B9" s="31" t="s">
        <v>206</v>
      </c>
      <c r="C9" s="20" t="s">
        <v>107</v>
      </c>
      <c r="D9" s="20">
        <v>180</v>
      </c>
      <c r="E9" s="20">
        <v>2.4</v>
      </c>
      <c r="F9" s="20">
        <v>100</v>
      </c>
      <c r="G9" s="20">
        <v>60</v>
      </c>
      <c r="H9" s="20">
        <v>30</v>
      </c>
      <c r="I9" s="23">
        <f t="shared" si="0"/>
        <v>42.426406871192853</v>
      </c>
      <c r="J9" s="23">
        <f t="shared" si="1"/>
        <v>1.4142135623730951</v>
      </c>
      <c r="K9" s="23">
        <f t="shared" si="2"/>
        <v>4242.6406871192848</v>
      </c>
      <c r="L9" s="26">
        <f t="shared" si="3"/>
        <v>23.570226039551581</v>
      </c>
      <c r="M9" s="29">
        <f t="shared" si="4"/>
        <v>1767.7669529663688</v>
      </c>
      <c r="N9" s="20">
        <v>0</v>
      </c>
      <c r="O9" s="20">
        <v>20</v>
      </c>
      <c r="P9" s="20" t="s">
        <v>115</v>
      </c>
      <c r="Q9" s="20" t="s">
        <v>109</v>
      </c>
      <c r="R9" s="20" t="s">
        <v>109</v>
      </c>
      <c r="S9" s="20" t="s">
        <v>269</v>
      </c>
      <c r="T9" s="20" t="s">
        <v>207</v>
      </c>
      <c r="U9" s="20" t="s">
        <v>146</v>
      </c>
    </row>
    <row r="10" spans="1:22" ht="16.5">
      <c r="A10" s="20" t="s">
        <v>200</v>
      </c>
      <c r="B10" s="31" t="s">
        <v>164</v>
      </c>
      <c r="C10" s="20" t="s">
        <v>107</v>
      </c>
      <c r="D10" s="20">
        <v>150</v>
      </c>
      <c r="E10" s="20">
        <v>2</v>
      </c>
      <c r="F10" s="20">
        <v>100</v>
      </c>
      <c r="G10" s="20">
        <v>45</v>
      </c>
      <c r="H10" s="20">
        <v>30</v>
      </c>
      <c r="I10" s="23">
        <f t="shared" si="0"/>
        <v>36.742346141747674</v>
      </c>
      <c r="J10" s="23">
        <f t="shared" si="1"/>
        <v>1.2247448713915889</v>
      </c>
      <c r="K10" s="23">
        <f t="shared" si="2"/>
        <v>3674.2346141747676</v>
      </c>
      <c r="L10" s="26">
        <f t="shared" si="3"/>
        <v>24.494897427831784</v>
      </c>
      <c r="M10" s="29">
        <f t="shared" si="4"/>
        <v>1837.1173070873838</v>
      </c>
      <c r="N10" s="20">
        <v>10</v>
      </c>
      <c r="O10" s="20">
        <v>0</v>
      </c>
      <c r="P10" s="20" t="s">
        <v>192</v>
      </c>
      <c r="Q10" s="20" t="s">
        <v>193</v>
      </c>
      <c r="R10" s="20" t="s">
        <v>109</v>
      </c>
      <c r="S10" s="20" t="s">
        <v>265</v>
      </c>
      <c r="T10" s="20"/>
      <c r="U10" s="20" t="s">
        <v>296</v>
      </c>
    </row>
    <row r="11" spans="1:22" ht="16.5">
      <c r="A11" s="20" t="s">
        <v>286</v>
      </c>
      <c r="B11" s="31" t="s">
        <v>125</v>
      </c>
      <c r="C11" s="20" t="s">
        <v>107</v>
      </c>
      <c r="D11" s="20">
        <v>50</v>
      </c>
      <c r="E11" s="20">
        <v>1</v>
      </c>
      <c r="F11" s="20">
        <v>100</v>
      </c>
      <c r="G11" s="20">
        <v>40</v>
      </c>
      <c r="H11" s="20">
        <v>32</v>
      </c>
      <c r="I11" s="23">
        <f t="shared" si="0"/>
        <v>35.777087639996637</v>
      </c>
      <c r="J11" s="23">
        <f t="shared" si="1"/>
        <v>1.1180339887498949</v>
      </c>
      <c r="K11" s="23">
        <f t="shared" si="2"/>
        <v>3577.7087639996635</v>
      </c>
      <c r="L11" s="26">
        <f t="shared" si="3"/>
        <v>71.554175279993274</v>
      </c>
      <c r="M11" s="29">
        <f t="shared" si="4"/>
        <v>3577.7087639996635</v>
      </c>
      <c r="N11" s="20">
        <v>0</v>
      </c>
      <c r="O11" s="20">
        <v>24</v>
      </c>
      <c r="P11" s="20" t="s">
        <v>126</v>
      </c>
      <c r="Q11" s="20" t="s">
        <v>109</v>
      </c>
      <c r="R11" s="20" t="s">
        <v>109</v>
      </c>
      <c r="S11" s="22" t="s">
        <v>280</v>
      </c>
      <c r="T11" s="20"/>
      <c r="U11" s="20" t="s">
        <v>194</v>
      </c>
    </row>
    <row r="12" spans="1:22">
      <c r="A12" s="20" t="s">
        <v>200</v>
      </c>
      <c r="B12" s="31" t="s">
        <v>144</v>
      </c>
      <c r="C12" s="20" t="s">
        <v>107</v>
      </c>
      <c r="D12" s="20">
        <v>117</v>
      </c>
      <c r="E12" s="20">
        <v>1.56</v>
      </c>
      <c r="F12" s="20">
        <v>100</v>
      </c>
      <c r="G12" s="20">
        <v>40</v>
      </c>
      <c r="H12" s="20">
        <v>30</v>
      </c>
      <c r="I12" s="23">
        <f t="shared" si="0"/>
        <v>34.641016151377549</v>
      </c>
      <c r="J12" s="23">
        <f t="shared" si="1"/>
        <v>1.1547005383792515</v>
      </c>
      <c r="K12" s="23">
        <f t="shared" si="2"/>
        <v>3464.1016151377548</v>
      </c>
      <c r="L12" s="26">
        <f t="shared" si="3"/>
        <v>29.607706112288504</v>
      </c>
      <c r="M12" s="29">
        <f t="shared" si="4"/>
        <v>2220.5779584216375</v>
      </c>
      <c r="N12" s="20">
        <v>0</v>
      </c>
      <c r="O12" s="20">
        <v>30</v>
      </c>
      <c r="P12" s="20" t="s">
        <v>115</v>
      </c>
      <c r="Q12" s="20" t="s">
        <v>109</v>
      </c>
      <c r="R12" s="20" t="s">
        <v>109</v>
      </c>
      <c r="S12" s="20" t="s">
        <v>245</v>
      </c>
      <c r="T12" s="20"/>
      <c r="U12" s="20" t="s">
        <v>140</v>
      </c>
    </row>
    <row r="13" spans="1:22">
      <c r="A13" s="20" t="s">
        <v>200</v>
      </c>
      <c r="B13" s="31" t="s">
        <v>311</v>
      </c>
      <c r="C13" s="20" t="s">
        <v>107</v>
      </c>
      <c r="D13" s="20">
        <v>108</v>
      </c>
      <c r="E13" s="20">
        <v>1.44</v>
      </c>
      <c r="F13" s="20">
        <v>100</v>
      </c>
      <c r="G13" s="20">
        <v>45</v>
      </c>
      <c r="H13" s="20">
        <v>25</v>
      </c>
      <c r="I13" s="23">
        <f t="shared" si="0"/>
        <v>33.541019662496844</v>
      </c>
      <c r="J13" s="23">
        <f t="shared" si="1"/>
        <v>1.3416407864998738</v>
      </c>
      <c r="K13" s="23">
        <f t="shared" si="2"/>
        <v>3354.1019662496842</v>
      </c>
      <c r="L13" s="26">
        <f t="shared" si="3"/>
        <v>31.056499687497077</v>
      </c>
      <c r="M13" s="29">
        <f t="shared" si="4"/>
        <v>2329.2374765622808</v>
      </c>
      <c r="N13" s="20">
        <v>0</v>
      </c>
      <c r="O13" s="20">
        <v>0</v>
      </c>
      <c r="P13" s="20" t="s">
        <v>179</v>
      </c>
      <c r="Q13" s="20" t="s">
        <v>109</v>
      </c>
      <c r="R13" s="20" t="s">
        <v>109</v>
      </c>
      <c r="S13" s="20" t="s">
        <v>257</v>
      </c>
      <c r="T13" s="20"/>
      <c r="U13" s="20" t="s">
        <v>140</v>
      </c>
    </row>
    <row r="14" spans="1:22" ht="16.5">
      <c r="A14" s="20" t="s">
        <v>200</v>
      </c>
      <c r="B14" s="31" t="s">
        <v>313</v>
      </c>
      <c r="C14" s="20" t="s">
        <v>107</v>
      </c>
      <c r="D14" s="20">
        <v>108</v>
      </c>
      <c r="E14" s="20">
        <v>1.44</v>
      </c>
      <c r="F14" s="20">
        <v>100</v>
      </c>
      <c r="G14" s="20">
        <v>40</v>
      </c>
      <c r="H14" s="20">
        <v>26</v>
      </c>
      <c r="I14" s="23">
        <f t="shared" si="0"/>
        <v>32.249030993194197</v>
      </c>
      <c r="J14" s="23">
        <f t="shared" si="1"/>
        <v>1.2403473458920846</v>
      </c>
      <c r="K14" s="23">
        <f t="shared" si="2"/>
        <v>3224.9030993194197</v>
      </c>
      <c r="L14" s="26">
        <f t="shared" si="3"/>
        <v>29.860213882587217</v>
      </c>
      <c r="M14" s="29">
        <f t="shared" si="4"/>
        <v>2239.5160411940415</v>
      </c>
      <c r="N14" s="20">
        <v>0</v>
      </c>
      <c r="O14" s="20">
        <v>0</v>
      </c>
      <c r="P14" s="20" t="s">
        <v>115</v>
      </c>
      <c r="Q14" s="20" t="s">
        <v>178</v>
      </c>
      <c r="R14" s="20" t="s">
        <v>109</v>
      </c>
      <c r="S14" s="20" t="s">
        <v>256</v>
      </c>
      <c r="T14" s="20"/>
      <c r="U14" s="20" t="s">
        <v>140</v>
      </c>
    </row>
    <row r="15" spans="1:22" ht="16.5">
      <c r="A15" s="20" t="s">
        <v>200</v>
      </c>
      <c r="B15" s="31" t="s">
        <v>151</v>
      </c>
      <c r="C15" s="20" t="s">
        <v>107</v>
      </c>
      <c r="D15" s="20">
        <v>115</v>
      </c>
      <c r="E15" s="20">
        <v>1.53</v>
      </c>
      <c r="F15" s="20">
        <v>100</v>
      </c>
      <c r="G15" s="20">
        <v>40</v>
      </c>
      <c r="H15" s="20">
        <v>26</v>
      </c>
      <c r="I15" s="23">
        <f t="shared" si="0"/>
        <v>32.249030993194197</v>
      </c>
      <c r="J15" s="23">
        <f t="shared" si="1"/>
        <v>1.2403473458920846</v>
      </c>
      <c r="K15" s="23">
        <f t="shared" si="2"/>
        <v>3224.9030993194197</v>
      </c>
      <c r="L15" s="26">
        <f t="shared" si="3"/>
        <v>28.042635646255825</v>
      </c>
      <c r="M15" s="29">
        <f t="shared" si="4"/>
        <v>2107.7798034767447</v>
      </c>
      <c r="N15" s="20">
        <v>0</v>
      </c>
      <c r="O15" s="20">
        <v>24</v>
      </c>
      <c r="P15" s="20" t="s">
        <v>173</v>
      </c>
      <c r="Q15" s="20" t="s">
        <v>174</v>
      </c>
      <c r="R15" s="20" t="s">
        <v>109</v>
      </c>
      <c r="S15" s="20" t="s">
        <v>251</v>
      </c>
      <c r="T15" s="20"/>
      <c r="U15" s="20" t="s">
        <v>140</v>
      </c>
    </row>
    <row r="16" spans="1:22">
      <c r="A16" s="20" t="s">
        <v>287</v>
      </c>
      <c r="B16" s="31" t="s">
        <v>310</v>
      </c>
      <c r="C16" s="20" t="s">
        <v>133</v>
      </c>
      <c r="D16" s="20">
        <v>90</v>
      </c>
      <c r="E16" s="20">
        <v>1.2</v>
      </c>
      <c r="F16" s="20">
        <v>100</v>
      </c>
      <c r="G16" s="20">
        <v>36</v>
      </c>
      <c r="H16" s="20">
        <v>26</v>
      </c>
      <c r="I16" s="23">
        <f t="shared" si="0"/>
        <v>30.594117081556711</v>
      </c>
      <c r="J16" s="23">
        <f t="shared" si="1"/>
        <v>1.1766968108291043</v>
      </c>
      <c r="K16" s="23">
        <f t="shared" si="2"/>
        <v>3059.411708155671</v>
      </c>
      <c r="L16" s="26">
        <f t="shared" si="3"/>
        <v>33.993463423951901</v>
      </c>
      <c r="M16" s="29">
        <f t="shared" si="4"/>
        <v>2549.5097567963926</v>
      </c>
      <c r="N16" s="20">
        <v>0</v>
      </c>
      <c r="O16" s="20">
        <v>0</v>
      </c>
      <c r="P16" s="20" t="s">
        <v>282</v>
      </c>
      <c r="Q16" s="20" t="s">
        <v>109</v>
      </c>
      <c r="R16" s="20" t="s">
        <v>136</v>
      </c>
      <c r="S16" s="20" t="s">
        <v>131</v>
      </c>
      <c r="T16" s="20"/>
      <c r="U16" s="20" t="s">
        <v>194</v>
      </c>
    </row>
    <row r="17" spans="1:21">
      <c r="A17" s="20" t="s">
        <v>200</v>
      </c>
      <c r="B17" s="31" t="s">
        <v>152</v>
      </c>
      <c r="C17" s="20" t="s">
        <v>107</v>
      </c>
      <c r="D17" s="20">
        <v>108</v>
      </c>
      <c r="E17" s="20">
        <v>1.44</v>
      </c>
      <c r="F17" s="20">
        <v>100</v>
      </c>
      <c r="G17" s="20">
        <v>42</v>
      </c>
      <c r="H17" s="20">
        <v>22</v>
      </c>
      <c r="I17" s="23">
        <f t="shared" si="0"/>
        <v>30.397368307141328</v>
      </c>
      <c r="J17" s="23">
        <f t="shared" si="1"/>
        <v>1.3816985594155149</v>
      </c>
      <c r="K17" s="23">
        <f t="shared" si="2"/>
        <v>3039.7368307141328</v>
      </c>
      <c r="L17" s="26">
        <f t="shared" si="3"/>
        <v>28.14571139550123</v>
      </c>
      <c r="M17" s="29">
        <f t="shared" si="4"/>
        <v>2110.9283546625925</v>
      </c>
      <c r="N17" s="20">
        <v>0</v>
      </c>
      <c r="O17" s="20">
        <v>0</v>
      </c>
      <c r="P17" s="20" t="s">
        <v>175</v>
      </c>
      <c r="Q17" s="20" t="s">
        <v>176</v>
      </c>
      <c r="R17" s="20" t="s">
        <v>109</v>
      </c>
      <c r="S17" s="20" t="s">
        <v>252</v>
      </c>
      <c r="T17" s="20"/>
      <c r="U17" s="20" t="s">
        <v>140</v>
      </c>
    </row>
    <row r="18" spans="1:21">
      <c r="A18" s="20" t="s">
        <v>200</v>
      </c>
      <c r="B18" s="31" t="s">
        <v>156</v>
      </c>
      <c r="C18" s="20" t="s">
        <v>107</v>
      </c>
      <c r="D18" s="20">
        <v>108</v>
      </c>
      <c r="E18" s="20">
        <v>1.44</v>
      </c>
      <c r="F18" s="20">
        <v>100</v>
      </c>
      <c r="G18" s="20">
        <v>38</v>
      </c>
      <c r="H18" s="20">
        <v>24</v>
      </c>
      <c r="I18" s="23">
        <f t="shared" si="0"/>
        <v>30.199337741082999</v>
      </c>
      <c r="J18" s="23">
        <f t="shared" si="1"/>
        <v>1.2583057392117916</v>
      </c>
      <c r="K18" s="23">
        <f t="shared" si="2"/>
        <v>3019.9337741083</v>
      </c>
      <c r="L18" s="26">
        <f t="shared" si="3"/>
        <v>27.962349760262036</v>
      </c>
      <c r="M18" s="29">
        <f t="shared" si="4"/>
        <v>2097.1762320196531</v>
      </c>
      <c r="N18" s="20">
        <v>0</v>
      </c>
      <c r="O18" s="20">
        <v>20</v>
      </c>
      <c r="P18" s="20" t="s">
        <v>180</v>
      </c>
      <c r="Q18" s="20" t="s">
        <v>181</v>
      </c>
      <c r="R18" s="20" t="s">
        <v>109</v>
      </c>
      <c r="S18" s="20" t="s">
        <v>258</v>
      </c>
      <c r="T18" s="20"/>
      <c r="U18" s="20" t="s">
        <v>140</v>
      </c>
    </row>
    <row r="19" spans="1:21">
      <c r="A19" s="20" t="s">
        <v>200</v>
      </c>
      <c r="B19" s="31" t="s">
        <v>158</v>
      </c>
      <c r="C19" s="20" t="s">
        <v>107</v>
      </c>
      <c r="D19" s="20">
        <v>108</v>
      </c>
      <c r="E19" s="20">
        <v>1.44</v>
      </c>
      <c r="F19" s="20">
        <v>100</v>
      </c>
      <c r="G19" s="20">
        <v>32</v>
      </c>
      <c r="H19" s="20">
        <v>26</v>
      </c>
      <c r="I19" s="23">
        <f t="shared" si="0"/>
        <v>28.844410203711913</v>
      </c>
      <c r="J19" s="23">
        <f t="shared" si="1"/>
        <v>1.1094003924504583</v>
      </c>
      <c r="K19" s="23">
        <f t="shared" si="2"/>
        <v>2884.4410203711914</v>
      </c>
      <c r="L19" s="26">
        <f t="shared" si="3"/>
        <v>26.707787225659178</v>
      </c>
      <c r="M19" s="29">
        <f t="shared" si="4"/>
        <v>2003.0840419244385</v>
      </c>
      <c r="N19" s="20">
        <v>0</v>
      </c>
      <c r="O19" s="20">
        <v>10</v>
      </c>
      <c r="P19" s="20" t="s">
        <v>112</v>
      </c>
      <c r="Q19" s="20" t="s">
        <v>116</v>
      </c>
      <c r="R19" s="20" t="s">
        <v>182</v>
      </c>
      <c r="S19" s="20" t="s">
        <v>260</v>
      </c>
      <c r="T19" s="20"/>
      <c r="U19" s="20" t="s">
        <v>157</v>
      </c>
    </row>
    <row r="20" spans="1:21">
      <c r="A20" s="20" t="s">
        <v>200</v>
      </c>
      <c r="B20" s="31" t="s">
        <v>141</v>
      </c>
      <c r="C20" s="20" t="s">
        <v>107</v>
      </c>
      <c r="D20" s="20">
        <v>75</v>
      </c>
      <c r="E20" s="20">
        <v>1.08</v>
      </c>
      <c r="F20" s="20">
        <v>100</v>
      </c>
      <c r="G20" s="20">
        <v>35</v>
      </c>
      <c r="H20" s="20">
        <v>22</v>
      </c>
      <c r="I20" s="23">
        <f t="shared" si="0"/>
        <v>27.748873851023216</v>
      </c>
      <c r="J20" s="23">
        <f t="shared" si="1"/>
        <v>1.2613124477737825</v>
      </c>
      <c r="K20" s="23">
        <f t="shared" si="2"/>
        <v>2774.8873851023218</v>
      </c>
      <c r="L20" s="26">
        <f t="shared" si="3"/>
        <v>36.998498468030959</v>
      </c>
      <c r="M20" s="29">
        <f t="shared" si="4"/>
        <v>2569.3401713910384</v>
      </c>
      <c r="N20" s="20">
        <v>12</v>
      </c>
      <c r="O20" s="20">
        <v>0</v>
      </c>
      <c r="P20" s="20" t="s">
        <v>115</v>
      </c>
      <c r="Q20" s="20" t="s">
        <v>109</v>
      </c>
      <c r="R20" s="20" t="s">
        <v>109</v>
      </c>
      <c r="S20" s="20" t="s">
        <v>242</v>
      </c>
      <c r="T20" s="20"/>
      <c r="U20" s="20" t="s">
        <v>140</v>
      </c>
    </row>
    <row r="21" spans="1:21">
      <c r="A21" s="20" t="s">
        <v>127</v>
      </c>
      <c r="B21" s="31" t="s">
        <v>117</v>
      </c>
      <c r="C21" s="20" t="s">
        <v>107</v>
      </c>
      <c r="D21" s="20">
        <v>90</v>
      </c>
      <c r="E21" s="20">
        <v>1.2</v>
      </c>
      <c r="F21" s="20">
        <v>100</v>
      </c>
      <c r="G21" s="20">
        <v>32</v>
      </c>
      <c r="H21" s="20">
        <v>22</v>
      </c>
      <c r="I21" s="23">
        <f t="shared" si="0"/>
        <v>26.532998322843198</v>
      </c>
      <c r="J21" s="23">
        <f t="shared" si="1"/>
        <v>1.2060453783110545</v>
      </c>
      <c r="K21" s="23">
        <f t="shared" si="2"/>
        <v>2653.29983228432</v>
      </c>
      <c r="L21" s="26">
        <f t="shared" si="3"/>
        <v>29.481109247603555</v>
      </c>
      <c r="M21" s="29">
        <f t="shared" si="4"/>
        <v>2211.0831935702668</v>
      </c>
      <c r="N21" s="20">
        <v>0</v>
      </c>
      <c r="O21" s="20">
        <v>0</v>
      </c>
      <c r="P21" s="20" t="s">
        <v>115</v>
      </c>
      <c r="Q21" s="20" t="s">
        <v>109</v>
      </c>
      <c r="R21" s="20" t="s">
        <v>109</v>
      </c>
      <c r="S21" s="20" t="s">
        <v>283</v>
      </c>
      <c r="T21" s="20"/>
      <c r="U21" s="20" t="s">
        <v>194</v>
      </c>
    </row>
    <row r="22" spans="1:21">
      <c r="A22" s="20" t="s">
        <v>200</v>
      </c>
      <c r="B22" s="31" t="s">
        <v>161</v>
      </c>
      <c r="C22" s="20" t="s">
        <v>107</v>
      </c>
      <c r="D22" s="20">
        <v>99</v>
      </c>
      <c r="E22" s="20">
        <v>1.32</v>
      </c>
      <c r="F22" s="20">
        <v>100</v>
      </c>
      <c r="G22" s="20">
        <v>34</v>
      </c>
      <c r="H22" s="20">
        <v>20</v>
      </c>
      <c r="I22" s="23">
        <f t="shared" si="0"/>
        <v>26.076809620810597</v>
      </c>
      <c r="J22" s="23">
        <f t="shared" si="1"/>
        <v>1.3038404810405297</v>
      </c>
      <c r="K22" s="23">
        <f t="shared" si="2"/>
        <v>2607.6809620810595</v>
      </c>
      <c r="L22" s="26">
        <f t="shared" si="3"/>
        <v>26.340211738192522</v>
      </c>
      <c r="M22" s="29">
        <f t="shared" si="4"/>
        <v>1975.515880364439</v>
      </c>
      <c r="N22" s="20">
        <v>0</v>
      </c>
      <c r="O22" s="20">
        <v>10</v>
      </c>
      <c r="P22" s="20" t="s">
        <v>185</v>
      </c>
      <c r="Q22" s="20" t="s">
        <v>186</v>
      </c>
      <c r="R22" s="20" t="s">
        <v>187</v>
      </c>
      <c r="S22" s="20" t="s">
        <v>263</v>
      </c>
      <c r="T22" s="20"/>
      <c r="U22" s="20" t="s">
        <v>154</v>
      </c>
    </row>
    <row r="23" spans="1:21" ht="16.5">
      <c r="A23" s="20" t="s">
        <v>200</v>
      </c>
      <c r="B23" s="31" t="s">
        <v>159</v>
      </c>
      <c r="C23" s="20" t="s">
        <v>115</v>
      </c>
      <c r="D23" s="20">
        <v>112.5</v>
      </c>
      <c r="E23" s="20">
        <v>1.35</v>
      </c>
      <c r="F23" s="20">
        <v>100</v>
      </c>
      <c r="G23" s="20">
        <v>36</v>
      </c>
      <c r="H23" s="20">
        <v>28</v>
      </c>
      <c r="I23" s="23">
        <f t="shared" si="0"/>
        <v>31.749015732775089</v>
      </c>
      <c r="J23" s="23">
        <f t="shared" si="1"/>
        <v>1.1338934190276817</v>
      </c>
      <c r="K23" s="23">
        <f t="shared" si="2"/>
        <v>3174.9015732775088</v>
      </c>
      <c r="L23" s="26">
        <f t="shared" si="3"/>
        <v>28.2213473180223</v>
      </c>
      <c r="M23" s="29">
        <f t="shared" si="4"/>
        <v>2351.7789431685251</v>
      </c>
      <c r="N23" s="20">
        <v>0</v>
      </c>
      <c r="O23" s="20">
        <v>0</v>
      </c>
      <c r="P23" s="20" t="s">
        <v>183</v>
      </c>
      <c r="Q23" s="20" t="s">
        <v>184</v>
      </c>
      <c r="R23" s="20" t="s">
        <v>109</v>
      </c>
      <c r="S23" s="20" t="s">
        <v>261</v>
      </c>
      <c r="T23" s="20"/>
      <c r="U23" s="20" t="s">
        <v>298</v>
      </c>
    </row>
    <row r="24" spans="1:21" ht="16.5">
      <c r="A24" s="20" t="s">
        <v>200</v>
      </c>
      <c r="B24" s="31" t="s">
        <v>312</v>
      </c>
      <c r="C24" s="20" t="s">
        <v>115</v>
      </c>
      <c r="D24" s="20">
        <v>97.5</v>
      </c>
      <c r="E24" s="20">
        <v>1.17</v>
      </c>
      <c r="F24" s="20">
        <v>100</v>
      </c>
      <c r="G24" s="20">
        <v>40</v>
      </c>
      <c r="H24" s="20">
        <v>24</v>
      </c>
      <c r="I24" s="23">
        <f t="shared" si="0"/>
        <v>30.983866769659336</v>
      </c>
      <c r="J24" s="23">
        <f t="shared" si="1"/>
        <v>1.2909944487358056</v>
      </c>
      <c r="K24" s="23">
        <f t="shared" si="2"/>
        <v>3098.3866769659335</v>
      </c>
      <c r="L24" s="26">
        <f t="shared" si="3"/>
        <v>31.778324891958292</v>
      </c>
      <c r="M24" s="29">
        <f t="shared" si="4"/>
        <v>2648.1937409965244</v>
      </c>
      <c r="N24" s="20">
        <v>0</v>
      </c>
      <c r="O24" s="20">
        <v>0</v>
      </c>
      <c r="P24" s="20" t="s">
        <v>95</v>
      </c>
      <c r="Q24" s="20" t="s">
        <v>116</v>
      </c>
      <c r="R24" s="20" t="s">
        <v>109</v>
      </c>
      <c r="S24" s="20" t="s">
        <v>259</v>
      </c>
      <c r="T24" s="20"/>
      <c r="U24" s="20" t="s">
        <v>157</v>
      </c>
    </row>
    <row r="25" spans="1:21" ht="16.5">
      <c r="A25" s="20" t="s">
        <v>231</v>
      </c>
      <c r="B25" s="31" t="s">
        <v>314</v>
      </c>
      <c r="C25" s="20" t="s">
        <v>115</v>
      </c>
      <c r="D25" s="20">
        <v>90</v>
      </c>
      <c r="E25" s="20">
        <v>1.08</v>
      </c>
      <c r="F25" s="20">
        <v>100</v>
      </c>
      <c r="G25" s="20">
        <v>30</v>
      </c>
      <c r="H25" s="20">
        <v>24</v>
      </c>
      <c r="I25" s="23">
        <f t="shared" si="0"/>
        <v>26.832815729997478</v>
      </c>
      <c r="J25" s="23">
        <f t="shared" si="1"/>
        <v>1.1180339887498949</v>
      </c>
      <c r="K25" s="23">
        <f t="shared" si="2"/>
        <v>2683.2815729997478</v>
      </c>
      <c r="L25" s="26">
        <f t="shared" si="3"/>
        <v>29.814239699997199</v>
      </c>
      <c r="M25" s="29">
        <f t="shared" si="4"/>
        <v>2484.5199749997664</v>
      </c>
      <c r="N25" s="20">
        <v>0</v>
      </c>
      <c r="O25" s="20">
        <v>0</v>
      </c>
      <c r="P25" s="20" t="s">
        <v>210</v>
      </c>
      <c r="Q25" s="20" t="s">
        <v>116</v>
      </c>
      <c r="R25" s="20" t="s">
        <v>109</v>
      </c>
      <c r="S25" s="20" t="s">
        <v>268</v>
      </c>
      <c r="T25" s="20" t="s">
        <v>213</v>
      </c>
      <c r="U25" s="20" t="s">
        <v>146</v>
      </c>
    </row>
    <row r="26" spans="1:21" ht="16.5">
      <c r="A26" s="20" t="s">
        <v>127</v>
      </c>
      <c r="B26" s="31" t="s">
        <v>115</v>
      </c>
      <c r="C26" s="20" t="s">
        <v>115</v>
      </c>
      <c r="D26" s="20">
        <v>75</v>
      </c>
      <c r="E26" s="20">
        <v>0.9</v>
      </c>
      <c r="F26" s="20">
        <v>100</v>
      </c>
      <c r="G26" s="20">
        <v>22</v>
      </c>
      <c r="H26" s="20">
        <v>24</v>
      </c>
      <c r="I26" s="23">
        <f t="shared" si="0"/>
        <v>22.978250586152114</v>
      </c>
      <c r="J26" s="23">
        <f t="shared" si="1"/>
        <v>0.9574271077563381</v>
      </c>
      <c r="K26" s="23">
        <f t="shared" si="2"/>
        <v>2297.8250586152117</v>
      </c>
      <c r="L26" s="26">
        <f t="shared" si="3"/>
        <v>30.637667448202823</v>
      </c>
      <c r="M26" s="29">
        <f t="shared" si="4"/>
        <v>2553.1389540169016</v>
      </c>
      <c r="N26" s="20">
        <v>0</v>
      </c>
      <c r="O26" s="20">
        <v>0</v>
      </c>
      <c r="P26" s="20" t="s">
        <v>404</v>
      </c>
      <c r="Q26" s="20" t="s">
        <v>116</v>
      </c>
      <c r="R26" s="20" t="s">
        <v>109</v>
      </c>
      <c r="S26" s="20" t="s">
        <v>109</v>
      </c>
      <c r="T26" s="20"/>
      <c r="U26" s="20" t="s">
        <v>194</v>
      </c>
    </row>
    <row r="27" spans="1:21" ht="16.5">
      <c r="A27" s="20" t="s">
        <v>402</v>
      </c>
      <c r="B27" s="31" t="s">
        <v>403</v>
      </c>
      <c r="C27" s="20" t="s">
        <v>115</v>
      </c>
      <c r="D27" s="20">
        <v>50</v>
      </c>
      <c r="E27" s="20">
        <v>0.6</v>
      </c>
      <c r="F27" s="20">
        <v>100</v>
      </c>
      <c r="G27" s="20">
        <v>16</v>
      </c>
      <c r="H27" s="20">
        <v>16</v>
      </c>
      <c r="I27" s="23">
        <f t="shared" si="0"/>
        <v>16</v>
      </c>
      <c r="J27" s="23">
        <f t="shared" si="1"/>
        <v>1</v>
      </c>
      <c r="K27" s="23">
        <f t="shared" si="2"/>
        <v>1600</v>
      </c>
      <c r="L27" s="26">
        <f t="shared" si="3"/>
        <v>32</v>
      </c>
      <c r="M27" s="29">
        <f t="shared" si="4"/>
        <v>2666.666666666667</v>
      </c>
      <c r="N27" s="20">
        <v>0</v>
      </c>
      <c r="O27" s="20">
        <v>10</v>
      </c>
      <c r="P27" s="20" t="s">
        <v>414</v>
      </c>
      <c r="Q27" s="20" t="s">
        <v>406</v>
      </c>
      <c r="R27" s="20" t="s">
        <v>405</v>
      </c>
      <c r="S27" s="20" t="s">
        <v>413</v>
      </c>
      <c r="T27" s="20"/>
      <c r="U27" s="20"/>
    </row>
    <row r="28" spans="1:21" ht="16.5">
      <c r="A28" s="20" t="s">
        <v>200</v>
      </c>
      <c r="B28" s="31" t="s">
        <v>163</v>
      </c>
      <c r="C28" s="20" t="s">
        <v>115</v>
      </c>
      <c r="D28" s="20">
        <v>50</v>
      </c>
      <c r="E28" s="20">
        <v>0.6</v>
      </c>
      <c r="F28" s="20">
        <v>100</v>
      </c>
      <c r="G28" s="20">
        <v>14</v>
      </c>
      <c r="H28" s="20">
        <v>18</v>
      </c>
      <c r="I28" s="23">
        <f t="shared" si="0"/>
        <v>15.874507866387544</v>
      </c>
      <c r="J28" s="23">
        <f t="shared" si="1"/>
        <v>0.88191710368819687</v>
      </c>
      <c r="K28" s="23">
        <f t="shared" si="2"/>
        <v>1587.4507866387544</v>
      </c>
      <c r="L28" s="26">
        <f t="shared" si="3"/>
        <v>31.749015732775089</v>
      </c>
      <c r="M28" s="29">
        <f t="shared" si="4"/>
        <v>2645.7513110645909</v>
      </c>
      <c r="N28" s="20">
        <v>12</v>
      </c>
      <c r="O28" s="20">
        <v>0</v>
      </c>
      <c r="P28" s="20" t="s">
        <v>189</v>
      </c>
      <c r="Q28" s="20" t="s">
        <v>190</v>
      </c>
      <c r="R28" s="20" t="s">
        <v>191</v>
      </c>
      <c r="S28" s="20" t="s">
        <v>265</v>
      </c>
      <c r="T28" s="20"/>
      <c r="U28" s="20" t="s">
        <v>140</v>
      </c>
    </row>
    <row r="29" spans="1:21" ht="16.5">
      <c r="A29" s="20" t="s">
        <v>232</v>
      </c>
      <c r="B29" s="31" t="s">
        <v>227</v>
      </c>
      <c r="C29" s="20" t="s">
        <v>225</v>
      </c>
      <c r="D29" s="20">
        <v>400</v>
      </c>
      <c r="E29" s="20">
        <v>2.94</v>
      </c>
      <c r="F29" s="20">
        <v>25</v>
      </c>
      <c r="G29" s="20">
        <v>250</v>
      </c>
      <c r="H29" s="20">
        <v>50</v>
      </c>
      <c r="I29" s="23">
        <f t="shared" si="0"/>
        <v>111.80339887498948</v>
      </c>
      <c r="J29" s="23">
        <f t="shared" si="1"/>
        <v>2.2360679774997898</v>
      </c>
      <c r="K29" s="23">
        <f t="shared" si="2"/>
        <v>2795.0849718747372</v>
      </c>
      <c r="L29" s="26">
        <f t="shared" si="3"/>
        <v>6.9877124296868427</v>
      </c>
      <c r="M29" s="29">
        <f t="shared" si="4"/>
        <v>950.70917410705351</v>
      </c>
      <c r="N29" s="20">
        <v>0</v>
      </c>
      <c r="O29" s="20">
        <v>0</v>
      </c>
      <c r="P29" s="20" t="s">
        <v>228</v>
      </c>
      <c r="Q29" s="20" t="s">
        <v>176</v>
      </c>
      <c r="R29" s="20" t="s">
        <v>229</v>
      </c>
      <c r="S29" s="20" t="s">
        <v>276</v>
      </c>
      <c r="T29" s="20" t="s">
        <v>240</v>
      </c>
      <c r="U29" s="20" t="s">
        <v>140</v>
      </c>
    </row>
    <row r="30" spans="1:21" ht="33">
      <c r="A30" s="20" t="s">
        <v>287</v>
      </c>
      <c r="B30" s="31" t="s">
        <v>309</v>
      </c>
      <c r="C30" s="20" t="s">
        <v>289</v>
      </c>
      <c r="D30" s="20">
        <v>63</v>
      </c>
      <c r="E30" s="20">
        <v>0.63</v>
      </c>
      <c r="F30" s="20">
        <v>100</v>
      </c>
      <c r="G30" s="20">
        <v>30</v>
      </c>
      <c r="H30" s="20">
        <v>30</v>
      </c>
      <c r="I30" s="23">
        <f t="shared" si="0"/>
        <v>30</v>
      </c>
      <c r="J30" s="23">
        <f t="shared" si="1"/>
        <v>1</v>
      </c>
      <c r="K30" s="23">
        <f t="shared" si="2"/>
        <v>3000</v>
      </c>
      <c r="L30" s="26">
        <f t="shared" si="3"/>
        <v>47.61904761904762</v>
      </c>
      <c r="M30" s="29">
        <f t="shared" si="4"/>
        <v>4761.9047619047615</v>
      </c>
      <c r="N30" s="20">
        <v>40</v>
      </c>
      <c r="O30" s="20">
        <v>40</v>
      </c>
      <c r="P30" s="20" t="s">
        <v>134</v>
      </c>
      <c r="Q30" s="20" t="s">
        <v>135</v>
      </c>
      <c r="R30" s="20" t="s">
        <v>136</v>
      </c>
      <c r="S30" s="20" t="s">
        <v>137</v>
      </c>
      <c r="T30" s="20"/>
      <c r="U30" s="20" t="s">
        <v>194</v>
      </c>
    </row>
    <row r="31" spans="1:21">
      <c r="A31" s="20" t="s">
        <v>200</v>
      </c>
      <c r="B31" s="31" t="s">
        <v>139</v>
      </c>
      <c r="C31" s="20" t="s">
        <v>106</v>
      </c>
      <c r="D31" s="20">
        <v>81</v>
      </c>
      <c r="E31" s="20">
        <v>0.81</v>
      </c>
      <c r="F31" s="20">
        <v>100</v>
      </c>
      <c r="G31" s="20">
        <v>20</v>
      </c>
      <c r="H31" s="20">
        <v>16</v>
      </c>
      <c r="I31" s="23">
        <f t="shared" si="0"/>
        <v>17.888543819998318</v>
      </c>
      <c r="J31" s="23">
        <f t="shared" si="1"/>
        <v>1.1180339887498949</v>
      </c>
      <c r="K31" s="23">
        <f t="shared" si="2"/>
        <v>1788.8543819998317</v>
      </c>
      <c r="L31" s="26">
        <f t="shared" si="3"/>
        <v>22.084621999997921</v>
      </c>
      <c r="M31" s="29">
        <f t="shared" si="4"/>
        <v>2208.4621999997921</v>
      </c>
      <c r="N31" s="20">
        <v>20</v>
      </c>
      <c r="O31" s="20">
        <v>10</v>
      </c>
      <c r="P31" s="20" t="s">
        <v>165</v>
      </c>
      <c r="Q31" s="20" t="s">
        <v>116</v>
      </c>
      <c r="R31" s="20" t="s">
        <v>2</v>
      </c>
      <c r="S31" s="20" t="s">
        <v>241</v>
      </c>
      <c r="T31" s="20"/>
      <c r="U31" s="20" t="s">
        <v>194</v>
      </c>
    </row>
    <row r="32" spans="1:21">
      <c r="A32" s="20" t="s">
        <v>200</v>
      </c>
      <c r="B32" s="31" t="s">
        <v>148</v>
      </c>
      <c r="C32" s="20" t="s">
        <v>106</v>
      </c>
      <c r="D32" s="20">
        <v>54</v>
      </c>
      <c r="E32" s="20">
        <v>0.54</v>
      </c>
      <c r="F32" s="20">
        <v>100</v>
      </c>
      <c r="G32" s="20">
        <v>18</v>
      </c>
      <c r="H32" s="20">
        <v>14</v>
      </c>
      <c r="I32" s="23">
        <f t="shared" si="0"/>
        <v>15.874507866387544</v>
      </c>
      <c r="J32" s="23">
        <f t="shared" si="1"/>
        <v>1.1338934190276817</v>
      </c>
      <c r="K32" s="23">
        <f t="shared" si="2"/>
        <v>1587.4507866387544</v>
      </c>
      <c r="L32" s="26">
        <f t="shared" si="3"/>
        <v>29.397236789606563</v>
      </c>
      <c r="M32" s="29">
        <f t="shared" si="4"/>
        <v>2939.7236789606559</v>
      </c>
      <c r="N32" s="20">
        <v>0</v>
      </c>
      <c r="O32" s="20">
        <v>20</v>
      </c>
      <c r="P32" s="20" t="s">
        <v>107</v>
      </c>
      <c r="Q32" s="20" t="s">
        <v>169</v>
      </c>
      <c r="R32" s="20" t="s">
        <v>109</v>
      </c>
      <c r="S32" s="20" t="s">
        <v>248</v>
      </c>
      <c r="T32" s="20"/>
      <c r="U32" s="20" t="s">
        <v>140</v>
      </c>
    </row>
    <row r="33" spans="1:21">
      <c r="A33" s="20" t="s">
        <v>200</v>
      </c>
      <c r="B33" s="31" t="s">
        <v>160</v>
      </c>
      <c r="C33" s="20" t="s">
        <v>106</v>
      </c>
      <c r="D33" s="20">
        <v>45</v>
      </c>
      <c r="E33" s="20">
        <v>0.45</v>
      </c>
      <c r="F33" s="20">
        <v>100</v>
      </c>
      <c r="G33" s="20">
        <v>10</v>
      </c>
      <c r="H33" s="20">
        <v>24</v>
      </c>
      <c r="I33" s="23">
        <f t="shared" si="0"/>
        <v>15.491933384829668</v>
      </c>
      <c r="J33" s="23">
        <f t="shared" si="1"/>
        <v>0.6454972243679028</v>
      </c>
      <c r="K33" s="23">
        <f t="shared" si="2"/>
        <v>1549.1933384829667</v>
      </c>
      <c r="L33" s="26">
        <f t="shared" si="3"/>
        <v>34.426518632954817</v>
      </c>
      <c r="M33" s="29">
        <f t="shared" si="4"/>
        <v>3442.6518632954817</v>
      </c>
      <c r="N33" s="20">
        <v>0</v>
      </c>
      <c r="O33" s="20">
        <v>40</v>
      </c>
      <c r="P33" s="20" t="s">
        <v>107</v>
      </c>
      <c r="Q33" s="20" t="s">
        <v>109</v>
      </c>
      <c r="R33" s="20" t="s">
        <v>109</v>
      </c>
      <c r="S33" s="20" t="s">
        <v>262</v>
      </c>
      <c r="T33" s="20"/>
      <c r="U33" s="20" t="s">
        <v>140</v>
      </c>
    </row>
    <row r="34" spans="1:21">
      <c r="A34" s="20" t="s">
        <v>200</v>
      </c>
      <c r="B34" s="31" t="s">
        <v>147</v>
      </c>
      <c r="C34" s="20" t="s">
        <v>106</v>
      </c>
      <c r="D34" s="20">
        <v>45</v>
      </c>
      <c r="E34" s="20">
        <v>0.45</v>
      </c>
      <c r="F34" s="20">
        <v>100</v>
      </c>
      <c r="G34" s="20">
        <v>13</v>
      </c>
      <c r="H34" s="20">
        <v>18</v>
      </c>
      <c r="I34" s="23">
        <f t="shared" si="0"/>
        <v>15.297058540778355</v>
      </c>
      <c r="J34" s="23">
        <f t="shared" si="1"/>
        <v>0.84983658559879749</v>
      </c>
      <c r="K34" s="23">
        <f t="shared" si="2"/>
        <v>1529.7058540778355</v>
      </c>
      <c r="L34" s="26">
        <f t="shared" si="3"/>
        <v>33.993463423951901</v>
      </c>
      <c r="M34" s="29">
        <f t="shared" si="4"/>
        <v>3399.3463423951898</v>
      </c>
      <c r="N34" s="20">
        <v>0</v>
      </c>
      <c r="O34" s="20">
        <v>16</v>
      </c>
      <c r="P34" s="20" t="s">
        <v>168</v>
      </c>
      <c r="Q34" s="20" t="s">
        <v>109</v>
      </c>
      <c r="R34" s="20" t="s">
        <v>109</v>
      </c>
      <c r="S34" s="20" t="s">
        <v>247</v>
      </c>
      <c r="T34" s="20"/>
      <c r="U34" s="20" t="s">
        <v>146</v>
      </c>
    </row>
    <row r="35" spans="1:21">
      <c r="A35" s="20" t="s">
        <v>200</v>
      </c>
      <c r="B35" s="31" t="s">
        <v>149</v>
      </c>
      <c r="C35" s="20" t="s">
        <v>106</v>
      </c>
      <c r="D35" s="20">
        <v>45</v>
      </c>
      <c r="E35" s="20">
        <v>0.45</v>
      </c>
      <c r="F35" s="20">
        <v>100</v>
      </c>
      <c r="G35" s="20">
        <v>12</v>
      </c>
      <c r="H35" s="20">
        <v>16</v>
      </c>
      <c r="I35" s="23">
        <f t="shared" si="0"/>
        <v>13.856406460551018</v>
      </c>
      <c r="J35" s="23">
        <f t="shared" si="1"/>
        <v>0.8660254037844386</v>
      </c>
      <c r="K35" s="23">
        <f t="shared" si="2"/>
        <v>1385.6406460551018</v>
      </c>
      <c r="L35" s="26">
        <f t="shared" si="3"/>
        <v>30.79201435678004</v>
      </c>
      <c r="M35" s="29">
        <f t="shared" si="4"/>
        <v>3079.2014356780037</v>
      </c>
      <c r="N35" s="20">
        <v>0</v>
      </c>
      <c r="O35" s="20">
        <v>20</v>
      </c>
      <c r="P35" s="20" t="s">
        <v>107</v>
      </c>
      <c r="Q35" s="20" t="s">
        <v>116</v>
      </c>
      <c r="R35" s="20" t="s">
        <v>109</v>
      </c>
      <c r="S35" s="20" t="s">
        <v>249</v>
      </c>
      <c r="T35" s="20"/>
      <c r="U35" s="20" t="s">
        <v>140</v>
      </c>
    </row>
    <row r="36" spans="1:21">
      <c r="A36" s="20" t="s">
        <v>127</v>
      </c>
      <c r="B36" s="31" t="s">
        <v>105</v>
      </c>
      <c r="C36" s="20" t="s">
        <v>300</v>
      </c>
      <c r="D36" s="20">
        <v>45</v>
      </c>
      <c r="E36" s="20">
        <v>0.45</v>
      </c>
      <c r="F36" s="20">
        <v>100</v>
      </c>
      <c r="G36" s="20">
        <v>10</v>
      </c>
      <c r="H36" s="20">
        <v>16</v>
      </c>
      <c r="I36" s="23">
        <f t="shared" ref="I36:I67" si="5">SQRT(G36*H36)</f>
        <v>12.649110640673518</v>
      </c>
      <c r="J36" s="23">
        <f t="shared" ref="J36:J58" si="6">SQRT(G36/H36)</f>
        <v>0.79056941504209488</v>
      </c>
      <c r="K36" s="23">
        <f t="shared" ref="K36:K58" si="7">I36*F36</f>
        <v>1264.9110640673518</v>
      </c>
      <c r="L36" s="26">
        <f t="shared" ref="L36:L67" si="8">K36/D36</f>
        <v>28.109134757052264</v>
      </c>
      <c r="M36" s="29">
        <f t="shared" ref="M36:M58" si="9">K36/E36</f>
        <v>2810.9134757052261</v>
      </c>
      <c r="N36" s="20">
        <v>10</v>
      </c>
      <c r="O36" s="20">
        <v>16</v>
      </c>
      <c r="P36" s="20" t="s">
        <v>107</v>
      </c>
      <c r="Q36" s="20" t="s">
        <v>108</v>
      </c>
      <c r="R36" s="20" t="s">
        <v>109</v>
      </c>
      <c r="S36" s="20" t="s">
        <v>109</v>
      </c>
      <c r="T36" s="20"/>
      <c r="U36" s="20" t="s">
        <v>194</v>
      </c>
    </row>
    <row r="37" spans="1:21" ht="16.5">
      <c r="A37" s="20" t="s">
        <v>231</v>
      </c>
      <c r="B37" s="31" t="s">
        <v>208</v>
      </c>
      <c r="C37" s="20" t="s">
        <v>300</v>
      </c>
      <c r="D37" s="20">
        <v>54</v>
      </c>
      <c r="E37" s="20">
        <v>0.54</v>
      </c>
      <c r="F37" s="20">
        <v>100</v>
      </c>
      <c r="G37" s="20">
        <v>10</v>
      </c>
      <c r="H37" s="20">
        <v>12</v>
      </c>
      <c r="I37" s="23">
        <f t="shared" si="5"/>
        <v>10.954451150103322</v>
      </c>
      <c r="J37" s="23">
        <f t="shared" si="6"/>
        <v>0.9128709291752769</v>
      </c>
      <c r="K37" s="23">
        <f t="shared" si="7"/>
        <v>1095.4451150103323</v>
      </c>
      <c r="L37" s="26">
        <f t="shared" si="8"/>
        <v>20.286020648339488</v>
      </c>
      <c r="M37" s="29">
        <f t="shared" si="9"/>
        <v>2028.6020648339486</v>
      </c>
      <c r="N37" s="20">
        <v>15</v>
      </c>
      <c r="O37" s="20">
        <v>20</v>
      </c>
      <c r="P37" s="20" t="s">
        <v>107</v>
      </c>
      <c r="Q37" s="20" t="s">
        <v>211</v>
      </c>
      <c r="R37" s="20" t="s">
        <v>109</v>
      </c>
      <c r="S37" s="20" t="s">
        <v>270</v>
      </c>
      <c r="T37" s="20" t="s">
        <v>209</v>
      </c>
      <c r="U37" s="20" t="s">
        <v>140</v>
      </c>
    </row>
    <row r="38" spans="1:21" ht="24.75">
      <c r="A38" s="20" t="s">
        <v>231</v>
      </c>
      <c r="B38" s="31" t="s">
        <v>202</v>
      </c>
      <c r="C38" s="20" t="s">
        <v>112</v>
      </c>
      <c r="D38" s="20">
        <v>111</v>
      </c>
      <c r="E38" s="20">
        <v>1.36</v>
      </c>
      <c r="F38" s="20">
        <v>100</v>
      </c>
      <c r="G38" s="20">
        <v>40</v>
      </c>
      <c r="H38" s="20">
        <v>15</v>
      </c>
      <c r="I38" s="23">
        <f t="shared" si="5"/>
        <v>24.494897427831781</v>
      </c>
      <c r="J38" s="23">
        <f t="shared" si="6"/>
        <v>1.6329931618554521</v>
      </c>
      <c r="K38" s="23">
        <f t="shared" si="7"/>
        <v>2449.4897427831779</v>
      </c>
      <c r="L38" s="26">
        <f t="shared" si="8"/>
        <v>22.067475160208812</v>
      </c>
      <c r="M38" s="29">
        <f t="shared" si="9"/>
        <v>1801.0953991052777</v>
      </c>
      <c r="N38" s="20">
        <v>40</v>
      </c>
      <c r="O38" s="20">
        <v>15</v>
      </c>
      <c r="P38" s="20" t="s">
        <v>110</v>
      </c>
      <c r="Q38" s="20" t="s">
        <v>124</v>
      </c>
      <c r="R38" s="20" t="s">
        <v>114</v>
      </c>
      <c r="S38" s="20" t="s">
        <v>266</v>
      </c>
      <c r="T38" s="20" t="s">
        <v>203</v>
      </c>
      <c r="U38" s="20" t="s">
        <v>157</v>
      </c>
    </row>
    <row r="39" spans="1:21" ht="16.5">
      <c r="A39" s="20" t="s">
        <v>200</v>
      </c>
      <c r="B39" s="31" t="s">
        <v>407</v>
      </c>
      <c r="C39" s="20" t="s">
        <v>408</v>
      </c>
      <c r="D39" s="20">
        <v>94</v>
      </c>
      <c r="E39" s="20">
        <v>0.92</v>
      </c>
      <c r="F39" s="20">
        <v>100</v>
      </c>
      <c r="G39" s="20">
        <v>25</v>
      </c>
      <c r="H39" s="20">
        <v>15</v>
      </c>
      <c r="I39" s="23">
        <f t="shared" si="5"/>
        <v>19.364916731037084</v>
      </c>
      <c r="J39" s="23">
        <f t="shared" si="6"/>
        <v>1.2909944487358056</v>
      </c>
      <c r="K39" s="23">
        <f t="shared" si="7"/>
        <v>1936.4916731037083</v>
      </c>
      <c r="L39" s="26">
        <f t="shared" si="8"/>
        <v>20.600975245784131</v>
      </c>
      <c r="M39" s="29">
        <f t="shared" si="9"/>
        <v>2104.8822533735961</v>
      </c>
      <c r="N39" s="20">
        <v>30</v>
      </c>
      <c r="O39" s="20">
        <v>30</v>
      </c>
      <c r="P39" s="20" t="s">
        <v>409</v>
      </c>
      <c r="Q39" s="20" t="s">
        <v>410</v>
      </c>
      <c r="R39" s="20" t="s">
        <v>411</v>
      </c>
      <c r="S39" s="20" t="s">
        <v>412</v>
      </c>
      <c r="T39" s="20"/>
      <c r="U39" s="20"/>
    </row>
    <row r="40" spans="1:21" ht="16.5">
      <c r="A40" s="20" t="s">
        <v>200</v>
      </c>
      <c r="B40" s="31" t="s">
        <v>153</v>
      </c>
      <c r="C40" s="20" t="s">
        <v>112</v>
      </c>
      <c r="D40" s="20">
        <v>110.5</v>
      </c>
      <c r="E40" s="20">
        <v>1.36</v>
      </c>
      <c r="F40" s="20">
        <v>100</v>
      </c>
      <c r="G40" s="20">
        <v>25</v>
      </c>
      <c r="H40" s="20">
        <v>15</v>
      </c>
      <c r="I40" s="23">
        <f t="shared" si="5"/>
        <v>19.364916731037084</v>
      </c>
      <c r="J40" s="23">
        <f t="shared" si="6"/>
        <v>1.2909944487358056</v>
      </c>
      <c r="K40" s="23">
        <f t="shared" si="7"/>
        <v>1936.4916731037083</v>
      </c>
      <c r="L40" s="26">
        <f t="shared" si="8"/>
        <v>17.524811521300528</v>
      </c>
      <c r="M40" s="29">
        <f t="shared" si="9"/>
        <v>1423.8909361056678</v>
      </c>
      <c r="N40" s="20">
        <v>60</v>
      </c>
      <c r="O40" s="20">
        <v>20</v>
      </c>
      <c r="P40" s="20" t="s">
        <v>110</v>
      </c>
      <c r="Q40" s="20" t="s">
        <v>113</v>
      </c>
      <c r="R40" s="20" t="s">
        <v>114</v>
      </c>
      <c r="S40" s="20" t="s">
        <v>253</v>
      </c>
      <c r="T40" s="20"/>
      <c r="U40" s="20" t="s">
        <v>154</v>
      </c>
    </row>
    <row r="41" spans="1:21" ht="16.5">
      <c r="A41" s="20" t="s">
        <v>232</v>
      </c>
      <c r="B41" s="31" t="s">
        <v>214</v>
      </c>
      <c r="C41" s="20" t="s">
        <v>112</v>
      </c>
      <c r="D41" s="20">
        <v>85</v>
      </c>
      <c r="E41" s="20">
        <v>1.1499999999999999</v>
      </c>
      <c r="F41" s="20">
        <v>100</v>
      </c>
      <c r="G41" s="20">
        <v>22</v>
      </c>
      <c r="H41" s="20">
        <v>16</v>
      </c>
      <c r="I41" s="23">
        <f t="shared" si="5"/>
        <v>18.761663039293719</v>
      </c>
      <c r="J41" s="23">
        <f t="shared" si="6"/>
        <v>1.1726039399558574</v>
      </c>
      <c r="K41" s="23">
        <f t="shared" si="7"/>
        <v>1876.1663039293719</v>
      </c>
      <c r="L41" s="26">
        <f t="shared" si="8"/>
        <v>22.072544752110257</v>
      </c>
      <c r="M41" s="29">
        <f t="shared" si="9"/>
        <v>1631.4489599385845</v>
      </c>
      <c r="N41" s="20">
        <v>30</v>
      </c>
      <c r="O41" s="20">
        <v>50</v>
      </c>
      <c r="P41" s="20" t="s">
        <v>110</v>
      </c>
      <c r="Q41" s="20" t="s">
        <v>215</v>
      </c>
      <c r="R41" s="20" t="s">
        <v>216</v>
      </c>
      <c r="S41" s="20" t="s">
        <v>271</v>
      </c>
      <c r="T41" s="20" t="s">
        <v>235</v>
      </c>
      <c r="U41" s="20" t="s">
        <v>140</v>
      </c>
    </row>
    <row r="42" spans="1:21" ht="16.5">
      <c r="A42" s="20" t="s">
        <v>127</v>
      </c>
      <c r="B42" s="31" t="s">
        <v>112</v>
      </c>
      <c r="C42" s="20" t="s">
        <v>112</v>
      </c>
      <c r="D42" s="20">
        <v>85</v>
      </c>
      <c r="E42" s="20">
        <v>1.05</v>
      </c>
      <c r="F42" s="20">
        <v>100</v>
      </c>
      <c r="G42" s="20">
        <v>22</v>
      </c>
      <c r="H42" s="20">
        <v>15</v>
      </c>
      <c r="I42" s="23">
        <f t="shared" si="5"/>
        <v>18.165902124584949</v>
      </c>
      <c r="J42" s="23">
        <f t="shared" si="6"/>
        <v>1.2110601416389966</v>
      </c>
      <c r="K42" s="23">
        <f t="shared" si="7"/>
        <v>1816.590212458495</v>
      </c>
      <c r="L42" s="26">
        <f t="shared" si="8"/>
        <v>21.371649558335235</v>
      </c>
      <c r="M42" s="29">
        <f t="shared" si="9"/>
        <v>1730.085916627138</v>
      </c>
      <c r="N42" s="20">
        <v>30</v>
      </c>
      <c r="O42" s="20">
        <v>30</v>
      </c>
      <c r="P42" s="20" t="s">
        <v>197</v>
      </c>
      <c r="Q42" s="20" t="s">
        <v>113</v>
      </c>
      <c r="R42" s="20" t="s">
        <v>114</v>
      </c>
      <c r="S42" s="20" t="s">
        <v>136</v>
      </c>
      <c r="T42" s="20"/>
      <c r="U42" s="20" t="s">
        <v>194</v>
      </c>
    </row>
    <row r="43" spans="1:21" ht="16.5">
      <c r="A43" s="20" t="s">
        <v>232</v>
      </c>
      <c r="B43" s="31" t="s">
        <v>217</v>
      </c>
      <c r="C43" s="20" t="s">
        <v>112</v>
      </c>
      <c r="D43" s="20">
        <v>90</v>
      </c>
      <c r="E43" s="20">
        <v>1.1499999999999999</v>
      </c>
      <c r="F43" s="20">
        <v>100</v>
      </c>
      <c r="G43" s="20">
        <v>22</v>
      </c>
      <c r="H43" s="20">
        <v>15</v>
      </c>
      <c r="I43" s="23">
        <f t="shared" si="5"/>
        <v>18.165902124584949</v>
      </c>
      <c r="J43" s="23">
        <f t="shared" si="6"/>
        <v>1.2110601416389966</v>
      </c>
      <c r="K43" s="23">
        <f t="shared" si="7"/>
        <v>1816.590212458495</v>
      </c>
      <c r="L43" s="26">
        <f t="shared" si="8"/>
        <v>20.184335693983279</v>
      </c>
      <c r="M43" s="29">
        <f t="shared" si="9"/>
        <v>1579.643663007387</v>
      </c>
      <c r="N43" s="20">
        <v>30</v>
      </c>
      <c r="O43" s="20">
        <v>30</v>
      </c>
      <c r="P43" s="20" t="s">
        <v>409</v>
      </c>
      <c r="Q43" s="20" t="s">
        <v>219</v>
      </c>
      <c r="R43" s="20" t="s">
        <v>114</v>
      </c>
      <c r="S43" s="20" t="s">
        <v>272</v>
      </c>
      <c r="T43" s="20" t="s">
        <v>236</v>
      </c>
      <c r="U43" s="20" t="s">
        <v>140</v>
      </c>
    </row>
    <row r="44" spans="1:21" ht="16.5">
      <c r="A44" s="20" t="s">
        <v>232</v>
      </c>
      <c r="B44" s="31" t="s">
        <v>220</v>
      </c>
      <c r="C44" s="20" t="s">
        <v>112</v>
      </c>
      <c r="D44" s="20">
        <v>94</v>
      </c>
      <c r="E44" s="20">
        <v>0.92</v>
      </c>
      <c r="F44" s="20">
        <v>100</v>
      </c>
      <c r="G44" s="20">
        <v>22</v>
      </c>
      <c r="H44" s="20">
        <v>15</v>
      </c>
      <c r="I44" s="23">
        <f t="shared" si="5"/>
        <v>18.165902124584949</v>
      </c>
      <c r="J44" s="23">
        <f t="shared" si="6"/>
        <v>1.2110601416389966</v>
      </c>
      <c r="K44" s="23">
        <f t="shared" si="7"/>
        <v>1816.590212458495</v>
      </c>
      <c r="L44" s="26">
        <f t="shared" si="8"/>
        <v>19.32542779211165</v>
      </c>
      <c r="M44" s="29">
        <f t="shared" si="9"/>
        <v>1974.5545787592337</v>
      </c>
      <c r="N44" s="20">
        <v>52</v>
      </c>
      <c r="O44" s="20">
        <v>30</v>
      </c>
      <c r="P44" s="20" t="s">
        <v>110</v>
      </c>
      <c r="Q44" s="20" t="s">
        <v>221</v>
      </c>
      <c r="R44" s="20" t="s">
        <v>216</v>
      </c>
      <c r="S44" s="20" t="s">
        <v>273</v>
      </c>
      <c r="T44" s="20" t="s">
        <v>237</v>
      </c>
      <c r="U44" s="20" t="s">
        <v>157</v>
      </c>
    </row>
    <row r="45" spans="1:21" ht="16.5">
      <c r="A45" s="20" t="s">
        <v>232</v>
      </c>
      <c r="B45" s="31" t="s">
        <v>222</v>
      </c>
      <c r="C45" s="20" t="s">
        <v>387</v>
      </c>
      <c r="D45" s="20">
        <v>85</v>
      </c>
      <c r="E45" s="20">
        <v>0.84</v>
      </c>
      <c r="F45" s="20">
        <v>100</v>
      </c>
      <c r="G45" s="20">
        <v>22</v>
      </c>
      <c r="H45" s="20">
        <v>15</v>
      </c>
      <c r="I45" s="23">
        <f t="shared" si="5"/>
        <v>18.165902124584949</v>
      </c>
      <c r="J45" s="23">
        <f t="shared" si="6"/>
        <v>1.2110601416389966</v>
      </c>
      <c r="K45" s="23">
        <f t="shared" si="7"/>
        <v>1816.590212458495</v>
      </c>
      <c r="L45" s="26">
        <f t="shared" si="8"/>
        <v>21.371649558335235</v>
      </c>
      <c r="M45" s="29">
        <f t="shared" si="9"/>
        <v>2162.6073957839226</v>
      </c>
      <c r="N45" s="20">
        <v>20</v>
      </c>
      <c r="O45" s="20">
        <v>20</v>
      </c>
      <c r="P45" s="20" t="s">
        <v>112</v>
      </c>
      <c r="Q45" s="20" t="s">
        <v>223</v>
      </c>
      <c r="R45" s="20" t="s">
        <v>120</v>
      </c>
      <c r="S45" s="20" t="s">
        <v>274</v>
      </c>
      <c r="T45" s="20" t="s">
        <v>238</v>
      </c>
      <c r="U45" s="20" t="s">
        <v>140</v>
      </c>
    </row>
    <row r="46" spans="1:21" ht="16.5">
      <c r="A46" s="20" t="s">
        <v>200</v>
      </c>
      <c r="B46" s="31" t="s">
        <v>150</v>
      </c>
      <c r="C46" s="20" t="s">
        <v>389</v>
      </c>
      <c r="D46" s="20">
        <v>135</v>
      </c>
      <c r="E46" s="20">
        <v>1.35</v>
      </c>
      <c r="F46" s="20">
        <v>100</v>
      </c>
      <c r="G46" s="20">
        <v>45</v>
      </c>
      <c r="H46" s="20">
        <v>20</v>
      </c>
      <c r="I46" s="23">
        <f t="shared" si="5"/>
        <v>30</v>
      </c>
      <c r="J46" s="23">
        <f t="shared" si="6"/>
        <v>1.5</v>
      </c>
      <c r="K46" s="23">
        <f t="shared" si="7"/>
        <v>3000</v>
      </c>
      <c r="L46" s="26">
        <f t="shared" si="8"/>
        <v>22.222222222222221</v>
      </c>
      <c r="M46" s="29">
        <f t="shared" si="9"/>
        <v>2222.2222222222222</v>
      </c>
      <c r="N46" s="20">
        <v>40</v>
      </c>
      <c r="O46" s="20">
        <v>30</v>
      </c>
      <c r="P46" s="20" t="s">
        <v>170</v>
      </c>
      <c r="Q46" s="20" t="s">
        <v>171</v>
      </c>
      <c r="R46" s="20" t="s">
        <v>172</v>
      </c>
      <c r="S46" s="20" t="s">
        <v>250</v>
      </c>
      <c r="T46" s="20"/>
      <c r="U46" s="20" t="s">
        <v>140</v>
      </c>
    </row>
    <row r="47" spans="1:21">
      <c r="A47" s="20" t="s">
        <v>388</v>
      </c>
      <c r="B47" s="31" t="s">
        <v>390</v>
      </c>
      <c r="C47" s="20" t="s">
        <v>389</v>
      </c>
      <c r="D47" s="20">
        <v>300</v>
      </c>
      <c r="E47" s="20">
        <v>3</v>
      </c>
      <c r="F47" s="20">
        <v>50</v>
      </c>
      <c r="G47" s="20">
        <v>90</v>
      </c>
      <c r="H47" s="20">
        <v>35</v>
      </c>
      <c r="I47" s="23">
        <f t="shared" si="5"/>
        <v>56.124860801609124</v>
      </c>
      <c r="J47" s="23">
        <f t="shared" si="6"/>
        <v>1.6035674514745464</v>
      </c>
      <c r="K47" s="23">
        <f t="shared" si="7"/>
        <v>2806.243040080456</v>
      </c>
      <c r="L47" s="26">
        <f t="shared" si="8"/>
        <v>9.354143466934854</v>
      </c>
      <c r="M47" s="29">
        <f t="shared" si="9"/>
        <v>935.4143466934853</v>
      </c>
      <c r="N47" s="20">
        <v>35</v>
      </c>
      <c r="O47" s="20">
        <v>10</v>
      </c>
      <c r="P47" s="20" t="s">
        <v>391</v>
      </c>
      <c r="Q47" s="20" t="s">
        <v>392</v>
      </c>
      <c r="R47" s="20" t="s">
        <v>393</v>
      </c>
      <c r="S47" s="20" t="s">
        <v>394</v>
      </c>
      <c r="T47" s="20"/>
      <c r="U47" s="20" t="s">
        <v>140</v>
      </c>
    </row>
    <row r="48" spans="1:21" ht="16.5">
      <c r="A48" s="20" t="s">
        <v>127</v>
      </c>
      <c r="B48" s="31" t="s">
        <v>121</v>
      </c>
      <c r="C48" s="20" t="s">
        <v>294</v>
      </c>
      <c r="D48" s="20">
        <v>88</v>
      </c>
      <c r="E48" s="20">
        <v>0.9</v>
      </c>
      <c r="F48" s="20">
        <v>100</v>
      </c>
      <c r="G48" s="20">
        <v>42</v>
      </c>
      <c r="H48" s="20">
        <v>18</v>
      </c>
      <c r="I48" s="23">
        <f t="shared" si="5"/>
        <v>27.495454169735041</v>
      </c>
      <c r="J48" s="23">
        <f t="shared" si="6"/>
        <v>1.5275252316519468</v>
      </c>
      <c r="K48" s="23">
        <f t="shared" si="7"/>
        <v>2749.545416973504</v>
      </c>
      <c r="L48" s="26">
        <f t="shared" si="8"/>
        <v>31.244834283789817</v>
      </c>
      <c r="M48" s="29">
        <f t="shared" si="9"/>
        <v>3055.0504633038931</v>
      </c>
      <c r="N48" s="20">
        <v>0</v>
      </c>
      <c r="O48" s="20">
        <v>0</v>
      </c>
      <c r="P48" s="20" t="s">
        <v>122</v>
      </c>
      <c r="Q48" s="20" t="s">
        <v>123</v>
      </c>
      <c r="R48" s="20" t="s">
        <v>281</v>
      </c>
      <c r="S48" s="20" t="s">
        <v>285</v>
      </c>
      <c r="T48" s="20"/>
      <c r="U48" s="20" t="s">
        <v>297</v>
      </c>
    </row>
    <row r="49" spans="1:21" ht="16.5">
      <c r="A49" s="20" t="s">
        <v>200</v>
      </c>
      <c r="B49" s="31" t="s">
        <v>201</v>
      </c>
      <c r="C49" s="20" t="s">
        <v>110</v>
      </c>
      <c r="D49" s="20">
        <v>66</v>
      </c>
      <c r="E49" s="20">
        <v>0.72</v>
      </c>
      <c r="F49" s="20">
        <v>100</v>
      </c>
      <c r="G49" s="20">
        <v>44</v>
      </c>
      <c r="H49" s="20">
        <v>14</v>
      </c>
      <c r="I49" s="23">
        <f t="shared" si="5"/>
        <v>24.819347291981714</v>
      </c>
      <c r="J49" s="23">
        <f t="shared" si="6"/>
        <v>1.7728105208558367</v>
      </c>
      <c r="K49" s="23">
        <f t="shared" si="7"/>
        <v>2481.9347291981712</v>
      </c>
      <c r="L49" s="26">
        <f t="shared" si="8"/>
        <v>37.605071654517744</v>
      </c>
      <c r="M49" s="29">
        <f t="shared" si="9"/>
        <v>3447.1315683307935</v>
      </c>
      <c r="N49" s="20">
        <v>0</v>
      </c>
      <c r="O49" s="20">
        <v>0</v>
      </c>
      <c r="P49" s="20" t="s">
        <v>177</v>
      </c>
      <c r="Q49" s="20" t="s">
        <v>123</v>
      </c>
      <c r="R49" s="20" t="s">
        <v>109</v>
      </c>
      <c r="S49" s="20" t="s">
        <v>254</v>
      </c>
      <c r="T49" s="20"/>
      <c r="U49" s="20" t="s">
        <v>140</v>
      </c>
    </row>
    <row r="50" spans="1:21">
      <c r="A50" s="20" t="s">
        <v>231</v>
      </c>
      <c r="B50" s="31" t="s">
        <v>204</v>
      </c>
      <c r="C50" s="20" t="s">
        <v>110</v>
      </c>
      <c r="D50" s="20">
        <v>82.5</v>
      </c>
      <c r="E50" s="20">
        <v>0.9</v>
      </c>
      <c r="F50" s="20">
        <v>100</v>
      </c>
      <c r="G50" s="20">
        <v>30</v>
      </c>
      <c r="H50" s="20">
        <v>20</v>
      </c>
      <c r="I50" s="23">
        <f t="shared" si="5"/>
        <v>24.494897427831781</v>
      </c>
      <c r="J50" s="23">
        <f t="shared" si="6"/>
        <v>1.2247448713915889</v>
      </c>
      <c r="K50" s="23">
        <f t="shared" si="7"/>
        <v>2449.4897427831779</v>
      </c>
      <c r="L50" s="26">
        <f t="shared" si="8"/>
        <v>29.690784761008217</v>
      </c>
      <c r="M50" s="29">
        <f t="shared" si="9"/>
        <v>2721.6552697590864</v>
      </c>
      <c r="N50" s="20">
        <v>0</v>
      </c>
      <c r="O50" s="20">
        <v>0</v>
      </c>
      <c r="P50" s="20" t="s">
        <v>212</v>
      </c>
      <c r="Q50" s="20" t="s">
        <v>116</v>
      </c>
      <c r="R50" s="20" t="s">
        <v>109</v>
      </c>
      <c r="S50" s="20" t="s">
        <v>267</v>
      </c>
      <c r="T50" s="20" t="s">
        <v>205</v>
      </c>
      <c r="U50" s="20" t="s">
        <v>140</v>
      </c>
    </row>
    <row r="51" spans="1:21">
      <c r="A51" s="20" t="s">
        <v>232</v>
      </c>
      <c r="B51" s="31" t="s">
        <v>224</v>
      </c>
      <c r="C51" s="20" t="s">
        <v>110</v>
      </c>
      <c r="D51" s="20">
        <v>76</v>
      </c>
      <c r="E51" s="20">
        <v>0.66</v>
      </c>
      <c r="F51" s="20">
        <v>100</v>
      </c>
      <c r="G51" s="20">
        <v>28</v>
      </c>
      <c r="H51" s="20">
        <v>16</v>
      </c>
      <c r="I51" s="23">
        <f t="shared" si="5"/>
        <v>21.166010488516726</v>
      </c>
      <c r="J51" s="23">
        <f t="shared" si="6"/>
        <v>1.3228756555322954</v>
      </c>
      <c r="K51" s="23">
        <f t="shared" si="7"/>
        <v>2116.6010488516727</v>
      </c>
      <c r="L51" s="26">
        <f t="shared" si="8"/>
        <v>27.850013800679903</v>
      </c>
      <c r="M51" s="29">
        <f t="shared" si="9"/>
        <v>3206.971286138898</v>
      </c>
      <c r="N51" s="20">
        <v>10</v>
      </c>
      <c r="O51" s="20">
        <v>10</v>
      </c>
      <c r="P51" s="20" t="s">
        <v>225</v>
      </c>
      <c r="Q51" s="20" t="s">
        <v>226</v>
      </c>
      <c r="R51" s="20" t="s">
        <v>109</v>
      </c>
      <c r="S51" s="20" t="s">
        <v>275</v>
      </c>
      <c r="T51" s="20" t="s">
        <v>239</v>
      </c>
      <c r="U51" s="20" t="s">
        <v>140</v>
      </c>
    </row>
    <row r="52" spans="1:21" ht="16.5">
      <c r="A52" s="20" t="s">
        <v>200</v>
      </c>
      <c r="B52" s="31" t="s">
        <v>196</v>
      </c>
      <c r="C52" s="20" t="s">
        <v>110</v>
      </c>
      <c r="D52" s="20">
        <v>66</v>
      </c>
      <c r="E52" s="20">
        <v>0.72</v>
      </c>
      <c r="F52" s="20">
        <v>100</v>
      </c>
      <c r="G52" s="20">
        <v>36</v>
      </c>
      <c r="H52" s="20">
        <v>12</v>
      </c>
      <c r="I52" s="23">
        <f t="shared" si="5"/>
        <v>20.784609690826528</v>
      </c>
      <c r="J52" s="23">
        <f t="shared" si="6"/>
        <v>1.7320508075688772</v>
      </c>
      <c r="K52" s="23">
        <f t="shared" si="7"/>
        <v>2078.4609690826528</v>
      </c>
      <c r="L52" s="26">
        <f t="shared" si="8"/>
        <v>31.491832864888679</v>
      </c>
      <c r="M52" s="29">
        <f t="shared" si="9"/>
        <v>2886.7513459481288</v>
      </c>
      <c r="N52" s="20">
        <v>0</v>
      </c>
      <c r="O52" s="20">
        <v>0</v>
      </c>
      <c r="P52" s="20" t="s">
        <v>177</v>
      </c>
      <c r="Q52" s="20" t="s">
        <v>123</v>
      </c>
      <c r="R52" s="20" t="s">
        <v>109</v>
      </c>
      <c r="S52" s="20" t="s">
        <v>254</v>
      </c>
      <c r="T52" s="20"/>
      <c r="U52" s="20" t="s">
        <v>140</v>
      </c>
    </row>
    <row r="53" spans="1:21" ht="16.5">
      <c r="A53" s="20" t="s">
        <v>200</v>
      </c>
      <c r="B53" s="31" t="s">
        <v>155</v>
      </c>
      <c r="C53" s="20" t="s">
        <v>110</v>
      </c>
      <c r="D53" s="20">
        <v>60.5</v>
      </c>
      <c r="E53" s="20">
        <v>0.66</v>
      </c>
      <c r="F53" s="20">
        <v>100</v>
      </c>
      <c r="G53" s="20">
        <v>30</v>
      </c>
      <c r="H53" s="20">
        <v>14</v>
      </c>
      <c r="I53" s="23">
        <f t="shared" si="5"/>
        <v>20.493901531919196</v>
      </c>
      <c r="J53" s="23">
        <f t="shared" si="6"/>
        <v>1.4638501094227998</v>
      </c>
      <c r="K53" s="23">
        <f t="shared" si="7"/>
        <v>2049.3901531919196</v>
      </c>
      <c r="L53" s="26">
        <f t="shared" si="8"/>
        <v>33.874217408130903</v>
      </c>
      <c r="M53" s="29">
        <f t="shared" si="9"/>
        <v>3105.1365957453327</v>
      </c>
      <c r="N53" s="20">
        <v>10</v>
      </c>
      <c r="O53" s="20">
        <v>10</v>
      </c>
      <c r="P53" s="20" t="s">
        <v>106</v>
      </c>
      <c r="Q53" s="20" t="s">
        <v>174</v>
      </c>
      <c r="R53" s="20" t="s">
        <v>109</v>
      </c>
      <c r="S53" s="20" t="s">
        <v>255</v>
      </c>
      <c r="T53" s="20"/>
      <c r="U53" s="20" t="s">
        <v>140</v>
      </c>
    </row>
    <row r="54" spans="1:21">
      <c r="A54" s="20" t="s">
        <v>200</v>
      </c>
      <c r="B54" s="31" t="s">
        <v>142</v>
      </c>
      <c r="C54" s="20" t="s">
        <v>110</v>
      </c>
      <c r="D54" s="20">
        <v>55</v>
      </c>
      <c r="E54" s="20">
        <v>0.66</v>
      </c>
      <c r="F54" s="20">
        <v>100</v>
      </c>
      <c r="G54" s="20">
        <v>30</v>
      </c>
      <c r="H54" s="20">
        <v>12</v>
      </c>
      <c r="I54" s="23">
        <f t="shared" si="5"/>
        <v>18.973665961010276</v>
      </c>
      <c r="J54" s="23">
        <f t="shared" si="6"/>
        <v>1.5811388300841898</v>
      </c>
      <c r="K54" s="23">
        <f t="shared" si="7"/>
        <v>1897.3665961010277</v>
      </c>
      <c r="L54" s="26">
        <f t="shared" si="8"/>
        <v>34.497574474564139</v>
      </c>
      <c r="M54" s="29">
        <f t="shared" si="9"/>
        <v>2874.7978728803446</v>
      </c>
      <c r="N54" s="20">
        <v>5</v>
      </c>
      <c r="O54" s="20">
        <v>0</v>
      </c>
      <c r="P54" s="20" t="s">
        <v>106</v>
      </c>
      <c r="Q54" s="20" t="s">
        <v>166</v>
      </c>
      <c r="R54" s="20" t="s">
        <v>109</v>
      </c>
      <c r="S54" s="20" t="s">
        <v>243</v>
      </c>
      <c r="T54" s="20"/>
      <c r="U54" s="20" t="s">
        <v>140</v>
      </c>
    </row>
    <row r="55" spans="1:21" ht="16.5">
      <c r="A55" s="20" t="s">
        <v>200</v>
      </c>
      <c r="B55" s="31" t="s">
        <v>162</v>
      </c>
      <c r="C55" s="20" t="s">
        <v>110</v>
      </c>
      <c r="D55" s="20">
        <v>61</v>
      </c>
      <c r="E55" s="20">
        <v>0.66</v>
      </c>
      <c r="F55" s="20">
        <v>100</v>
      </c>
      <c r="G55" s="20">
        <v>18</v>
      </c>
      <c r="H55" s="20">
        <v>20</v>
      </c>
      <c r="I55" s="23">
        <f t="shared" si="5"/>
        <v>18.973665961010276</v>
      </c>
      <c r="J55" s="23">
        <f t="shared" si="6"/>
        <v>0.94868329805051377</v>
      </c>
      <c r="K55" s="23">
        <f t="shared" si="7"/>
        <v>1897.3665961010277</v>
      </c>
      <c r="L55" s="26">
        <f t="shared" si="8"/>
        <v>31.104370427885698</v>
      </c>
      <c r="M55" s="29">
        <f t="shared" si="9"/>
        <v>2874.7978728803446</v>
      </c>
      <c r="N55" s="20">
        <v>0</v>
      </c>
      <c r="O55" s="20">
        <v>22</v>
      </c>
      <c r="P55" s="20" t="s">
        <v>106</v>
      </c>
      <c r="Q55" s="20" t="s">
        <v>188</v>
      </c>
      <c r="R55" s="20" t="s">
        <v>109</v>
      </c>
      <c r="S55" s="20" t="s">
        <v>264</v>
      </c>
      <c r="T55" s="20"/>
      <c r="U55" s="20" t="s">
        <v>140</v>
      </c>
    </row>
    <row r="56" spans="1:21" ht="16.5">
      <c r="A56" s="20" t="s">
        <v>200</v>
      </c>
      <c r="B56" s="31" t="s">
        <v>199</v>
      </c>
      <c r="C56" s="20" t="s">
        <v>110</v>
      </c>
      <c r="D56" s="20">
        <v>66</v>
      </c>
      <c r="E56" s="20">
        <v>0.72</v>
      </c>
      <c r="F56" s="20">
        <v>100</v>
      </c>
      <c r="G56" s="20">
        <v>28</v>
      </c>
      <c r="H56" s="20">
        <v>10</v>
      </c>
      <c r="I56" s="23">
        <f t="shared" si="5"/>
        <v>16.733200530681511</v>
      </c>
      <c r="J56" s="23">
        <f t="shared" si="6"/>
        <v>1.6733200530681511</v>
      </c>
      <c r="K56" s="23">
        <f t="shared" si="7"/>
        <v>1673.3200530681511</v>
      </c>
      <c r="L56" s="26">
        <f t="shared" si="8"/>
        <v>25.353334137396228</v>
      </c>
      <c r="M56" s="29">
        <f t="shared" si="9"/>
        <v>2324.055629261321</v>
      </c>
      <c r="N56" s="20">
        <v>0</v>
      </c>
      <c r="O56" s="20">
        <v>0</v>
      </c>
      <c r="P56" s="20" t="s">
        <v>177</v>
      </c>
      <c r="Q56" s="20" t="s">
        <v>123</v>
      </c>
      <c r="R56" s="20" t="s">
        <v>109</v>
      </c>
      <c r="S56" s="20" t="s">
        <v>254</v>
      </c>
      <c r="T56" s="20"/>
      <c r="U56" s="20" t="s">
        <v>140</v>
      </c>
    </row>
    <row r="57" spans="1:21">
      <c r="A57" s="20" t="s">
        <v>127</v>
      </c>
      <c r="B57" s="31" t="s">
        <v>110</v>
      </c>
      <c r="C57" s="20" t="s">
        <v>110</v>
      </c>
      <c r="D57" s="20">
        <v>55</v>
      </c>
      <c r="E57" s="20">
        <v>0.6</v>
      </c>
      <c r="F57" s="20">
        <v>100</v>
      </c>
      <c r="G57" s="20">
        <v>25</v>
      </c>
      <c r="H57" s="20">
        <v>10</v>
      </c>
      <c r="I57" s="23">
        <f t="shared" si="5"/>
        <v>15.811388300841896</v>
      </c>
      <c r="J57" s="23">
        <f t="shared" si="6"/>
        <v>1.5811388300841898</v>
      </c>
      <c r="K57" s="23">
        <f t="shared" si="7"/>
        <v>1581.1388300841895</v>
      </c>
      <c r="L57" s="26">
        <f t="shared" si="8"/>
        <v>28.747978728803446</v>
      </c>
      <c r="M57" s="29">
        <f t="shared" si="9"/>
        <v>2635.2313834736492</v>
      </c>
      <c r="N57" s="20">
        <v>0</v>
      </c>
      <c r="O57" s="20">
        <v>0</v>
      </c>
      <c r="P57" s="20" t="s">
        <v>106</v>
      </c>
      <c r="Q57" s="20" t="s">
        <v>111</v>
      </c>
      <c r="R57" s="20" t="s">
        <v>109</v>
      </c>
      <c r="S57" s="20" t="s">
        <v>109</v>
      </c>
      <c r="T57" s="20"/>
      <c r="U57" s="20" t="s">
        <v>194</v>
      </c>
    </row>
    <row r="58" spans="1:21" ht="16.5">
      <c r="A58" s="20" t="s">
        <v>200</v>
      </c>
      <c r="B58" s="31" t="s">
        <v>198</v>
      </c>
      <c r="C58" s="20" t="s">
        <v>110</v>
      </c>
      <c r="D58" s="20">
        <v>66</v>
      </c>
      <c r="E58" s="20">
        <v>0.72</v>
      </c>
      <c r="F58" s="20">
        <v>100</v>
      </c>
      <c r="G58" s="20">
        <v>20</v>
      </c>
      <c r="H58" s="20">
        <v>8</v>
      </c>
      <c r="I58" s="23">
        <f t="shared" si="5"/>
        <v>12.649110640673518</v>
      </c>
      <c r="J58" s="23">
        <f t="shared" si="6"/>
        <v>1.5811388300841898</v>
      </c>
      <c r="K58" s="23">
        <f t="shared" si="7"/>
        <v>1264.9110640673518</v>
      </c>
      <c r="L58" s="26">
        <f t="shared" si="8"/>
        <v>19.165319152535634</v>
      </c>
      <c r="M58" s="29">
        <f t="shared" si="9"/>
        <v>1756.8209223157664</v>
      </c>
      <c r="N58" s="20">
        <v>0</v>
      </c>
      <c r="O58" s="20">
        <v>0</v>
      </c>
      <c r="P58" s="20" t="s">
        <v>177</v>
      </c>
      <c r="Q58" s="20" t="s">
        <v>123</v>
      </c>
      <c r="R58" s="20" t="s">
        <v>109</v>
      </c>
      <c r="S58" s="20" t="s">
        <v>254</v>
      </c>
      <c r="T58" s="20"/>
      <c r="U58" s="20" t="s">
        <v>140</v>
      </c>
    </row>
  </sheetData>
  <autoFilter ref="A3:U3">
    <sortState ref="A4:U58">
      <sortCondition descending="1" ref="C3"/>
    </sortState>
  </autoFilter>
  <mergeCells count="4">
    <mergeCell ref="A1:V1"/>
    <mergeCell ref="A2:M2"/>
    <mergeCell ref="N2:R2"/>
    <mergeCell ref="S2:U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54"/>
  <sheetViews>
    <sheetView zoomScale="220" zoomScaleNormal="220" workbookViewId="0">
      <pane ySplit="3" topLeftCell="A4" activePane="bottomLeft" state="frozen"/>
      <selection pane="bottomLeft" activeCell="Q11" sqref="Q11"/>
    </sheetView>
  </sheetViews>
  <sheetFormatPr defaultRowHeight="14.25"/>
  <cols>
    <col min="1" max="1" width="7.75" customWidth="1"/>
    <col min="2" max="2" width="7.375" style="32" customWidth="1"/>
    <col min="3" max="3" width="7.75" customWidth="1"/>
    <col min="4" max="4" width="5.25" customWidth="1"/>
    <col min="5" max="5" width="7.75" customWidth="1"/>
    <col min="6" max="6" width="3.125" customWidth="1"/>
    <col min="7" max="7" width="5.25" customWidth="1"/>
    <col min="8" max="8" width="4.75" customWidth="1"/>
    <col min="9" max="9" width="2.5" customWidth="1"/>
    <col min="10" max="10" width="5.75" customWidth="1"/>
    <col min="11" max="11" width="2.75" customWidth="1"/>
    <col min="12" max="12" width="5.25" customWidth="1"/>
    <col min="13" max="13" width="6.125" customWidth="1"/>
    <col min="14" max="14" width="6.875" customWidth="1"/>
    <col min="15" max="15" width="5.875" style="35" customWidth="1"/>
    <col min="16" max="16" width="5.75" style="35" customWidth="1"/>
    <col min="17" max="17" width="3.75" style="35" customWidth="1"/>
    <col min="18" max="18" width="3.875" style="35" customWidth="1"/>
    <col min="19" max="19" width="5" style="40" customWidth="1"/>
    <col min="20" max="20" width="3.875" style="38" customWidth="1"/>
    <col min="21" max="21" width="4.25" customWidth="1"/>
    <col min="22" max="22" width="4" customWidth="1"/>
    <col min="24" max="24" width="7.375" customWidth="1"/>
    <col min="25" max="25" width="7.25" customWidth="1"/>
  </cols>
  <sheetData>
    <row r="1" spans="1:29">
      <c r="A1" s="80" t="s">
        <v>316</v>
      </c>
      <c r="B1" s="95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96"/>
      <c r="T1" s="97"/>
      <c r="U1" s="80"/>
      <c r="V1" s="80"/>
      <c r="W1" s="80"/>
      <c r="X1" s="80"/>
      <c r="Y1" s="80"/>
      <c r="Z1" s="80"/>
      <c r="AA1" s="80"/>
      <c r="AB1" s="80"/>
      <c r="AC1" s="80"/>
    </row>
    <row r="2" spans="1:29">
      <c r="A2" s="78" t="s">
        <v>277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 t="s">
        <v>278</v>
      </c>
      <c r="V2" s="78"/>
      <c r="W2" s="78"/>
      <c r="X2" s="78"/>
      <c r="Y2" s="78"/>
      <c r="Z2" s="78" t="s">
        <v>279</v>
      </c>
      <c r="AA2" s="78"/>
      <c r="AB2" s="78"/>
      <c r="AC2" s="21"/>
    </row>
    <row r="3" spans="1:29" ht="24.75">
      <c r="A3" s="20" t="s">
        <v>230</v>
      </c>
      <c r="B3" s="31" t="s">
        <v>288</v>
      </c>
      <c r="C3" s="20" t="s">
        <v>97</v>
      </c>
      <c r="D3" s="20" t="s">
        <v>98</v>
      </c>
      <c r="E3" s="20" t="s">
        <v>307</v>
      </c>
      <c r="F3" s="20" t="s">
        <v>319</v>
      </c>
      <c r="G3" s="20" t="s">
        <v>306</v>
      </c>
      <c r="H3" s="20" t="s">
        <v>99</v>
      </c>
      <c r="I3" s="20" t="s">
        <v>320</v>
      </c>
      <c r="J3" s="20" t="s">
        <v>100</v>
      </c>
      <c r="K3" s="20" t="s">
        <v>320</v>
      </c>
      <c r="L3" s="20" t="s">
        <v>80</v>
      </c>
      <c r="M3" s="20" t="s">
        <v>79</v>
      </c>
      <c r="N3" s="20" t="s">
        <v>128</v>
      </c>
      <c r="O3" s="33" t="s">
        <v>130</v>
      </c>
      <c r="P3" s="33" t="s">
        <v>129</v>
      </c>
      <c r="Q3" s="33" t="s">
        <v>318</v>
      </c>
      <c r="R3" s="33" t="s">
        <v>317</v>
      </c>
      <c r="S3" s="39" t="s">
        <v>321</v>
      </c>
      <c r="T3" s="37" t="s">
        <v>322</v>
      </c>
      <c r="U3" s="20" t="s">
        <v>101</v>
      </c>
      <c r="V3" s="20" t="s">
        <v>102</v>
      </c>
      <c r="W3" s="20" t="s">
        <v>103</v>
      </c>
      <c r="X3" s="20" t="s">
        <v>104</v>
      </c>
      <c r="Y3" s="20" t="s">
        <v>132</v>
      </c>
      <c r="Z3" s="20" t="s">
        <v>233</v>
      </c>
      <c r="AA3" s="20" t="s">
        <v>234</v>
      </c>
      <c r="AB3" s="20" t="s">
        <v>138</v>
      </c>
    </row>
    <row r="4" spans="1:29" ht="16.5" hidden="1">
      <c r="A4" s="20" t="s">
        <v>127</v>
      </c>
      <c r="B4" s="36" t="s">
        <v>121</v>
      </c>
      <c r="C4" s="20" t="s">
        <v>197</v>
      </c>
      <c r="D4" s="20">
        <v>88</v>
      </c>
      <c r="E4" s="20">
        <v>0.9</v>
      </c>
      <c r="F4" s="20">
        <v>1</v>
      </c>
      <c r="G4" s="20">
        <v>100</v>
      </c>
      <c r="H4" s="20">
        <v>42</v>
      </c>
      <c r="I4" s="20">
        <v>1.1000000000000001</v>
      </c>
      <c r="J4" s="20">
        <v>18</v>
      </c>
      <c r="K4" s="20">
        <v>1.1000000000000001</v>
      </c>
      <c r="L4" s="23">
        <f t="shared" ref="L4:L35" si="0">SQRT(H4*I4*J4*K4)</f>
        <v>30.244999586708545</v>
      </c>
      <c r="M4" s="23">
        <f t="shared" ref="M4:M35" si="1">SQRT(H4*I4/J4/K4)</f>
        <v>1.5275252316519468</v>
      </c>
      <c r="N4" s="23">
        <f t="shared" ref="N4:N35" si="2">L4*G4</f>
        <v>3024.4999586708545</v>
      </c>
      <c r="O4" s="34">
        <f t="shared" ref="O4:O35" si="3">N4/D4</f>
        <v>34.369317712168801</v>
      </c>
      <c r="P4" s="34">
        <f t="shared" ref="P4:P35" si="4">N4/E4</f>
        <v>3360.5555096342828</v>
      </c>
      <c r="Q4" s="33">
        <v>5</v>
      </c>
      <c r="R4" s="33">
        <v>8</v>
      </c>
      <c r="S4" s="33">
        <f t="shared" ref="S4:S35" si="5">N4*SUM(Q4:R4)</f>
        <v>39318.499462721113</v>
      </c>
      <c r="T4" s="33">
        <f t="shared" ref="T4:T35" si="6">E4*F4*SUM(Q4:R4)</f>
        <v>11.700000000000001</v>
      </c>
      <c r="U4" s="20">
        <v>0</v>
      </c>
      <c r="V4" s="20">
        <v>0</v>
      </c>
      <c r="W4" s="20" t="s">
        <v>122</v>
      </c>
      <c r="X4" s="20" t="s">
        <v>123</v>
      </c>
      <c r="Y4" s="20" t="s">
        <v>281</v>
      </c>
      <c r="Z4" s="20" t="s">
        <v>285</v>
      </c>
      <c r="AA4" s="20"/>
      <c r="AB4" s="20" t="s">
        <v>297</v>
      </c>
    </row>
    <row r="5" spans="1:29" ht="16.5">
      <c r="A5" s="20" t="s">
        <v>231</v>
      </c>
      <c r="B5" s="31" t="s">
        <v>204</v>
      </c>
      <c r="C5" s="20" t="s">
        <v>110</v>
      </c>
      <c r="D5" s="20">
        <v>82.5</v>
      </c>
      <c r="E5" s="20">
        <v>0.9</v>
      </c>
      <c r="F5" s="20">
        <v>1</v>
      </c>
      <c r="G5" s="20">
        <v>100</v>
      </c>
      <c r="H5" s="20">
        <v>30</v>
      </c>
      <c r="I5" s="20">
        <v>1.2</v>
      </c>
      <c r="J5" s="20">
        <v>20</v>
      </c>
      <c r="K5" s="20">
        <v>1.2</v>
      </c>
      <c r="L5" s="23">
        <f t="shared" si="0"/>
        <v>29.393876913398138</v>
      </c>
      <c r="M5" s="23">
        <f t="shared" si="1"/>
        <v>1.2247448713915889</v>
      </c>
      <c r="N5" s="23">
        <f t="shared" si="2"/>
        <v>2939.387691339814</v>
      </c>
      <c r="O5" s="34">
        <f t="shared" si="3"/>
        <v>35.628941713209869</v>
      </c>
      <c r="P5" s="34">
        <f t="shared" si="4"/>
        <v>3265.9863237109043</v>
      </c>
      <c r="Q5" s="33">
        <v>5</v>
      </c>
      <c r="R5" s="33">
        <v>8</v>
      </c>
      <c r="S5" s="39">
        <f t="shared" si="5"/>
        <v>38212.039987417578</v>
      </c>
      <c r="T5" s="37">
        <f t="shared" si="6"/>
        <v>11.700000000000001</v>
      </c>
      <c r="U5" s="20">
        <v>0</v>
      </c>
      <c r="V5" s="20">
        <v>0</v>
      </c>
      <c r="W5" s="20" t="s">
        <v>212</v>
      </c>
      <c r="X5" s="20" t="s">
        <v>116</v>
      </c>
      <c r="Y5" s="20" t="s">
        <v>109</v>
      </c>
      <c r="Z5" s="20" t="s">
        <v>267</v>
      </c>
      <c r="AA5" s="20" t="s">
        <v>205</v>
      </c>
      <c r="AB5" s="20" t="s">
        <v>140</v>
      </c>
    </row>
    <row r="6" spans="1:29" ht="16.5">
      <c r="A6" s="20" t="s">
        <v>200</v>
      </c>
      <c r="B6" s="31" t="s">
        <v>164</v>
      </c>
      <c r="C6" s="20" t="s">
        <v>107</v>
      </c>
      <c r="D6" s="20">
        <v>150</v>
      </c>
      <c r="E6" s="20">
        <v>2</v>
      </c>
      <c r="F6" s="20">
        <v>1</v>
      </c>
      <c r="G6" s="20">
        <v>100</v>
      </c>
      <c r="H6" s="20">
        <v>45</v>
      </c>
      <c r="I6" s="20">
        <v>1.1000000000000001</v>
      </c>
      <c r="J6" s="20">
        <v>30</v>
      </c>
      <c r="K6" s="20">
        <v>1.1000000000000001</v>
      </c>
      <c r="L6" s="23">
        <f t="shared" si="0"/>
        <v>40.416580755922446</v>
      </c>
      <c r="M6" s="23">
        <f t="shared" si="1"/>
        <v>1.2247448713915889</v>
      </c>
      <c r="N6" s="23">
        <f t="shared" si="2"/>
        <v>4041.6580755922446</v>
      </c>
      <c r="O6" s="34">
        <f t="shared" si="3"/>
        <v>26.944387170614963</v>
      </c>
      <c r="P6" s="34">
        <f t="shared" si="4"/>
        <v>2020.8290377961223</v>
      </c>
      <c r="Q6" s="33">
        <v>5</v>
      </c>
      <c r="R6" s="33">
        <v>4</v>
      </c>
      <c r="S6" s="39">
        <f t="shared" si="5"/>
        <v>36374.922680330201</v>
      </c>
      <c r="T6" s="37">
        <f t="shared" si="6"/>
        <v>18</v>
      </c>
      <c r="U6" s="20">
        <v>10</v>
      </c>
      <c r="V6" s="20">
        <v>0</v>
      </c>
      <c r="W6" s="20" t="s">
        <v>192</v>
      </c>
      <c r="X6" s="20" t="s">
        <v>193</v>
      </c>
      <c r="Y6" s="20" t="s">
        <v>109</v>
      </c>
      <c r="Z6" s="20" t="s">
        <v>265</v>
      </c>
      <c r="AA6" s="20"/>
      <c r="AB6" s="20" t="s">
        <v>194</v>
      </c>
    </row>
    <row r="7" spans="1:29" hidden="1">
      <c r="A7" s="20" t="s">
        <v>231</v>
      </c>
      <c r="B7" s="36" t="s">
        <v>206</v>
      </c>
      <c r="C7" s="20" t="s">
        <v>107</v>
      </c>
      <c r="D7" s="20">
        <v>180</v>
      </c>
      <c r="E7" s="20">
        <v>2.4</v>
      </c>
      <c r="F7" s="20">
        <v>1</v>
      </c>
      <c r="G7" s="20">
        <v>100</v>
      </c>
      <c r="H7" s="20">
        <v>60</v>
      </c>
      <c r="I7" s="20">
        <v>1.1000000000000001</v>
      </c>
      <c r="J7" s="20">
        <v>30</v>
      </c>
      <c r="K7" s="20">
        <v>1.1000000000000001</v>
      </c>
      <c r="L7" s="23">
        <f t="shared" si="0"/>
        <v>46.669047558312137</v>
      </c>
      <c r="M7" s="23">
        <f t="shared" si="1"/>
        <v>1.4142135623730951</v>
      </c>
      <c r="N7" s="23">
        <f t="shared" si="2"/>
        <v>4666.9047558312141</v>
      </c>
      <c r="O7" s="34">
        <f t="shared" si="3"/>
        <v>25.927248643506744</v>
      </c>
      <c r="P7" s="34">
        <f t="shared" si="4"/>
        <v>1944.5436482630059</v>
      </c>
      <c r="Q7" s="33">
        <v>5</v>
      </c>
      <c r="R7" s="33">
        <v>2</v>
      </c>
      <c r="S7" s="33">
        <f t="shared" si="5"/>
        <v>32668.333290818497</v>
      </c>
      <c r="T7" s="33">
        <f t="shared" si="6"/>
        <v>16.8</v>
      </c>
      <c r="U7" s="20">
        <v>0</v>
      </c>
      <c r="V7" s="20">
        <v>20</v>
      </c>
      <c r="W7" s="20" t="s">
        <v>115</v>
      </c>
      <c r="X7" s="20" t="s">
        <v>109</v>
      </c>
      <c r="Y7" s="20" t="s">
        <v>109</v>
      </c>
      <c r="Z7" s="20" t="s">
        <v>269</v>
      </c>
      <c r="AA7" s="20" t="s">
        <v>207</v>
      </c>
      <c r="AB7" s="20" t="s">
        <v>146</v>
      </c>
    </row>
    <row r="8" spans="1:29" ht="24.75">
      <c r="A8" s="20" t="s">
        <v>200</v>
      </c>
      <c r="B8" s="31" t="s">
        <v>143</v>
      </c>
      <c r="C8" s="20" t="s">
        <v>119</v>
      </c>
      <c r="D8" s="20">
        <v>260</v>
      </c>
      <c r="E8" s="20">
        <v>2.73</v>
      </c>
      <c r="F8" s="20">
        <v>0.85</v>
      </c>
      <c r="G8" s="20">
        <v>50</v>
      </c>
      <c r="H8" s="20">
        <v>120</v>
      </c>
      <c r="I8" s="20">
        <v>1.1000000000000001</v>
      </c>
      <c r="J8" s="20">
        <v>35</v>
      </c>
      <c r="K8" s="20">
        <v>1.1000000000000001</v>
      </c>
      <c r="L8" s="23">
        <f t="shared" si="0"/>
        <v>71.288147682486468</v>
      </c>
      <c r="M8" s="23">
        <f t="shared" si="1"/>
        <v>1.8516401995451028</v>
      </c>
      <c r="N8" s="23">
        <f t="shared" si="2"/>
        <v>3564.4073841243235</v>
      </c>
      <c r="O8" s="34">
        <f t="shared" si="3"/>
        <v>13.709259169708936</v>
      </c>
      <c r="P8" s="34">
        <f t="shared" si="4"/>
        <v>1305.6437304484703</v>
      </c>
      <c r="Q8" s="33">
        <v>5</v>
      </c>
      <c r="R8" s="33">
        <v>4</v>
      </c>
      <c r="S8" s="39">
        <f t="shared" si="5"/>
        <v>32079.66645711891</v>
      </c>
      <c r="T8" s="37">
        <f t="shared" si="6"/>
        <v>20.884499999999999</v>
      </c>
      <c r="U8" s="20">
        <v>25</v>
      </c>
      <c r="V8" s="20">
        <v>10</v>
      </c>
      <c r="W8" s="20" t="s">
        <v>110</v>
      </c>
      <c r="X8" s="20" t="s">
        <v>113</v>
      </c>
      <c r="Y8" s="20" t="s">
        <v>120</v>
      </c>
      <c r="Z8" s="20" t="s">
        <v>244</v>
      </c>
      <c r="AA8" s="20"/>
      <c r="AB8" s="20" t="s">
        <v>140</v>
      </c>
    </row>
    <row r="9" spans="1:29" ht="16.5">
      <c r="A9" s="20" t="s">
        <v>200</v>
      </c>
      <c r="B9" s="31" t="s">
        <v>151</v>
      </c>
      <c r="C9" s="20" t="s">
        <v>107</v>
      </c>
      <c r="D9" s="20">
        <v>115</v>
      </c>
      <c r="E9" s="20">
        <v>1.53</v>
      </c>
      <c r="F9" s="20">
        <v>1</v>
      </c>
      <c r="G9" s="20">
        <v>100</v>
      </c>
      <c r="H9" s="20">
        <v>40</v>
      </c>
      <c r="I9" s="20">
        <v>1.1000000000000001</v>
      </c>
      <c r="J9" s="20">
        <v>26</v>
      </c>
      <c r="K9" s="20">
        <v>1.1000000000000001</v>
      </c>
      <c r="L9" s="23">
        <f t="shared" si="0"/>
        <v>35.473934092513623</v>
      </c>
      <c r="M9" s="23">
        <f t="shared" si="1"/>
        <v>1.2403473458920844</v>
      </c>
      <c r="N9" s="23">
        <f t="shared" si="2"/>
        <v>3547.3934092513623</v>
      </c>
      <c r="O9" s="34">
        <f t="shared" si="3"/>
        <v>30.846899210881411</v>
      </c>
      <c r="P9" s="34">
        <f t="shared" si="4"/>
        <v>2318.5577838244199</v>
      </c>
      <c r="Q9" s="33">
        <v>5</v>
      </c>
      <c r="R9" s="33">
        <v>4</v>
      </c>
      <c r="S9" s="39">
        <f t="shared" si="5"/>
        <v>31926.540683262261</v>
      </c>
      <c r="T9" s="37">
        <f t="shared" si="6"/>
        <v>13.77</v>
      </c>
      <c r="U9" s="20">
        <v>0</v>
      </c>
      <c r="V9" s="20">
        <v>24</v>
      </c>
      <c r="W9" s="20" t="s">
        <v>173</v>
      </c>
      <c r="X9" s="20" t="s">
        <v>174</v>
      </c>
      <c r="Y9" s="20" t="s">
        <v>109</v>
      </c>
      <c r="Z9" s="20" t="s">
        <v>251</v>
      </c>
      <c r="AA9" s="20"/>
      <c r="AB9" s="20" t="s">
        <v>140</v>
      </c>
    </row>
    <row r="10" spans="1:29" ht="16.5" hidden="1">
      <c r="A10" s="20" t="s">
        <v>200</v>
      </c>
      <c r="B10" s="36" t="s">
        <v>201</v>
      </c>
      <c r="C10" s="20" t="s">
        <v>110</v>
      </c>
      <c r="D10" s="20">
        <v>66</v>
      </c>
      <c r="E10" s="20">
        <v>0.72</v>
      </c>
      <c r="F10" s="20">
        <v>1</v>
      </c>
      <c r="G10" s="20">
        <v>100</v>
      </c>
      <c r="H10" s="20">
        <v>44</v>
      </c>
      <c r="I10" s="20">
        <v>1.1000000000000001</v>
      </c>
      <c r="J10" s="20">
        <v>14</v>
      </c>
      <c r="K10" s="20">
        <v>1.1000000000000001</v>
      </c>
      <c r="L10" s="23">
        <f t="shared" si="0"/>
        <v>27.30128202117989</v>
      </c>
      <c r="M10" s="23">
        <f t="shared" si="1"/>
        <v>1.7728105208558367</v>
      </c>
      <c r="N10" s="23">
        <f t="shared" si="2"/>
        <v>2730.1282021179891</v>
      </c>
      <c r="O10" s="34">
        <f t="shared" si="3"/>
        <v>41.365578819969528</v>
      </c>
      <c r="P10" s="34">
        <f t="shared" si="4"/>
        <v>3791.844725163874</v>
      </c>
      <c r="Q10" s="33">
        <v>5</v>
      </c>
      <c r="R10" s="33">
        <v>6</v>
      </c>
      <c r="S10" s="33">
        <f t="shared" si="5"/>
        <v>30031.41022329788</v>
      </c>
      <c r="T10" s="33">
        <f t="shared" si="6"/>
        <v>7.92</v>
      </c>
      <c r="U10" s="20">
        <v>0</v>
      </c>
      <c r="V10" s="20">
        <v>0</v>
      </c>
      <c r="W10" s="20" t="s">
        <v>177</v>
      </c>
      <c r="X10" s="20" t="s">
        <v>123</v>
      </c>
      <c r="Y10" s="20" t="s">
        <v>109</v>
      </c>
      <c r="Z10" s="20" t="s">
        <v>254</v>
      </c>
      <c r="AA10" s="20"/>
      <c r="AB10" s="20" t="s">
        <v>298</v>
      </c>
    </row>
    <row r="11" spans="1:29" ht="33">
      <c r="A11" s="20" t="s">
        <v>287</v>
      </c>
      <c r="B11" s="31" t="s">
        <v>309</v>
      </c>
      <c r="C11" s="20" t="s">
        <v>289</v>
      </c>
      <c r="D11" s="20">
        <v>63</v>
      </c>
      <c r="E11" s="20">
        <v>0.63</v>
      </c>
      <c r="F11" s="20">
        <v>1</v>
      </c>
      <c r="G11" s="20">
        <v>100</v>
      </c>
      <c r="H11" s="20">
        <v>30</v>
      </c>
      <c r="I11" s="20">
        <v>1.1000000000000001</v>
      </c>
      <c r="J11" s="20">
        <v>30</v>
      </c>
      <c r="K11" s="20">
        <v>1.1000000000000001</v>
      </c>
      <c r="L11" s="23">
        <f t="shared" si="0"/>
        <v>33</v>
      </c>
      <c r="M11" s="23">
        <f t="shared" si="1"/>
        <v>1</v>
      </c>
      <c r="N11" s="23">
        <f t="shared" si="2"/>
        <v>3300</v>
      </c>
      <c r="O11" s="34">
        <f t="shared" si="3"/>
        <v>52.38095238095238</v>
      </c>
      <c r="P11" s="34">
        <f t="shared" si="4"/>
        <v>5238.0952380952376</v>
      </c>
      <c r="Q11" s="33">
        <v>5</v>
      </c>
      <c r="R11" s="33">
        <v>4</v>
      </c>
      <c r="S11" s="39">
        <f t="shared" si="5"/>
        <v>29700</v>
      </c>
      <c r="T11" s="37">
        <f t="shared" si="6"/>
        <v>5.67</v>
      </c>
      <c r="U11" s="20">
        <v>40</v>
      </c>
      <c r="V11" s="20">
        <v>40</v>
      </c>
      <c r="W11" s="20" t="s">
        <v>134</v>
      </c>
      <c r="X11" s="20" t="s">
        <v>135</v>
      </c>
      <c r="Y11" s="20" t="s">
        <v>136</v>
      </c>
      <c r="Z11" s="20" t="s">
        <v>137</v>
      </c>
      <c r="AA11" s="20"/>
      <c r="AB11" s="20" t="s">
        <v>194</v>
      </c>
    </row>
    <row r="12" spans="1:29" ht="24.75" hidden="1">
      <c r="A12" s="20" t="s">
        <v>200</v>
      </c>
      <c r="B12" s="36" t="s">
        <v>145</v>
      </c>
      <c r="C12" s="20" t="s">
        <v>119</v>
      </c>
      <c r="D12" s="20">
        <v>240</v>
      </c>
      <c r="E12" s="20">
        <v>2.52</v>
      </c>
      <c r="F12" s="20">
        <v>1</v>
      </c>
      <c r="G12" s="20">
        <v>50</v>
      </c>
      <c r="H12" s="20">
        <v>125</v>
      </c>
      <c r="I12" s="20">
        <v>1.1000000000000001</v>
      </c>
      <c r="J12" s="20">
        <v>40</v>
      </c>
      <c r="K12" s="20">
        <v>1.1000000000000001</v>
      </c>
      <c r="L12" s="23">
        <f t="shared" si="0"/>
        <v>77.781745930520231</v>
      </c>
      <c r="M12" s="23">
        <f t="shared" si="1"/>
        <v>1.7677669529663687</v>
      </c>
      <c r="N12" s="23">
        <f t="shared" si="2"/>
        <v>3889.0872965260114</v>
      </c>
      <c r="O12" s="34">
        <f t="shared" si="3"/>
        <v>16.204530402191715</v>
      </c>
      <c r="P12" s="34">
        <f t="shared" si="4"/>
        <v>1543.2886097325443</v>
      </c>
      <c r="Q12" s="33">
        <v>5</v>
      </c>
      <c r="R12" s="33">
        <v>2</v>
      </c>
      <c r="S12" s="33">
        <f t="shared" si="5"/>
        <v>27223.611075682078</v>
      </c>
      <c r="T12" s="33">
        <f t="shared" si="6"/>
        <v>17.64</v>
      </c>
      <c r="U12" s="20">
        <v>20</v>
      </c>
      <c r="V12" s="20">
        <v>10</v>
      </c>
      <c r="W12" s="20" t="s">
        <v>110</v>
      </c>
      <c r="X12" s="20" t="s">
        <v>113</v>
      </c>
      <c r="Y12" s="20" t="s">
        <v>167</v>
      </c>
      <c r="Z12" s="20" t="s">
        <v>246</v>
      </c>
      <c r="AA12" s="20"/>
      <c r="AB12" s="20" t="s">
        <v>146</v>
      </c>
    </row>
    <row r="13" spans="1:29">
      <c r="A13" s="20" t="s">
        <v>200</v>
      </c>
      <c r="B13" s="31" t="s">
        <v>144</v>
      </c>
      <c r="C13" s="20" t="s">
        <v>107</v>
      </c>
      <c r="D13" s="20">
        <v>117</v>
      </c>
      <c r="E13" s="20">
        <v>1.56</v>
      </c>
      <c r="F13" s="20">
        <v>1</v>
      </c>
      <c r="G13" s="20">
        <v>100</v>
      </c>
      <c r="H13" s="20">
        <v>40</v>
      </c>
      <c r="I13" s="20">
        <v>1.1000000000000001</v>
      </c>
      <c r="J13" s="20">
        <v>30</v>
      </c>
      <c r="K13" s="20">
        <v>1.1000000000000001</v>
      </c>
      <c r="L13" s="23">
        <f t="shared" si="0"/>
        <v>38.105117766515306</v>
      </c>
      <c r="M13" s="23">
        <f t="shared" si="1"/>
        <v>1.1547005383792515</v>
      </c>
      <c r="N13" s="23">
        <f t="shared" si="2"/>
        <v>3810.5117766515305</v>
      </c>
      <c r="O13" s="34">
        <f t="shared" si="3"/>
        <v>32.568476723517357</v>
      </c>
      <c r="P13" s="34">
        <f t="shared" si="4"/>
        <v>2442.6357542638016</v>
      </c>
      <c r="Q13" s="33">
        <v>5</v>
      </c>
      <c r="R13" s="33">
        <v>2</v>
      </c>
      <c r="S13" s="39">
        <f t="shared" si="5"/>
        <v>26673.582436560711</v>
      </c>
      <c r="T13" s="37">
        <f t="shared" si="6"/>
        <v>10.92</v>
      </c>
      <c r="U13" s="20">
        <v>0</v>
      </c>
      <c r="V13" s="20">
        <v>30</v>
      </c>
      <c r="W13" s="20" t="s">
        <v>115</v>
      </c>
      <c r="X13" s="20" t="s">
        <v>109</v>
      </c>
      <c r="Y13" s="20" t="s">
        <v>109</v>
      </c>
      <c r="Z13" s="20" t="s">
        <v>245</v>
      </c>
      <c r="AA13" s="20"/>
      <c r="AB13" s="20" t="s">
        <v>140</v>
      </c>
    </row>
    <row r="14" spans="1:29">
      <c r="A14" s="20" t="s">
        <v>200</v>
      </c>
      <c r="B14" s="31" t="s">
        <v>311</v>
      </c>
      <c r="C14" s="20" t="s">
        <v>107</v>
      </c>
      <c r="D14" s="20">
        <v>108</v>
      </c>
      <c r="E14" s="20">
        <v>1.44</v>
      </c>
      <c r="F14" s="20">
        <v>1</v>
      </c>
      <c r="G14" s="20">
        <v>100</v>
      </c>
      <c r="H14" s="20">
        <v>45</v>
      </c>
      <c r="I14" s="20">
        <v>1.1000000000000001</v>
      </c>
      <c r="J14" s="20">
        <v>25</v>
      </c>
      <c r="K14" s="20">
        <v>1.1000000000000001</v>
      </c>
      <c r="L14" s="23">
        <f t="shared" si="0"/>
        <v>36.895121628746537</v>
      </c>
      <c r="M14" s="23">
        <f t="shared" si="1"/>
        <v>1.3416407864998738</v>
      </c>
      <c r="N14" s="23">
        <f t="shared" si="2"/>
        <v>3689.5121628746538</v>
      </c>
      <c r="O14" s="34">
        <f t="shared" si="3"/>
        <v>34.162149656246797</v>
      </c>
      <c r="P14" s="34">
        <f t="shared" si="4"/>
        <v>2562.1612242185097</v>
      </c>
      <c r="Q14" s="33">
        <v>5</v>
      </c>
      <c r="R14" s="33">
        <v>2</v>
      </c>
      <c r="S14" s="39">
        <f t="shared" si="5"/>
        <v>25826.585140122577</v>
      </c>
      <c r="T14" s="37">
        <f t="shared" si="6"/>
        <v>10.08</v>
      </c>
      <c r="U14" s="20">
        <v>0</v>
      </c>
      <c r="V14" s="20">
        <v>0</v>
      </c>
      <c r="W14" s="20" t="s">
        <v>179</v>
      </c>
      <c r="X14" s="20" t="s">
        <v>109</v>
      </c>
      <c r="Y14" s="20" t="s">
        <v>109</v>
      </c>
      <c r="Z14" s="20" t="s">
        <v>257</v>
      </c>
      <c r="AA14" s="20"/>
      <c r="AB14" s="20" t="s">
        <v>140</v>
      </c>
    </row>
    <row r="15" spans="1:29" ht="16.5" hidden="1">
      <c r="A15" s="20" t="s">
        <v>200</v>
      </c>
      <c r="B15" s="36" t="s">
        <v>196</v>
      </c>
      <c r="C15" s="20" t="s">
        <v>110</v>
      </c>
      <c r="D15" s="20">
        <v>66</v>
      </c>
      <c r="E15" s="20">
        <v>0.72</v>
      </c>
      <c r="F15" s="20">
        <v>1</v>
      </c>
      <c r="G15" s="20">
        <v>100</v>
      </c>
      <c r="H15" s="20">
        <v>36</v>
      </c>
      <c r="I15" s="20">
        <v>1.1000000000000001</v>
      </c>
      <c r="J15" s="20">
        <v>12</v>
      </c>
      <c r="K15" s="20">
        <v>1.1000000000000001</v>
      </c>
      <c r="L15" s="23">
        <f t="shared" si="0"/>
        <v>22.863070659909184</v>
      </c>
      <c r="M15" s="23">
        <f t="shared" si="1"/>
        <v>1.7320508075688772</v>
      </c>
      <c r="N15" s="23">
        <f t="shared" si="2"/>
        <v>2286.3070659909185</v>
      </c>
      <c r="O15" s="34">
        <f t="shared" si="3"/>
        <v>34.641016151377556</v>
      </c>
      <c r="P15" s="34">
        <f t="shared" si="4"/>
        <v>3175.4264805429425</v>
      </c>
      <c r="Q15" s="33">
        <v>5</v>
      </c>
      <c r="R15" s="33">
        <v>6</v>
      </c>
      <c r="S15" s="33">
        <f t="shared" si="5"/>
        <v>25149.377725900104</v>
      </c>
      <c r="T15" s="33">
        <f t="shared" si="6"/>
        <v>7.92</v>
      </c>
      <c r="U15" s="20">
        <v>0</v>
      </c>
      <c r="V15" s="20">
        <v>0</v>
      </c>
      <c r="W15" s="20" t="s">
        <v>177</v>
      </c>
      <c r="X15" s="20" t="s">
        <v>123</v>
      </c>
      <c r="Y15" s="20" t="s">
        <v>109</v>
      </c>
      <c r="Z15" s="20" t="s">
        <v>254</v>
      </c>
      <c r="AA15" s="20"/>
      <c r="AB15" s="20" t="s">
        <v>297</v>
      </c>
    </row>
    <row r="16" spans="1:29" ht="16.5">
      <c r="A16" s="20" t="s">
        <v>200</v>
      </c>
      <c r="B16" s="31" t="s">
        <v>313</v>
      </c>
      <c r="C16" s="20" t="s">
        <v>107</v>
      </c>
      <c r="D16" s="20">
        <v>108</v>
      </c>
      <c r="E16" s="20">
        <v>1.44</v>
      </c>
      <c r="F16" s="20">
        <v>1</v>
      </c>
      <c r="G16" s="20">
        <v>100</v>
      </c>
      <c r="H16" s="20">
        <v>40</v>
      </c>
      <c r="I16" s="20">
        <v>1.1000000000000001</v>
      </c>
      <c r="J16" s="20">
        <v>26</v>
      </c>
      <c r="K16" s="20">
        <v>1.1000000000000001</v>
      </c>
      <c r="L16" s="23">
        <f t="shared" si="0"/>
        <v>35.473934092513623</v>
      </c>
      <c r="M16" s="23">
        <f t="shared" si="1"/>
        <v>1.2403473458920844</v>
      </c>
      <c r="N16" s="23">
        <f t="shared" si="2"/>
        <v>3547.3934092513623</v>
      </c>
      <c r="O16" s="34">
        <f t="shared" si="3"/>
        <v>32.846235270845945</v>
      </c>
      <c r="P16" s="34">
        <f t="shared" si="4"/>
        <v>2463.4676453134462</v>
      </c>
      <c r="Q16" s="33">
        <v>5</v>
      </c>
      <c r="R16" s="33">
        <v>2</v>
      </c>
      <c r="S16" s="39">
        <f t="shared" si="5"/>
        <v>24831.753864759536</v>
      </c>
      <c r="T16" s="37">
        <f t="shared" si="6"/>
        <v>10.08</v>
      </c>
      <c r="U16" s="20">
        <v>0</v>
      </c>
      <c r="V16" s="20">
        <v>0</v>
      </c>
      <c r="W16" s="20" t="s">
        <v>115</v>
      </c>
      <c r="X16" s="20" t="s">
        <v>178</v>
      </c>
      <c r="Y16" s="20" t="s">
        <v>109</v>
      </c>
      <c r="Z16" s="20" t="s">
        <v>256</v>
      </c>
      <c r="AA16" s="20"/>
      <c r="AB16" s="20" t="s">
        <v>140</v>
      </c>
    </row>
    <row r="17" spans="1:28" ht="16.5" hidden="1">
      <c r="A17" s="20" t="s">
        <v>200</v>
      </c>
      <c r="B17" s="36" t="s">
        <v>159</v>
      </c>
      <c r="C17" s="20" t="s">
        <v>115</v>
      </c>
      <c r="D17" s="20">
        <v>112.5</v>
      </c>
      <c r="E17" s="20">
        <v>1.35</v>
      </c>
      <c r="F17" s="20">
        <v>1</v>
      </c>
      <c r="G17" s="20">
        <v>100</v>
      </c>
      <c r="H17" s="20">
        <v>36</v>
      </c>
      <c r="I17" s="20">
        <v>1.1000000000000001</v>
      </c>
      <c r="J17" s="20">
        <v>28</v>
      </c>
      <c r="K17" s="20">
        <v>1.1000000000000001</v>
      </c>
      <c r="L17" s="23">
        <f t="shared" si="0"/>
        <v>34.923917306052594</v>
      </c>
      <c r="M17" s="23">
        <f t="shared" si="1"/>
        <v>1.1338934190276817</v>
      </c>
      <c r="N17" s="23">
        <f t="shared" si="2"/>
        <v>3492.3917306052595</v>
      </c>
      <c r="O17" s="34">
        <f t="shared" si="3"/>
        <v>31.043482049824529</v>
      </c>
      <c r="P17" s="34">
        <f t="shared" si="4"/>
        <v>2586.956837485377</v>
      </c>
      <c r="Q17" s="33">
        <v>5</v>
      </c>
      <c r="R17" s="33">
        <v>2</v>
      </c>
      <c r="S17" s="33">
        <f t="shared" si="5"/>
        <v>24446.742114236815</v>
      </c>
      <c r="T17" s="33">
        <f t="shared" si="6"/>
        <v>9.4500000000000011</v>
      </c>
      <c r="U17" s="20">
        <v>0</v>
      </c>
      <c r="V17" s="20">
        <v>0</v>
      </c>
      <c r="W17" s="20" t="s">
        <v>183</v>
      </c>
      <c r="X17" s="20" t="s">
        <v>184</v>
      </c>
      <c r="Y17" s="20" t="s">
        <v>109</v>
      </c>
      <c r="Z17" s="20" t="s">
        <v>261</v>
      </c>
      <c r="AA17" s="20"/>
      <c r="AB17" s="20" t="s">
        <v>298</v>
      </c>
    </row>
    <row r="18" spans="1:28" ht="16.5" hidden="1">
      <c r="A18" s="20" t="s">
        <v>200</v>
      </c>
      <c r="B18" s="36" t="s">
        <v>312</v>
      </c>
      <c r="C18" s="20" t="s">
        <v>115</v>
      </c>
      <c r="D18" s="20">
        <v>97.5</v>
      </c>
      <c r="E18" s="20">
        <v>1.17</v>
      </c>
      <c r="F18" s="20">
        <v>1</v>
      </c>
      <c r="G18" s="20">
        <v>100</v>
      </c>
      <c r="H18" s="20">
        <v>40</v>
      </c>
      <c r="I18" s="20">
        <v>1.1000000000000001</v>
      </c>
      <c r="J18" s="20">
        <v>24</v>
      </c>
      <c r="K18" s="20">
        <v>1.1000000000000001</v>
      </c>
      <c r="L18" s="23">
        <f t="shared" si="0"/>
        <v>34.082253446625273</v>
      </c>
      <c r="M18" s="23">
        <f t="shared" si="1"/>
        <v>1.2909944487358056</v>
      </c>
      <c r="N18" s="23">
        <f t="shared" si="2"/>
        <v>3408.2253446625273</v>
      </c>
      <c r="O18" s="34">
        <f t="shared" si="3"/>
        <v>34.956157381154128</v>
      </c>
      <c r="P18" s="34">
        <f t="shared" si="4"/>
        <v>2913.0131150961774</v>
      </c>
      <c r="Q18" s="33">
        <v>5</v>
      </c>
      <c r="R18" s="33">
        <v>2</v>
      </c>
      <c r="S18" s="33">
        <f t="shared" si="5"/>
        <v>23857.577412637693</v>
      </c>
      <c r="T18" s="33">
        <f t="shared" si="6"/>
        <v>8.19</v>
      </c>
      <c r="U18" s="20">
        <v>0</v>
      </c>
      <c r="V18" s="20">
        <v>0</v>
      </c>
      <c r="W18" s="20" t="s">
        <v>95</v>
      </c>
      <c r="X18" s="20" t="s">
        <v>116</v>
      </c>
      <c r="Y18" s="20" t="s">
        <v>109</v>
      </c>
      <c r="Z18" s="20" t="s">
        <v>259</v>
      </c>
      <c r="AA18" s="20"/>
      <c r="AB18" s="20" t="s">
        <v>315</v>
      </c>
    </row>
    <row r="19" spans="1:28">
      <c r="A19" s="20" t="s">
        <v>287</v>
      </c>
      <c r="B19" s="31" t="s">
        <v>310</v>
      </c>
      <c r="C19" s="20" t="s">
        <v>133</v>
      </c>
      <c r="D19" s="20">
        <v>90</v>
      </c>
      <c r="E19" s="20">
        <v>1.2</v>
      </c>
      <c r="F19" s="20">
        <v>1</v>
      </c>
      <c r="G19" s="20">
        <v>100</v>
      </c>
      <c r="H19" s="20">
        <v>36</v>
      </c>
      <c r="I19" s="20">
        <v>1.1000000000000001</v>
      </c>
      <c r="J19" s="20">
        <v>26</v>
      </c>
      <c r="K19" s="20">
        <v>1.1000000000000001</v>
      </c>
      <c r="L19" s="23">
        <f t="shared" si="0"/>
        <v>33.653528789712382</v>
      </c>
      <c r="M19" s="23">
        <f t="shared" si="1"/>
        <v>1.1766968108291043</v>
      </c>
      <c r="N19" s="23">
        <f t="shared" si="2"/>
        <v>3365.3528789712382</v>
      </c>
      <c r="O19" s="34">
        <f t="shared" si="3"/>
        <v>37.392809766347092</v>
      </c>
      <c r="P19" s="34">
        <f t="shared" si="4"/>
        <v>2804.4607324760318</v>
      </c>
      <c r="Q19" s="33">
        <v>5</v>
      </c>
      <c r="R19" s="33">
        <v>2</v>
      </c>
      <c r="S19" s="39">
        <f t="shared" si="5"/>
        <v>23557.470152798669</v>
      </c>
      <c r="T19" s="37">
        <f t="shared" si="6"/>
        <v>8.4</v>
      </c>
      <c r="U19" s="20">
        <v>0</v>
      </c>
      <c r="V19" s="20">
        <v>0</v>
      </c>
      <c r="W19" s="20" t="s">
        <v>282</v>
      </c>
      <c r="X19" s="20" t="s">
        <v>109</v>
      </c>
      <c r="Y19" s="20" t="s">
        <v>136</v>
      </c>
      <c r="Z19" s="20" t="s">
        <v>131</v>
      </c>
      <c r="AA19" s="20"/>
      <c r="AB19" s="20" t="s">
        <v>194</v>
      </c>
    </row>
    <row r="20" spans="1:28">
      <c r="A20" s="20" t="s">
        <v>200</v>
      </c>
      <c r="B20" s="31" t="s">
        <v>152</v>
      </c>
      <c r="C20" s="20" t="s">
        <v>107</v>
      </c>
      <c r="D20" s="20">
        <v>108</v>
      </c>
      <c r="E20" s="20">
        <v>1.44</v>
      </c>
      <c r="F20" s="20">
        <v>1</v>
      </c>
      <c r="G20" s="20">
        <v>100</v>
      </c>
      <c r="H20" s="20">
        <v>42</v>
      </c>
      <c r="I20" s="20">
        <v>1.1000000000000001</v>
      </c>
      <c r="J20" s="20">
        <v>22</v>
      </c>
      <c r="K20" s="20">
        <v>1.1000000000000001</v>
      </c>
      <c r="L20" s="23">
        <f t="shared" si="0"/>
        <v>33.437105137855461</v>
      </c>
      <c r="M20" s="23">
        <f t="shared" si="1"/>
        <v>1.3816985594155149</v>
      </c>
      <c r="N20" s="23">
        <f t="shared" si="2"/>
        <v>3343.710513785546</v>
      </c>
      <c r="O20" s="34">
        <f t="shared" si="3"/>
        <v>30.960282535051352</v>
      </c>
      <c r="P20" s="34">
        <f t="shared" si="4"/>
        <v>2322.0211901288517</v>
      </c>
      <c r="Q20" s="33">
        <v>5</v>
      </c>
      <c r="R20" s="33">
        <v>2</v>
      </c>
      <c r="S20" s="39">
        <f t="shared" si="5"/>
        <v>23405.973596498821</v>
      </c>
      <c r="T20" s="37">
        <f t="shared" si="6"/>
        <v>10.08</v>
      </c>
      <c r="U20" s="20">
        <v>0</v>
      </c>
      <c r="V20" s="20">
        <v>0</v>
      </c>
      <c r="W20" s="20" t="s">
        <v>175</v>
      </c>
      <c r="X20" s="20" t="s">
        <v>176</v>
      </c>
      <c r="Y20" s="20" t="s">
        <v>109</v>
      </c>
      <c r="Z20" s="20" t="s">
        <v>252</v>
      </c>
      <c r="AA20" s="20"/>
      <c r="AB20" s="20" t="s">
        <v>140</v>
      </c>
    </row>
    <row r="21" spans="1:28">
      <c r="A21" s="20" t="s">
        <v>200</v>
      </c>
      <c r="B21" s="31" t="s">
        <v>156</v>
      </c>
      <c r="C21" s="20" t="s">
        <v>107</v>
      </c>
      <c r="D21" s="20">
        <v>108</v>
      </c>
      <c r="E21" s="20">
        <v>1.44</v>
      </c>
      <c r="F21" s="20">
        <v>1</v>
      </c>
      <c r="G21" s="20">
        <v>100</v>
      </c>
      <c r="H21" s="20">
        <v>38</v>
      </c>
      <c r="I21" s="20">
        <v>1.1000000000000001</v>
      </c>
      <c r="J21" s="20">
        <v>24</v>
      </c>
      <c r="K21" s="20">
        <v>1.1000000000000001</v>
      </c>
      <c r="L21" s="23">
        <f t="shared" si="0"/>
        <v>33.219271515191302</v>
      </c>
      <c r="M21" s="23">
        <f t="shared" si="1"/>
        <v>1.2583057392117918</v>
      </c>
      <c r="N21" s="23">
        <f t="shared" si="2"/>
        <v>3321.9271515191303</v>
      </c>
      <c r="O21" s="34">
        <f t="shared" si="3"/>
        <v>30.758584736288245</v>
      </c>
      <c r="P21" s="34">
        <f t="shared" si="4"/>
        <v>2306.8938552216182</v>
      </c>
      <c r="Q21" s="33">
        <v>5</v>
      </c>
      <c r="R21" s="33">
        <v>2</v>
      </c>
      <c r="S21" s="39">
        <f t="shared" si="5"/>
        <v>23253.490060633914</v>
      </c>
      <c r="T21" s="37">
        <f t="shared" si="6"/>
        <v>10.08</v>
      </c>
      <c r="U21" s="20">
        <v>0</v>
      </c>
      <c r="V21" s="20">
        <v>20</v>
      </c>
      <c r="W21" s="20" t="s">
        <v>180</v>
      </c>
      <c r="X21" s="20" t="s">
        <v>181</v>
      </c>
      <c r="Y21" s="20" t="s">
        <v>109</v>
      </c>
      <c r="Z21" s="20" t="s">
        <v>258</v>
      </c>
      <c r="AA21" s="20"/>
      <c r="AB21" s="20" t="s">
        <v>140</v>
      </c>
    </row>
    <row r="22" spans="1:28" ht="16.5">
      <c r="A22" s="20" t="s">
        <v>200</v>
      </c>
      <c r="B22" s="31" t="s">
        <v>150</v>
      </c>
      <c r="C22" s="20" t="s">
        <v>150</v>
      </c>
      <c r="D22" s="20">
        <v>135</v>
      </c>
      <c r="E22" s="20">
        <v>1.35</v>
      </c>
      <c r="F22" s="20">
        <v>1</v>
      </c>
      <c r="G22" s="20">
        <v>100</v>
      </c>
      <c r="H22" s="20">
        <v>45</v>
      </c>
      <c r="I22" s="20">
        <v>1.1000000000000001</v>
      </c>
      <c r="J22" s="20">
        <v>20</v>
      </c>
      <c r="K22" s="20">
        <v>1.1000000000000001</v>
      </c>
      <c r="L22" s="23">
        <f t="shared" si="0"/>
        <v>33</v>
      </c>
      <c r="M22" s="23">
        <f t="shared" si="1"/>
        <v>1.5000000000000002</v>
      </c>
      <c r="N22" s="23">
        <f t="shared" si="2"/>
        <v>3300</v>
      </c>
      <c r="O22" s="34">
        <f t="shared" si="3"/>
        <v>24.444444444444443</v>
      </c>
      <c r="P22" s="34">
        <f t="shared" si="4"/>
        <v>2444.4444444444443</v>
      </c>
      <c r="Q22" s="33">
        <v>5</v>
      </c>
      <c r="R22" s="33">
        <v>2</v>
      </c>
      <c r="S22" s="39">
        <f t="shared" si="5"/>
        <v>23100</v>
      </c>
      <c r="T22" s="37">
        <f t="shared" si="6"/>
        <v>9.4500000000000011</v>
      </c>
      <c r="U22" s="20">
        <v>40</v>
      </c>
      <c r="V22" s="20">
        <v>30</v>
      </c>
      <c r="W22" s="20" t="s">
        <v>170</v>
      </c>
      <c r="X22" s="20" t="s">
        <v>171</v>
      </c>
      <c r="Y22" s="20" t="s">
        <v>172</v>
      </c>
      <c r="Z22" s="20" t="s">
        <v>250</v>
      </c>
      <c r="AA22" s="20"/>
      <c r="AB22" s="20" t="s">
        <v>140</v>
      </c>
    </row>
    <row r="23" spans="1:28" ht="24.75">
      <c r="A23" s="20" t="s">
        <v>127</v>
      </c>
      <c r="B23" s="31" t="s">
        <v>118</v>
      </c>
      <c r="C23" s="20" t="s">
        <v>119</v>
      </c>
      <c r="D23" s="20">
        <v>200</v>
      </c>
      <c r="E23" s="20">
        <v>2.1</v>
      </c>
      <c r="F23" s="20">
        <v>1</v>
      </c>
      <c r="G23" s="20">
        <v>50</v>
      </c>
      <c r="H23" s="20">
        <v>100</v>
      </c>
      <c r="I23" s="20">
        <v>1.1000000000000001</v>
      </c>
      <c r="J23" s="20">
        <v>35</v>
      </c>
      <c r="K23" s="20">
        <v>1.1000000000000001</v>
      </c>
      <c r="L23" s="23">
        <f t="shared" si="0"/>
        <v>65.076877614095778</v>
      </c>
      <c r="M23" s="23">
        <f t="shared" si="1"/>
        <v>1.6903085094570331</v>
      </c>
      <c r="N23" s="23">
        <f t="shared" si="2"/>
        <v>3253.8438807047887</v>
      </c>
      <c r="O23" s="34">
        <f t="shared" si="3"/>
        <v>16.269219403523945</v>
      </c>
      <c r="P23" s="34">
        <f t="shared" si="4"/>
        <v>1549.4494670022802</v>
      </c>
      <c r="Q23" s="33">
        <v>5</v>
      </c>
      <c r="R23" s="33">
        <v>2</v>
      </c>
      <c r="S23" s="39">
        <f t="shared" si="5"/>
        <v>22776.90716493352</v>
      </c>
      <c r="T23" s="37">
        <f t="shared" si="6"/>
        <v>14.700000000000001</v>
      </c>
      <c r="U23" s="20">
        <v>20</v>
      </c>
      <c r="V23" s="20">
        <v>0</v>
      </c>
      <c r="W23" s="20" t="s">
        <v>110</v>
      </c>
      <c r="X23" s="20" t="s">
        <v>113</v>
      </c>
      <c r="Y23" s="20" t="s">
        <v>120</v>
      </c>
      <c r="Z23" s="20" t="s">
        <v>284</v>
      </c>
      <c r="AA23" s="20"/>
      <c r="AB23" s="20" t="s">
        <v>195</v>
      </c>
    </row>
    <row r="24" spans="1:28" ht="16.5" hidden="1">
      <c r="A24" s="20" t="s">
        <v>200</v>
      </c>
      <c r="B24" s="36" t="s">
        <v>158</v>
      </c>
      <c r="C24" s="20" t="s">
        <v>107</v>
      </c>
      <c r="D24" s="20">
        <v>108</v>
      </c>
      <c r="E24" s="20">
        <v>1.44</v>
      </c>
      <c r="F24" s="20">
        <v>1</v>
      </c>
      <c r="G24" s="20">
        <v>100</v>
      </c>
      <c r="H24" s="20">
        <v>32</v>
      </c>
      <c r="I24" s="20">
        <v>1.1000000000000001</v>
      </c>
      <c r="J24" s="20">
        <v>26</v>
      </c>
      <c r="K24" s="20">
        <v>1.1000000000000001</v>
      </c>
      <c r="L24" s="23">
        <f t="shared" si="0"/>
        <v>31.728851224083108</v>
      </c>
      <c r="M24" s="23">
        <f t="shared" si="1"/>
        <v>1.1094003924504583</v>
      </c>
      <c r="N24" s="23">
        <f t="shared" si="2"/>
        <v>3172.885122408311</v>
      </c>
      <c r="O24" s="34">
        <f t="shared" si="3"/>
        <v>29.378565948225102</v>
      </c>
      <c r="P24" s="34">
        <f t="shared" si="4"/>
        <v>2203.3924461168826</v>
      </c>
      <c r="Q24" s="33">
        <v>5</v>
      </c>
      <c r="R24" s="33">
        <v>2</v>
      </c>
      <c r="S24" s="33">
        <f t="shared" si="5"/>
        <v>22210.195856858176</v>
      </c>
      <c r="T24" s="33">
        <f t="shared" si="6"/>
        <v>10.08</v>
      </c>
      <c r="U24" s="20">
        <v>0</v>
      </c>
      <c r="V24" s="20">
        <v>10</v>
      </c>
      <c r="W24" s="20" t="s">
        <v>112</v>
      </c>
      <c r="X24" s="20" t="s">
        <v>116</v>
      </c>
      <c r="Y24" s="20" t="s">
        <v>182</v>
      </c>
      <c r="Z24" s="20" t="s">
        <v>260</v>
      </c>
      <c r="AA24" s="20"/>
      <c r="AB24" s="20" t="s">
        <v>315</v>
      </c>
    </row>
    <row r="25" spans="1:28" ht="16.5">
      <c r="A25" s="20" t="s">
        <v>200</v>
      </c>
      <c r="B25" s="31" t="s">
        <v>290</v>
      </c>
      <c r="C25" s="20" t="s">
        <v>291</v>
      </c>
      <c r="D25" s="20">
        <v>250</v>
      </c>
      <c r="E25" s="20">
        <f>2.1*1.25</f>
        <v>2.625</v>
      </c>
      <c r="F25" s="20">
        <v>1</v>
      </c>
      <c r="G25" s="20">
        <v>50</v>
      </c>
      <c r="H25" s="20">
        <v>110</v>
      </c>
      <c r="I25" s="20">
        <v>1.1000000000000001</v>
      </c>
      <c r="J25" s="20">
        <v>30</v>
      </c>
      <c r="K25" s="20">
        <v>1.1000000000000001</v>
      </c>
      <c r="L25" s="23">
        <f t="shared" si="0"/>
        <v>63.190189111918322</v>
      </c>
      <c r="M25" s="23">
        <f t="shared" si="1"/>
        <v>1.9148542155126762</v>
      </c>
      <c r="N25" s="23">
        <f t="shared" si="2"/>
        <v>3159.5094555959163</v>
      </c>
      <c r="O25" s="34">
        <f t="shared" si="3"/>
        <v>12.638037822383666</v>
      </c>
      <c r="P25" s="34">
        <f t="shared" si="4"/>
        <v>1203.6226497508253</v>
      </c>
      <c r="Q25" s="33">
        <v>5</v>
      </c>
      <c r="R25" s="33">
        <v>2</v>
      </c>
      <c r="S25" s="39">
        <f t="shared" si="5"/>
        <v>22116.566189171415</v>
      </c>
      <c r="T25" s="37">
        <f t="shared" si="6"/>
        <v>18.375</v>
      </c>
      <c r="U25" s="20">
        <v>25</v>
      </c>
      <c r="V25" s="20">
        <v>10</v>
      </c>
      <c r="W25" s="20" t="s">
        <v>197</v>
      </c>
      <c r="X25" s="20" t="s">
        <v>292</v>
      </c>
      <c r="Y25" s="20" t="s">
        <v>293</v>
      </c>
      <c r="Z25" s="20" t="s">
        <v>299</v>
      </c>
      <c r="AB25" s="20" t="s">
        <v>194</v>
      </c>
    </row>
    <row r="26" spans="1:28">
      <c r="A26" s="20" t="s">
        <v>200</v>
      </c>
      <c r="B26" s="31" t="s">
        <v>141</v>
      </c>
      <c r="C26" s="20" t="s">
        <v>107</v>
      </c>
      <c r="D26" s="20">
        <v>75</v>
      </c>
      <c r="E26" s="20">
        <v>1.08</v>
      </c>
      <c r="F26" s="20">
        <v>1</v>
      </c>
      <c r="G26" s="20">
        <v>100</v>
      </c>
      <c r="H26" s="20">
        <v>35</v>
      </c>
      <c r="I26" s="20">
        <v>1.1000000000000001</v>
      </c>
      <c r="J26" s="20">
        <v>22</v>
      </c>
      <c r="K26" s="20">
        <v>1.1000000000000001</v>
      </c>
      <c r="L26" s="23">
        <f t="shared" si="0"/>
        <v>30.523761236125537</v>
      </c>
      <c r="M26" s="23">
        <f t="shared" si="1"/>
        <v>1.2613124477737825</v>
      </c>
      <c r="N26" s="23">
        <f t="shared" si="2"/>
        <v>3052.3761236125538</v>
      </c>
      <c r="O26" s="34">
        <f t="shared" si="3"/>
        <v>40.69834831483405</v>
      </c>
      <c r="P26" s="34">
        <f t="shared" si="4"/>
        <v>2826.2741885301421</v>
      </c>
      <c r="Q26" s="33">
        <v>5</v>
      </c>
      <c r="R26" s="33">
        <v>2</v>
      </c>
      <c r="S26" s="39">
        <f t="shared" si="5"/>
        <v>21366.632865287876</v>
      </c>
      <c r="T26" s="37">
        <f t="shared" si="6"/>
        <v>7.5600000000000005</v>
      </c>
      <c r="U26" s="20">
        <v>12</v>
      </c>
      <c r="V26" s="20">
        <v>0</v>
      </c>
      <c r="W26" s="20" t="s">
        <v>115</v>
      </c>
      <c r="X26" s="20" t="s">
        <v>109</v>
      </c>
      <c r="Y26" s="20" t="s">
        <v>109</v>
      </c>
      <c r="Z26" s="20" t="s">
        <v>242</v>
      </c>
      <c r="AA26" s="20"/>
      <c r="AB26" s="20" t="s">
        <v>140</v>
      </c>
    </row>
    <row r="27" spans="1:28">
      <c r="A27" s="20" t="s">
        <v>232</v>
      </c>
      <c r="B27" s="31" t="s">
        <v>224</v>
      </c>
      <c r="C27" s="20" t="s">
        <v>110</v>
      </c>
      <c r="D27" s="20">
        <v>76</v>
      </c>
      <c r="E27" s="20">
        <v>0.66</v>
      </c>
      <c r="F27" s="20">
        <v>1</v>
      </c>
      <c r="G27" s="20">
        <v>100</v>
      </c>
      <c r="H27" s="20">
        <v>28</v>
      </c>
      <c r="I27" s="20">
        <v>1.1000000000000001</v>
      </c>
      <c r="J27" s="20">
        <v>16</v>
      </c>
      <c r="K27" s="20">
        <v>1.1000000000000001</v>
      </c>
      <c r="L27" s="23">
        <f t="shared" si="0"/>
        <v>23.2826115373684</v>
      </c>
      <c r="M27" s="23">
        <f t="shared" si="1"/>
        <v>1.3228756555322954</v>
      </c>
      <c r="N27" s="23">
        <f t="shared" si="2"/>
        <v>2328.2611537368398</v>
      </c>
      <c r="O27" s="34">
        <f t="shared" si="3"/>
        <v>30.635015180747892</v>
      </c>
      <c r="P27" s="34">
        <f t="shared" si="4"/>
        <v>3527.6684147527876</v>
      </c>
      <c r="Q27" s="33">
        <v>5</v>
      </c>
      <c r="R27" s="33">
        <v>4</v>
      </c>
      <c r="S27" s="39">
        <f t="shared" si="5"/>
        <v>20954.350383631558</v>
      </c>
      <c r="T27" s="37">
        <f t="shared" si="6"/>
        <v>5.94</v>
      </c>
      <c r="U27" s="20">
        <v>10</v>
      </c>
      <c r="V27" s="20">
        <v>10</v>
      </c>
      <c r="W27" s="20" t="s">
        <v>225</v>
      </c>
      <c r="X27" s="20" t="s">
        <v>226</v>
      </c>
      <c r="Y27" s="20" t="s">
        <v>109</v>
      </c>
      <c r="Z27" s="20" t="s">
        <v>275</v>
      </c>
      <c r="AA27" s="20" t="s">
        <v>239</v>
      </c>
      <c r="AB27" s="20" t="s">
        <v>140</v>
      </c>
    </row>
    <row r="28" spans="1:28" ht="16.5" hidden="1">
      <c r="A28" s="20" t="s">
        <v>231</v>
      </c>
      <c r="B28" s="36" t="s">
        <v>314</v>
      </c>
      <c r="C28" s="20" t="s">
        <v>115</v>
      </c>
      <c r="D28" s="20">
        <v>90</v>
      </c>
      <c r="E28" s="20">
        <v>1.08</v>
      </c>
      <c r="F28" s="20">
        <v>1</v>
      </c>
      <c r="G28" s="20">
        <v>100</v>
      </c>
      <c r="H28" s="20">
        <v>30</v>
      </c>
      <c r="I28" s="20">
        <v>1.1000000000000001</v>
      </c>
      <c r="J28" s="20">
        <v>24</v>
      </c>
      <c r="K28" s="20">
        <v>1.1000000000000001</v>
      </c>
      <c r="L28" s="23">
        <f t="shared" si="0"/>
        <v>29.516097302997224</v>
      </c>
      <c r="M28" s="23">
        <f t="shared" si="1"/>
        <v>1.1180339887498949</v>
      </c>
      <c r="N28" s="23">
        <f t="shared" si="2"/>
        <v>2951.6097302997223</v>
      </c>
      <c r="O28" s="34">
        <f t="shared" si="3"/>
        <v>32.795663669996912</v>
      </c>
      <c r="P28" s="34">
        <f t="shared" si="4"/>
        <v>2732.9719724997426</v>
      </c>
      <c r="Q28" s="33">
        <v>5</v>
      </c>
      <c r="R28" s="33">
        <v>2</v>
      </c>
      <c r="S28" s="33">
        <f t="shared" si="5"/>
        <v>20661.268112098056</v>
      </c>
      <c r="T28" s="33">
        <f t="shared" si="6"/>
        <v>7.5600000000000005</v>
      </c>
      <c r="U28" s="20">
        <v>0</v>
      </c>
      <c r="V28" s="20">
        <v>0</v>
      </c>
      <c r="W28" s="20" t="s">
        <v>210</v>
      </c>
      <c r="X28" s="20" t="s">
        <v>116</v>
      </c>
      <c r="Y28" s="20" t="s">
        <v>109</v>
      </c>
      <c r="Z28" s="20" t="s">
        <v>268</v>
      </c>
      <c r="AA28" s="20" t="s">
        <v>213</v>
      </c>
      <c r="AB28" s="20" t="s">
        <v>146</v>
      </c>
    </row>
    <row r="29" spans="1:28">
      <c r="A29" s="20" t="s">
        <v>127</v>
      </c>
      <c r="B29" s="31" t="s">
        <v>117</v>
      </c>
      <c r="C29" s="20" t="s">
        <v>107</v>
      </c>
      <c r="D29" s="20">
        <v>90</v>
      </c>
      <c r="E29" s="20">
        <v>1.2</v>
      </c>
      <c r="F29" s="20">
        <v>1</v>
      </c>
      <c r="G29" s="20">
        <v>100</v>
      </c>
      <c r="H29" s="20">
        <v>32</v>
      </c>
      <c r="I29" s="20">
        <v>1.1000000000000001</v>
      </c>
      <c r="J29" s="20">
        <v>22</v>
      </c>
      <c r="K29" s="20">
        <v>1.1000000000000001</v>
      </c>
      <c r="L29" s="23">
        <f t="shared" si="0"/>
        <v>29.18629815512752</v>
      </c>
      <c r="M29" s="23">
        <f t="shared" si="1"/>
        <v>1.2060453783110545</v>
      </c>
      <c r="N29" s="23">
        <f t="shared" si="2"/>
        <v>2918.629815512752</v>
      </c>
      <c r="O29" s="34">
        <f t="shared" si="3"/>
        <v>32.429220172363912</v>
      </c>
      <c r="P29" s="34">
        <f t="shared" si="4"/>
        <v>2432.1915129272934</v>
      </c>
      <c r="Q29" s="33">
        <v>5</v>
      </c>
      <c r="R29" s="33">
        <v>2</v>
      </c>
      <c r="S29" s="39">
        <f t="shared" si="5"/>
        <v>20430.408708589264</v>
      </c>
      <c r="T29" s="37">
        <f t="shared" si="6"/>
        <v>8.4</v>
      </c>
      <c r="U29" s="20">
        <v>0</v>
      </c>
      <c r="V29" s="20">
        <v>0</v>
      </c>
      <c r="W29" s="20" t="s">
        <v>115</v>
      </c>
      <c r="X29" s="20" t="s">
        <v>109</v>
      </c>
      <c r="Y29" s="20" t="s">
        <v>109</v>
      </c>
      <c r="Z29" s="20" t="s">
        <v>283</v>
      </c>
      <c r="AA29" s="20"/>
      <c r="AB29" s="20" t="s">
        <v>194</v>
      </c>
    </row>
    <row r="30" spans="1:28" ht="16.5">
      <c r="A30" s="20" t="s">
        <v>200</v>
      </c>
      <c r="B30" s="31" t="s">
        <v>155</v>
      </c>
      <c r="C30" s="20" t="s">
        <v>110</v>
      </c>
      <c r="D30" s="20">
        <v>60.5</v>
      </c>
      <c r="E30" s="20">
        <v>0.66</v>
      </c>
      <c r="F30" s="20">
        <v>1</v>
      </c>
      <c r="G30" s="20">
        <v>100</v>
      </c>
      <c r="H30" s="20">
        <v>30</v>
      </c>
      <c r="I30" s="20">
        <v>1.1000000000000001</v>
      </c>
      <c r="J30" s="20">
        <v>14</v>
      </c>
      <c r="K30" s="20">
        <v>1.1000000000000001</v>
      </c>
      <c r="L30" s="23">
        <f t="shared" si="0"/>
        <v>22.543291685111118</v>
      </c>
      <c r="M30" s="23">
        <f t="shared" si="1"/>
        <v>1.4638501094227998</v>
      </c>
      <c r="N30" s="23">
        <f t="shared" si="2"/>
        <v>2254.3291685111117</v>
      </c>
      <c r="O30" s="34">
        <f t="shared" si="3"/>
        <v>37.261639148943992</v>
      </c>
      <c r="P30" s="34">
        <f t="shared" si="4"/>
        <v>3415.6502553198661</v>
      </c>
      <c r="Q30" s="33">
        <v>5</v>
      </c>
      <c r="R30" s="33">
        <v>4</v>
      </c>
      <c r="S30" s="39">
        <f t="shared" si="5"/>
        <v>20288.962516600004</v>
      </c>
      <c r="T30" s="37">
        <f t="shared" si="6"/>
        <v>5.94</v>
      </c>
      <c r="U30" s="20">
        <v>10</v>
      </c>
      <c r="V30" s="20">
        <v>10</v>
      </c>
      <c r="W30" s="20" t="s">
        <v>106</v>
      </c>
      <c r="X30" s="20" t="s">
        <v>174</v>
      </c>
      <c r="Y30" s="20" t="s">
        <v>109</v>
      </c>
      <c r="Z30" s="20" t="s">
        <v>255</v>
      </c>
      <c r="AA30" s="20"/>
      <c r="AB30" s="20" t="s">
        <v>140</v>
      </c>
    </row>
    <row r="31" spans="1:28" ht="16.5">
      <c r="A31" s="20" t="s">
        <v>200</v>
      </c>
      <c r="B31" s="31" t="s">
        <v>199</v>
      </c>
      <c r="C31" s="20" t="s">
        <v>110</v>
      </c>
      <c r="D31" s="20">
        <v>66</v>
      </c>
      <c r="E31" s="20">
        <v>0.72</v>
      </c>
      <c r="F31" s="20">
        <v>1</v>
      </c>
      <c r="G31" s="20">
        <v>100</v>
      </c>
      <c r="H31" s="20">
        <v>28</v>
      </c>
      <c r="I31" s="20">
        <v>1.1000000000000001</v>
      </c>
      <c r="J31" s="20">
        <v>10</v>
      </c>
      <c r="K31" s="20">
        <v>1.1000000000000001</v>
      </c>
      <c r="L31" s="23">
        <f t="shared" si="0"/>
        <v>18.406520583749664</v>
      </c>
      <c r="M31" s="23">
        <f t="shared" si="1"/>
        <v>1.6733200530681511</v>
      </c>
      <c r="N31" s="23">
        <f t="shared" si="2"/>
        <v>1840.6520583749664</v>
      </c>
      <c r="O31" s="34">
        <f t="shared" si="3"/>
        <v>27.888667551135853</v>
      </c>
      <c r="P31" s="34">
        <f t="shared" si="4"/>
        <v>2556.4611921874534</v>
      </c>
      <c r="Q31" s="33">
        <v>5</v>
      </c>
      <c r="R31" s="33">
        <v>6</v>
      </c>
      <c r="S31" s="39">
        <f t="shared" si="5"/>
        <v>20247.172642124631</v>
      </c>
      <c r="T31" s="37">
        <f t="shared" si="6"/>
        <v>7.92</v>
      </c>
      <c r="U31" s="20">
        <v>0</v>
      </c>
      <c r="V31" s="20">
        <v>0</v>
      </c>
      <c r="W31" s="20" t="s">
        <v>177</v>
      </c>
      <c r="X31" s="20" t="s">
        <v>123</v>
      </c>
      <c r="Y31" s="20" t="s">
        <v>109</v>
      </c>
      <c r="Z31" s="20" t="s">
        <v>254</v>
      </c>
      <c r="AA31" s="20"/>
      <c r="AB31" s="20" t="s">
        <v>195</v>
      </c>
    </row>
    <row r="32" spans="1:28">
      <c r="A32" s="20" t="s">
        <v>200</v>
      </c>
      <c r="B32" s="31" t="s">
        <v>161</v>
      </c>
      <c r="C32" s="20" t="s">
        <v>107</v>
      </c>
      <c r="D32" s="20">
        <v>99</v>
      </c>
      <c r="E32" s="20">
        <v>1.32</v>
      </c>
      <c r="F32" s="20">
        <v>1</v>
      </c>
      <c r="G32" s="20">
        <v>100</v>
      </c>
      <c r="H32" s="20">
        <v>34</v>
      </c>
      <c r="I32" s="20">
        <v>1.1000000000000001</v>
      </c>
      <c r="J32" s="20">
        <v>20</v>
      </c>
      <c r="K32" s="20">
        <v>1.1000000000000001</v>
      </c>
      <c r="L32" s="23">
        <f t="shared" si="0"/>
        <v>28.684490582891659</v>
      </c>
      <c r="M32" s="23">
        <f t="shared" si="1"/>
        <v>1.3038404810405297</v>
      </c>
      <c r="N32" s="23">
        <f t="shared" si="2"/>
        <v>2868.4490582891658</v>
      </c>
      <c r="O32" s="34">
        <f t="shared" si="3"/>
        <v>28.974232912011775</v>
      </c>
      <c r="P32" s="34">
        <f t="shared" si="4"/>
        <v>2173.0674684008832</v>
      </c>
      <c r="Q32" s="33">
        <v>5</v>
      </c>
      <c r="R32" s="33">
        <v>2</v>
      </c>
      <c r="S32" s="39">
        <f t="shared" si="5"/>
        <v>20079.14340802416</v>
      </c>
      <c r="T32" s="37">
        <f t="shared" si="6"/>
        <v>9.24</v>
      </c>
      <c r="U32" s="20">
        <v>0</v>
      </c>
      <c r="V32" s="20">
        <v>10</v>
      </c>
      <c r="W32" s="20" t="s">
        <v>185</v>
      </c>
      <c r="X32" s="20" t="s">
        <v>186</v>
      </c>
      <c r="Y32" s="20" t="s">
        <v>187</v>
      </c>
      <c r="Z32" s="20" t="s">
        <v>263</v>
      </c>
      <c r="AA32" s="20"/>
      <c r="AB32" s="20" t="s">
        <v>154</v>
      </c>
    </row>
    <row r="33" spans="1:28" ht="16.5">
      <c r="A33" s="20" t="s">
        <v>286</v>
      </c>
      <c r="B33" s="31" t="s">
        <v>125</v>
      </c>
      <c r="C33" s="20" t="s">
        <v>107</v>
      </c>
      <c r="D33" s="20">
        <v>50</v>
      </c>
      <c r="E33" s="20">
        <v>1</v>
      </c>
      <c r="F33" s="20">
        <v>1</v>
      </c>
      <c r="G33" s="20">
        <v>100</v>
      </c>
      <c r="H33" s="20">
        <v>40</v>
      </c>
      <c r="I33" s="20">
        <v>1.1000000000000001</v>
      </c>
      <c r="J33" s="20">
        <v>32</v>
      </c>
      <c r="K33" s="20">
        <v>1.1000000000000001</v>
      </c>
      <c r="L33" s="23">
        <f t="shared" si="0"/>
        <v>39.354796403996303</v>
      </c>
      <c r="M33" s="23">
        <f t="shared" si="1"/>
        <v>1.1180339887498949</v>
      </c>
      <c r="N33" s="23">
        <f t="shared" si="2"/>
        <v>3935.4796403996302</v>
      </c>
      <c r="O33" s="34">
        <f t="shared" si="3"/>
        <v>78.709592807992607</v>
      </c>
      <c r="P33" s="34">
        <f t="shared" si="4"/>
        <v>3935.4796403996302</v>
      </c>
      <c r="Q33" s="33">
        <v>5</v>
      </c>
      <c r="R33" s="33">
        <v>0</v>
      </c>
      <c r="S33" s="39">
        <f t="shared" si="5"/>
        <v>19677.398201998152</v>
      </c>
      <c r="T33" s="37">
        <f t="shared" si="6"/>
        <v>5</v>
      </c>
      <c r="U33" s="20">
        <v>0</v>
      </c>
      <c r="V33" s="20">
        <v>24</v>
      </c>
      <c r="W33" s="20" t="s">
        <v>126</v>
      </c>
      <c r="X33" s="20" t="s">
        <v>109</v>
      </c>
      <c r="Y33" s="20" t="s">
        <v>109</v>
      </c>
      <c r="Z33" s="22" t="s">
        <v>280</v>
      </c>
      <c r="AA33" s="20"/>
      <c r="AB33" s="20" t="s">
        <v>194</v>
      </c>
    </row>
    <row r="34" spans="1:28" ht="24.75" hidden="1">
      <c r="A34" s="20" t="s">
        <v>231</v>
      </c>
      <c r="B34" s="36" t="s">
        <v>202</v>
      </c>
      <c r="C34" s="20" t="s">
        <v>112</v>
      </c>
      <c r="D34" s="20">
        <v>111</v>
      </c>
      <c r="E34" s="20">
        <v>1.36</v>
      </c>
      <c r="F34" s="20">
        <v>1</v>
      </c>
      <c r="G34" s="20">
        <v>100</v>
      </c>
      <c r="H34" s="20">
        <v>40</v>
      </c>
      <c r="I34" s="20">
        <v>1.1000000000000001</v>
      </c>
      <c r="J34" s="20">
        <v>15</v>
      </c>
      <c r="K34" s="20">
        <v>1.1000000000000001</v>
      </c>
      <c r="L34" s="23">
        <f t="shared" si="0"/>
        <v>26.944387170614963</v>
      </c>
      <c r="M34" s="23">
        <f t="shared" si="1"/>
        <v>1.6329931618554518</v>
      </c>
      <c r="N34" s="23">
        <f t="shared" si="2"/>
        <v>2694.4387170614964</v>
      </c>
      <c r="O34" s="34">
        <f t="shared" si="3"/>
        <v>24.274222676229698</v>
      </c>
      <c r="P34" s="34">
        <f t="shared" si="4"/>
        <v>1981.2049390158061</v>
      </c>
      <c r="Q34" s="33">
        <v>5</v>
      </c>
      <c r="R34" s="33">
        <v>2</v>
      </c>
      <c r="S34" s="33">
        <f t="shared" si="5"/>
        <v>18861.071019430474</v>
      </c>
      <c r="T34" s="33">
        <f t="shared" si="6"/>
        <v>9.5200000000000014</v>
      </c>
      <c r="U34" s="20">
        <v>40</v>
      </c>
      <c r="V34" s="20">
        <v>15</v>
      </c>
      <c r="W34" s="20" t="s">
        <v>110</v>
      </c>
      <c r="X34" s="20" t="s">
        <v>124</v>
      </c>
      <c r="Y34" s="20" t="s">
        <v>114</v>
      </c>
      <c r="Z34" s="20" t="s">
        <v>266</v>
      </c>
      <c r="AA34" s="20" t="s">
        <v>203</v>
      </c>
      <c r="AB34" s="20" t="s">
        <v>315</v>
      </c>
    </row>
    <row r="35" spans="1:28">
      <c r="A35" s="20" t="s">
        <v>200</v>
      </c>
      <c r="B35" s="31" t="s">
        <v>142</v>
      </c>
      <c r="C35" s="20" t="s">
        <v>110</v>
      </c>
      <c r="D35" s="20">
        <v>55</v>
      </c>
      <c r="E35" s="20">
        <v>0.66</v>
      </c>
      <c r="F35" s="20">
        <v>1</v>
      </c>
      <c r="G35" s="20">
        <v>100</v>
      </c>
      <c r="H35" s="20">
        <v>30</v>
      </c>
      <c r="I35" s="20">
        <v>1.1000000000000001</v>
      </c>
      <c r="J35" s="20">
        <v>12</v>
      </c>
      <c r="K35" s="20">
        <v>1.1000000000000001</v>
      </c>
      <c r="L35" s="23">
        <f t="shared" si="0"/>
        <v>20.871032557111302</v>
      </c>
      <c r="M35" s="23">
        <f t="shared" si="1"/>
        <v>1.5811388300841898</v>
      </c>
      <c r="N35" s="23">
        <f t="shared" si="2"/>
        <v>2087.1032557111303</v>
      </c>
      <c r="O35" s="34">
        <f t="shared" si="3"/>
        <v>37.947331922020552</v>
      </c>
      <c r="P35" s="34">
        <f t="shared" si="4"/>
        <v>3162.277660168379</v>
      </c>
      <c r="Q35" s="33">
        <v>5</v>
      </c>
      <c r="R35" s="33">
        <v>4</v>
      </c>
      <c r="S35" s="39">
        <f t="shared" si="5"/>
        <v>18783.929301400174</v>
      </c>
      <c r="T35" s="37">
        <f t="shared" si="6"/>
        <v>5.94</v>
      </c>
      <c r="U35" s="20">
        <v>5</v>
      </c>
      <c r="V35" s="20">
        <v>0</v>
      </c>
      <c r="W35" s="20" t="s">
        <v>106</v>
      </c>
      <c r="X35" s="20" t="s">
        <v>166</v>
      </c>
      <c r="Y35" s="20" t="s">
        <v>109</v>
      </c>
      <c r="Z35" s="20" t="s">
        <v>243</v>
      </c>
      <c r="AA35" s="20"/>
      <c r="AB35" s="20" t="s">
        <v>140</v>
      </c>
    </row>
    <row r="36" spans="1:28" ht="24.75">
      <c r="A36" s="20" t="s">
        <v>200</v>
      </c>
      <c r="B36" s="31" t="s">
        <v>162</v>
      </c>
      <c r="C36" s="20" t="s">
        <v>110</v>
      </c>
      <c r="D36" s="20">
        <v>61</v>
      </c>
      <c r="E36" s="20">
        <v>0.66</v>
      </c>
      <c r="F36" s="20">
        <v>1</v>
      </c>
      <c r="G36" s="20">
        <v>100</v>
      </c>
      <c r="H36" s="20">
        <v>18</v>
      </c>
      <c r="I36" s="20">
        <v>1.1000000000000001</v>
      </c>
      <c r="J36" s="20">
        <v>20</v>
      </c>
      <c r="K36" s="20">
        <v>1.1000000000000001</v>
      </c>
      <c r="L36" s="23">
        <f t="shared" ref="L36:L54" si="7">SQRT(H36*I36*J36*K36)</f>
        <v>20.871032557111302</v>
      </c>
      <c r="M36" s="23">
        <f t="shared" ref="M36:M54" si="8">SQRT(H36*I36/J36/K36)</f>
        <v>0.94868329805051377</v>
      </c>
      <c r="N36" s="23">
        <f t="shared" ref="N36:N54" si="9">L36*G36</f>
        <v>2087.1032557111303</v>
      </c>
      <c r="O36" s="34">
        <f t="shared" ref="O36:O54" si="10">N36/D36</f>
        <v>34.214807470674266</v>
      </c>
      <c r="P36" s="34">
        <f t="shared" ref="P36:P54" si="11">N36/E36</f>
        <v>3162.277660168379</v>
      </c>
      <c r="Q36" s="33">
        <v>5</v>
      </c>
      <c r="R36" s="33">
        <v>4</v>
      </c>
      <c r="S36" s="39">
        <f t="shared" ref="S36:S54" si="12">N36*SUM(Q36:R36)</f>
        <v>18783.929301400174</v>
      </c>
      <c r="T36" s="37">
        <f t="shared" ref="T36:T54" si="13">E36*F36*SUM(Q36:R36)</f>
        <v>5.94</v>
      </c>
      <c r="U36" s="20">
        <v>0</v>
      </c>
      <c r="V36" s="20">
        <v>22</v>
      </c>
      <c r="W36" s="20" t="s">
        <v>106</v>
      </c>
      <c r="X36" s="20" t="s">
        <v>188</v>
      </c>
      <c r="Y36" s="20" t="s">
        <v>109</v>
      </c>
      <c r="Z36" s="20" t="s">
        <v>264</v>
      </c>
      <c r="AA36" s="20"/>
      <c r="AB36" s="20" t="s">
        <v>140</v>
      </c>
    </row>
    <row r="37" spans="1:28" ht="16.5">
      <c r="A37" s="20" t="s">
        <v>200</v>
      </c>
      <c r="B37" s="31" t="s">
        <v>139</v>
      </c>
      <c r="C37" s="20" t="s">
        <v>106</v>
      </c>
      <c r="D37" s="20">
        <v>81</v>
      </c>
      <c r="E37" s="20">
        <v>0.81</v>
      </c>
      <c r="F37" s="20">
        <v>1</v>
      </c>
      <c r="G37" s="20">
        <v>100</v>
      </c>
      <c r="H37" s="20">
        <v>20</v>
      </c>
      <c r="I37" s="20">
        <v>1.1000000000000001</v>
      </c>
      <c r="J37" s="20">
        <v>16</v>
      </c>
      <c r="K37" s="20">
        <v>1.1000000000000001</v>
      </c>
      <c r="L37" s="23">
        <f t="shared" si="7"/>
        <v>19.677398201998152</v>
      </c>
      <c r="M37" s="23">
        <f t="shared" si="8"/>
        <v>1.1180339887498949</v>
      </c>
      <c r="N37" s="23">
        <f t="shared" si="9"/>
        <v>1967.7398201998151</v>
      </c>
      <c r="O37" s="34">
        <f t="shared" si="10"/>
        <v>24.293084199997718</v>
      </c>
      <c r="P37" s="34">
        <f t="shared" si="11"/>
        <v>2429.3084199997716</v>
      </c>
      <c r="Q37" s="33">
        <v>5</v>
      </c>
      <c r="R37" s="33">
        <v>4</v>
      </c>
      <c r="S37" s="39">
        <f t="shared" si="12"/>
        <v>17709.658381798337</v>
      </c>
      <c r="T37" s="37">
        <f t="shared" si="13"/>
        <v>7.2900000000000009</v>
      </c>
      <c r="U37" s="20">
        <v>20</v>
      </c>
      <c r="V37" s="20">
        <v>10</v>
      </c>
      <c r="W37" s="20" t="s">
        <v>165</v>
      </c>
      <c r="X37" s="20" t="s">
        <v>116</v>
      </c>
      <c r="Y37" s="20" t="s">
        <v>2</v>
      </c>
      <c r="Z37" s="20" t="s">
        <v>241</v>
      </c>
      <c r="AA37" s="20"/>
      <c r="AB37" s="20" t="s">
        <v>194</v>
      </c>
    </row>
    <row r="38" spans="1:28" ht="16.5">
      <c r="A38" s="20" t="s">
        <v>127</v>
      </c>
      <c r="B38" s="31" t="s">
        <v>115</v>
      </c>
      <c r="C38" s="20" t="s">
        <v>115</v>
      </c>
      <c r="D38" s="20">
        <v>75</v>
      </c>
      <c r="E38" s="20">
        <v>0.9</v>
      </c>
      <c r="F38" s="20">
        <v>1</v>
      </c>
      <c r="G38" s="20">
        <v>100</v>
      </c>
      <c r="H38" s="20">
        <v>22</v>
      </c>
      <c r="I38" s="20">
        <v>1.1000000000000001</v>
      </c>
      <c r="J38" s="20">
        <v>24</v>
      </c>
      <c r="K38" s="20">
        <v>1.1000000000000001</v>
      </c>
      <c r="L38" s="23">
        <f t="shared" si="7"/>
        <v>25.276075644767328</v>
      </c>
      <c r="M38" s="23">
        <f t="shared" si="8"/>
        <v>0.9574271077563381</v>
      </c>
      <c r="N38" s="23">
        <f t="shared" si="9"/>
        <v>2527.6075644767329</v>
      </c>
      <c r="O38" s="34">
        <f t="shared" si="10"/>
        <v>33.701434193023104</v>
      </c>
      <c r="P38" s="34">
        <f t="shared" si="11"/>
        <v>2808.452849418592</v>
      </c>
      <c r="Q38" s="33">
        <v>5</v>
      </c>
      <c r="R38" s="33">
        <v>2</v>
      </c>
      <c r="S38" s="39">
        <f t="shared" si="12"/>
        <v>17693.25295133713</v>
      </c>
      <c r="T38" s="37">
        <f t="shared" si="13"/>
        <v>6.3</v>
      </c>
      <c r="U38" s="20">
        <v>0</v>
      </c>
      <c r="V38" s="20">
        <v>0</v>
      </c>
      <c r="W38" s="20" t="s">
        <v>95</v>
      </c>
      <c r="X38" s="20" t="s">
        <v>116</v>
      </c>
      <c r="Y38" s="20" t="s">
        <v>109</v>
      </c>
      <c r="Z38" s="20" t="s">
        <v>109</v>
      </c>
      <c r="AA38" s="20"/>
      <c r="AB38" s="20" t="s">
        <v>194</v>
      </c>
    </row>
    <row r="39" spans="1:28" ht="24.75">
      <c r="A39" s="20" t="s">
        <v>232</v>
      </c>
      <c r="B39" s="31" t="s">
        <v>227</v>
      </c>
      <c r="C39" s="20" t="s">
        <v>225</v>
      </c>
      <c r="D39" s="20">
        <v>400</v>
      </c>
      <c r="E39" s="20">
        <v>2.94</v>
      </c>
      <c r="F39" s="20">
        <v>0.8</v>
      </c>
      <c r="G39" s="20">
        <v>25</v>
      </c>
      <c r="H39" s="20">
        <v>250</v>
      </c>
      <c r="I39" s="20">
        <v>1</v>
      </c>
      <c r="J39" s="20">
        <v>50</v>
      </c>
      <c r="K39" s="20">
        <v>1</v>
      </c>
      <c r="L39" s="23">
        <f t="shared" si="7"/>
        <v>111.80339887498948</v>
      </c>
      <c r="M39" s="23">
        <f t="shared" si="8"/>
        <v>2.2360679774997898</v>
      </c>
      <c r="N39" s="23">
        <f t="shared" si="9"/>
        <v>2795.0849718747372</v>
      </c>
      <c r="O39" s="34">
        <f t="shared" si="10"/>
        <v>6.9877124296868427</v>
      </c>
      <c r="P39" s="34">
        <f t="shared" si="11"/>
        <v>950.70917410705351</v>
      </c>
      <c r="Q39" s="33">
        <v>5</v>
      </c>
      <c r="R39" s="33">
        <v>1</v>
      </c>
      <c r="S39" s="39">
        <f t="shared" si="12"/>
        <v>16770.509831248422</v>
      </c>
      <c r="T39" s="37">
        <f t="shared" si="13"/>
        <v>14.111999999999998</v>
      </c>
      <c r="U39" s="20">
        <v>0</v>
      </c>
      <c r="V39" s="20">
        <v>0</v>
      </c>
      <c r="W39" s="20" t="s">
        <v>228</v>
      </c>
      <c r="X39" s="20" t="s">
        <v>176</v>
      </c>
      <c r="Y39" s="20" t="s">
        <v>229</v>
      </c>
      <c r="Z39" s="20" t="s">
        <v>276</v>
      </c>
      <c r="AA39" s="20" t="s">
        <v>240</v>
      </c>
      <c r="AB39" s="20" t="s">
        <v>140</v>
      </c>
    </row>
    <row r="40" spans="1:28">
      <c r="A40" s="20" t="s">
        <v>200</v>
      </c>
      <c r="B40" s="31" t="s">
        <v>148</v>
      </c>
      <c r="C40" s="20" t="s">
        <v>106</v>
      </c>
      <c r="D40" s="20">
        <v>54</v>
      </c>
      <c r="E40" s="20">
        <v>0.54</v>
      </c>
      <c r="F40" s="20">
        <v>1</v>
      </c>
      <c r="G40" s="20">
        <v>100</v>
      </c>
      <c r="H40" s="20">
        <v>18</v>
      </c>
      <c r="I40" s="20">
        <v>1.1000000000000001</v>
      </c>
      <c r="J40" s="20">
        <v>14</v>
      </c>
      <c r="K40" s="20">
        <v>1.1000000000000001</v>
      </c>
      <c r="L40" s="23">
        <f t="shared" si="7"/>
        <v>17.461958653026297</v>
      </c>
      <c r="M40" s="23">
        <f t="shared" si="8"/>
        <v>1.1338934190276817</v>
      </c>
      <c r="N40" s="23">
        <f t="shared" si="9"/>
        <v>1746.1958653026297</v>
      </c>
      <c r="O40" s="34">
        <f t="shared" si="10"/>
        <v>32.33696046856722</v>
      </c>
      <c r="P40" s="34">
        <f t="shared" si="11"/>
        <v>3233.6960468567213</v>
      </c>
      <c r="Q40" s="33">
        <v>5</v>
      </c>
      <c r="R40" s="33">
        <v>4</v>
      </c>
      <c r="S40" s="39">
        <f t="shared" si="12"/>
        <v>15715.762787723668</v>
      </c>
      <c r="T40" s="37">
        <f t="shared" si="13"/>
        <v>4.8600000000000003</v>
      </c>
      <c r="U40" s="20">
        <v>0</v>
      </c>
      <c r="V40" s="20">
        <v>20</v>
      </c>
      <c r="W40" s="20" t="s">
        <v>107</v>
      </c>
      <c r="X40" s="20" t="s">
        <v>169</v>
      </c>
      <c r="Y40" s="20" t="s">
        <v>109</v>
      </c>
      <c r="Z40" s="20" t="s">
        <v>248</v>
      </c>
      <c r="AA40" s="20"/>
      <c r="AB40" s="20" t="s">
        <v>140</v>
      </c>
    </row>
    <row r="41" spans="1:28" ht="16.5">
      <c r="A41" s="20" t="s">
        <v>127</v>
      </c>
      <c r="B41" s="31" t="s">
        <v>110</v>
      </c>
      <c r="C41" s="20" t="s">
        <v>110</v>
      </c>
      <c r="D41" s="20">
        <v>55</v>
      </c>
      <c r="E41" s="20">
        <v>0.6</v>
      </c>
      <c r="F41" s="20">
        <v>1</v>
      </c>
      <c r="G41" s="20">
        <v>100</v>
      </c>
      <c r="H41" s="20">
        <v>25</v>
      </c>
      <c r="I41" s="20">
        <v>1.1000000000000001</v>
      </c>
      <c r="J41" s="20">
        <v>10</v>
      </c>
      <c r="K41" s="20">
        <v>1.1000000000000001</v>
      </c>
      <c r="L41" s="23">
        <f t="shared" si="7"/>
        <v>17.392527130926091</v>
      </c>
      <c r="M41" s="23">
        <f t="shared" si="8"/>
        <v>1.5811388300841898</v>
      </c>
      <c r="N41" s="23">
        <f t="shared" si="9"/>
        <v>1739.2527130926092</v>
      </c>
      <c r="O41" s="34">
        <f t="shared" si="10"/>
        <v>31.622776601683803</v>
      </c>
      <c r="P41" s="34">
        <f t="shared" si="11"/>
        <v>2898.7545218210153</v>
      </c>
      <c r="Q41" s="33">
        <v>5</v>
      </c>
      <c r="R41" s="33">
        <v>4</v>
      </c>
      <c r="S41" s="39">
        <f t="shared" si="12"/>
        <v>15653.274417833483</v>
      </c>
      <c r="T41" s="37">
        <f t="shared" si="13"/>
        <v>5.3999999999999995</v>
      </c>
      <c r="U41" s="20">
        <v>0</v>
      </c>
      <c r="V41" s="20">
        <v>0</v>
      </c>
      <c r="W41" s="20" t="s">
        <v>106</v>
      </c>
      <c r="X41" s="20" t="s">
        <v>111</v>
      </c>
      <c r="Y41" s="20" t="s">
        <v>109</v>
      </c>
      <c r="Z41" s="20" t="s">
        <v>109</v>
      </c>
      <c r="AA41" s="20"/>
      <c r="AB41" s="20" t="s">
        <v>194</v>
      </c>
    </row>
    <row r="42" spans="1:28">
      <c r="A42" s="20" t="s">
        <v>200</v>
      </c>
      <c r="B42" s="31" t="s">
        <v>160</v>
      </c>
      <c r="C42" s="20" t="s">
        <v>106</v>
      </c>
      <c r="D42" s="20">
        <v>45</v>
      </c>
      <c r="E42" s="20">
        <v>0.45</v>
      </c>
      <c r="F42" s="20">
        <v>1</v>
      </c>
      <c r="G42" s="20">
        <v>100</v>
      </c>
      <c r="H42" s="20">
        <v>10</v>
      </c>
      <c r="I42" s="20">
        <v>1.1000000000000001</v>
      </c>
      <c r="J42" s="20">
        <v>24</v>
      </c>
      <c r="K42" s="20">
        <v>1.1000000000000001</v>
      </c>
      <c r="L42" s="23">
        <f t="shared" si="7"/>
        <v>17.041126723312637</v>
      </c>
      <c r="M42" s="23">
        <f t="shared" si="8"/>
        <v>0.6454972243679028</v>
      </c>
      <c r="N42" s="23">
        <f t="shared" si="9"/>
        <v>1704.1126723312636</v>
      </c>
      <c r="O42" s="34">
        <f t="shared" si="10"/>
        <v>37.869170496250305</v>
      </c>
      <c r="P42" s="34">
        <f t="shared" si="11"/>
        <v>3786.9170496250304</v>
      </c>
      <c r="Q42" s="33">
        <v>5</v>
      </c>
      <c r="R42" s="33">
        <v>4</v>
      </c>
      <c r="S42" s="39">
        <f t="shared" si="12"/>
        <v>15337.014050981372</v>
      </c>
      <c r="T42" s="37">
        <f t="shared" si="13"/>
        <v>4.05</v>
      </c>
      <c r="U42" s="20">
        <v>0</v>
      </c>
      <c r="V42" s="20">
        <v>40</v>
      </c>
      <c r="W42" s="20" t="s">
        <v>107</v>
      </c>
      <c r="X42" s="20" t="s">
        <v>109</v>
      </c>
      <c r="Y42" s="20" t="s">
        <v>109</v>
      </c>
      <c r="Z42" s="20" t="s">
        <v>262</v>
      </c>
      <c r="AA42" s="20"/>
      <c r="AB42" s="20" t="s">
        <v>140</v>
      </c>
    </row>
    <row r="43" spans="1:28" ht="16.5">
      <c r="A43" s="20" t="s">
        <v>200</v>
      </c>
      <c r="B43" s="31" t="s">
        <v>198</v>
      </c>
      <c r="C43" s="20" t="s">
        <v>110</v>
      </c>
      <c r="D43" s="20">
        <v>66</v>
      </c>
      <c r="E43" s="20">
        <v>0.72</v>
      </c>
      <c r="F43" s="20">
        <v>1</v>
      </c>
      <c r="G43" s="20">
        <v>100</v>
      </c>
      <c r="H43" s="20">
        <v>20</v>
      </c>
      <c r="I43" s="20">
        <v>1.1000000000000001</v>
      </c>
      <c r="J43" s="20">
        <v>8</v>
      </c>
      <c r="K43" s="20">
        <v>1.1000000000000001</v>
      </c>
      <c r="L43" s="23">
        <f t="shared" si="7"/>
        <v>13.91402170474087</v>
      </c>
      <c r="M43" s="23">
        <f t="shared" si="8"/>
        <v>1.5811388300841898</v>
      </c>
      <c r="N43" s="23">
        <f t="shared" si="9"/>
        <v>1391.4021704740869</v>
      </c>
      <c r="O43" s="34">
        <f t="shared" si="10"/>
        <v>21.081851067789195</v>
      </c>
      <c r="P43" s="34">
        <f t="shared" si="11"/>
        <v>1932.5030145473429</v>
      </c>
      <c r="Q43" s="33">
        <v>5</v>
      </c>
      <c r="R43" s="33">
        <v>6</v>
      </c>
      <c r="S43" s="39">
        <f t="shared" si="12"/>
        <v>15305.423875214956</v>
      </c>
      <c r="T43" s="37">
        <f t="shared" si="13"/>
        <v>7.92</v>
      </c>
      <c r="U43" s="20">
        <v>0</v>
      </c>
      <c r="V43" s="20">
        <v>0</v>
      </c>
      <c r="W43" s="20" t="s">
        <v>177</v>
      </c>
      <c r="X43" s="20" t="s">
        <v>123</v>
      </c>
      <c r="Y43" s="20" t="s">
        <v>109</v>
      </c>
      <c r="Z43" s="20" t="s">
        <v>254</v>
      </c>
      <c r="AA43" s="20"/>
      <c r="AB43" s="20" t="s">
        <v>140</v>
      </c>
    </row>
    <row r="44" spans="1:28" hidden="1">
      <c r="A44" s="20" t="s">
        <v>200</v>
      </c>
      <c r="B44" s="36" t="s">
        <v>147</v>
      </c>
      <c r="C44" s="20" t="s">
        <v>106</v>
      </c>
      <c r="D44" s="20">
        <v>45</v>
      </c>
      <c r="E44" s="20">
        <v>0.45</v>
      </c>
      <c r="F44" s="20">
        <v>1</v>
      </c>
      <c r="G44" s="20">
        <v>100</v>
      </c>
      <c r="H44" s="20">
        <v>13</v>
      </c>
      <c r="I44" s="20">
        <v>1.1000000000000001</v>
      </c>
      <c r="J44" s="20">
        <v>18</v>
      </c>
      <c r="K44" s="20">
        <v>1.1000000000000001</v>
      </c>
      <c r="L44" s="23">
        <f t="shared" si="7"/>
        <v>16.826764394856191</v>
      </c>
      <c r="M44" s="23">
        <f t="shared" si="8"/>
        <v>0.84983658559879749</v>
      </c>
      <c r="N44" s="23">
        <f t="shared" si="9"/>
        <v>1682.6764394856191</v>
      </c>
      <c r="O44" s="34">
        <f t="shared" si="10"/>
        <v>37.392809766347092</v>
      </c>
      <c r="P44" s="34">
        <f t="shared" si="11"/>
        <v>3739.2809766347091</v>
      </c>
      <c r="Q44" s="33">
        <v>5</v>
      </c>
      <c r="R44" s="33">
        <v>4</v>
      </c>
      <c r="S44" s="33">
        <f t="shared" si="12"/>
        <v>15144.087955370571</v>
      </c>
      <c r="T44" s="33">
        <f t="shared" si="13"/>
        <v>4.05</v>
      </c>
      <c r="U44" s="20">
        <v>0</v>
      </c>
      <c r="V44" s="20">
        <v>16</v>
      </c>
      <c r="W44" s="20" t="s">
        <v>168</v>
      </c>
      <c r="X44" s="20" t="s">
        <v>109</v>
      </c>
      <c r="Y44" s="20" t="s">
        <v>109</v>
      </c>
      <c r="Z44" s="20" t="s">
        <v>247</v>
      </c>
      <c r="AA44" s="20"/>
      <c r="AB44" s="20" t="s">
        <v>146</v>
      </c>
    </row>
    <row r="45" spans="1:28" ht="16.5">
      <c r="A45" s="20" t="s">
        <v>200</v>
      </c>
      <c r="B45" s="31" t="s">
        <v>153</v>
      </c>
      <c r="C45" s="20" t="s">
        <v>112</v>
      </c>
      <c r="D45" s="20">
        <v>110.5</v>
      </c>
      <c r="E45" s="20">
        <v>1.36</v>
      </c>
      <c r="F45" s="20">
        <v>1</v>
      </c>
      <c r="G45" s="20">
        <v>100</v>
      </c>
      <c r="H45" s="20">
        <v>25</v>
      </c>
      <c r="I45" s="20">
        <v>1.1000000000000001</v>
      </c>
      <c r="J45" s="20">
        <v>15</v>
      </c>
      <c r="K45" s="20">
        <v>1.1000000000000001</v>
      </c>
      <c r="L45" s="23">
        <f t="shared" si="7"/>
        <v>21.301408404140794</v>
      </c>
      <c r="M45" s="23">
        <f t="shared" si="8"/>
        <v>1.2909944487358056</v>
      </c>
      <c r="N45" s="23">
        <f t="shared" si="9"/>
        <v>2130.1408404140793</v>
      </c>
      <c r="O45" s="34">
        <f t="shared" si="10"/>
        <v>19.277292673430583</v>
      </c>
      <c r="P45" s="34">
        <f t="shared" si="11"/>
        <v>1566.2800297162346</v>
      </c>
      <c r="Q45" s="33">
        <v>5</v>
      </c>
      <c r="R45" s="33">
        <v>2</v>
      </c>
      <c r="S45" s="39">
        <f t="shared" si="12"/>
        <v>14910.985882898556</v>
      </c>
      <c r="T45" s="37">
        <f t="shared" si="13"/>
        <v>9.5200000000000014</v>
      </c>
      <c r="U45" s="20">
        <v>60</v>
      </c>
      <c r="V45" s="20">
        <v>20</v>
      </c>
      <c r="W45" s="20" t="s">
        <v>110</v>
      </c>
      <c r="X45" s="20" t="s">
        <v>113</v>
      </c>
      <c r="Y45" s="20" t="s">
        <v>114</v>
      </c>
      <c r="Z45" s="20" t="s">
        <v>253</v>
      </c>
      <c r="AA45" s="20"/>
      <c r="AB45" s="20" t="s">
        <v>154</v>
      </c>
    </row>
    <row r="46" spans="1:28" ht="16.5">
      <c r="A46" s="20" t="s">
        <v>232</v>
      </c>
      <c r="B46" s="31" t="s">
        <v>214</v>
      </c>
      <c r="C46" s="20" t="s">
        <v>112</v>
      </c>
      <c r="D46" s="20">
        <v>85</v>
      </c>
      <c r="E46" s="20">
        <v>1.1499999999999999</v>
      </c>
      <c r="F46" s="20">
        <v>1</v>
      </c>
      <c r="G46" s="20">
        <v>100</v>
      </c>
      <c r="H46" s="20">
        <v>22</v>
      </c>
      <c r="I46" s="20">
        <v>1.1000000000000001</v>
      </c>
      <c r="J46" s="20">
        <v>16</v>
      </c>
      <c r="K46" s="20">
        <v>1.1000000000000001</v>
      </c>
      <c r="L46" s="23">
        <f t="shared" si="7"/>
        <v>20.637829343223093</v>
      </c>
      <c r="M46" s="23">
        <f t="shared" si="8"/>
        <v>1.1726039399558574</v>
      </c>
      <c r="N46" s="23">
        <f t="shared" si="9"/>
        <v>2063.7829343223093</v>
      </c>
      <c r="O46" s="34">
        <f t="shared" si="10"/>
        <v>24.279799227321284</v>
      </c>
      <c r="P46" s="34">
        <f t="shared" si="11"/>
        <v>1794.5938559324429</v>
      </c>
      <c r="Q46" s="33">
        <v>5</v>
      </c>
      <c r="R46" s="33">
        <v>2</v>
      </c>
      <c r="S46" s="39">
        <f t="shared" si="12"/>
        <v>14446.480540256165</v>
      </c>
      <c r="T46" s="37">
        <f t="shared" si="13"/>
        <v>8.0499999999999989</v>
      </c>
      <c r="U46" s="20">
        <v>30</v>
      </c>
      <c r="V46" s="20">
        <v>50</v>
      </c>
      <c r="W46" s="20" t="s">
        <v>110</v>
      </c>
      <c r="X46" s="20" t="s">
        <v>215</v>
      </c>
      <c r="Y46" s="20" t="s">
        <v>216</v>
      </c>
      <c r="Z46" s="20" t="s">
        <v>271</v>
      </c>
      <c r="AA46" s="20" t="s">
        <v>235</v>
      </c>
      <c r="AB46" s="20" t="s">
        <v>140</v>
      </c>
    </row>
    <row r="47" spans="1:28" ht="16.5">
      <c r="A47" s="20" t="s">
        <v>127</v>
      </c>
      <c r="B47" s="31" t="s">
        <v>112</v>
      </c>
      <c r="C47" s="20" t="s">
        <v>112</v>
      </c>
      <c r="D47" s="20">
        <v>85</v>
      </c>
      <c r="E47" s="20">
        <v>1.05</v>
      </c>
      <c r="F47" s="20">
        <v>1</v>
      </c>
      <c r="G47" s="20">
        <v>100</v>
      </c>
      <c r="H47" s="20">
        <v>22</v>
      </c>
      <c r="I47" s="20">
        <v>1.1000000000000001</v>
      </c>
      <c r="J47" s="20">
        <v>15</v>
      </c>
      <c r="K47" s="20">
        <v>1.1000000000000001</v>
      </c>
      <c r="L47" s="23">
        <f t="shared" si="7"/>
        <v>19.982492337043446</v>
      </c>
      <c r="M47" s="23">
        <f t="shared" si="8"/>
        <v>1.2110601416389968</v>
      </c>
      <c r="N47" s="23">
        <f t="shared" si="9"/>
        <v>1998.2492337043445</v>
      </c>
      <c r="O47" s="34">
        <f t="shared" si="10"/>
        <v>23.508814514168758</v>
      </c>
      <c r="P47" s="34">
        <f t="shared" si="11"/>
        <v>1903.0945082898518</v>
      </c>
      <c r="Q47" s="33">
        <v>5</v>
      </c>
      <c r="R47" s="33">
        <v>2</v>
      </c>
      <c r="S47" s="39">
        <f t="shared" si="12"/>
        <v>13987.744635930412</v>
      </c>
      <c r="T47" s="37">
        <f t="shared" si="13"/>
        <v>7.3500000000000005</v>
      </c>
      <c r="U47" s="20">
        <v>30</v>
      </c>
      <c r="V47" s="20">
        <v>30</v>
      </c>
      <c r="W47" s="20" t="s">
        <v>197</v>
      </c>
      <c r="X47" s="20" t="s">
        <v>113</v>
      </c>
      <c r="Y47" s="20" t="s">
        <v>114</v>
      </c>
      <c r="Z47" s="20" t="s">
        <v>136</v>
      </c>
      <c r="AA47" s="20"/>
      <c r="AB47" s="20" t="s">
        <v>194</v>
      </c>
    </row>
    <row r="48" spans="1:28" ht="24.75">
      <c r="A48" s="20" t="s">
        <v>232</v>
      </c>
      <c r="B48" s="31" t="s">
        <v>222</v>
      </c>
      <c r="C48" s="20" t="s">
        <v>112</v>
      </c>
      <c r="D48" s="20">
        <v>85</v>
      </c>
      <c r="E48" s="20">
        <v>0.84</v>
      </c>
      <c r="F48" s="20">
        <v>1</v>
      </c>
      <c r="G48" s="20">
        <v>100</v>
      </c>
      <c r="H48" s="20">
        <v>22</v>
      </c>
      <c r="I48" s="20">
        <v>1.1000000000000001</v>
      </c>
      <c r="J48" s="20">
        <v>15</v>
      </c>
      <c r="K48" s="20">
        <v>1.1000000000000001</v>
      </c>
      <c r="L48" s="23">
        <f t="shared" si="7"/>
        <v>19.982492337043446</v>
      </c>
      <c r="M48" s="23">
        <f t="shared" si="8"/>
        <v>1.2110601416389968</v>
      </c>
      <c r="N48" s="23">
        <f t="shared" si="9"/>
        <v>1998.2492337043445</v>
      </c>
      <c r="O48" s="34">
        <f t="shared" si="10"/>
        <v>23.508814514168758</v>
      </c>
      <c r="P48" s="34">
        <f t="shared" si="11"/>
        <v>2378.8681353623151</v>
      </c>
      <c r="Q48" s="33">
        <v>5</v>
      </c>
      <c r="R48" s="33">
        <v>2</v>
      </c>
      <c r="S48" s="39">
        <f t="shared" si="12"/>
        <v>13987.744635930412</v>
      </c>
      <c r="T48" s="37">
        <f t="shared" si="13"/>
        <v>5.88</v>
      </c>
      <c r="U48" s="20">
        <v>20</v>
      </c>
      <c r="V48" s="20">
        <v>20</v>
      </c>
      <c r="W48" s="20" t="s">
        <v>112</v>
      </c>
      <c r="X48" s="20" t="s">
        <v>223</v>
      </c>
      <c r="Y48" s="20" t="s">
        <v>120</v>
      </c>
      <c r="Z48" s="20" t="s">
        <v>274</v>
      </c>
      <c r="AA48" s="20" t="s">
        <v>238</v>
      </c>
      <c r="AB48" s="20" t="s">
        <v>140</v>
      </c>
    </row>
    <row r="49" spans="1:28" ht="16.5">
      <c r="A49" s="20" t="s">
        <v>232</v>
      </c>
      <c r="B49" s="31" t="s">
        <v>217</v>
      </c>
      <c r="C49" s="20" t="s">
        <v>112</v>
      </c>
      <c r="D49" s="20">
        <v>90</v>
      </c>
      <c r="E49" s="20">
        <v>1.1499999999999999</v>
      </c>
      <c r="F49" s="20">
        <v>1</v>
      </c>
      <c r="G49" s="20">
        <v>100</v>
      </c>
      <c r="H49" s="20">
        <v>22</v>
      </c>
      <c r="I49" s="20">
        <v>1.1000000000000001</v>
      </c>
      <c r="J49" s="20">
        <v>15</v>
      </c>
      <c r="K49" s="20">
        <v>1.1000000000000001</v>
      </c>
      <c r="L49" s="23">
        <f t="shared" si="7"/>
        <v>19.982492337043446</v>
      </c>
      <c r="M49" s="23">
        <f t="shared" si="8"/>
        <v>1.2110601416389968</v>
      </c>
      <c r="N49" s="23">
        <f t="shared" si="9"/>
        <v>1998.2492337043445</v>
      </c>
      <c r="O49" s="34">
        <f t="shared" si="10"/>
        <v>22.202769263381605</v>
      </c>
      <c r="P49" s="34">
        <f t="shared" si="11"/>
        <v>1737.6080293081259</v>
      </c>
      <c r="Q49" s="33">
        <v>5</v>
      </c>
      <c r="R49" s="33">
        <v>2</v>
      </c>
      <c r="S49" s="39">
        <f t="shared" si="12"/>
        <v>13987.744635930412</v>
      </c>
      <c r="T49" s="37">
        <f t="shared" si="13"/>
        <v>8.0499999999999989</v>
      </c>
      <c r="U49" s="20">
        <v>30</v>
      </c>
      <c r="V49" s="20">
        <v>30</v>
      </c>
      <c r="W49" s="20" t="s">
        <v>218</v>
      </c>
      <c r="X49" s="20" t="s">
        <v>219</v>
      </c>
      <c r="Y49" s="20" t="s">
        <v>114</v>
      </c>
      <c r="Z49" s="20" t="s">
        <v>272</v>
      </c>
      <c r="AA49" s="20" t="s">
        <v>236</v>
      </c>
      <c r="AB49" s="20" t="s">
        <v>140</v>
      </c>
    </row>
    <row r="50" spans="1:28" ht="16.5" hidden="1">
      <c r="A50" s="20" t="s">
        <v>232</v>
      </c>
      <c r="B50" s="36" t="s">
        <v>220</v>
      </c>
      <c r="C50" s="20" t="s">
        <v>112</v>
      </c>
      <c r="D50" s="20">
        <v>94</v>
      </c>
      <c r="E50" s="20">
        <v>0.92</v>
      </c>
      <c r="F50" s="20">
        <v>1</v>
      </c>
      <c r="G50" s="20">
        <v>100</v>
      </c>
      <c r="H50" s="20">
        <v>22</v>
      </c>
      <c r="I50" s="20">
        <v>1.1000000000000001</v>
      </c>
      <c r="J50" s="20">
        <v>15</v>
      </c>
      <c r="K50" s="20">
        <v>1.1000000000000001</v>
      </c>
      <c r="L50" s="23">
        <f t="shared" si="7"/>
        <v>19.982492337043446</v>
      </c>
      <c r="M50" s="23">
        <f t="shared" si="8"/>
        <v>1.2110601416389968</v>
      </c>
      <c r="N50" s="23">
        <f t="shared" si="9"/>
        <v>1998.2492337043445</v>
      </c>
      <c r="O50" s="34">
        <f t="shared" si="10"/>
        <v>21.257970571322815</v>
      </c>
      <c r="P50" s="34">
        <f t="shared" si="11"/>
        <v>2172.0100366351571</v>
      </c>
      <c r="Q50" s="33">
        <v>5</v>
      </c>
      <c r="R50" s="33">
        <v>2</v>
      </c>
      <c r="S50" s="33">
        <f t="shared" si="12"/>
        <v>13987.744635930412</v>
      </c>
      <c r="T50" s="33">
        <f t="shared" si="13"/>
        <v>6.44</v>
      </c>
      <c r="U50" s="20">
        <v>52</v>
      </c>
      <c r="V50" s="20">
        <v>30</v>
      </c>
      <c r="W50" s="20" t="s">
        <v>110</v>
      </c>
      <c r="X50" s="20" t="s">
        <v>221</v>
      </c>
      <c r="Y50" s="20" t="s">
        <v>216</v>
      </c>
      <c r="Z50" s="20" t="s">
        <v>273</v>
      </c>
      <c r="AA50" s="20" t="s">
        <v>237</v>
      </c>
      <c r="AB50" s="20" t="s">
        <v>315</v>
      </c>
    </row>
    <row r="51" spans="1:28" ht="16.5">
      <c r="A51" s="20" t="s">
        <v>200</v>
      </c>
      <c r="B51" s="31" t="s">
        <v>149</v>
      </c>
      <c r="C51" s="20" t="s">
        <v>106</v>
      </c>
      <c r="D51" s="20">
        <v>45</v>
      </c>
      <c r="E51" s="20">
        <v>0.45</v>
      </c>
      <c r="F51" s="20">
        <v>1</v>
      </c>
      <c r="G51" s="20">
        <v>100</v>
      </c>
      <c r="H51" s="20">
        <v>12</v>
      </c>
      <c r="I51" s="20">
        <v>1.1000000000000001</v>
      </c>
      <c r="J51" s="20">
        <v>16</v>
      </c>
      <c r="K51" s="20">
        <v>1.1000000000000001</v>
      </c>
      <c r="L51" s="23">
        <f t="shared" si="7"/>
        <v>15.242047106606122</v>
      </c>
      <c r="M51" s="23">
        <f t="shared" si="8"/>
        <v>0.8660254037844386</v>
      </c>
      <c r="N51" s="23">
        <f t="shared" si="9"/>
        <v>1524.2047106606124</v>
      </c>
      <c r="O51" s="34">
        <f t="shared" si="10"/>
        <v>33.871215792458052</v>
      </c>
      <c r="P51" s="34">
        <f t="shared" si="11"/>
        <v>3387.1215792458052</v>
      </c>
      <c r="Q51" s="33">
        <v>5</v>
      </c>
      <c r="R51" s="33">
        <v>4</v>
      </c>
      <c r="S51" s="39">
        <f t="shared" si="12"/>
        <v>13717.84239594551</v>
      </c>
      <c r="T51" s="37">
        <f t="shared" si="13"/>
        <v>4.05</v>
      </c>
      <c r="U51" s="20">
        <v>0</v>
      </c>
      <c r="V51" s="20">
        <v>20</v>
      </c>
      <c r="W51" s="20" t="s">
        <v>107</v>
      </c>
      <c r="X51" s="20" t="s">
        <v>116</v>
      </c>
      <c r="Y51" s="20" t="s">
        <v>109</v>
      </c>
      <c r="Z51" s="20" t="s">
        <v>249</v>
      </c>
      <c r="AA51" s="20"/>
      <c r="AB51" s="20" t="s">
        <v>140</v>
      </c>
    </row>
    <row r="52" spans="1:28" ht="16.5">
      <c r="A52" s="20" t="s">
        <v>127</v>
      </c>
      <c r="B52" s="31" t="s">
        <v>105</v>
      </c>
      <c r="C52" s="20" t="s">
        <v>289</v>
      </c>
      <c r="D52" s="20">
        <v>45</v>
      </c>
      <c r="E52" s="20">
        <v>0.45</v>
      </c>
      <c r="F52" s="20">
        <v>1</v>
      </c>
      <c r="G52" s="20">
        <v>100</v>
      </c>
      <c r="H52" s="20">
        <v>10</v>
      </c>
      <c r="I52" s="20">
        <v>1.1000000000000001</v>
      </c>
      <c r="J52" s="20">
        <v>16</v>
      </c>
      <c r="K52" s="20">
        <v>1.1000000000000001</v>
      </c>
      <c r="L52" s="23">
        <f t="shared" si="7"/>
        <v>13.91402170474087</v>
      </c>
      <c r="M52" s="23">
        <f t="shared" si="8"/>
        <v>0.79056941504209488</v>
      </c>
      <c r="N52" s="23">
        <f t="shared" si="9"/>
        <v>1391.4021704740869</v>
      </c>
      <c r="O52" s="34">
        <f t="shared" si="10"/>
        <v>30.920048232757487</v>
      </c>
      <c r="P52" s="34">
        <f t="shared" si="11"/>
        <v>3092.0048232757485</v>
      </c>
      <c r="Q52" s="33">
        <v>5</v>
      </c>
      <c r="R52" s="33">
        <v>4</v>
      </c>
      <c r="S52" s="39">
        <f t="shared" si="12"/>
        <v>12522.619534266782</v>
      </c>
      <c r="T52" s="37">
        <f t="shared" si="13"/>
        <v>4.05</v>
      </c>
      <c r="U52" s="20">
        <v>10</v>
      </c>
      <c r="V52" s="20">
        <v>16</v>
      </c>
      <c r="W52" s="20" t="s">
        <v>107</v>
      </c>
      <c r="X52" s="20" t="s">
        <v>108</v>
      </c>
      <c r="Y52" s="20" t="s">
        <v>109</v>
      </c>
      <c r="Z52" s="20" t="s">
        <v>109</v>
      </c>
      <c r="AA52" s="20"/>
      <c r="AB52" s="20" t="s">
        <v>194</v>
      </c>
    </row>
    <row r="53" spans="1:28" ht="16.5">
      <c r="A53" s="20" t="s">
        <v>200</v>
      </c>
      <c r="B53" s="31" t="s">
        <v>163</v>
      </c>
      <c r="C53" s="20" t="s">
        <v>115</v>
      </c>
      <c r="D53" s="20">
        <v>50.2</v>
      </c>
      <c r="E53" s="20">
        <v>0.6</v>
      </c>
      <c r="F53" s="20">
        <v>1</v>
      </c>
      <c r="G53" s="20">
        <v>100</v>
      </c>
      <c r="H53" s="20">
        <v>14</v>
      </c>
      <c r="I53" s="20">
        <v>1.1000000000000001</v>
      </c>
      <c r="J53" s="20">
        <v>18</v>
      </c>
      <c r="K53" s="20">
        <v>1.1000000000000001</v>
      </c>
      <c r="L53" s="23">
        <f t="shared" si="7"/>
        <v>17.461958653026301</v>
      </c>
      <c r="M53" s="23">
        <f t="shared" si="8"/>
        <v>0.88191710368819687</v>
      </c>
      <c r="N53" s="23">
        <f t="shared" si="9"/>
        <v>1746.19586530263</v>
      </c>
      <c r="O53" s="34">
        <f t="shared" si="10"/>
        <v>34.784778193279479</v>
      </c>
      <c r="P53" s="34">
        <f t="shared" si="11"/>
        <v>2910.3264421710501</v>
      </c>
      <c r="Q53" s="33">
        <v>5</v>
      </c>
      <c r="R53" s="33">
        <v>2</v>
      </c>
      <c r="S53" s="39">
        <f t="shared" si="12"/>
        <v>12223.371057118409</v>
      </c>
      <c r="T53" s="37">
        <f t="shared" si="13"/>
        <v>4.2</v>
      </c>
      <c r="U53" s="20">
        <v>12</v>
      </c>
      <c r="V53" s="20">
        <v>0</v>
      </c>
      <c r="W53" s="20" t="s">
        <v>189</v>
      </c>
      <c r="X53" s="20" t="s">
        <v>190</v>
      </c>
      <c r="Y53" s="20" t="s">
        <v>191</v>
      </c>
      <c r="Z53" s="20" t="s">
        <v>265</v>
      </c>
      <c r="AA53" s="20"/>
      <c r="AB53" s="20" t="s">
        <v>140</v>
      </c>
    </row>
    <row r="54" spans="1:28" ht="16.5">
      <c r="A54" s="20" t="s">
        <v>231</v>
      </c>
      <c r="B54" s="31" t="s">
        <v>208</v>
      </c>
      <c r="C54" s="20" t="s">
        <v>289</v>
      </c>
      <c r="D54" s="20">
        <v>54</v>
      </c>
      <c r="E54" s="20">
        <v>0.54</v>
      </c>
      <c r="F54" s="20">
        <v>1</v>
      </c>
      <c r="G54" s="20">
        <v>100</v>
      </c>
      <c r="H54" s="20">
        <v>10</v>
      </c>
      <c r="I54" s="20">
        <v>1.1000000000000001</v>
      </c>
      <c r="J54" s="20">
        <v>12</v>
      </c>
      <c r="K54" s="20">
        <v>1.1000000000000001</v>
      </c>
      <c r="L54" s="23">
        <f t="shared" si="7"/>
        <v>12.049896265113656</v>
      </c>
      <c r="M54" s="23">
        <f t="shared" si="8"/>
        <v>0.91287092917527679</v>
      </c>
      <c r="N54" s="23">
        <f t="shared" si="9"/>
        <v>1204.9896265113655</v>
      </c>
      <c r="O54" s="34">
        <f t="shared" si="10"/>
        <v>22.314622713173435</v>
      </c>
      <c r="P54" s="34">
        <f t="shared" si="11"/>
        <v>2231.4622713173435</v>
      </c>
      <c r="Q54" s="33">
        <v>5</v>
      </c>
      <c r="R54" s="33">
        <v>4</v>
      </c>
      <c r="S54" s="39">
        <f t="shared" si="12"/>
        <v>10844.90663860229</v>
      </c>
      <c r="T54" s="37">
        <f t="shared" si="13"/>
        <v>4.8600000000000003</v>
      </c>
      <c r="U54" s="20">
        <v>15</v>
      </c>
      <c r="V54" s="20">
        <v>20</v>
      </c>
      <c r="W54" s="20" t="s">
        <v>107</v>
      </c>
      <c r="X54" s="20" t="s">
        <v>211</v>
      </c>
      <c r="Y54" s="20" t="s">
        <v>109</v>
      </c>
      <c r="Z54" s="20" t="s">
        <v>270</v>
      </c>
      <c r="AA54" s="20" t="s">
        <v>209</v>
      </c>
      <c r="AB54" s="20" t="s">
        <v>140</v>
      </c>
    </row>
  </sheetData>
  <autoFilter ref="A3:AB54">
    <filterColumn colId="27">
      <filters>
        <filter val="部落时期"/>
        <filter val="中世纪早期"/>
      </filters>
    </filterColumn>
    <sortState ref="A4:AB54">
      <sortCondition descending="1" ref="S3:S54"/>
    </sortState>
  </autoFilter>
  <mergeCells count="4">
    <mergeCell ref="A1:AC1"/>
    <mergeCell ref="U2:Y2"/>
    <mergeCell ref="Z2:AB2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54"/>
  <sheetViews>
    <sheetView zoomScale="220" zoomScaleNormal="220" workbookViewId="0">
      <pane ySplit="3" topLeftCell="A4" activePane="bottomLeft" state="frozen"/>
      <selection pane="bottomLeft" activeCell="N22" sqref="B5:N22"/>
    </sheetView>
  </sheetViews>
  <sheetFormatPr defaultRowHeight="14.25"/>
  <cols>
    <col min="1" max="1" width="7.75" customWidth="1"/>
    <col min="2" max="2" width="7.375" style="32" customWidth="1"/>
    <col min="3" max="3" width="7.75" customWidth="1"/>
    <col min="4" max="4" width="5.25" customWidth="1"/>
    <col min="5" max="5" width="7.75" customWidth="1"/>
    <col min="6" max="6" width="3.125" customWidth="1"/>
    <col min="7" max="7" width="5.25" customWidth="1"/>
    <col min="8" max="8" width="4.75" customWidth="1"/>
    <col min="9" max="9" width="2.5" customWidth="1"/>
    <col min="10" max="10" width="5.75" customWidth="1"/>
    <col min="11" max="11" width="2.75" customWidth="1"/>
    <col min="12" max="12" width="5.25" customWidth="1"/>
    <col min="13" max="13" width="6.125" customWidth="1"/>
    <col min="14" max="14" width="6.875" customWidth="1"/>
    <col min="15" max="15" width="5.875" style="35" customWidth="1"/>
    <col min="16" max="16" width="5.75" style="35" customWidth="1"/>
    <col min="17" max="17" width="3.75" style="35" customWidth="1"/>
    <col min="18" max="18" width="3.875" style="35" customWidth="1"/>
    <col min="19" max="19" width="5" style="40" customWidth="1"/>
    <col min="20" max="20" width="3.875" style="38" customWidth="1"/>
    <col min="21" max="21" width="4.25" customWidth="1"/>
    <col min="22" max="22" width="4" customWidth="1"/>
    <col min="24" max="24" width="7.375" customWidth="1"/>
    <col min="25" max="25" width="7.25" customWidth="1"/>
  </cols>
  <sheetData>
    <row r="1" spans="1:29">
      <c r="A1" s="80" t="s">
        <v>323</v>
      </c>
      <c r="B1" s="95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96"/>
      <c r="T1" s="97"/>
      <c r="U1" s="80"/>
      <c r="V1" s="80"/>
      <c r="W1" s="80"/>
      <c r="X1" s="80"/>
      <c r="Y1" s="80"/>
      <c r="Z1" s="80"/>
      <c r="AA1" s="80"/>
      <c r="AB1" s="80"/>
      <c r="AC1" s="80"/>
    </row>
    <row r="2" spans="1:29">
      <c r="A2" s="78" t="s">
        <v>277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 t="s">
        <v>278</v>
      </c>
      <c r="V2" s="78"/>
      <c r="W2" s="78"/>
      <c r="X2" s="78"/>
      <c r="Y2" s="78"/>
      <c r="Z2" s="78" t="s">
        <v>279</v>
      </c>
      <c r="AA2" s="78"/>
      <c r="AB2" s="78"/>
      <c r="AC2" s="21"/>
    </row>
    <row r="3" spans="1:29" ht="24.75">
      <c r="A3" s="20" t="s">
        <v>230</v>
      </c>
      <c r="B3" s="31" t="s">
        <v>288</v>
      </c>
      <c r="C3" s="20" t="s">
        <v>97</v>
      </c>
      <c r="D3" s="20" t="s">
        <v>98</v>
      </c>
      <c r="E3" s="20" t="s">
        <v>307</v>
      </c>
      <c r="F3" s="20" t="s">
        <v>319</v>
      </c>
      <c r="G3" s="20" t="s">
        <v>306</v>
      </c>
      <c r="H3" s="20" t="s">
        <v>99</v>
      </c>
      <c r="I3" s="20" t="s">
        <v>320</v>
      </c>
      <c r="J3" s="20" t="s">
        <v>100</v>
      </c>
      <c r="K3" s="20" t="s">
        <v>320</v>
      </c>
      <c r="L3" s="20" t="s">
        <v>80</v>
      </c>
      <c r="M3" s="20" t="s">
        <v>79</v>
      </c>
      <c r="N3" s="20" t="s">
        <v>128</v>
      </c>
      <c r="O3" s="33" t="s">
        <v>130</v>
      </c>
      <c r="P3" s="33" t="s">
        <v>129</v>
      </c>
      <c r="Q3" s="33" t="s">
        <v>318</v>
      </c>
      <c r="R3" s="33" t="s">
        <v>317</v>
      </c>
      <c r="S3" s="39" t="s">
        <v>321</v>
      </c>
      <c r="T3" s="37" t="s">
        <v>322</v>
      </c>
      <c r="U3" s="20" t="s">
        <v>101</v>
      </c>
      <c r="V3" s="20" t="s">
        <v>102</v>
      </c>
      <c r="W3" s="20" t="s">
        <v>103</v>
      </c>
      <c r="X3" s="20" t="s">
        <v>104</v>
      </c>
      <c r="Y3" s="20" t="s">
        <v>132</v>
      </c>
      <c r="Z3" s="20" t="s">
        <v>233</v>
      </c>
      <c r="AA3" s="20" t="s">
        <v>234</v>
      </c>
      <c r="AB3" s="20" t="s">
        <v>138</v>
      </c>
    </row>
    <row r="4" spans="1:29" ht="16.5" hidden="1">
      <c r="A4" s="20" t="s">
        <v>127</v>
      </c>
      <c r="B4" s="36" t="s">
        <v>121</v>
      </c>
      <c r="C4" s="20" t="s">
        <v>197</v>
      </c>
      <c r="D4" s="20">
        <v>88</v>
      </c>
      <c r="E4" s="20">
        <v>0.9</v>
      </c>
      <c r="F4" s="20">
        <v>1</v>
      </c>
      <c r="G4" s="20">
        <v>100</v>
      </c>
      <c r="H4" s="20">
        <v>42</v>
      </c>
      <c r="I4" s="20">
        <v>1.1000000000000001</v>
      </c>
      <c r="J4" s="20">
        <v>18</v>
      </c>
      <c r="K4" s="20">
        <v>1.1000000000000001</v>
      </c>
      <c r="L4" s="23">
        <f t="shared" ref="L4" si="0">SQRT(H4*I4*J4*K4)</f>
        <v>30.244999586708545</v>
      </c>
      <c r="M4" s="23">
        <f t="shared" ref="M4" si="1">SQRT(H4*I4/J4/K4)</f>
        <v>1.5275252316519468</v>
      </c>
      <c r="N4" s="23">
        <f t="shared" ref="N4" si="2">L4*G4</f>
        <v>3024.4999586708545</v>
      </c>
      <c r="O4" s="34">
        <f t="shared" ref="O4" si="3">N4/D4</f>
        <v>34.369317712168801</v>
      </c>
      <c r="P4" s="34">
        <f t="shared" ref="P4" si="4">N4/E4</f>
        <v>3360.5555096342828</v>
      </c>
      <c r="Q4" s="33">
        <v>5</v>
      </c>
      <c r="R4" s="33">
        <v>8</v>
      </c>
      <c r="S4" s="33">
        <f t="shared" ref="S4" si="5">N4*SUM(Q4:R4)</f>
        <v>39318.499462721113</v>
      </c>
      <c r="T4" s="33">
        <f t="shared" ref="T4" si="6">E4*F4*SUM(Q4:R4)</f>
        <v>11.700000000000001</v>
      </c>
      <c r="U4" s="20">
        <v>0</v>
      </c>
      <c r="V4" s="20">
        <v>0</v>
      </c>
      <c r="W4" s="20" t="s">
        <v>122</v>
      </c>
      <c r="X4" s="20" t="s">
        <v>123</v>
      </c>
      <c r="Y4" s="20" t="s">
        <v>281</v>
      </c>
      <c r="Z4" s="20" t="s">
        <v>285</v>
      </c>
      <c r="AA4" s="20"/>
      <c r="AB4" s="20" t="s">
        <v>297</v>
      </c>
    </row>
    <row r="5" spans="1:29" ht="16.5">
      <c r="A5" s="20" t="s">
        <v>200</v>
      </c>
      <c r="B5" s="31" t="s">
        <v>164</v>
      </c>
      <c r="C5" s="20" t="s">
        <v>107</v>
      </c>
      <c r="D5" s="20">
        <v>150</v>
      </c>
      <c r="E5" s="20">
        <v>2</v>
      </c>
      <c r="F5" s="20">
        <v>1</v>
      </c>
      <c r="G5" s="20">
        <v>100</v>
      </c>
      <c r="H5" s="20">
        <v>45</v>
      </c>
      <c r="I5" s="20">
        <v>1.1000000000000001</v>
      </c>
      <c r="J5" s="20">
        <v>30</v>
      </c>
      <c r="K5" s="20">
        <v>1.1000000000000001</v>
      </c>
      <c r="L5" s="23">
        <f t="shared" ref="L5:L36" si="7">SQRT(H5*I5*J5*K5)</f>
        <v>40.416580755922446</v>
      </c>
      <c r="M5" s="23">
        <f t="shared" ref="M5:M36" si="8">SQRT(H5*I5/J5/K5)</f>
        <v>1.2247448713915889</v>
      </c>
      <c r="N5" s="23">
        <f t="shared" ref="N5:N36" si="9">L5*G5</f>
        <v>4041.6580755922446</v>
      </c>
      <c r="O5" s="34">
        <f t="shared" ref="O5:O36" si="10">N5/D5</f>
        <v>26.944387170614963</v>
      </c>
      <c r="P5" s="34">
        <f t="shared" ref="P5:P36" si="11">N5/E5</f>
        <v>2020.8290377961223</v>
      </c>
      <c r="Q5" s="33">
        <v>8</v>
      </c>
      <c r="R5" s="33">
        <v>4</v>
      </c>
      <c r="S5" s="39">
        <f t="shared" ref="S5:S36" si="12">N5*SUM(Q5:R5)</f>
        <v>48499.896907106937</v>
      </c>
      <c r="T5" s="37">
        <f t="shared" ref="T5:T36" si="13">E5*F5*SUM(Q5:R5)</f>
        <v>24</v>
      </c>
      <c r="U5" s="20">
        <v>10</v>
      </c>
      <c r="V5" s="20">
        <v>0</v>
      </c>
      <c r="W5" s="20" t="s">
        <v>192</v>
      </c>
      <c r="X5" s="20" t="s">
        <v>193</v>
      </c>
      <c r="Y5" s="20" t="s">
        <v>109</v>
      </c>
      <c r="Z5" s="20" t="s">
        <v>265</v>
      </c>
      <c r="AA5" s="20"/>
      <c r="AB5" s="20" t="s">
        <v>194</v>
      </c>
    </row>
    <row r="6" spans="1:29" ht="16.5">
      <c r="A6" s="20" t="s">
        <v>286</v>
      </c>
      <c r="B6" s="31" t="s">
        <v>125</v>
      </c>
      <c r="C6" s="20" t="s">
        <v>107</v>
      </c>
      <c r="D6" s="20">
        <v>50</v>
      </c>
      <c r="E6" s="20">
        <v>1</v>
      </c>
      <c r="F6" s="20">
        <v>1</v>
      </c>
      <c r="G6" s="20">
        <v>100</v>
      </c>
      <c r="H6" s="20">
        <v>40</v>
      </c>
      <c r="I6" s="20">
        <v>1.1000000000000001</v>
      </c>
      <c r="J6" s="20">
        <v>32</v>
      </c>
      <c r="K6" s="20">
        <v>1.1000000000000001</v>
      </c>
      <c r="L6" s="23">
        <f t="shared" si="7"/>
        <v>39.354796403996303</v>
      </c>
      <c r="M6" s="23">
        <f t="shared" si="8"/>
        <v>1.1180339887498949</v>
      </c>
      <c r="N6" s="23">
        <f t="shared" si="9"/>
        <v>3935.4796403996302</v>
      </c>
      <c r="O6" s="34">
        <f t="shared" si="10"/>
        <v>78.709592807992607</v>
      </c>
      <c r="P6" s="34">
        <f t="shared" si="11"/>
        <v>3935.4796403996302</v>
      </c>
      <c r="Q6" s="33">
        <v>8</v>
      </c>
      <c r="R6" s="33">
        <v>0</v>
      </c>
      <c r="S6" s="39">
        <f t="shared" si="12"/>
        <v>31483.837123197041</v>
      </c>
      <c r="T6" s="37">
        <f t="shared" si="13"/>
        <v>8</v>
      </c>
      <c r="U6" s="20">
        <v>0</v>
      </c>
      <c r="V6" s="20">
        <v>24</v>
      </c>
      <c r="W6" s="20" t="s">
        <v>126</v>
      </c>
      <c r="X6" s="20" t="s">
        <v>109</v>
      </c>
      <c r="Y6" s="20" t="s">
        <v>109</v>
      </c>
      <c r="Z6" s="22" t="s">
        <v>280</v>
      </c>
      <c r="AA6" s="20"/>
      <c r="AB6" s="20" t="s">
        <v>194</v>
      </c>
    </row>
    <row r="7" spans="1:29" hidden="1">
      <c r="A7" s="20" t="s">
        <v>231</v>
      </c>
      <c r="B7" s="36" t="s">
        <v>206</v>
      </c>
      <c r="C7" s="20" t="s">
        <v>107</v>
      </c>
      <c r="D7" s="20">
        <v>180</v>
      </c>
      <c r="E7" s="20">
        <v>2.4</v>
      </c>
      <c r="F7" s="20">
        <v>1</v>
      </c>
      <c r="G7" s="20">
        <v>100</v>
      </c>
      <c r="H7" s="20">
        <v>60</v>
      </c>
      <c r="I7" s="20">
        <v>1.1000000000000001</v>
      </c>
      <c r="J7" s="20">
        <v>30</v>
      </c>
      <c r="K7" s="20">
        <v>1.1000000000000001</v>
      </c>
      <c r="L7" s="23">
        <f t="shared" si="7"/>
        <v>46.669047558312137</v>
      </c>
      <c r="M7" s="23">
        <f t="shared" si="8"/>
        <v>1.4142135623730951</v>
      </c>
      <c r="N7" s="23">
        <f t="shared" si="9"/>
        <v>4666.9047558312141</v>
      </c>
      <c r="O7" s="34">
        <f t="shared" si="10"/>
        <v>25.927248643506744</v>
      </c>
      <c r="P7" s="34">
        <f t="shared" si="11"/>
        <v>1944.5436482630059</v>
      </c>
      <c r="Q7" s="33">
        <v>5</v>
      </c>
      <c r="R7" s="33">
        <v>2</v>
      </c>
      <c r="S7" s="33">
        <f t="shared" si="12"/>
        <v>32668.333290818497</v>
      </c>
      <c r="T7" s="33">
        <f t="shared" si="13"/>
        <v>16.8</v>
      </c>
      <c r="U7" s="20">
        <v>0</v>
      </c>
      <c r="V7" s="20">
        <v>20</v>
      </c>
      <c r="W7" s="20" t="s">
        <v>115</v>
      </c>
      <c r="X7" s="20" t="s">
        <v>109</v>
      </c>
      <c r="Y7" s="20" t="s">
        <v>109</v>
      </c>
      <c r="Z7" s="20" t="s">
        <v>269</v>
      </c>
      <c r="AA7" s="20" t="s">
        <v>207</v>
      </c>
      <c r="AB7" s="20" t="s">
        <v>146</v>
      </c>
    </row>
    <row r="8" spans="1:29">
      <c r="A8" s="20" t="s">
        <v>200</v>
      </c>
      <c r="B8" s="31" t="s">
        <v>144</v>
      </c>
      <c r="C8" s="20" t="s">
        <v>107</v>
      </c>
      <c r="D8" s="20">
        <v>117</v>
      </c>
      <c r="E8" s="20">
        <v>1.56</v>
      </c>
      <c r="F8" s="20">
        <v>1</v>
      </c>
      <c r="G8" s="20">
        <v>100</v>
      </c>
      <c r="H8" s="20">
        <v>40</v>
      </c>
      <c r="I8" s="20">
        <v>1.1000000000000001</v>
      </c>
      <c r="J8" s="20">
        <v>30</v>
      </c>
      <c r="K8" s="20">
        <v>1.1000000000000001</v>
      </c>
      <c r="L8" s="23">
        <f t="shared" si="7"/>
        <v>38.105117766515306</v>
      </c>
      <c r="M8" s="23">
        <f t="shared" si="8"/>
        <v>1.1547005383792515</v>
      </c>
      <c r="N8" s="23">
        <f t="shared" si="9"/>
        <v>3810.5117766515305</v>
      </c>
      <c r="O8" s="34">
        <f t="shared" si="10"/>
        <v>32.568476723517357</v>
      </c>
      <c r="P8" s="34">
        <f t="shared" si="11"/>
        <v>2442.6357542638016</v>
      </c>
      <c r="Q8" s="33">
        <v>8</v>
      </c>
      <c r="R8" s="33">
        <v>2</v>
      </c>
      <c r="S8" s="39">
        <f t="shared" si="12"/>
        <v>38105.117766515308</v>
      </c>
      <c r="T8" s="37">
        <f t="shared" si="13"/>
        <v>15.600000000000001</v>
      </c>
      <c r="U8" s="20">
        <v>0</v>
      </c>
      <c r="V8" s="20">
        <v>30</v>
      </c>
      <c r="W8" s="20" t="s">
        <v>115</v>
      </c>
      <c r="X8" s="20" t="s">
        <v>109</v>
      </c>
      <c r="Y8" s="20" t="s">
        <v>109</v>
      </c>
      <c r="Z8" s="20" t="s">
        <v>245</v>
      </c>
      <c r="AA8" s="20"/>
      <c r="AB8" s="20" t="s">
        <v>140</v>
      </c>
    </row>
    <row r="9" spans="1:29">
      <c r="A9" s="20" t="s">
        <v>200</v>
      </c>
      <c r="B9" s="31" t="s">
        <v>311</v>
      </c>
      <c r="C9" s="20" t="s">
        <v>107</v>
      </c>
      <c r="D9" s="20">
        <v>108</v>
      </c>
      <c r="E9" s="20">
        <v>1.44</v>
      </c>
      <c r="F9" s="20">
        <v>1</v>
      </c>
      <c r="G9" s="20">
        <v>100</v>
      </c>
      <c r="H9" s="20">
        <v>45</v>
      </c>
      <c r="I9" s="20">
        <v>1.1000000000000001</v>
      </c>
      <c r="J9" s="20">
        <v>25</v>
      </c>
      <c r="K9" s="20">
        <v>1.1000000000000001</v>
      </c>
      <c r="L9" s="23">
        <f t="shared" si="7"/>
        <v>36.895121628746537</v>
      </c>
      <c r="M9" s="23">
        <f t="shared" si="8"/>
        <v>1.3416407864998738</v>
      </c>
      <c r="N9" s="23">
        <f t="shared" si="9"/>
        <v>3689.5121628746538</v>
      </c>
      <c r="O9" s="34">
        <f t="shared" si="10"/>
        <v>34.162149656246797</v>
      </c>
      <c r="P9" s="34">
        <f t="shared" si="11"/>
        <v>2562.1612242185097</v>
      </c>
      <c r="Q9" s="33">
        <v>8</v>
      </c>
      <c r="R9" s="33">
        <v>2</v>
      </c>
      <c r="S9" s="39">
        <f t="shared" si="12"/>
        <v>36895.121628746536</v>
      </c>
      <c r="T9" s="37">
        <f t="shared" si="13"/>
        <v>14.399999999999999</v>
      </c>
      <c r="U9" s="20">
        <v>0</v>
      </c>
      <c r="V9" s="20">
        <v>0</v>
      </c>
      <c r="W9" s="20" t="s">
        <v>179</v>
      </c>
      <c r="X9" s="20" t="s">
        <v>109</v>
      </c>
      <c r="Y9" s="20" t="s">
        <v>109</v>
      </c>
      <c r="Z9" s="20" t="s">
        <v>257</v>
      </c>
      <c r="AA9" s="20"/>
      <c r="AB9" s="20" t="s">
        <v>140</v>
      </c>
    </row>
    <row r="10" spans="1:29" ht="16.5" hidden="1">
      <c r="A10" s="20" t="s">
        <v>200</v>
      </c>
      <c r="B10" s="36" t="s">
        <v>201</v>
      </c>
      <c r="C10" s="20" t="s">
        <v>110</v>
      </c>
      <c r="D10" s="20">
        <v>66</v>
      </c>
      <c r="E10" s="20">
        <v>0.72</v>
      </c>
      <c r="F10" s="20">
        <v>1</v>
      </c>
      <c r="G10" s="20">
        <v>100</v>
      </c>
      <c r="H10" s="20">
        <v>44</v>
      </c>
      <c r="I10" s="20">
        <v>1.1000000000000001</v>
      </c>
      <c r="J10" s="20">
        <v>14</v>
      </c>
      <c r="K10" s="20">
        <v>1.1000000000000001</v>
      </c>
      <c r="L10" s="23">
        <f t="shared" si="7"/>
        <v>27.30128202117989</v>
      </c>
      <c r="M10" s="23">
        <f t="shared" si="8"/>
        <v>1.7728105208558367</v>
      </c>
      <c r="N10" s="23">
        <f t="shared" si="9"/>
        <v>2730.1282021179891</v>
      </c>
      <c r="O10" s="34">
        <f t="shared" si="10"/>
        <v>41.365578819969528</v>
      </c>
      <c r="P10" s="34">
        <f t="shared" si="11"/>
        <v>3791.844725163874</v>
      </c>
      <c r="Q10" s="33">
        <v>5</v>
      </c>
      <c r="R10" s="33">
        <v>6</v>
      </c>
      <c r="S10" s="33">
        <f t="shared" si="12"/>
        <v>30031.41022329788</v>
      </c>
      <c r="T10" s="33">
        <f t="shared" si="13"/>
        <v>7.92</v>
      </c>
      <c r="U10" s="20">
        <v>0</v>
      </c>
      <c r="V10" s="20">
        <v>0</v>
      </c>
      <c r="W10" s="20" t="s">
        <v>177</v>
      </c>
      <c r="X10" s="20" t="s">
        <v>123</v>
      </c>
      <c r="Y10" s="20" t="s">
        <v>109</v>
      </c>
      <c r="Z10" s="20" t="s">
        <v>254</v>
      </c>
      <c r="AA10" s="20"/>
      <c r="AB10" s="20" t="s">
        <v>298</v>
      </c>
    </row>
    <row r="11" spans="1:29" ht="24.75">
      <c r="A11" s="20" t="s">
        <v>200</v>
      </c>
      <c r="B11" s="31" t="s">
        <v>143</v>
      </c>
      <c r="C11" s="20" t="s">
        <v>119</v>
      </c>
      <c r="D11" s="20">
        <v>260</v>
      </c>
      <c r="E11" s="20">
        <v>2.73</v>
      </c>
      <c r="F11" s="20">
        <v>0.85</v>
      </c>
      <c r="G11" s="20">
        <v>50</v>
      </c>
      <c r="H11" s="20">
        <v>120</v>
      </c>
      <c r="I11" s="20">
        <v>1.1000000000000001</v>
      </c>
      <c r="J11" s="20">
        <v>35</v>
      </c>
      <c r="K11" s="20">
        <v>1.1000000000000001</v>
      </c>
      <c r="L11" s="23">
        <f t="shared" si="7"/>
        <v>71.288147682486468</v>
      </c>
      <c r="M11" s="23">
        <f t="shared" si="8"/>
        <v>1.8516401995451028</v>
      </c>
      <c r="N11" s="23">
        <f t="shared" si="9"/>
        <v>3564.4073841243235</v>
      </c>
      <c r="O11" s="34">
        <f t="shared" si="10"/>
        <v>13.709259169708936</v>
      </c>
      <c r="P11" s="34">
        <f t="shared" si="11"/>
        <v>1305.6437304484703</v>
      </c>
      <c r="Q11" s="33">
        <v>8</v>
      </c>
      <c r="R11" s="33">
        <v>4</v>
      </c>
      <c r="S11" s="39">
        <f t="shared" si="12"/>
        <v>42772.888609491885</v>
      </c>
      <c r="T11" s="37">
        <f t="shared" si="13"/>
        <v>27.846</v>
      </c>
      <c r="U11" s="20">
        <v>25</v>
      </c>
      <c r="V11" s="20">
        <v>10</v>
      </c>
      <c r="W11" s="20" t="s">
        <v>110</v>
      </c>
      <c r="X11" s="20" t="s">
        <v>113</v>
      </c>
      <c r="Y11" s="20" t="s">
        <v>120</v>
      </c>
      <c r="Z11" s="20" t="s">
        <v>244</v>
      </c>
      <c r="AA11" s="20"/>
      <c r="AB11" s="20" t="s">
        <v>140</v>
      </c>
    </row>
    <row r="12" spans="1:29" ht="24.75" hidden="1">
      <c r="A12" s="20" t="s">
        <v>200</v>
      </c>
      <c r="B12" s="36" t="s">
        <v>145</v>
      </c>
      <c r="C12" s="20" t="s">
        <v>119</v>
      </c>
      <c r="D12" s="20">
        <v>240</v>
      </c>
      <c r="E12" s="20">
        <v>2.52</v>
      </c>
      <c r="F12" s="20">
        <v>1</v>
      </c>
      <c r="G12" s="20">
        <v>50</v>
      </c>
      <c r="H12" s="20">
        <v>125</v>
      </c>
      <c r="I12" s="20">
        <v>1.1000000000000001</v>
      </c>
      <c r="J12" s="20">
        <v>40</v>
      </c>
      <c r="K12" s="20">
        <v>1.1000000000000001</v>
      </c>
      <c r="L12" s="23">
        <f t="shared" si="7"/>
        <v>77.781745930520231</v>
      </c>
      <c r="M12" s="23">
        <f t="shared" si="8"/>
        <v>1.7677669529663687</v>
      </c>
      <c r="N12" s="23">
        <f t="shared" si="9"/>
        <v>3889.0872965260114</v>
      </c>
      <c r="O12" s="34">
        <f t="shared" si="10"/>
        <v>16.204530402191715</v>
      </c>
      <c r="P12" s="34">
        <f t="shared" si="11"/>
        <v>1543.2886097325443</v>
      </c>
      <c r="Q12" s="33">
        <v>5</v>
      </c>
      <c r="R12" s="33">
        <v>2</v>
      </c>
      <c r="S12" s="33">
        <f t="shared" si="12"/>
        <v>27223.611075682078</v>
      </c>
      <c r="T12" s="33">
        <f t="shared" si="13"/>
        <v>17.64</v>
      </c>
      <c r="U12" s="20">
        <v>20</v>
      </c>
      <c r="V12" s="20">
        <v>10</v>
      </c>
      <c r="W12" s="20" t="s">
        <v>110</v>
      </c>
      <c r="X12" s="20" t="s">
        <v>113</v>
      </c>
      <c r="Y12" s="20" t="s">
        <v>167</v>
      </c>
      <c r="Z12" s="20" t="s">
        <v>246</v>
      </c>
      <c r="AA12" s="20"/>
      <c r="AB12" s="20" t="s">
        <v>146</v>
      </c>
    </row>
    <row r="13" spans="1:29" ht="16.5">
      <c r="A13" s="20" t="s">
        <v>200</v>
      </c>
      <c r="B13" s="31" t="s">
        <v>151</v>
      </c>
      <c r="C13" s="20" t="s">
        <v>107</v>
      </c>
      <c r="D13" s="20">
        <v>115</v>
      </c>
      <c r="E13" s="20">
        <v>1.53</v>
      </c>
      <c r="F13" s="20">
        <v>1</v>
      </c>
      <c r="G13" s="20">
        <v>100</v>
      </c>
      <c r="H13" s="20">
        <v>40</v>
      </c>
      <c r="I13" s="20">
        <v>1.1000000000000001</v>
      </c>
      <c r="J13" s="20">
        <v>26</v>
      </c>
      <c r="K13" s="20">
        <v>1.1000000000000001</v>
      </c>
      <c r="L13" s="23">
        <f t="shared" si="7"/>
        <v>35.473934092513623</v>
      </c>
      <c r="M13" s="23">
        <f t="shared" si="8"/>
        <v>1.2403473458920844</v>
      </c>
      <c r="N13" s="23">
        <f t="shared" si="9"/>
        <v>3547.3934092513623</v>
      </c>
      <c r="O13" s="34">
        <f t="shared" si="10"/>
        <v>30.846899210881411</v>
      </c>
      <c r="P13" s="34">
        <f t="shared" si="11"/>
        <v>2318.5577838244199</v>
      </c>
      <c r="Q13" s="33">
        <v>8</v>
      </c>
      <c r="R13" s="33">
        <v>4</v>
      </c>
      <c r="S13" s="39">
        <f t="shared" si="12"/>
        <v>42568.720911016346</v>
      </c>
      <c r="T13" s="37">
        <f t="shared" si="13"/>
        <v>18.36</v>
      </c>
      <c r="U13" s="20">
        <v>0</v>
      </c>
      <c r="V13" s="20">
        <v>24</v>
      </c>
      <c r="W13" s="20" t="s">
        <v>173</v>
      </c>
      <c r="X13" s="20" t="s">
        <v>174</v>
      </c>
      <c r="Y13" s="20" t="s">
        <v>109</v>
      </c>
      <c r="Z13" s="20" t="s">
        <v>251</v>
      </c>
      <c r="AA13" s="20"/>
      <c r="AB13" s="20" t="s">
        <v>140</v>
      </c>
    </row>
    <row r="14" spans="1:29" ht="16.5">
      <c r="A14" s="20" t="s">
        <v>200</v>
      </c>
      <c r="B14" s="31" t="s">
        <v>313</v>
      </c>
      <c r="C14" s="20" t="s">
        <v>107</v>
      </c>
      <c r="D14" s="20">
        <v>108</v>
      </c>
      <c r="E14" s="20">
        <v>1.44</v>
      </c>
      <c r="F14" s="20">
        <v>1</v>
      </c>
      <c r="G14" s="20">
        <v>100</v>
      </c>
      <c r="H14" s="20">
        <v>40</v>
      </c>
      <c r="I14" s="20">
        <v>1.1000000000000001</v>
      </c>
      <c r="J14" s="20">
        <v>26</v>
      </c>
      <c r="K14" s="20">
        <v>1.1000000000000001</v>
      </c>
      <c r="L14" s="23">
        <f t="shared" si="7"/>
        <v>35.473934092513623</v>
      </c>
      <c r="M14" s="23">
        <f t="shared" si="8"/>
        <v>1.2403473458920844</v>
      </c>
      <c r="N14" s="23">
        <f t="shared" si="9"/>
        <v>3547.3934092513623</v>
      </c>
      <c r="O14" s="34">
        <f t="shared" si="10"/>
        <v>32.846235270845945</v>
      </c>
      <c r="P14" s="34">
        <f t="shared" si="11"/>
        <v>2463.4676453134462</v>
      </c>
      <c r="Q14" s="33">
        <v>8</v>
      </c>
      <c r="R14" s="33">
        <v>2</v>
      </c>
      <c r="S14" s="39">
        <f t="shared" si="12"/>
        <v>35473.93409251362</v>
      </c>
      <c r="T14" s="37">
        <f t="shared" si="13"/>
        <v>14.399999999999999</v>
      </c>
      <c r="U14" s="20">
        <v>0</v>
      </c>
      <c r="V14" s="20">
        <v>0</v>
      </c>
      <c r="W14" s="20" t="s">
        <v>115</v>
      </c>
      <c r="X14" s="20" t="s">
        <v>178</v>
      </c>
      <c r="Y14" s="20" t="s">
        <v>109</v>
      </c>
      <c r="Z14" s="20" t="s">
        <v>256</v>
      </c>
      <c r="AA14" s="20"/>
      <c r="AB14" s="20" t="s">
        <v>140</v>
      </c>
    </row>
    <row r="15" spans="1:29" ht="16.5" hidden="1">
      <c r="A15" s="20" t="s">
        <v>200</v>
      </c>
      <c r="B15" s="36" t="s">
        <v>196</v>
      </c>
      <c r="C15" s="20" t="s">
        <v>110</v>
      </c>
      <c r="D15" s="20">
        <v>66</v>
      </c>
      <c r="E15" s="20">
        <v>0.72</v>
      </c>
      <c r="F15" s="20">
        <v>1</v>
      </c>
      <c r="G15" s="20">
        <v>100</v>
      </c>
      <c r="H15" s="20">
        <v>36</v>
      </c>
      <c r="I15" s="20">
        <v>1.1000000000000001</v>
      </c>
      <c r="J15" s="20">
        <v>12</v>
      </c>
      <c r="K15" s="20">
        <v>1.1000000000000001</v>
      </c>
      <c r="L15" s="23">
        <f t="shared" si="7"/>
        <v>22.863070659909184</v>
      </c>
      <c r="M15" s="23">
        <f t="shared" si="8"/>
        <v>1.7320508075688772</v>
      </c>
      <c r="N15" s="23">
        <f t="shared" si="9"/>
        <v>2286.3070659909185</v>
      </c>
      <c r="O15" s="34">
        <f t="shared" si="10"/>
        <v>34.641016151377556</v>
      </c>
      <c r="P15" s="34">
        <f t="shared" si="11"/>
        <v>3175.4264805429425</v>
      </c>
      <c r="Q15" s="33">
        <v>5</v>
      </c>
      <c r="R15" s="33">
        <v>6</v>
      </c>
      <c r="S15" s="33">
        <f t="shared" si="12"/>
        <v>25149.377725900104</v>
      </c>
      <c r="T15" s="33">
        <f t="shared" si="13"/>
        <v>7.92</v>
      </c>
      <c r="U15" s="20">
        <v>0</v>
      </c>
      <c r="V15" s="20">
        <v>0</v>
      </c>
      <c r="W15" s="20" t="s">
        <v>177</v>
      </c>
      <c r="X15" s="20" t="s">
        <v>123</v>
      </c>
      <c r="Y15" s="20" t="s">
        <v>109</v>
      </c>
      <c r="Z15" s="20" t="s">
        <v>254</v>
      </c>
      <c r="AA15" s="20"/>
      <c r="AB15" s="20" t="s">
        <v>297</v>
      </c>
    </row>
    <row r="16" spans="1:29">
      <c r="A16" s="20" t="s">
        <v>287</v>
      </c>
      <c r="B16" s="31" t="s">
        <v>310</v>
      </c>
      <c r="C16" s="20" t="s">
        <v>133</v>
      </c>
      <c r="D16" s="20">
        <v>90</v>
      </c>
      <c r="E16" s="20">
        <v>1.2</v>
      </c>
      <c r="F16" s="20">
        <v>1</v>
      </c>
      <c r="G16" s="20">
        <v>100</v>
      </c>
      <c r="H16" s="20">
        <v>36</v>
      </c>
      <c r="I16" s="20">
        <v>1.1000000000000001</v>
      </c>
      <c r="J16" s="20">
        <v>26</v>
      </c>
      <c r="K16" s="20">
        <v>1.1000000000000001</v>
      </c>
      <c r="L16" s="23">
        <f t="shared" si="7"/>
        <v>33.653528789712382</v>
      </c>
      <c r="M16" s="23">
        <f t="shared" si="8"/>
        <v>1.1766968108291043</v>
      </c>
      <c r="N16" s="23">
        <f t="shared" si="9"/>
        <v>3365.3528789712382</v>
      </c>
      <c r="O16" s="34">
        <f t="shared" si="10"/>
        <v>37.392809766347092</v>
      </c>
      <c r="P16" s="34">
        <f t="shared" si="11"/>
        <v>2804.4607324760318</v>
      </c>
      <c r="Q16" s="33">
        <v>8</v>
      </c>
      <c r="R16" s="33">
        <v>2</v>
      </c>
      <c r="S16" s="39">
        <f t="shared" si="12"/>
        <v>33653.528789712378</v>
      </c>
      <c r="T16" s="37">
        <f t="shared" si="13"/>
        <v>12</v>
      </c>
      <c r="U16" s="20">
        <v>0</v>
      </c>
      <c r="V16" s="20">
        <v>0</v>
      </c>
      <c r="W16" s="20" t="s">
        <v>282</v>
      </c>
      <c r="X16" s="20" t="s">
        <v>109</v>
      </c>
      <c r="Y16" s="20" t="s">
        <v>136</v>
      </c>
      <c r="Z16" s="20" t="s">
        <v>131</v>
      </c>
      <c r="AA16" s="20"/>
      <c r="AB16" s="20" t="s">
        <v>194</v>
      </c>
    </row>
    <row r="17" spans="1:28" ht="16.5" hidden="1">
      <c r="A17" s="20" t="s">
        <v>200</v>
      </c>
      <c r="B17" s="36" t="s">
        <v>159</v>
      </c>
      <c r="C17" s="20" t="s">
        <v>115</v>
      </c>
      <c r="D17" s="20">
        <v>112.5</v>
      </c>
      <c r="E17" s="20">
        <v>1.35</v>
      </c>
      <c r="F17" s="20">
        <v>1</v>
      </c>
      <c r="G17" s="20">
        <v>100</v>
      </c>
      <c r="H17" s="20">
        <v>36</v>
      </c>
      <c r="I17" s="20">
        <v>1.1000000000000001</v>
      </c>
      <c r="J17" s="20">
        <v>28</v>
      </c>
      <c r="K17" s="20">
        <v>1.1000000000000001</v>
      </c>
      <c r="L17" s="23">
        <f t="shared" si="7"/>
        <v>34.923917306052594</v>
      </c>
      <c r="M17" s="23">
        <f t="shared" si="8"/>
        <v>1.1338934190276817</v>
      </c>
      <c r="N17" s="23">
        <f t="shared" si="9"/>
        <v>3492.3917306052595</v>
      </c>
      <c r="O17" s="34">
        <f t="shared" si="10"/>
        <v>31.043482049824529</v>
      </c>
      <c r="P17" s="34">
        <f t="shared" si="11"/>
        <v>2586.956837485377</v>
      </c>
      <c r="Q17" s="33">
        <v>5</v>
      </c>
      <c r="R17" s="33">
        <v>2</v>
      </c>
      <c r="S17" s="33">
        <f t="shared" si="12"/>
        <v>24446.742114236815</v>
      </c>
      <c r="T17" s="33">
        <f t="shared" si="13"/>
        <v>9.4500000000000011</v>
      </c>
      <c r="U17" s="20">
        <v>0</v>
      </c>
      <c r="V17" s="20">
        <v>0</v>
      </c>
      <c r="W17" s="20" t="s">
        <v>183</v>
      </c>
      <c r="X17" s="20" t="s">
        <v>184</v>
      </c>
      <c r="Y17" s="20" t="s">
        <v>109</v>
      </c>
      <c r="Z17" s="20" t="s">
        <v>261</v>
      </c>
      <c r="AA17" s="20"/>
      <c r="AB17" s="20" t="s">
        <v>298</v>
      </c>
    </row>
    <row r="18" spans="1:28" ht="16.5" hidden="1">
      <c r="A18" s="20" t="s">
        <v>200</v>
      </c>
      <c r="B18" s="36" t="s">
        <v>312</v>
      </c>
      <c r="C18" s="20" t="s">
        <v>115</v>
      </c>
      <c r="D18" s="20">
        <v>97.5</v>
      </c>
      <c r="E18" s="20">
        <v>1.17</v>
      </c>
      <c r="F18" s="20">
        <v>1</v>
      </c>
      <c r="G18" s="20">
        <v>100</v>
      </c>
      <c r="H18" s="20">
        <v>40</v>
      </c>
      <c r="I18" s="20">
        <v>1.1000000000000001</v>
      </c>
      <c r="J18" s="20">
        <v>24</v>
      </c>
      <c r="K18" s="20">
        <v>1.1000000000000001</v>
      </c>
      <c r="L18" s="23">
        <f t="shared" si="7"/>
        <v>34.082253446625273</v>
      </c>
      <c r="M18" s="23">
        <f t="shared" si="8"/>
        <v>1.2909944487358056</v>
      </c>
      <c r="N18" s="23">
        <f t="shared" si="9"/>
        <v>3408.2253446625273</v>
      </c>
      <c r="O18" s="34">
        <f t="shared" si="10"/>
        <v>34.956157381154128</v>
      </c>
      <c r="P18" s="34">
        <f t="shared" si="11"/>
        <v>2913.0131150961774</v>
      </c>
      <c r="Q18" s="33">
        <v>5</v>
      </c>
      <c r="R18" s="33">
        <v>2</v>
      </c>
      <c r="S18" s="33">
        <f t="shared" si="12"/>
        <v>23857.577412637693</v>
      </c>
      <c r="T18" s="33">
        <f t="shared" si="13"/>
        <v>8.19</v>
      </c>
      <c r="U18" s="20">
        <v>0</v>
      </c>
      <c r="V18" s="20">
        <v>0</v>
      </c>
      <c r="W18" s="20" t="s">
        <v>95</v>
      </c>
      <c r="X18" s="20" t="s">
        <v>116</v>
      </c>
      <c r="Y18" s="20" t="s">
        <v>109</v>
      </c>
      <c r="Z18" s="20" t="s">
        <v>259</v>
      </c>
      <c r="AA18" s="20"/>
      <c r="AB18" s="20" t="s">
        <v>315</v>
      </c>
    </row>
    <row r="19" spans="1:28">
      <c r="A19" s="20" t="s">
        <v>200</v>
      </c>
      <c r="B19" s="31" t="s">
        <v>152</v>
      </c>
      <c r="C19" s="20" t="s">
        <v>107</v>
      </c>
      <c r="D19" s="20">
        <v>108</v>
      </c>
      <c r="E19" s="20">
        <v>1.44</v>
      </c>
      <c r="F19" s="20">
        <v>1</v>
      </c>
      <c r="G19" s="20">
        <v>100</v>
      </c>
      <c r="H19" s="20">
        <v>42</v>
      </c>
      <c r="I19" s="20">
        <v>1.1000000000000001</v>
      </c>
      <c r="J19" s="20">
        <v>22</v>
      </c>
      <c r="K19" s="20">
        <v>1.1000000000000001</v>
      </c>
      <c r="L19" s="23">
        <f t="shared" si="7"/>
        <v>33.437105137855461</v>
      </c>
      <c r="M19" s="23">
        <f t="shared" si="8"/>
        <v>1.3816985594155149</v>
      </c>
      <c r="N19" s="23">
        <f t="shared" si="9"/>
        <v>3343.710513785546</v>
      </c>
      <c r="O19" s="34">
        <f t="shared" si="10"/>
        <v>30.960282535051352</v>
      </c>
      <c r="P19" s="34">
        <f t="shared" si="11"/>
        <v>2322.0211901288517</v>
      </c>
      <c r="Q19" s="33">
        <v>8</v>
      </c>
      <c r="R19" s="33">
        <v>2</v>
      </c>
      <c r="S19" s="39">
        <f t="shared" si="12"/>
        <v>33437.105137855462</v>
      </c>
      <c r="T19" s="37">
        <f t="shared" si="13"/>
        <v>14.399999999999999</v>
      </c>
      <c r="U19" s="20">
        <v>0</v>
      </c>
      <c r="V19" s="20">
        <v>0</v>
      </c>
      <c r="W19" s="20" t="s">
        <v>175</v>
      </c>
      <c r="X19" s="20" t="s">
        <v>176</v>
      </c>
      <c r="Y19" s="20" t="s">
        <v>109</v>
      </c>
      <c r="Z19" s="20" t="s">
        <v>252</v>
      </c>
      <c r="AA19" s="20"/>
      <c r="AB19" s="20" t="s">
        <v>140</v>
      </c>
    </row>
    <row r="20" spans="1:28">
      <c r="A20" s="20" t="s">
        <v>200</v>
      </c>
      <c r="B20" s="31" t="s">
        <v>156</v>
      </c>
      <c r="C20" s="20" t="s">
        <v>107</v>
      </c>
      <c r="D20" s="20">
        <v>108</v>
      </c>
      <c r="E20" s="20">
        <v>1.44</v>
      </c>
      <c r="F20" s="20">
        <v>1</v>
      </c>
      <c r="G20" s="20">
        <v>100</v>
      </c>
      <c r="H20" s="20">
        <v>38</v>
      </c>
      <c r="I20" s="20">
        <v>1.1000000000000001</v>
      </c>
      <c r="J20" s="20">
        <v>24</v>
      </c>
      <c r="K20" s="20">
        <v>1.1000000000000001</v>
      </c>
      <c r="L20" s="23">
        <f t="shared" si="7"/>
        <v>33.219271515191302</v>
      </c>
      <c r="M20" s="23">
        <f t="shared" si="8"/>
        <v>1.2583057392117918</v>
      </c>
      <c r="N20" s="23">
        <f t="shared" si="9"/>
        <v>3321.9271515191303</v>
      </c>
      <c r="O20" s="34">
        <f t="shared" si="10"/>
        <v>30.758584736288245</v>
      </c>
      <c r="P20" s="34">
        <f t="shared" si="11"/>
        <v>2306.8938552216182</v>
      </c>
      <c r="Q20" s="33">
        <v>8</v>
      </c>
      <c r="R20" s="33">
        <v>2</v>
      </c>
      <c r="S20" s="39">
        <f t="shared" si="12"/>
        <v>33219.2715151913</v>
      </c>
      <c r="T20" s="37">
        <f t="shared" si="13"/>
        <v>14.399999999999999</v>
      </c>
      <c r="U20" s="20">
        <v>0</v>
      </c>
      <c r="V20" s="20">
        <v>20</v>
      </c>
      <c r="W20" s="20" t="s">
        <v>180</v>
      </c>
      <c r="X20" s="20" t="s">
        <v>181</v>
      </c>
      <c r="Y20" s="20" t="s">
        <v>109</v>
      </c>
      <c r="Z20" s="20" t="s">
        <v>258</v>
      </c>
      <c r="AA20" s="20"/>
      <c r="AB20" s="20" t="s">
        <v>140</v>
      </c>
    </row>
    <row r="21" spans="1:28" ht="33">
      <c r="A21" s="20" t="s">
        <v>287</v>
      </c>
      <c r="B21" s="31" t="s">
        <v>309</v>
      </c>
      <c r="C21" s="20" t="s">
        <v>289</v>
      </c>
      <c r="D21" s="20">
        <v>63</v>
      </c>
      <c r="E21" s="20">
        <v>0.63</v>
      </c>
      <c r="F21" s="20">
        <v>1</v>
      </c>
      <c r="G21" s="20">
        <v>100</v>
      </c>
      <c r="H21" s="20">
        <v>30</v>
      </c>
      <c r="I21" s="20">
        <v>1.1000000000000001</v>
      </c>
      <c r="J21" s="20">
        <v>30</v>
      </c>
      <c r="K21" s="20">
        <v>1.1000000000000001</v>
      </c>
      <c r="L21" s="23">
        <f t="shared" si="7"/>
        <v>33</v>
      </c>
      <c r="M21" s="23">
        <f t="shared" si="8"/>
        <v>1</v>
      </c>
      <c r="N21" s="23">
        <f t="shared" si="9"/>
        <v>3300</v>
      </c>
      <c r="O21" s="34">
        <f t="shared" si="10"/>
        <v>52.38095238095238</v>
      </c>
      <c r="P21" s="34">
        <f t="shared" si="11"/>
        <v>5238.0952380952376</v>
      </c>
      <c r="Q21" s="33">
        <v>8</v>
      </c>
      <c r="R21" s="33">
        <v>4</v>
      </c>
      <c r="S21" s="39">
        <f t="shared" si="12"/>
        <v>39600</v>
      </c>
      <c r="T21" s="37">
        <f t="shared" si="13"/>
        <v>7.5600000000000005</v>
      </c>
      <c r="U21" s="20">
        <v>40</v>
      </c>
      <c r="V21" s="20">
        <v>40</v>
      </c>
      <c r="W21" s="20" t="s">
        <v>134</v>
      </c>
      <c r="X21" s="20" t="s">
        <v>135</v>
      </c>
      <c r="Y21" s="20" t="s">
        <v>136</v>
      </c>
      <c r="Z21" s="20" t="s">
        <v>137</v>
      </c>
      <c r="AA21" s="20"/>
      <c r="AB21" s="20" t="s">
        <v>194</v>
      </c>
    </row>
    <row r="22" spans="1:28" ht="16.5">
      <c r="A22" s="20" t="s">
        <v>200</v>
      </c>
      <c r="B22" s="31" t="s">
        <v>150</v>
      </c>
      <c r="C22" s="20" t="s">
        <v>150</v>
      </c>
      <c r="D22" s="20">
        <v>135</v>
      </c>
      <c r="E22" s="20">
        <v>1.35</v>
      </c>
      <c r="F22" s="20">
        <v>1</v>
      </c>
      <c r="G22" s="20">
        <v>100</v>
      </c>
      <c r="H22" s="20">
        <v>45</v>
      </c>
      <c r="I22" s="20">
        <v>1.1000000000000001</v>
      </c>
      <c r="J22" s="20">
        <v>20</v>
      </c>
      <c r="K22" s="20">
        <v>1.1000000000000001</v>
      </c>
      <c r="L22" s="23">
        <f t="shared" si="7"/>
        <v>33</v>
      </c>
      <c r="M22" s="23">
        <f t="shared" si="8"/>
        <v>1.5000000000000002</v>
      </c>
      <c r="N22" s="23">
        <f t="shared" si="9"/>
        <v>3300</v>
      </c>
      <c r="O22" s="34">
        <f t="shared" si="10"/>
        <v>24.444444444444443</v>
      </c>
      <c r="P22" s="34">
        <f t="shared" si="11"/>
        <v>2444.4444444444443</v>
      </c>
      <c r="Q22" s="33">
        <v>8</v>
      </c>
      <c r="R22" s="33">
        <v>2</v>
      </c>
      <c r="S22" s="39">
        <f t="shared" si="12"/>
        <v>33000</v>
      </c>
      <c r="T22" s="37">
        <f t="shared" si="13"/>
        <v>13.5</v>
      </c>
      <c r="U22" s="20">
        <v>40</v>
      </c>
      <c r="V22" s="20">
        <v>30</v>
      </c>
      <c r="W22" s="20" t="s">
        <v>170</v>
      </c>
      <c r="X22" s="20" t="s">
        <v>171</v>
      </c>
      <c r="Y22" s="20" t="s">
        <v>172</v>
      </c>
      <c r="Z22" s="20" t="s">
        <v>250</v>
      </c>
      <c r="AA22" s="20"/>
      <c r="AB22" s="20" t="s">
        <v>140</v>
      </c>
    </row>
    <row r="23" spans="1:28" ht="24.75">
      <c r="A23" s="20" t="s">
        <v>127</v>
      </c>
      <c r="B23" s="31" t="s">
        <v>118</v>
      </c>
      <c r="C23" s="20" t="s">
        <v>119</v>
      </c>
      <c r="D23" s="20">
        <v>200</v>
      </c>
      <c r="E23" s="20">
        <v>2.1</v>
      </c>
      <c r="F23" s="20">
        <v>1</v>
      </c>
      <c r="G23" s="20">
        <v>50</v>
      </c>
      <c r="H23" s="20">
        <v>100</v>
      </c>
      <c r="I23" s="20">
        <v>1.1000000000000001</v>
      </c>
      <c r="J23" s="20">
        <v>35</v>
      </c>
      <c r="K23" s="20">
        <v>1.1000000000000001</v>
      </c>
      <c r="L23" s="23">
        <f t="shared" si="7"/>
        <v>65.076877614095778</v>
      </c>
      <c r="M23" s="23">
        <f t="shared" si="8"/>
        <v>1.6903085094570331</v>
      </c>
      <c r="N23" s="23">
        <f t="shared" si="9"/>
        <v>3253.8438807047887</v>
      </c>
      <c r="O23" s="34">
        <f t="shared" si="10"/>
        <v>16.269219403523945</v>
      </c>
      <c r="P23" s="34">
        <f t="shared" si="11"/>
        <v>1549.4494670022802</v>
      </c>
      <c r="Q23" s="33">
        <v>8</v>
      </c>
      <c r="R23" s="33">
        <v>2</v>
      </c>
      <c r="S23" s="39">
        <f t="shared" si="12"/>
        <v>32538.438807047889</v>
      </c>
      <c r="T23" s="37">
        <f t="shared" si="13"/>
        <v>21</v>
      </c>
      <c r="U23" s="20">
        <v>20</v>
      </c>
      <c r="V23" s="20">
        <v>0</v>
      </c>
      <c r="W23" s="20" t="s">
        <v>110</v>
      </c>
      <c r="X23" s="20" t="s">
        <v>113</v>
      </c>
      <c r="Y23" s="20" t="s">
        <v>120</v>
      </c>
      <c r="Z23" s="20" t="s">
        <v>284</v>
      </c>
      <c r="AA23" s="20"/>
      <c r="AB23" s="20" t="s">
        <v>195</v>
      </c>
    </row>
    <row r="24" spans="1:28" ht="16.5" hidden="1">
      <c r="A24" s="20" t="s">
        <v>200</v>
      </c>
      <c r="B24" s="36" t="s">
        <v>158</v>
      </c>
      <c r="C24" s="20" t="s">
        <v>107</v>
      </c>
      <c r="D24" s="20">
        <v>108</v>
      </c>
      <c r="E24" s="20">
        <v>1.44</v>
      </c>
      <c r="F24" s="20">
        <v>1</v>
      </c>
      <c r="G24" s="20">
        <v>100</v>
      </c>
      <c r="H24" s="20">
        <v>32</v>
      </c>
      <c r="I24" s="20">
        <v>1.1000000000000001</v>
      </c>
      <c r="J24" s="20">
        <v>26</v>
      </c>
      <c r="K24" s="20">
        <v>1.1000000000000001</v>
      </c>
      <c r="L24" s="23">
        <f t="shared" si="7"/>
        <v>31.728851224083108</v>
      </c>
      <c r="M24" s="23">
        <f t="shared" si="8"/>
        <v>1.1094003924504583</v>
      </c>
      <c r="N24" s="23">
        <f t="shared" si="9"/>
        <v>3172.885122408311</v>
      </c>
      <c r="O24" s="34">
        <f t="shared" si="10"/>
        <v>29.378565948225102</v>
      </c>
      <c r="P24" s="34">
        <f t="shared" si="11"/>
        <v>2203.3924461168826</v>
      </c>
      <c r="Q24" s="33">
        <v>5</v>
      </c>
      <c r="R24" s="33">
        <v>2</v>
      </c>
      <c r="S24" s="33">
        <f t="shared" si="12"/>
        <v>22210.195856858176</v>
      </c>
      <c r="T24" s="33">
        <f t="shared" si="13"/>
        <v>10.08</v>
      </c>
      <c r="U24" s="20">
        <v>0</v>
      </c>
      <c r="V24" s="20">
        <v>10</v>
      </c>
      <c r="W24" s="20" t="s">
        <v>112</v>
      </c>
      <c r="X24" s="20" t="s">
        <v>116</v>
      </c>
      <c r="Y24" s="20" t="s">
        <v>182</v>
      </c>
      <c r="Z24" s="20" t="s">
        <v>260</v>
      </c>
      <c r="AA24" s="20"/>
      <c r="AB24" s="20" t="s">
        <v>315</v>
      </c>
    </row>
    <row r="25" spans="1:28" ht="16.5">
      <c r="A25" s="20" t="s">
        <v>200</v>
      </c>
      <c r="B25" s="31" t="s">
        <v>290</v>
      </c>
      <c r="C25" s="20" t="s">
        <v>291</v>
      </c>
      <c r="D25" s="20">
        <v>250</v>
      </c>
      <c r="E25" s="20">
        <f>2.1*1.25</f>
        <v>2.625</v>
      </c>
      <c r="F25" s="20">
        <v>1</v>
      </c>
      <c r="G25" s="20">
        <v>50</v>
      </c>
      <c r="H25" s="20">
        <v>110</v>
      </c>
      <c r="I25" s="20">
        <v>1.1000000000000001</v>
      </c>
      <c r="J25" s="20">
        <v>30</v>
      </c>
      <c r="K25" s="20">
        <v>1.1000000000000001</v>
      </c>
      <c r="L25" s="23">
        <f t="shared" si="7"/>
        <v>63.190189111918322</v>
      </c>
      <c r="M25" s="23">
        <f t="shared" si="8"/>
        <v>1.9148542155126762</v>
      </c>
      <c r="N25" s="23">
        <f t="shared" si="9"/>
        <v>3159.5094555959163</v>
      </c>
      <c r="O25" s="34">
        <f t="shared" si="10"/>
        <v>12.638037822383666</v>
      </c>
      <c r="P25" s="34">
        <f t="shared" si="11"/>
        <v>1203.6226497508253</v>
      </c>
      <c r="Q25" s="33">
        <v>8</v>
      </c>
      <c r="R25" s="33">
        <v>2</v>
      </c>
      <c r="S25" s="39">
        <f t="shared" si="12"/>
        <v>31595.094555959164</v>
      </c>
      <c r="T25" s="37">
        <f t="shared" si="13"/>
        <v>26.25</v>
      </c>
      <c r="U25" s="20">
        <v>25</v>
      </c>
      <c r="V25" s="20">
        <v>10</v>
      </c>
      <c r="W25" s="20" t="s">
        <v>197</v>
      </c>
      <c r="X25" s="20" t="s">
        <v>292</v>
      </c>
      <c r="Y25" s="20" t="s">
        <v>293</v>
      </c>
      <c r="Z25" s="20" t="s">
        <v>299</v>
      </c>
      <c r="AB25" s="20" t="s">
        <v>194</v>
      </c>
    </row>
    <row r="26" spans="1:28">
      <c r="A26" s="20" t="s">
        <v>200</v>
      </c>
      <c r="B26" s="31" t="s">
        <v>141</v>
      </c>
      <c r="C26" s="20" t="s">
        <v>107</v>
      </c>
      <c r="D26" s="20">
        <v>75</v>
      </c>
      <c r="E26" s="20">
        <v>1.08</v>
      </c>
      <c r="F26" s="20">
        <v>1</v>
      </c>
      <c r="G26" s="20">
        <v>100</v>
      </c>
      <c r="H26" s="20">
        <v>35</v>
      </c>
      <c r="I26" s="20">
        <v>1.1000000000000001</v>
      </c>
      <c r="J26" s="20">
        <v>22</v>
      </c>
      <c r="K26" s="20">
        <v>1.1000000000000001</v>
      </c>
      <c r="L26" s="23">
        <f t="shared" si="7"/>
        <v>30.523761236125537</v>
      </c>
      <c r="M26" s="23">
        <f t="shared" si="8"/>
        <v>1.2613124477737825</v>
      </c>
      <c r="N26" s="23">
        <f t="shared" si="9"/>
        <v>3052.3761236125538</v>
      </c>
      <c r="O26" s="34">
        <f t="shared" si="10"/>
        <v>40.69834831483405</v>
      </c>
      <c r="P26" s="34">
        <f t="shared" si="11"/>
        <v>2826.2741885301421</v>
      </c>
      <c r="Q26" s="33">
        <v>8</v>
      </c>
      <c r="R26" s="33">
        <v>2</v>
      </c>
      <c r="S26" s="39">
        <f t="shared" si="12"/>
        <v>30523.761236125538</v>
      </c>
      <c r="T26" s="37">
        <f t="shared" si="13"/>
        <v>10.8</v>
      </c>
      <c r="U26" s="20">
        <v>12</v>
      </c>
      <c r="V26" s="20">
        <v>0</v>
      </c>
      <c r="W26" s="20" t="s">
        <v>115</v>
      </c>
      <c r="X26" s="20" t="s">
        <v>109</v>
      </c>
      <c r="Y26" s="20" t="s">
        <v>109</v>
      </c>
      <c r="Z26" s="20" t="s">
        <v>242</v>
      </c>
      <c r="AA26" s="20"/>
      <c r="AB26" s="20" t="s">
        <v>140</v>
      </c>
    </row>
    <row r="27" spans="1:28" ht="16.5">
      <c r="A27" s="20" t="s">
        <v>231</v>
      </c>
      <c r="B27" s="31" t="s">
        <v>204</v>
      </c>
      <c r="C27" s="20" t="s">
        <v>110</v>
      </c>
      <c r="D27" s="20">
        <v>82.5</v>
      </c>
      <c r="E27" s="20">
        <v>0.9</v>
      </c>
      <c r="F27" s="20">
        <v>1</v>
      </c>
      <c r="G27" s="20">
        <v>100</v>
      </c>
      <c r="H27" s="20">
        <v>30</v>
      </c>
      <c r="I27" s="20">
        <v>1.2</v>
      </c>
      <c r="J27" s="20">
        <v>20</v>
      </c>
      <c r="K27" s="20">
        <v>1.2</v>
      </c>
      <c r="L27" s="23">
        <f t="shared" si="7"/>
        <v>29.393876913398138</v>
      </c>
      <c r="M27" s="23">
        <f t="shared" si="8"/>
        <v>1.2247448713915889</v>
      </c>
      <c r="N27" s="23">
        <f t="shared" si="9"/>
        <v>2939.387691339814</v>
      </c>
      <c r="O27" s="34">
        <f t="shared" si="10"/>
        <v>35.628941713209869</v>
      </c>
      <c r="P27" s="34">
        <f t="shared" si="11"/>
        <v>3265.9863237109043</v>
      </c>
      <c r="Q27" s="33">
        <v>8</v>
      </c>
      <c r="R27" s="33">
        <v>8</v>
      </c>
      <c r="S27" s="39">
        <f t="shared" si="12"/>
        <v>47030.203061437023</v>
      </c>
      <c r="T27" s="37">
        <f t="shared" si="13"/>
        <v>14.4</v>
      </c>
      <c r="U27" s="20">
        <v>0</v>
      </c>
      <c r="V27" s="20">
        <v>0</v>
      </c>
      <c r="W27" s="20" t="s">
        <v>212</v>
      </c>
      <c r="X27" s="20" t="s">
        <v>116</v>
      </c>
      <c r="Y27" s="20" t="s">
        <v>109</v>
      </c>
      <c r="Z27" s="20" t="s">
        <v>267</v>
      </c>
      <c r="AA27" s="20" t="s">
        <v>205</v>
      </c>
      <c r="AB27" s="20" t="s">
        <v>140</v>
      </c>
    </row>
    <row r="28" spans="1:28" ht="16.5" hidden="1">
      <c r="A28" s="20" t="s">
        <v>231</v>
      </c>
      <c r="B28" s="36" t="s">
        <v>314</v>
      </c>
      <c r="C28" s="20" t="s">
        <v>115</v>
      </c>
      <c r="D28" s="20">
        <v>90</v>
      </c>
      <c r="E28" s="20">
        <v>1.08</v>
      </c>
      <c r="F28" s="20">
        <v>1</v>
      </c>
      <c r="G28" s="20">
        <v>100</v>
      </c>
      <c r="H28" s="20">
        <v>30</v>
      </c>
      <c r="I28" s="20">
        <v>1.1000000000000001</v>
      </c>
      <c r="J28" s="20">
        <v>24</v>
      </c>
      <c r="K28" s="20">
        <v>1.1000000000000001</v>
      </c>
      <c r="L28" s="23">
        <f t="shared" si="7"/>
        <v>29.516097302997224</v>
      </c>
      <c r="M28" s="23">
        <f t="shared" si="8"/>
        <v>1.1180339887498949</v>
      </c>
      <c r="N28" s="23">
        <f t="shared" si="9"/>
        <v>2951.6097302997223</v>
      </c>
      <c r="O28" s="34">
        <f t="shared" si="10"/>
        <v>32.795663669996912</v>
      </c>
      <c r="P28" s="34">
        <f t="shared" si="11"/>
        <v>2732.9719724997426</v>
      </c>
      <c r="Q28" s="33">
        <v>5</v>
      </c>
      <c r="R28" s="33">
        <v>2</v>
      </c>
      <c r="S28" s="33">
        <f t="shared" si="12"/>
        <v>20661.268112098056</v>
      </c>
      <c r="T28" s="33">
        <f t="shared" si="13"/>
        <v>7.5600000000000005</v>
      </c>
      <c r="U28" s="20">
        <v>0</v>
      </c>
      <c r="V28" s="20">
        <v>0</v>
      </c>
      <c r="W28" s="20" t="s">
        <v>210</v>
      </c>
      <c r="X28" s="20" t="s">
        <v>116</v>
      </c>
      <c r="Y28" s="20" t="s">
        <v>109</v>
      </c>
      <c r="Z28" s="20" t="s">
        <v>268</v>
      </c>
      <c r="AA28" s="20" t="s">
        <v>213</v>
      </c>
      <c r="AB28" s="20" t="s">
        <v>146</v>
      </c>
    </row>
    <row r="29" spans="1:28">
      <c r="A29" s="20" t="s">
        <v>127</v>
      </c>
      <c r="B29" s="31" t="s">
        <v>117</v>
      </c>
      <c r="C29" s="20" t="s">
        <v>107</v>
      </c>
      <c r="D29" s="20">
        <v>90</v>
      </c>
      <c r="E29" s="20">
        <v>1.2</v>
      </c>
      <c r="F29" s="20">
        <v>1</v>
      </c>
      <c r="G29" s="20">
        <v>100</v>
      </c>
      <c r="H29" s="20">
        <v>32</v>
      </c>
      <c r="I29" s="20">
        <v>1.1000000000000001</v>
      </c>
      <c r="J29" s="20">
        <v>22</v>
      </c>
      <c r="K29" s="20">
        <v>1.1000000000000001</v>
      </c>
      <c r="L29" s="23">
        <f t="shared" si="7"/>
        <v>29.18629815512752</v>
      </c>
      <c r="M29" s="23">
        <f t="shared" si="8"/>
        <v>1.2060453783110545</v>
      </c>
      <c r="N29" s="23">
        <f t="shared" si="9"/>
        <v>2918.629815512752</v>
      </c>
      <c r="O29" s="34">
        <f t="shared" si="10"/>
        <v>32.429220172363912</v>
      </c>
      <c r="P29" s="34">
        <f t="shared" si="11"/>
        <v>2432.1915129272934</v>
      </c>
      <c r="Q29" s="33">
        <v>8</v>
      </c>
      <c r="R29" s="33">
        <v>2</v>
      </c>
      <c r="S29" s="39">
        <f t="shared" si="12"/>
        <v>29186.298155127519</v>
      </c>
      <c r="T29" s="37">
        <f t="shared" si="13"/>
        <v>12</v>
      </c>
      <c r="U29" s="20">
        <v>0</v>
      </c>
      <c r="V29" s="20">
        <v>0</v>
      </c>
      <c r="W29" s="20" t="s">
        <v>115</v>
      </c>
      <c r="X29" s="20" t="s">
        <v>109</v>
      </c>
      <c r="Y29" s="20" t="s">
        <v>109</v>
      </c>
      <c r="Z29" s="20" t="s">
        <v>283</v>
      </c>
      <c r="AA29" s="20"/>
      <c r="AB29" s="20" t="s">
        <v>194</v>
      </c>
    </row>
    <row r="30" spans="1:28">
      <c r="A30" s="20" t="s">
        <v>200</v>
      </c>
      <c r="B30" s="31" t="s">
        <v>161</v>
      </c>
      <c r="C30" s="20" t="s">
        <v>107</v>
      </c>
      <c r="D30" s="20">
        <v>99</v>
      </c>
      <c r="E30" s="20">
        <v>1.32</v>
      </c>
      <c r="F30" s="20">
        <v>1</v>
      </c>
      <c r="G30" s="20">
        <v>100</v>
      </c>
      <c r="H30" s="20">
        <v>34</v>
      </c>
      <c r="I30" s="20">
        <v>1.1000000000000001</v>
      </c>
      <c r="J30" s="20">
        <v>20</v>
      </c>
      <c r="K30" s="20">
        <v>1.1000000000000001</v>
      </c>
      <c r="L30" s="23">
        <f t="shared" si="7"/>
        <v>28.684490582891659</v>
      </c>
      <c r="M30" s="23">
        <f t="shared" si="8"/>
        <v>1.3038404810405297</v>
      </c>
      <c r="N30" s="23">
        <f t="shared" si="9"/>
        <v>2868.4490582891658</v>
      </c>
      <c r="O30" s="34">
        <f t="shared" si="10"/>
        <v>28.974232912011775</v>
      </c>
      <c r="P30" s="34">
        <f t="shared" si="11"/>
        <v>2173.0674684008832</v>
      </c>
      <c r="Q30" s="33">
        <v>8</v>
      </c>
      <c r="R30" s="33">
        <v>2</v>
      </c>
      <c r="S30" s="39">
        <f t="shared" si="12"/>
        <v>28684.49058289166</v>
      </c>
      <c r="T30" s="37">
        <f t="shared" si="13"/>
        <v>13.200000000000001</v>
      </c>
      <c r="U30" s="20">
        <v>0</v>
      </c>
      <c r="V30" s="20">
        <v>10</v>
      </c>
      <c r="W30" s="20" t="s">
        <v>185</v>
      </c>
      <c r="X30" s="20" t="s">
        <v>186</v>
      </c>
      <c r="Y30" s="20" t="s">
        <v>187</v>
      </c>
      <c r="Z30" s="20" t="s">
        <v>263</v>
      </c>
      <c r="AA30" s="20"/>
      <c r="AB30" s="20" t="s">
        <v>154</v>
      </c>
    </row>
    <row r="31" spans="1:28" ht="24.75">
      <c r="A31" s="20" t="s">
        <v>232</v>
      </c>
      <c r="B31" s="31" t="s">
        <v>227</v>
      </c>
      <c r="C31" s="20" t="s">
        <v>225</v>
      </c>
      <c r="D31" s="20">
        <v>400</v>
      </c>
      <c r="E31" s="20">
        <v>2.94</v>
      </c>
      <c r="F31" s="20">
        <v>0.8</v>
      </c>
      <c r="G31" s="20">
        <v>25</v>
      </c>
      <c r="H31" s="20">
        <v>250</v>
      </c>
      <c r="I31" s="20">
        <v>1</v>
      </c>
      <c r="J31" s="20">
        <v>50</v>
      </c>
      <c r="K31" s="20">
        <v>1</v>
      </c>
      <c r="L31" s="23">
        <f t="shared" si="7"/>
        <v>111.80339887498948</v>
      </c>
      <c r="M31" s="23">
        <f t="shared" si="8"/>
        <v>2.2360679774997898</v>
      </c>
      <c r="N31" s="23">
        <f t="shared" si="9"/>
        <v>2795.0849718747372</v>
      </c>
      <c r="O31" s="34">
        <f t="shared" si="10"/>
        <v>6.9877124296868427</v>
      </c>
      <c r="P31" s="34">
        <f t="shared" si="11"/>
        <v>950.70917410705351</v>
      </c>
      <c r="Q31" s="33">
        <v>8</v>
      </c>
      <c r="R31" s="33">
        <v>1</v>
      </c>
      <c r="S31" s="39">
        <f t="shared" si="12"/>
        <v>25155.764746872635</v>
      </c>
      <c r="T31" s="37">
        <f t="shared" si="13"/>
        <v>21.167999999999999</v>
      </c>
      <c r="U31" s="20">
        <v>0</v>
      </c>
      <c r="V31" s="20">
        <v>0</v>
      </c>
      <c r="W31" s="20" t="s">
        <v>228</v>
      </c>
      <c r="X31" s="20" t="s">
        <v>176</v>
      </c>
      <c r="Y31" s="20" t="s">
        <v>229</v>
      </c>
      <c r="Z31" s="20" t="s">
        <v>276</v>
      </c>
      <c r="AA31" s="20" t="s">
        <v>240</v>
      </c>
      <c r="AB31" s="20" t="s">
        <v>140</v>
      </c>
    </row>
    <row r="32" spans="1:28" ht="16.5">
      <c r="A32" s="20" t="s">
        <v>127</v>
      </c>
      <c r="B32" s="31" t="s">
        <v>115</v>
      </c>
      <c r="C32" s="20" t="s">
        <v>115</v>
      </c>
      <c r="D32" s="20">
        <v>75</v>
      </c>
      <c r="E32" s="20">
        <v>0.9</v>
      </c>
      <c r="F32" s="20">
        <v>1</v>
      </c>
      <c r="G32" s="20">
        <v>100</v>
      </c>
      <c r="H32" s="20">
        <v>22</v>
      </c>
      <c r="I32" s="20">
        <v>1.1000000000000001</v>
      </c>
      <c r="J32" s="20">
        <v>24</v>
      </c>
      <c r="K32" s="20">
        <v>1.1000000000000001</v>
      </c>
      <c r="L32" s="23">
        <f t="shared" si="7"/>
        <v>25.276075644767328</v>
      </c>
      <c r="M32" s="23">
        <f t="shared" si="8"/>
        <v>0.9574271077563381</v>
      </c>
      <c r="N32" s="23">
        <f t="shared" si="9"/>
        <v>2527.6075644767329</v>
      </c>
      <c r="O32" s="34">
        <f t="shared" si="10"/>
        <v>33.701434193023104</v>
      </c>
      <c r="P32" s="34">
        <f t="shared" si="11"/>
        <v>2808.452849418592</v>
      </c>
      <c r="Q32" s="33">
        <v>8</v>
      </c>
      <c r="R32" s="33">
        <v>2</v>
      </c>
      <c r="S32" s="39">
        <f t="shared" si="12"/>
        <v>25276.07564476733</v>
      </c>
      <c r="T32" s="37">
        <f t="shared" si="13"/>
        <v>9</v>
      </c>
      <c r="U32" s="20">
        <v>0</v>
      </c>
      <c r="V32" s="20">
        <v>0</v>
      </c>
      <c r="W32" s="20" t="s">
        <v>95</v>
      </c>
      <c r="X32" s="20" t="s">
        <v>116</v>
      </c>
      <c r="Y32" s="20" t="s">
        <v>109</v>
      </c>
      <c r="Z32" s="20" t="s">
        <v>109</v>
      </c>
      <c r="AA32" s="20"/>
      <c r="AB32" s="20" t="s">
        <v>194</v>
      </c>
    </row>
    <row r="33" spans="1:28">
      <c r="A33" s="20" t="s">
        <v>232</v>
      </c>
      <c r="B33" s="31" t="s">
        <v>224</v>
      </c>
      <c r="C33" s="20" t="s">
        <v>110</v>
      </c>
      <c r="D33" s="20">
        <v>76</v>
      </c>
      <c r="E33" s="20">
        <v>0.66</v>
      </c>
      <c r="F33" s="20">
        <v>1</v>
      </c>
      <c r="G33" s="20">
        <v>100</v>
      </c>
      <c r="H33" s="20">
        <v>28</v>
      </c>
      <c r="I33" s="20">
        <v>1.1000000000000001</v>
      </c>
      <c r="J33" s="20">
        <v>16</v>
      </c>
      <c r="K33" s="20">
        <v>1.1000000000000001</v>
      </c>
      <c r="L33" s="23">
        <f t="shared" si="7"/>
        <v>23.2826115373684</v>
      </c>
      <c r="M33" s="23">
        <f t="shared" si="8"/>
        <v>1.3228756555322954</v>
      </c>
      <c r="N33" s="23">
        <f t="shared" si="9"/>
        <v>2328.2611537368398</v>
      </c>
      <c r="O33" s="34">
        <f t="shared" si="10"/>
        <v>30.635015180747892</v>
      </c>
      <c r="P33" s="34">
        <f t="shared" si="11"/>
        <v>3527.6684147527876</v>
      </c>
      <c r="Q33" s="33">
        <v>8</v>
      </c>
      <c r="R33" s="33">
        <v>4</v>
      </c>
      <c r="S33" s="39">
        <f t="shared" si="12"/>
        <v>27939.133844842079</v>
      </c>
      <c r="T33" s="37">
        <f t="shared" si="13"/>
        <v>7.92</v>
      </c>
      <c r="U33" s="20">
        <v>10</v>
      </c>
      <c r="V33" s="20">
        <v>10</v>
      </c>
      <c r="W33" s="20" t="s">
        <v>225</v>
      </c>
      <c r="X33" s="20" t="s">
        <v>226</v>
      </c>
      <c r="Y33" s="20" t="s">
        <v>109</v>
      </c>
      <c r="Z33" s="20" t="s">
        <v>275</v>
      </c>
      <c r="AA33" s="20" t="s">
        <v>239</v>
      </c>
      <c r="AB33" s="20" t="s">
        <v>140</v>
      </c>
    </row>
    <row r="34" spans="1:28" ht="24.75" hidden="1">
      <c r="A34" s="20" t="s">
        <v>231</v>
      </c>
      <c r="B34" s="36" t="s">
        <v>202</v>
      </c>
      <c r="C34" s="20" t="s">
        <v>112</v>
      </c>
      <c r="D34" s="20">
        <v>111</v>
      </c>
      <c r="E34" s="20">
        <v>1.36</v>
      </c>
      <c r="F34" s="20">
        <v>1</v>
      </c>
      <c r="G34" s="20">
        <v>100</v>
      </c>
      <c r="H34" s="20">
        <v>40</v>
      </c>
      <c r="I34" s="20">
        <v>1.1000000000000001</v>
      </c>
      <c r="J34" s="20">
        <v>15</v>
      </c>
      <c r="K34" s="20">
        <v>1.1000000000000001</v>
      </c>
      <c r="L34" s="23">
        <f t="shared" si="7"/>
        <v>26.944387170614963</v>
      </c>
      <c r="M34" s="23">
        <f t="shared" si="8"/>
        <v>1.6329931618554518</v>
      </c>
      <c r="N34" s="23">
        <f t="shared" si="9"/>
        <v>2694.4387170614964</v>
      </c>
      <c r="O34" s="34">
        <f t="shared" si="10"/>
        <v>24.274222676229698</v>
      </c>
      <c r="P34" s="34">
        <f t="shared" si="11"/>
        <v>1981.2049390158061</v>
      </c>
      <c r="Q34" s="33">
        <v>5</v>
      </c>
      <c r="R34" s="33">
        <v>2</v>
      </c>
      <c r="S34" s="33">
        <f t="shared" si="12"/>
        <v>18861.071019430474</v>
      </c>
      <c r="T34" s="33">
        <f t="shared" si="13"/>
        <v>9.5200000000000014</v>
      </c>
      <c r="U34" s="20">
        <v>40</v>
      </c>
      <c r="V34" s="20">
        <v>15</v>
      </c>
      <c r="W34" s="20" t="s">
        <v>110</v>
      </c>
      <c r="X34" s="20" t="s">
        <v>124</v>
      </c>
      <c r="Y34" s="20" t="s">
        <v>114</v>
      </c>
      <c r="Z34" s="20" t="s">
        <v>266</v>
      </c>
      <c r="AA34" s="20" t="s">
        <v>203</v>
      </c>
      <c r="AB34" s="20" t="s">
        <v>315</v>
      </c>
    </row>
    <row r="35" spans="1:28" ht="16.5">
      <c r="A35" s="20" t="s">
        <v>200</v>
      </c>
      <c r="B35" s="31" t="s">
        <v>155</v>
      </c>
      <c r="C35" s="20" t="s">
        <v>110</v>
      </c>
      <c r="D35" s="20">
        <v>60.5</v>
      </c>
      <c r="E35" s="20">
        <v>0.66</v>
      </c>
      <c r="F35" s="20">
        <v>1</v>
      </c>
      <c r="G35" s="20">
        <v>100</v>
      </c>
      <c r="H35" s="20">
        <v>30</v>
      </c>
      <c r="I35" s="20">
        <v>1.1000000000000001</v>
      </c>
      <c r="J35" s="20">
        <v>14</v>
      </c>
      <c r="K35" s="20">
        <v>1.1000000000000001</v>
      </c>
      <c r="L35" s="23">
        <f t="shared" si="7"/>
        <v>22.543291685111118</v>
      </c>
      <c r="M35" s="23">
        <f t="shared" si="8"/>
        <v>1.4638501094227998</v>
      </c>
      <c r="N35" s="23">
        <f t="shared" si="9"/>
        <v>2254.3291685111117</v>
      </c>
      <c r="O35" s="34">
        <f t="shared" si="10"/>
        <v>37.261639148943992</v>
      </c>
      <c r="P35" s="34">
        <f t="shared" si="11"/>
        <v>3415.6502553198661</v>
      </c>
      <c r="Q35" s="33">
        <v>8</v>
      </c>
      <c r="R35" s="33">
        <v>4</v>
      </c>
      <c r="S35" s="39">
        <f t="shared" si="12"/>
        <v>27051.95002213334</v>
      </c>
      <c r="T35" s="37">
        <f t="shared" si="13"/>
        <v>7.92</v>
      </c>
      <c r="U35" s="20">
        <v>10</v>
      </c>
      <c r="V35" s="20">
        <v>10</v>
      </c>
      <c r="W35" s="20" t="s">
        <v>106</v>
      </c>
      <c r="X35" s="20" t="s">
        <v>174</v>
      </c>
      <c r="Y35" s="20" t="s">
        <v>109</v>
      </c>
      <c r="Z35" s="20" t="s">
        <v>255</v>
      </c>
      <c r="AA35" s="20"/>
      <c r="AB35" s="20" t="s">
        <v>140</v>
      </c>
    </row>
    <row r="36" spans="1:28" ht="16.5">
      <c r="A36" s="20" t="s">
        <v>200</v>
      </c>
      <c r="B36" s="31" t="s">
        <v>153</v>
      </c>
      <c r="C36" s="20" t="s">
        <v>112</v>
      </c>
      <c r="D36" s="20">
        <v>110.5</v>
      </c>
      <c r="E36" s="20">
        <v>1.36</v>
      </c>
      <c r="F36" s="20">
        <v>1</v>
      </c>
      <c r="G36" s="20">
        <v>100</v>
      </c>
      <c r="H36" s="20">
        <v>25</v>
      </c>
      <c r="I36" s="20">
        <v>1.1000000000000001</v>
      </c>
      <c r="J36" s="20">
        <v>15</v>
      </c>
      <c r="K36" s="20">
        <v>1.1000000000000001</v>
      </c>
      <c r="L36" s="23">
        <f t="shared" si="7"/>
        <v>21.301408404140794</v>
      </c>
      <c r="M36" s="23">
        <f t="shared" si="8"/>
        <v>1.2909944487358056</v>
      </c>
      <c r="N36" s="23">
        <f t="shared" si="9"/>
        <v>2130.1408404140793</v>
      </c>
      <c r="O36" s="34">
        <f t="shared" si="10"/>
        <v>19.277292673430583</v>
      </c>
      <c r="P36" s="34">
        <f t="shared" si="11"/>
        <v>1566.2800297162346</v>
      </c>
      <c r="Q36" s="33">
        <v>8</v>
      </c>
      <c r="R36" s="33">
        <v>2</v>
      </c>
      <c r="S36" s="39">
        <f t="shared" si="12"/>
        <v>21301.408404140791</v>
      </c>
      <c r="T36" s="37">
        <f t="shared" si="13"/>
        <v>13.600000000000001</v>
      </c>
      <c r="U36" s="20">
        <v>60</v>
      </c>
      <c r="V36" s="20">
        <v>20</v>
      </c>
      <c r="W36" s="20" t="s">
        <v>110</v>
      </c>
      <c r="X36" s="20" t="s">
        <v>113</v>
      </c>
      <c r="Y36" s="20" t="s">
        <v>114</v>
      </c>
      <c r="Z36" s="20" t="s">
        <v>253</v>
      </c>
      <c r="AA36" s="20"/>
      <c r="AB36" s="20" t="s">
        <v>154</v>
      </c>
    </row>
    <row r="37" spans="1:28">
      <c r="A37" s="20" t="s">
        <v>200</v>
      </c>
      <c r="B37" s="31" t="s">
        <v>142</v>
      </c>
      <c r="C37" s="20" t="s">
        <v>110</v>
      </c>
      <c r="D37" s="20">
        <v>55</v>
      </c>
      <c r="E37" s="20">
        <v>0.66</v>
      </c>
      <c r="F37" s="20">
        <v>1</v>
      </c>
      <c r="G37" s="20">
        <v>100</v>
      </c>
      <c r="H37" s="20">
        <v>30</v>
      </c>
      <c r="I37" s="20">
        <v>1.1000000000000001</v>
      </c>
      <c r="J37" s="20">
        <v>12</v>
      </c>
      <c r="K37" s="20">
        <v>1.1000000000000001</v>
      </c>
      <c r="L37" s="23">
        <f t="shared" ref="L37:L68" si="14">SQRT(H37*I37*J37*K37)</f>
        <v>20.871032557111302</v>
      </c>
      <c r="M37" s="23">
        <f t="shared" ref="M37:M54" si="15">SQRT(H37*I37/J37/K37)</f>
        <v>1.5811388300841898</v>
      </c>
      <c r="N37" s="23">
        <f t="shared" ref="N37:N54" si="16">L37*G37</f>
        <v>2087.1032557111303</v>
      </c>
      <c r="O37" s="34">
        <f t="shared" ref="O37:O68" si="17">N37/D37</f>
        <v>37.947331922020552</v>
      </c>
      <c r="P37" s="34">
        <f t="shared" ref="P37:P54" si="18">N37/E37</f>
        <v>3162.277660168379</v>
      </c>
      <c r="Q37" s="33">
        <v>8</v>
      </c>
      <c r="R37" s="33">
        <v>4</v>
      </c>
      <c r="S37" s="39">
        <f t="shared" ref="S37:S68" si="19">N37*SUM(Q37:R37)</f>
        <v>25045.239068533563</v>
      </c>
      <c r="T37" s="37">
        <f t="shared" ref="T37:T54" si="20">E37*F37*SUM(Q37:R37)</f>
        <v>7.92</v>
      </c>
      <c r="U37" s="20">
        <v>5</v>
      </c>
      <c r="V37" s="20">
        <v>0</v>
      </c>
      <c r="W37" s="20" t="s">
        <v>106</v>
      </c>
      <c r="X37" s="20" t="s">
        <v>166</v>
      </c>
      <c r="Y37" s="20" t="s">
        <v>109</v>
      </c>
      <c r="Z37" s="20" t="s">
        <v>243</v>
      </c>
      <c r="AA37" s="20"/>
      <c r="AB37" s="20" t="s">
        <v>140</v>
      </c>
    </row>
    <row r="38" spans="1:28" ht="24.75">
      <c r="A38" s="20" t="s">
        <v>200</v>
      </c>
      <c r="B38" s="31" t="s">
        <v>162</v>
      </c>
      <c r="C38" s="20" t="s">
        <v>110</v>
      </c>
      <c r="D38" s="20">
        <v>61</v>
      </c>
      <c r="E38" s="20">
        <v>0.66</v>
      </c>
      <c r="F38" s="20">
        <v>1</v>
      </c>
      <c r="G38" s="20">
        <v>100</v>
      </c>
      <c r="H38" s="20">
        <v>18</v>
      </c>
      <c r="I38" s="20">
        <v>1.1000000000000001</v>
      </c>
      <c r="J38" s="20">
        <v>20</v>
      </c>
      <c r="K38" s="20">
        <v>1.1000000000000001</v>
      </c>
      <c r="L38" s="23">
        <f t="shared" si="14"/>
        <v>20.871032557111302</v>
      </c>
      <c r="M38" s="23">
        <f t="shared" si="15"/>
        <v>0.94868329805051377</v>
      </c>
      <c r="N38" s="23">
        <f t="shared" si="16"/>
        <v>2087.1032557111303</v>
      </c>
      <c r="O38" s="34">
        <f t="shared" si="17"/>
        <v>34.214807470674266</v>
      </c>
      <c r="P38" s="34">
        <f t="shared" si="18"/>
        <v>3162.277660168379</v>
      </c>
      <c r="Q38" s="33">
        <v>8</v>
      </c>
      <c r="R38" s="33">
        <v>4</v>
      </c>
      <c r="S38" s="39">
        <f t="shared" si="19"/>
        <v>25045.239068533563</v>
      </c>
      <c r="T38" s="37">
        <f t="shared" si="20"/>
        <v>7.92</v>
      </c>
      <c r="U38" s="20">
        <v>0</v>
      </c>
      <c r="V38" s="20">
        <v>22</v>
      </c>
      <c r="W38" s="20" t="s">
        <v>106</v>
      </c>
      <c r="X38" s="20" t="s">
        <v>188</v>
      </c>
      <c r="Y38" s="20" t="s">
        <v>109</v>
      </c>
      <c r="Z38" s="20" t="s">
        <v>264</v>
      </c>
      <c r="AA38" s="20"/>
      <c r="AB38" s="20" t="s">
        <v>140</v>
      </c>
    </row>
    <row r="39" spans="1:28" ht="16.5">
      <c r="A39" s="20" t="s">
        <v>232</v>
      </c>
      <c r="B39" s="31" t="s">
        <v>214</v>
      </c>
      <c r="C39" s="20" t="s">
        <v>112</v>
      </c>
      <c r="D39" s="20">
        <v>85</v>
      </c>
      <c r="E39" s="20">
        <v>1.1499999999999999</v>
      </c>
      <c r="F39" s="20">
        <v>1</v>
      </c>
      <c r="G39" s="20">
        <v>100</v>
      </c>
      <c r="H39" s="20">
        <v>22</v>
      </c>
      <c r="I39" s="20">
        <v>1.1000000000000001</v>
      </c>
      <c r="J39" s="20">
        <v>16</v>
      </c>
      <c r="K39" s="20">
        <v>1.1000000000000001</v>
      </c>
      <c r="L39" s="23">
        <f t="shared" si="14"/>
        <v>20.637829343223093</v>
      </c>
      <c r="M39" s="23">
        <f t="shared" si="15"/>
        <v>1.1726039399558574</v>
      </c>
      <c r="N39" s="23">
        <f t="shared" si="16"/>
        <v>2063.7829343223093</v>
      </c>
      <c r="O39" s="34">
        <f t="shared" si="17"/>
        <v>24.279799227321284</v>
      </c>
      <c r="P39" s="34">
        <f t="shared" si="18"/>
        <v>1794.5938559324429</v>
      </c>
      <c r="Q39" s="33">
        <v>8</v>
      </c>
      <c r="R39" s="33">
        <v>2</v>
      </c>
      <c r="S39" s="39">
        <f t="shared" si="19"/>
        <v>20637.829343223093</v>
      </c>
      <c r="T39" s="37">
        <f t="shared" si="20"/>
        <v>11.5</v>
      </c>
      <c r="U39" s="20">
        <v>30</v>
      </c>
      <c r="V39" s="20">
        <v>50</v>
      </c>
      <c r="W39" s="20" t="s">
        <v>110</v>
      </c>
      <c r="X39" s="20" t="s">
        <v>215</v>
      </c>
      <c r="Y39" s="20" t="s">
        <v>216</v>
      </c>
      <c r="Z39" s="20" t="s">
        <v>271</v>
      </c>
      <c r="AA39" s="20" t="s">
        <v>235</v>
      </c>
      <c r="AB39" s="20" t="s">
        <v>140</v>
      </c>
    </row>
    <row r="40" spans="1:28" ht="16.5">
      <c r="A40" s="20" t="s">
        <v>127</v>
      </c>
      <c r="B40" s="31" t="s">
        <v>112</v>
      </c>
      <c r="C40" s="20" t="s">
        <v>112</v>
      </c>
      <c r="D40" s="20">
        <v>85</v>
      </c>
      <c r="E40" s="20">
        <v>1.05</v>
      </c>
      <c r="F40" s="20">
        <v>1</v>
      </c>
      <c r="G40" s="20">
        <v>100</v>
      </c>
      <c r="H40" s="20">
        <v>22</v>
      </c>
      <c r="I40" s="20">
        <v>1.1000000000000001</v>
      </c>
      <c r="J40" s="20">
        <v>15</v>
      </c>
      <c r="K40" s="20">
        <v>1.1000000000000001</v>
      </c>
      <c r="L40" s="23">
        <f t="shared" si="14"/>
        <v>19.982492337043446</v>
      </c>
      <c r="M40" s="23">
        <f t="shared" si="15"/>
        <v>1.2110601416389968</v>
      </c>
      <c r="N40" s="23">
        <f t="shared" si="16"/>
        <v>1998.2492337043445</v>
      </c>
      <c r="O40" s="34">
        <f t="shared" si="17"/>
        <v>23.508814514168758</v>
      </c>
      <c r="P40" s="34">
        <f t="shared" si="18"/>
        <v>1903.0945082898518</v>
      </c>
      <c r="Q40" s="33">
        <v>8</v>
      </c>
      <c r="R40" s="33">
        <v>2</v>
      </c>
      <c r="S40" s="39">
        <f t="shared" si="19"/>
        <v>19982.492337043444</v>
      </c>
      <c r="T40" s="37">
        <f t="shared" si="20"/>
        <v>10.5</v>
      </c>
      <c r="U40" s="20">
        <v>30</v>
      </c>
      <c r="V40" s="20">
        <v>30</v>
      </c>
      <c r="W40" s="20" t="s">
        <v>197</v>
      </c>
      <c r="X40" s="20" t="s">
        <v>113</v>
      </c>
      <c r="Y40" s="20" t="s">
        <v>114</v>
      </c>
      <c r="Z40" s="20" t="s">
        <v>136</v>
      </c>
      <c r="AA40" s="20"/>
      <c r="AB40" s="20" t="s">
        <v>194</v>
      </c>
    </row>
    <row r="41" spans="1:28" ht="24.75">
      <c r="A41" s="20" t="s">
        <v>232</v>
      </c>
      <c r="B41" s="31" t="s">
        <v>222</v>
      </c>
      <c r="C41" s="20" t="s">
        <v>112</v>
      </c>
      <c r="D41" s="20">
        <v>85</v>
      </c>
      <c r="E41" s="20">
        <v>0.84</v>
      </c>
      <c r="F41" s="20">
        <v>1</v>
      </c>
      <c r="G41" s="20">
        <v>100</v>
      </c>
      <c r="H41" s="20">
        <v>22</v>
      </c>
      <c r="I41" s="20">
        <v>1.1000000000000001</v>
      </c>
      <c r="J41" s="20">
        <v>15</v>
      </c>
      <c r="K41" s="20">
        <v>1.1000000000000001</v>
      </c>
      <c r="L41" s="23">
        <f t="shared" si="14"/>
        <v>19.982492337043446</v>
      </c>
      <c r="M41" s="23">
        <f t="shared" si="15"/>
        <v>1.2110601416389968</v>
      </c>
      <c r="N41" s="23">
        <f t="shared" si="16"/>
        <v>1998.2492337043445</v>
      </c>
      <c r="O41" s="34">
        <f t="shared" si="17"/>
        <v>23.508814514168758</v>
      </c>
      <c r="P41" s="34">
        <f t="shared" si="18"/>
        <v>2378.8681353623151</v>
      </c>
      <c r="Q41" s="33">
        <v>8</v>
      </c>
      <c r="R41" s="33">
        <v>2</v>
      </c>
      <c r="S41" s="39">
        <f t="shared" si="19"/>
        <v>19982.492337043444</v>
      </c>
      <c r="T41" s="37">
        <f t="shared" si="20"/>
        <v>8.4</v>
      </c>
      <c r="U41" s="20">
        <v>20</v>
      </c>
      <c r="V41" s="20">
        <v>20</v>
      </c>
      <c r="W41" s="20" t="s">
        <v>112</v>
      </c>
      <c r="X41" s="20" t="s">
        <v>223</v>
      </c>
      <c r="Y41" s="20" t="s">
        <v>120</v>
      </c>
      <c r="Z41" s="20" t="s">
        <v>274</v>
      </c>
      <c r="AA41" s="20" t="s">
        <v>238</v>
      </c>
      <c r="AB41" s="20" t="s">
        <v>140</v>
      </c>
    </row>
    <row r="42" spans="1:28" ht="16.5">
      <c r="A42" s="20" t="s">
        <v>232</v>
      </c>
      <c r="B42" s="31" t="s">
        <v>217</v>
      </c>
      <c r="C42" s="20" t="s">
        <v>112</v>
      </c>
      <c r="D42" s="20">
        <v>90</v>
      </c>
      <c r="E42" s="20">
        <v>1.1499999999999999</v>
      </c>
      <c r="F42" s="20">
        <v>1</v>
      </c>
      <c r="G42" s="20">
        <v>100</v>
      </c>
      <c r="H42" s="20">
        <v>22</v>
      </c>
      <c r="I42" s="20">
        <v>1.1000000000000001</v>
      </c>
      <c r="J42" s="20">
        <v>15</v>
      </c>
      <c r="K42" s="20">
        <v>1.1000000000000001</v>
      </c>
      <c r="L42" s="23">
        <f t="shared" si="14"/>
        <v>19.982492337043446</v>
      </c>
      <c r="M42" s="23">
        <f t="shared" si="15"/>
        <v>1.2110601416389968</v>
      </c>
      <c r="N42" s="23">
        <f t="shared" si="16"/>
        <v>1998.2492337043445</v>
      </c>
      <c r="O42" s="34">
        <f t="shared" si="17"/>
        <v>22.202769263381605</v>
      </c>
      <c r="P42" s="34">
        <f t="shared" si="18"/>
        <v>1737.6080293081259</v>
      </c>
      <c r="Q42" s="33">
        <v>8</v>
      </c>
      <c r="R42" s="33">
        <v>2</v>
      </c>
      <c r="S42" s="39">
        <f t="shared" si="19"/>
        <v>19982.492337043444</v>
      </c>
      <c r="T42" s="37">
        <f t="shared" si="20"/>
        <v>11.5</v>
      </c>
      <c r="U42" s="20">
        <v>30</v>
      </c>
      <c r="V42" s="20">
        <v>30</v>
      </c>
      <c r="W42" s="20" t="s">
        <v>218</v>
      </c>
      <c r="X42" s="20" t="s">
        <v>219</v>
      </c>
      <c r="Y42" s="20" t="s">
        <v>114</v>
      </c>
      <c r="Z42" s="20" t="s">
        <v>272</v>
      </c>
      <c r="AA42" s="20" t="s">
        <v>236</v>
      </c>
      <c r="AB42" s="20" t="s">
        <v>140</v>
      </c>
    </row>
    <row r="43" spans="1:28" ht="16.5">
      <c r="A43" s="20" t="s">
        <v>200</v>
      </c>
      <c r="B43" s="31" t="s">
        <v>139</v>
      </c>
      <c r="C43" s="20" t="s">
        <v>106</v>
      </c>
      <c r="D43" s="20">
        <v>81</v>
      </c>
      <c r="E43" s="20">
        <v>0.81</v>
      </c>
      <c r="F43" s="20">
        <v>1</v>
      </c>
      <c r="G43" s="20">
        <v>100</v>
      </c>
      <c r="H43" s="20">
        <v>20</v>
      </c>
      <c r="I43" s="20">
        <v>1.1000000000000001</v>
      </c>
      <c r="J43" s="20">
        <v>16</v>
      </c>
      <c r="K43" s="20">
        <v>1.1000000000000001</v>
      </c>
      <c r="L43" s="23">
        <f t="shared" si="14"/>
        <v>19.677398201998152</v>
      </c>
      <c r="M43" s="23">
        <f t="shared" si="15"/>
        <v>1.1180339887498949</v>
      </c>
      <c r="N43" s="23">
        <f t="shared" si="16"/>
        <v>1967.7398201998151</v>
      </c>
      <c r="O43" s="34">
        <f t="shared" si="17"/>
        <v>24.293084199997718</v>
      </c>
      <c r="P43" s="34">
        <f t="shared" si="18"/>
        <v>2429.3084199997716</v>
      </c>
      <c r="Q43" s="33">
        <v>8</v>
      </c>
      <c r="R43" s="33">
        <v>4</v>
      </c>
      <c r="S43" s="39">
        <f t="shared" si="19"/>
        <v>23612.877842397782</v>
      </c>
      <c r="T43" s="37">
        <f t="shared" si="20"/>
        <v>9.7200000000000006</v>
      </c>
      <c r="U43" s="20">
        <v>20</v>
      </c>
      <c r="V43" s="20">
        <v>10</v>
      </c>
      <c r="W43" s="20" t="s">
        <v>165</v>
      </c>
      <c r="X43" s="20" t="s">
        <v>116</v>
      </c>
      <c r="Y43" s="20" t="s">
        <v>2</v>
      </c>
      <c r="Z43" s="20" t="s">
        <v>241</v>
      </c>
      <c r="AA43" s="20"/>
      <c r="AB43" s="20" t="s">
        <v>194</v>
      </c>
    </row>
    <row r="44" spans="1:28" hidden="1">
      <c r="A44" s="20" t="s">
        <v>200</v>
      </c>
      <c r="B44" s="36" t="s">
        <v>147</v>
      </c>
      <c r="C44" s="20" t="s">
        <v>106</v>
      </c>
      <c r="D44" s="20">
        <v>45</v>
      </c>
      <c r="E44" s="20">
        <v>0.45</v>
      </c>
      <c r="F44" s="20">
        <v>1</v>
      </c>
      <c r="G44" s="20">
        <v>100</v>
      </c>
      <c r="H44" s="20">
        <v>13</v>
      </c>
      <c r="I44" s="20">
        <v>1.1000000000000001</v>
      </c>
      <c r="J44" s="20">
        <v>18</v>
      </c>
      <c r="K44" s="20">
        <v>1.1000000000000001</v>
      </c>
      <c r="L44" s="23">
        <f t="shared" si="14"/>
        <v>16.826764394856191</v>
      </c>
      <c r="M44" s="23">
        <f t="shared" si="15"/>
        <v>0.84983658559879749</v>
      </c>
      <c r="N44" s="23">
        <f t="shared" si="16"/>
        <v>1682.6764394856191</v>
      </c>
      <c r="O44" s="34">
        <f t="shared" si="17"/>
        <v>37.392809766347092</v>
      </c>
      <c r="P44" s="34">
        <f t="shared" si="18"/>
        <v>3739.2809766347091</v>
      </c>
      <c r="Q44" s="33">
        <v>5</v>
      </c>
      <c r="R44" s="33">
        <v>4</v>
      </c>
      <c r="S44" s="33">
        <f t="shared" si="19"/>
        <v>15144.087955370571</v>
      </c>
      <c r="T44" s="33">
        <f t="shared" si="20"/>
        <v>4.05</v>
      </c>
      <c r="U44" s="20">
        <v>0</v>
      </c>
      <c r="V44" s="20">
        <v>16</v>
      </c>
      <c r="W44" s="20" t="s">
        <v>168</v>
      </c>
      <c r="X44" s="20" t="s">
        <v>109</v>
      </c>
      <c r="Y44" s="20" t="s">
        <v>109</v>
      </c>
      <c r="Z44" s="20" t="s">
        <v>247</v>
      </c>
      <c r="AA44" s="20"/>
      <c r="AB44" s="20" t="s">
        <v>146</v>
      </c>
    </row>
    <row r="45" spans="1:28" ht="16.5">
      <c r="A45" s="20" t="s">
        <v>200</v>
      </c>
      <c r="B45" s="31" t="s">
        <v>199</v>
      </c>
      <c r="C45" s="20" t="s">
        <v>110</v>
      </c>
      <c r="D45" s="20">
        <v>66</v>
      </c>
      <c r="E45" s="20">
        <v>0.72</v>
      </c>
      <c r="F45" s="20">
        <v>1</v>
      </c>
      <c r="G45" s="20">
        <v>100</v>
      </c>
      <c r="H45" s="20">
        <v>28</v>
      </c>
      <c r="I45" s="20">
        <v>1.1000000000000001</v>
      </c>
      <c r="J45" s="20">
        <v>10</v>
      </c>
      <c r="K45" s="20">
        <v>1.1000000000000001</v>
      </c>
      <c r="L45" s="23">
        <f t="shared" si="14"/>
        <v>18.406520583749664</v>
      </c>
      <c r="M45" s="23">
        <f t="shared" si="15"/>
        <v>1.6733200530681511</v>
      </c>
      <c r="N45" s="23">
        <f t="shared" si="16"/>
        <v>1840.6520583749664</v>
      </c>
      <c r="O45" s="34">
        <f t="shared" si="17"/>
        <v>27.888667551135853</v>
      </c>
      <c r="P45" s="34">
        <f t="shared" si="18"/>
        <v>2556.4611921874534</v>
      </c>
      <c r="Q45" s="33">
        <v>8</v>
      </c>
      <c r="R45" s="33">
        <v>6</v>
      </c>
      <c r="S45" s="39">
        <f t="shared" si="19"/>
        <v>25769.12881724953</v>
      </c>
      <c r="T45" s="37">
        <f t="shared" si="20"/>
        <v>10.08</v>
      </c>
      <c r="U45" s="20">
        <v>0</v>
      </c>
      <c r="V45" s="20">
        <v>0</v>
      </c>
      <c r="W45" s="20" t="s">
        <v>177</v>
      </c>
      <c r="X45" s="20" t="s">
        <v>123</v>
      </c>
      <c r="Y45" s="20" t="s">
        <v>109</v>
      </c>
      <c r="Z45" s="20" t="s">
        <v>254</v>
      </c>
      <c r="AA45" s="20"/>
      <c r="AB45" s="20" t="s">
        <v>195</v>
      </c>
    </row>
    <row r="46" spans="1:28" ht="16.5">
      <c r="A46" s="20" t="s">
        <v>200</v>
      </c>
      <c r="B46" s="31" t="s">
        <v>163</v>
      </c>
      <c r="C46" s="20" t="s">
        <v>115</v>
      </c>
      <c r="D46" s="20">
        <v>50.2</v>
      </c>
      <c r="E46" s="20">
        <v>0.6</v>
      </c>
      <c r="F46" s="20">
        <v>1</v>
      </c>
      <c r="G46" s="20">
        <v>100</v>
      </c>
      <c r="H46" s="20">
        <v>14</v>
      </c>
      <c r="I46" s="20">
        <v>1.1000000000000001</v>
      </c>
      <c r="J46" s="20">
        <v>18</v>
      </c>
      <c r="K46" s="20">
        <v>1.1000000000000001</v>
      </c>
      <c r="L46" s="23">
        <f t="shared" si="14"/>
        <v>17.461958653026301</v>
      </c>
      <c r="M46" s="23">
        <f t="shared" si="15"/>
        <v>0.88191710368819687</v>
      </c>
      <c r="N46" s="23">
        <f t="shared" si="16"/>
        <v>1746.19586530263</v>
      </c>
      <c r="O46" s="34">
        <f t="shared" si="17"/>
        <v>34.784778193279479</v>
      </c>
      <c r="P46" s="34">
        <f t="shared" si="18"/>
        <v>2910.3264421710501</v>
      </c>
      <c r="Q46" s="33">
        <v>8</v>
      </c>
      <c r="R46" s="33">
        <v>2</v>
      </c>
      <c r="S46" s="39">
        <f t="shared" si="19"/>
        <v>17461.9586530263</v>
      </c>
      <c r="T46" s="37">
        <f t="shared" si="20"/>
        <v>6</v>
      </c>
      <c r="U46" s="20">
        <v>12</v>
      </c>
      <c r="V46" s="20">
        <v>0</v>
      </c>
      <c r="W46" s="20" t="s">
        <v>189</v>
      </c>
      <c r="X46" s="20" t="s">
        <v>190</v>
      </c>
      <c r="Y46" s="20" t="s">
        <v>191</v>
      </c>
      <c r="Z46" s="20" t="s">
        <v>265</v>
      </c>
      <c r="AA46" s="20"/>
      <c r="AB46" s="20" t="s">
        <v>140</v>
      </c>
    </row>
    <row r="47" spans="1:28">
      <c r="A47" s="20" t="s">
        <v>200</v>
      </c>
      <c r="B47" s="31" t="s">
        <v>148</v>
      </c>
      <c r="C47" s="20" t="s">
        <v>106</v>
      </c>
      <c r="D47" s="20">
        <v>54</v>
      </c>
      <c r="E47" s="20">
        <v>0.54</v>
      </c>
      <c r="F47" s="20">
        <v>1</v>
      </c>
      <c r="G47" s="20">
        <v>100</v>
      </c>
      <c r="H47" s="20">
        <v>18</v>
      </c>
      <c r="I47" s="20">
        <v>1.1000000000000001</v>
      </c>
      <c r="J47" s="20">
        <v>14</v>
      </c>
      <c r="K47" s="20">
        <v>1.1000000000000001</v>
      </c>
      <c r="L47" s="23">
        <f t="shared" si="14"/>
        <v>17.461958653026297</v>
      </c>
      <c r="M47" s="23">
        <f t="shared" si="15"/>
        <v>1.1338934190276817</v>
      </c>
      <c r="N47" s="23">
        <f t="shared" si="16"/>
        <v>1746.1958653026297</v>
      </c>
      <c r="O47" s="34">
        <f t="shared" si="17"/>
        <v>32.33696046856722</v>
      </c>
      <c r="P47" s="34">
        <f t="shared" si="18"/>
        <v>3233.6960468567213</v>
      </c>
      <c r="Q47" s="33">
        <v>8</v>
      </c>
      <c r="R47" s="33">
        <v>4</v>
      </c>
      <c r="S47" s="39">
        <f t="shared" si="19"/>
        <v>20954.350383631558</v>
      </c>
      <c r="T47" s="37">
        <f t="shared" si="20"/>
        <v>6.48</v>
      </c>
      <c r="U47" s="20">
        <v>0</v>
      </c>
      <c r="V47" s="20">
        <v>20</v>
      </c>
      <c r="W47" s="20" t="s">
        <v>107</v>
      </c>
      <c r="X47" s="20" t="s">
        <v>169</v>
      </c>
      <c r="Y47" s="20" t="s">
        <v>109</v>
      </c>
      <c r="Z47" s="20" t="s">
        <v>248</v>
      </c>
      <c r="AA47" s="20"/>
      <c r="AB47" s="20" t="s">
        <v>140</v>
      </c>
    </row>
    <row r="48" spans="1:28" ht="16.5">
      <c r="A48" s="20" t="s">
        <v>127</v>
      </c>
      <c r="B48" s="31" t="s">
        <v>110</v>
      </c>
      <c r="C48" s="20" t="s">
        <v>110</v>
      </c>
      <c r="D48" s="20">
        <v>55</v>
      </c>
      <c r="E48" s="20">
        <v>0.6</v>
      </c>
      <c r="F48" s="20">
        <v>1</v>
      </c>
      <c r="G48" s="20">
        <v>100</v>
      </c>
      <c r="H48" s="20">
        <v>25</v>
      </c>
      <c r="I48" s="20">
        <v>1.1000000000000001</v>
      </c>
      <c r="J48" s="20">
        <v>10</v>
      </c>
      <c r="K48" s="20">
        <v>1.1000000000000001</v>
      </c>
      <c r="L48" s="23">
        <f t="shared" si="14"/>
        <v>17.392527130926091</v>
      </c>
      <c r="M48" s="23">
        <f t="shared" si="15"/>
        <v>1.5811388300841898</v>
      </c>
      <c r="N48" s="23">
        <f t="shared" si="16"/>
        <v>1739.2527130926092</v>
      </c>
      <c r="O48" s="34">
        <f t="shared" si="17"/>
        <v>31.622776601683803</v>
      </c>
      <c r="P48" s="34">
        <f t="shared" si="18"/>
        <v>2898.7545218210153</v>
      </c>
      <c r="Q48" s="33">
        <v>8</v>
      </c>
      <c r="R48" s="33">
        <v>4</v>
      </c>
      <c r="S48" s="39">
        <f t="shared" si="19"/>
        <v>20871.03255711131</v>
      </c>
      <c r="T48" s="37">
        <f t="shared" si="20"/>
        <v>7.1999999999999993</v>
      </c>
      <c r="U48" s="20">
        <v>0</v>
      </c>
      <c r="V48" s="20">
        <v>0</v>
      </c>
      <c r="W48" s="20" t="s">
        <v>106</v>
      </c>
      <c r="X48" s="20" t="s">
        <v>111</v>
      </c>
      <c r="Y48" s="20" t="s">
        <v>109</v>
      </c>
      <c r="Z48" s="20" t="s">
        <v>109</v>
      </c>
      <c r="AA48" s="20"/>
      <c r="AB48" s="20" t="s">
        <v>194</v>
      </c>
    </row>
    <row r="49" spans="1:28">
      <c r="A49" s="20" t="s">
        <v>200</v>
      </c>
      <c r="B49" s="31" t="s">
        <v>160</v>
      </c>
      <c r="C49" s="20" t="s">
        <v>106</v>
      </c>
      <c r="D49" s="20">
        <v>45</v>
      </c>
      <c r="E49" s="20">
        <v>0.45</v>
      </c>
      <c r="F49" s="20">
        <v>1</v>
      </c>
      <c r="G49" s="20">
        <v>100</v>
      </c>
      <c r="H49" s="20">
        <v>10</v>
      </c>
      <c r="I49" s="20">
        <v>1.1000000000000001</v>
      </c>
      <c r="J49" s="20">
        <v>24</v>
      </c>
      <c r="K49" s="20">
        <v>1.1000000000000001</v>
      </c>
      <c r="L49" s="23">
        <f t="shared" si="14"/>
        <v>17.041126723312637</v>
      </c>
      <c r="M49" s="23">
        <f t="shared" si="15"/>
        <v>0.6454972243679028</v>
      </c>
      <c r="N49" s="23">
        <f t="shared" si="16"/>
        <v>1704.1126723312636</v>
      </c>
      <c r="O49" s="34">
        <f t="shared" si="17"/>
        <v>37.869170496250305</v>
      </c>
      <c r="P49" s="34">
        <f t="shared" si="18"/>
        <v>3786.9170496250304</v>
      </c>
      <c r="Q49" s="33">
        <v>8</v>
      </c>
      <c r="R49" s="33">
        <v>4</v>
      </c>
      <c r="S49" s="39">
        <f t="shared" si="19"/>
        <v>20449.352067975164</v>
      </c>
      <c r="T49" s="37">
        <f t="shared" si="20"/>
        <v>5.4</v>
      </c>
      <c r="U49" s="20">
        <v>0</v>
      </c>
      <c r="V49" s="20">
        <v>40</v>
      </c>
      <c r="W49" s="20" t="s">
        <v>107</v>
      </c>
      <c r="X49" s="20" t="s">
        <v>109</v>
      </c>
      <c r="Y49" s="20" t="s">
        <v>109</v>
      </c>
      <c r="Z49" s="20" t="s">
        <v>262</v>
      </c>
      <c r="AA49" s="20"/>
      <c r="AB49" s="20" t="s">
        <v>140</v>
      </c>
    </row>
    <row r="50" spans="1:28" ht="16.5" hidden="1">
      <c r="A50" s="20" t="s">
        <v>232</v>
      </c>
      <c r="B50" s="36" t="s">
        <v>220</v>
      </c>
      <c r="C50" s="20" t="s">
        <v>112</v>
      </c>
      <c r="D50" s="20">
        <v>94</v>
      </c>
      <c r="E50" s="20">
        <v>0.92</v>
      </c>
      <c r="F50" s="20">
        <v>1</v>
      </c>
      <c r="G50" s="20">
        <v>100</v>
      </c>
      <c r="H50" s="20">
        <v>22</v>
      </c>
      <c r="I50" s="20">
        <v>1.1000000000000001</v>
      </c>
      <c r="J50" s="20">
        <v>15</v>
      </c>
      <c r="K50" s="20">
        <v>1.1000000000000001</v>
      </c>
      <c r="L50" s="23">
        <f t="shared" si="14"/>
        <v>19.982492337043446</v>
      </c>
      <c r="M50" s="23">
        <f t="shared" si="15"/>
        <v>1.2110601416389968</v>
      </c>
      <c r="N50" s="23">
        <f t="shared" si="16"/>
        <v>1998.2492337043445</v>
      </c>
      <c r="O50" s="34">
        <f t="shared" si="17"/>
        <v>21.257970571322815</v>
      </c>
      <c r="P50" s="34">
        <f t="shared" si="18"/>
        <v>2172.0100366351571</v>
      </c>
      <c r="Q50" s="33">
        <v>5</v>
      </c>
      <c r="R50" s="33">
        <v>2</v>
      </c>
      <c r="S50" s="33">
        <f t="shared" si="19"/>
        <v>13987.744635930412</v>
      </c>
      <c r="T50" s="33">
        <f t="shared" si="20"/>
        <v>6.44</v>
      </c>
      <c r="U50" s="20">
        <v>52</v>
      </c>
      <c r="V50" s="20">
        <v>30</v>
      </c>
      <c r="W50" s="20" t="s">
        <v>110</v>
      </c>
      <c r="X50" s="20" t="s">
        <v>221</v>
      </c>
      <c r="Y50" s="20" t="s">
        <v>216</v>
      </c>
      <c r="Z50" s="20" t="s">
        <v>273</v>
      </c>
      <c r="AA50" s="20" t="s">
        <v>237</v>
      </c>
      <c r="AB50" s="20" t="s">
        <v>315</v>
      </c>
    </row>
    <row r="51" spans="1:28" ht="16.5">
      <c r="A51" s="20" t="s">
        <v>200</v>
      </c>
      <c r="B51" s="31" t="s">
        <v>149</v>
      </c>
      <c r="C51" s="20" t="s">
        <v>106</v>
      </c>
      <c r="D51" s="20">
        <v>45</v>
      </c>
      <c r="E51" s="20">
        <v>0.45</v>
      </c>
      <c r="F51" s="20">
        <v>1</v>
      </c>
      <c r="G51" s="20">
        <v>100</v>
      </c>
      <c r="H51" s="20">
        <v>12</v>
      </c>
      <c r="I51" s="20">
        <v>1.1000000000000001</v>
      </c>
      <c r="J51" s="20">
        <v>16</v>
      </c>
      <c r="K51" s="20">
        <v>1.1000000000000001</v>
      </c>
      <c r="L51" s="23">
        <f t="shared" si="14"/>
        <v>15.242047106606122</v>
      </c>
      <c r="M51" s="23">
        <f t="shared" si="15"/>
        <v>0.8660254037844386</v>
      </c>
      <c r="N51" s="23">
        <f t="shared" si="16"/>
        <v>1524.2047106606124</v>
      </c>
      <c r="O51" s="34">
        <f t="shared" si="17"/>
        <v>33.871215792458052</v>
      </c>
      <c r="P51" s="34">
        <f t="shared" si="18"/>
        <v>3387.1215792458052</v>
      </c>
      <c r="Q51" s="33">
        <v>8</v>
      </c>
      <c r="R51" s="33">
        <v>4</v>
      </c>
      <c r="S51" s="39">
        <f t="shared" si="19"/>
        <v>18290.456527927348</v>
      </c>
      <c r="T51" s="37">
        <f t="shared" si="20"/>
        <v>5.4</v>
      </c>
      <c r="U51" s="20">
        <v>0</v>
      </c>
      <c r="V51" s="20">
        <v>20</v>
      </c>
      <c r="W51" s="20" t="s">
        <v>107</v>
      </c>
      <c r="X51" s="20" t="s">
        <v>116</v>
      </c>
      <c r="Y51" s="20" t="s">
        <v>109</v>
      </c>
      <c r="Z51" s="20" t="s">
        <v>249</v>
      </c>
      <c r="AA51" s="20"/>
      <c r="AB51" s="20" t="s">
        <v>140</v>
      </c>
    </row>
    <row r="52" spans="1:28" ht="16.5">
      <c r="A52" s="20" t="s">
        <v>200</v>
      </c>
      <c r="B52" s="31" t="s">
        <v>198</v>
      </c>
      <c r="C52" s="20" t="s">
        <v>110</v>
      </c>
      <c r="D52" s="20">
        <v>66</v>
      </c>
      <c r="E52" s="20">
        <v>0.72</v>
      </c>
      <c r="F52" s="20">
        <v>1</v>
      </c>
      <c r="G52" s="20">
        <v>100</v>
      </c>
      <c r="H52" s="20">
        <v>20</v>
      </c>
      <c r="I52" s="20">
        <v>1.1000000000000001</v>
      </c>
      <c r="J52" s="20">
        <v>8</v>
      </c>
      <c r="K52" s="20">
        <v>1.1000000000000001</v>
      </c>
      <c r="L52" s="23">
        <f t="shared" si="14"/>
        <v>13.91402170474087</v>
      </c>
      <c r="M52" s="23">
        <f t="shared" si="15"/>
        <v>1.5811388300841898</v>
      </c>
      <c r="N52" s="23">
        <f t="shared" si="16"/>
        <v>1391.4021704740869</v>
      </c>
      <c r="O52" s="34">
        <f t="shared" si="17"/>
        <v>21.081851067789195</v>
      </c>
      <c r="P52" s="34">
        <f t="shared" si="18"/>
        <v>1932.5030145473429</v>
      </c>
      <c r="Q52" s="33">
        <v>8</v>
      </c>
      <c r="R52" s="33">
        <v>6</v>
      </c>
      <c r="S52" s="39">
        <f t="shared" si="19"/>
        <v>19479.630386637218</v>
      </c>
      <c r="T52" s="37">
        <f t="shared" si="20"/>
        <v>10.08</v>
      </c>
      <c r="U52" s="20">
        <v>0</v>
      </c>
      <c r="V52" s="20">
        <v>0</v>
      </c>
      <c r="W52" s="20" t="s">
        <v>177</v>
      </c>
      <c r="X52" s="20" t="s">
        <v>123</v>
      </c>
      <c r="Y52" s="20" t="s">
        <v>109</v>
      </c>
      <c r="Z52" s="20" t="s">
        <v>254</v>
      </c>
      <c r="AA52" s="20"/>
      <c r="AB52" s="20" t="s">
        <v>140</v>
      </c>
    </row>
    <row r="53" spans="1:28" ht="16.5">
      <c r="A53" s="20" t="s">
        <v>127</v>
      </c>
      <c r="B53" s="31" t="s">
        <v>105</v>
      </c>
      <c r="C53" s="20" t="s">
        <v>289</v>
      </c>
      <c r="D53" s="20">
        <v>45</v>
      </c>
      <c r="E53" s="20">
        <v>0.45</v>
      </c>
      <c r="F53" s="20">
        <v>1</v>
      </c>
      <c r="G53" s="20">
        <v>100</v>
      </c>
      <c r="H53" s="20">
        <v>10</v>
      </c>
      <c r="I53" s="20">
        <v>1.1000000000000001</v>
      </c>
      <c r="J53" s="20">
        <v>16</v>
      </c>
      <c r="K53" s="20">
        <v>1.1000000000000001</v>
      </c>
      <c r="L53" s="23">
        <f t="shared" si="14"/>
        <v>13.91402170474087</v>
      </c>
      <c r="M53" s="23">
        <f t="shared" si="15"/>
        <v>0.79056941504209488</v>
      </c>
      <c r="N53" s="23">
        <f t="shared" si="16"/>
        <v>1391.4021704740869</v>
      </c>
      <c r="O53" s="34">
        <f t="shared" si="17"/>
        <v>30.920048232757487</v>
      </c>
      <c r="P53" s="34">
        <f t="shared" si="18"/>
        <v>3092.0048232757485</v>
      </c>
      <c r="Q53" s="33">
        <v>8</v>
      </c>
      <c r="R53" s="33">
        <v>4</v>
      </c>
      <c r="S53" s="39">
        <f t="shared" si="19"/>
        <v>16696.826045689042</v>
      </c>
      <c r="T53" s="37">
        <f t="shared" si="20"/>
        <v>5.4</v>
      </c>
      <c r="U53" s="20">
        <v>10</v>
      </c>
      <c r="V53" s="20">
        <v>16</v>
      </c>
      <c r="W53" s="20" t="s">
        <v>107</v>
      </c>
      <c r="X53" s="20" t="s">
        <v>108</v>
      </c>
      <c r="Y53" s="20" t="s">
        <v>109</v>
      </c>
      <c r="Z53" s="20" t="s">
        <v>109</v>
      </c>
      <c r="AA53" s="20"/>
      <c r="AB53" s="20" t="s">
        <v>194</v>
      </c>
    </row>
    <row r="54" spans="1:28" ht="16.5">
      <c r="A54" s="20" t="s">
        <v>231</v>
      </c>
      <c r="B54" s="31" t="s">
        <v>208</v>
      </c>
      <c r="C54" s="20" t="s">
        <v>289</v>
      </c>
      <c r="D54" s="20">
        <v>54</v>
      </c>
      <c r="E54" s="20">
        <v>0.54</v>
      </c>
      <c r="F54" s="20">
        <v>1</v>
      </c>
      <c r="G54" s="20">
        <v>100</v>
      </c>
      <c r="H54" s="20">
        <v>10</v>
      </c>
      <c r="I54" s="20">
        <v>1.1000000000000001</v>
      </c>
      <c r="J54" s="20">
        <v>12</v>
      </c>
      <c r="K54" s="20">
        <v>1.1000000000000001</v>
      </c>
      <c r="L54" s="23">
        <f t="shared" si="14"/>
        <v>12.049896265113656</v>
      </c>
      <c r="M54" s="23">
        <f t="shared" si="15"/>
        <v>0.91287092917527679</v>
      </c>
      <c r="N54" s="23">
        <f t="shared" si="16"/>
        <v>1204.9896265113655</v>
      </c>
      <c r="O54" s="34">
        <f t="shared" si="17"/>
        <v>22.314622713173435</v>
      </c>
      <c r="P54" s="34">
        <f t="shared" si="18"/>
        <v>2231.4622713173435</v>
      </c>
      <c r="Q54" s="33">
        <v>8</v>
      </c>
      <c r="R54" s="33">
        <v>4</v>
      </c>
      <c r="S54" s="39">
        <f t="shared" si="19"/>
        <v>14459.875518136385</v>
      </c>
      <c r="T54" s="37">
        <f t="shared" si="20"/>
        <v>6.48</v>
      </c>
      <c r="U54" s="20">
        <v>15</v>
      </c>
      <c r="V54" s="20">
        <v>20</v>
      </c>
      <c r="W54" s="20" t="s">
        <v>107</v>
      </c>
      <c r="X54" s="20" t="s">
        <v>211</v>
      </c>
      <c r="Y54" s="20" t="s">
        <v>109</v>
      </c>
      <c r="Z54" s="20" t="s">
        <v>270</v>
      </c>
      <c r="AA54" s="20" t="s">
        <v>209</v>
      </c>
      <c r="AB54" s="20" t="s">
        <v>140</v>
      </c>
    </row>
  </sheetData>
  <autoFilter ref="A3:AB54">
    <filterColumn colId="27">
      <filters>
        <filter val="部落时期"/>
        <filter val="中世纪早期"/>
      </filters>
    </filterColumn>
    <sortState ref="A5:AB54">
      <sortCondition descending="1" ref="N3:N54"/>
    </sortState>
  </autoFilter>
  <mergeCells count="4">
    <mergeCell ref="A1:AC1"/>
    <mergeCell ref="A2:T2"/>
    <mergeCell ref="U2:Y2"/>
    <mergeCell ref="Z2:A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地形相关的建筑</vt:lpstr>
      <vt:lpstr>兵士额外关联加成</vt:lpstr>
      <vt:lpstr>兵士关于时代的建筑和勋号加成</vt:lpstr>
      <vt:lpstr>有驻扎加成的兵士军团标准战斗力排序（部落时代）</vt:lpstr>
      <vt:lpstr>有驻扎加成的兵士军团标准战斗力排序（中世纪早期）</vt:lpstr>
      <vt:lpstr>有驻扎加成的兵士军团标准战斗力排序（中世纪盛世）</vt:lpstr>
      <vt:lpstr>有驻扎加成的兵士军团标准战斗力排序（中世纪晚期） </vt:lpstr>
      <vt:lpstr>战斗模拟</vt:lpstr>
      <vt:lpstr>计算混合部队标准战斗力</vt:lpstr>
      <vt:lpstr>兵士性价比排序（相对于招募费）</vt:lpstr>
      <vt:lpstr>兵士的规模上限×标准战斗力排序（部落时代）</vt:lpstr>
      <vt:lpstr>兵士的规模上限×标准战斗力排序（中世纪早期）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BANGWEI ZHAO</dc:creator>
  <cp:lastModifiedBy>BANGWEI ZHAO</cp:lastModifiedBy>
  <cp:lastPrinted>2023-08-20T12:40:10Z</cp:lastPrinted>
  <dcterms:created xsi:type="dcterms:W3CDTF">2023-07-27T01:44:10Z</dcterms:created>
  <dcterms:modified xsi:type="dcterms:W3CDTF">2024-12-20T10:56:49Z</dcterms:modified>
</cp:coreProperties>
</file>