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defaultThemeVersion="166925"/>
  <mc:AlternateContent xmlns:mc="http://schemas.openxmlformats.org/markup-compatibility/2006">
    <mc:Choice Requires="x15">
      <x15ac:absPath xmlns:x15ac="http://schemas.microsoft.com/office/spreadsheetml/2010/11/ac" url="C:\Users\Zouheir\Angular\gestion-budget\"/>
    </mc:Choice>
  </mc:AlternateContent>
  <xr:revisionPtr revIDLastSave="0" documentId="13_ncr:1_{929921F7-B97F-4205-B579-D4C7171B55F9}" xr6:coauthVersionLast="45" xr6:coauthVersionMax="45" xr10:uidLastSave="{00000000-0000-0000-0000-000000000000}"/>
  <bookViews>
    <workbookView xWindow="-120" yWindow="-120" windowWidth="20730" windowHeight="11160" tabRatio="673" xr2:uid="{00000000-000D-0000-FFFF-FFFF00000000}"/>
  </bookViews>
  <sheets>
    <sheet name="INFOS GENERALES MARCHES" sheetId="1" r:id="rId1"/>
    <sheet name="CHARGES INDIRECTES!" sheetId="6" r:id="rId2"/>
    <sheet name="CHARGES DIRECTES SECURITE" sheetId="2" r:id="rId3"/>
    <sheet name="CHARGES DIRECTES XY CONSEIL" sheetId="7" r:id="rId4"/>
    <sheet name="CHARGES DIRECTES SOCIAMED" sheetId="4" r:id="rId5"/>
    <sheet name="SYNTHESE TOUS LES MARCHES" sheetId="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6" i="3" l="1"/>
  <c r="J41" i="3"/>
  <c r="K41" i="3" s="1"/>
  <c r="F41" i="3"/>
  <c r="J39" i="3"/>
  <c r="F39" i="3"/>
  <c r="Q14" i="7"/>
  <c r="M14" i="7"/>
  <c r="K14" i="7"/>
  <c r="J14" i="7"/>
  <c r="I14" i="7"/>
  <c r="V13" i="7"/>
  <c r="V12" i="7"/>
  <c r="Q12" i="7"/>
  <c r="M12" i="7"/>
  <c r="K12" i="7"/>
  <c r="J12" i="7"/>
  <c r="I12" i="7"/>
  <c r="L12" i="7" s="1"/>
  <c r="U11" i="7"/>
  <c r="V10" i="7"/>
  <c r="Q10" i="7"/>
  <c r="M10" i="7"/>
  <c r="K10" i="7"/>
  <c r="J10" i="7"/>
  <c r="I10" i="7"/>
  <c r="V9" i="7"/>
  <c r="Q8" i="7"/>
  <c r="M8" i="7"/>
  <c r="K8" i="7"/>
  <c r="J8" i="7"/>
  <c r="I8" i="7"/>
  <c r="V7" i="7"/>
  <c r="Q6" i="7"/>
  <c r="M6" i="7"/>
  <c r="K6" i="7"/>
  <c r="J6" i="7"/>
  <c r="I6" i="7"/>
  <c r="R12" i="7" l="1"/>
  <c r="L6" i="7"/>
  <c r="L10" i="7"/>
  <c r="K39" i="3"/>
  <c r="V14" i="7"/>
  <c r="R10" i="7"/>
  <c r="L8" i="7"/>
  <c r="R8" i="7" s="1"/>
  <c r="L14" i="7"/>
  <c r="R14" i="7" s="1"/>
  <c r="R6" i="7"/>
  <c r="I17" i="1" l="1"/>
  <c r="I11" i="1"/>
  <c r="J36" i="3" l="1"/>
  <c r="J34" i="3"/>
  <c r="K36" i="3" l="1"/>
  <c r="D36" i="3"/>
  <c r="E36" i="3"/>
  <c r="B22" i="4"/>
  <c r="C22" i="4"/>
  <c r="B21" i="4"/>
  <c r="C21" i="4"/>
  <c r="Q9" i="4"/>
  <c r="M9" i="4"/>
  <c r="K9" i="4"/>
  <c r="J9" i="4"/>
  <c r="I9" i="4"/>
  <c r="I10" i="4"/>
  <c r="J10" i="4"/>
  <c r="K10" i="4"/>
  <c r="J23" i="1"/>
  <c r="J24" i="1"/>
  <c r="J30" i="3"/>
  <c r="J32" i="3"/>
  <c r="K32" i="3" s="1"/>
  <c r="K34" i="3"/>
  <c r="J28" i="3"/>
  <c r="D5" i="3"/>
  <c r="E34" i="3"/>
  <c r="D34" i="3"/>
  <c r="D30" i="3"/>
  <c r="E30" i="3"/>
  <c r="D32" i="3"/>
  <c r="E32" i="3"/>
  <c r="E28" i="3"/>
  <c r="D28" i="3"/>
  <c r="B20" i="4"/>
  <c r="C20" i="4"/>
  <c r="I8" i="4"/>
  <c r="J8" i="4"/>
  <c r="K8" i="4"/>
  <c r="M8" i="4"/>
  <c r="J22" i="1"/>
  <c r="G32" i="3" l="1"/>
  <c r="H32" i="3" s="1"/>
  <c r="G39" i="3"/>
  <c r="H39" i="3" s="1"/>
  <c r="I39" i="3" s="1"/>
  <c r="L39" i="3" s="1"/>
  <c r="M39" i="3" s="1"/>
  <c r="G41" i="3"/>
  <c r="H41" i="3" s="1"/>
  <c r="I41" i="3" s="1"/>
  <c r="L41" i="3" s="1"/>
  <c r="M41" i="3" s="1"/>
  <c r="L10" i="4"/>
  <c r="L9" i="4"/>
  <c r="R9" i="4" s="1"/>
  <c r="D21" i="4" s="1"/>
  <c r="P21" i="4" s="1"/>
  <c r="F34" i="3" s="1"/>
  <c r="L8" i="4"/>
  <c r="Q10" i="4"/>
  <c r="Q8" i="4"/>
  <c r="M10" i="4"/>
  <c r="G36" i="3"/>
  <c r="H36" i="3" s="1"/>
  <c r="G34" i="3"/>
  <c r="H34" i="3" s="1"/>
  <c r="G30" i="3"/>
  <c r="H30" i="3" s="1"/>
  <c r="G28" i="3"/>
  <c r="H28" i="3" s="1"/>
  <c r="K30" i="3"/>
  <c r="K28" i="3"/>
  <c r="I7" i="4"/>
  <c r="J7" i="4"/>
  <c r="K7" i="4"/>
  <c r="B19" i="4"/>
  <c r="C19" i="4"/>
  <c r="R8" i="4" l="1"/>
  <c r="D20" i="4" s="1"/>
  <c r="P20" i="4" s="1"/>
  <c r="F32" i="3" s="1"/>
  <c r="I32" i="3" s="1"/>
  <c r="L32" i="3" s="1"/>
  <c r="M32" i="3" s="1"/>
  <c r="L7" i="4"/>
  <c r="R10" i="4"/>
  <c r="D22" i="4" s="1"/>
  <c r="P22" i="4" s="1"/>
  <c r="F36" i="3" s="1"/>
  <c r="I36" i="3" s="1"/>
  <c r="L36" i="3" s="1"/>
  <c r="M36" i="3" s="1"/>
  <c r="Q7" i="4"/>
  <c r="M7" i="4"/>
  <c r="I34" i="3"/>
  <c r="L34" i="3" s="1"/>
  <c r="M34" i="3" s="1"/>
  <c r="C18" i="4"/>
  <c r="B18" i="4"/>
  <c r="R7" i="4" l="1"/>
  <c r="D19" i="4" s="1"/>
  <c r="P19" i="4" s="1"/>
  <c r="F30" i="3" s="1"/>
  <c r="I30" i="3" s="1"/>
  <c r="L30" i="3" s="1"/>
  <c r="M30" i="3" s="1"/>
  <c r="J25" i="3"/>
  <c r="K25" i="3" s="1"/>
  <c r="E25" i="3"/>
  <c r="D25" i="3"/>
  <c r="J23" i="3"/>
  <c r="K23" i="3" s="1"/>
  <c r="E23" i="3"/>
  <c r="D23" i="3"/>
  <c r="K21" i="3"/>
  <c r="J21" i="3"/>
  <c r="E21" i="3"/>
  <c r="D21" i="3"/>
  <c r="J18" i="3"/>
  <c r="K18" i="3" s="1"/>
  <c r="E18" i="3"/>
  <c r="D18" i="3"/>
  <c r="J16" i="3"/>
  <c r="K16" i="3" s="1"/>
  <c r="E16" i="3"/>
  <c r="D16" i="3"/>
  <c r="K14" i="3"/>
  <c r="J14" i="3"/>
  <c r="E14" i="3"/>
  <c r="D14" i="3"/>
  <c r="J12" i="3"/>
  <c r="K12" i="3" s="1"/>
  <c r="E12" i="3"/>
  <c r="D12" i="3"/>
  <c r="H11" i="3"/>
  <c r="J10" i="3"/>
  <c r="K10" i="3" s="1"/>
  <c r="E10" i="3"/>
  <c r="D10" i="3"/>
  <c r="D4" i="3"/>
  <c r="F4" i="3" s="1"/>
  <c r="D3" i="3"/>
  <c r="G12" i="3" s="1"/>
  <c r="H12" i="3" s="1"/>
  <c r="M6" i="4"/>
  <c r="K6" i="4"/>
  <c r="J6" i="4"/>
  <c r="I6" i="4"/>
  <c r="L6" i="4" s="1"/>
  <c r="Q19" i="2"/>
  <c r="K19" i="2"/>
  <c r="J19" i="2"/>
  <c r="I19" i="2"/>
  <c r="M19" i="2"/>
  <c r="Q18" i="2"/>
  <c r="M18" i="2"/>
  <c r="K18" i="2"/>
  <c r="J18" i="2"/>
  <c r="I18" i="2"/>
  <c r="K17" i="2"/>
  <c r="J17" i="2"/>
  <c r="I17" i="2"/>
  <c r="L17" i="2" s="1"/>
  <c r="Q17" i="2"/>
  <c r="Q14" i="2"/>
  <c r="M14" i="2"/>
  <c r="K14" i="2"/>
  <c r="J14" i="2"/>
  <c r="I14" i="2"/>
  <c r="V13" i="2"/>
  <c r="Q12" i="2"/>
  <c r="K12" i="2"/>
  <c r="J12" i="2"/>
  <c r="I12" i="2"/>
  <c r="V12" i="2"/>
  <c r="U11" i="2"/>
  <c r="Q10" i="2"/>
  <c r="K10" i="2"/>
  <c r="J10" i="2"/>
  <c r="L10" i="2" s="1"/>
  <c r="I10" i="2"/>
  <c r="M10" i="2"/>
  <c r="V10" i="2"/>
  <c r="V9" i="2"/>
  <c r="K8" i="2"/>
  <c r="J8" i="2"/>
  <c r="I8" i="2"/>
  <c r="L8" i="2" s="1"/>
  <c r="V7" i="2"/>
  <c r="Q6" i="2"/>
  <c r="M6" i="2"/>
  <c r="K6" i="2"/>
  <c r="J6" i="2"/>
  <c r="I6" i="2"/>
  <c r="J20" i="1"/>
  <c r="J16" i="1"/>
  <c r="I14" i="1"/>
  <c r="J10" i="1"/>
  <c r="J8" i="1"/>
  <c r="J6" i="1"/>
  <c r="G21" i="3" l="1"/>
  <c r="H21" i="3" s="1"/>
  <c r="G25" i="3"/>
  <c r="H25" i="3" s="1"/>
  <c r="L14" i="2"/>
  <c r="L18" i="2"/>
  <c r="R18" i="2" s="1"/>
  <c r="F23" i="3" s="1"/>
  <c r="L19" i="2"/>
  <c r="R19" i="2" s="1"/>
  <c r="F25" i="3" s="1"/>
  <c r="L12" i="2"/>
  <c r="R14" i="2"/>
  <c r="F18" i="3" s="1"/>
  <c r="L6" i="2"/>
  <c r="R6" i="2" s="1"/>
  <c r="F10" i="3" s="1"/>
  <c r="G10" i="3"/>
  <c r="H10" i="3" s="1"/>
  <c r="F3" i="3"/>
  <c r="G18" i="3"/>
  <c r="H18" i="3" s="1"/>
  <c r="R10" i="2"/>
  <c r="F14" i="3" s="1"/>
  <c r="M12" i="2"/>
  <c r="G16" i="3"/>
  <c r="H16" i="3" s="1"/>
  <c r="Q6" i="4"/>
  <c r="R6" i="4" s="1"/>
  <c r="D18" i="4" s="1"/>
  <c r="P18" i="4" s="1"/>
  <c r="F28" i="3" s="1"/>
  <c r="I28" i="3" s="1"/>
  <c r="L28" i="3" s="1"/>
  <c r="M28" i="3" s="1"/>
  <c r="G14" i="3"/>
  <c r="H14" i="3" s="1"/>
  <c r="V14" i="2"/>
  <c r="M8" i="2"/>
  <c r="M17" i="2"/>
  <c r="R17" i="2" s="1"/>
  <c r="F21" i="3" s="1"/>
  <c r="I21" i="3" s="1"/>
  <c r="L21" i="3" s="1"/>
  <c r="M21" i="3" s="1"/>
  <c r="Q8" i="2"/>
  <c r="G23" i="3"/>
  <c r="H23" i="3" s="1"/>
  <c r="I23" i="3" l="1"/>
  <c r="L23" i="3" s="1"/>
  <c r="M23" i="3" s="1"/>
  <c r="I25" i="3"/>
  <c r="L25" i="3" s="1"/>
  <c r="M25" i="3" s="1"/>
  <c r="I18" i="3"/>
  <c r="L18" i="3" s="1"/>
  <c r="M18" i="3" s="1"/>
  <c r="R12" i="2"/>
  <c r="F16" i="3" s="1"/>
  <c r="I16" i="3" s="1"/>
  <c r="L16" i="3" s="1"/>
  <c r="M16" i="3" s="1"/>
  <c r="R8" i="2"/>
  <c r="F12" i="3" s="1"/>
  <c r="I12" i="3" s="1"/>
  <c r="L12" i="3" s="1"/>
  <c r="M12" i="3" s="1"/>
  <c r="I10" i="3"/>
  <c r="L10" i="3" s="1"/>
  <c r="M10" i="3" s="1"/>
  <c r="I14" i="3"/>
  <c r="L14" i="3" s="1"/>
  <c r="M14"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Moutaouakkil</author>
  </authors>
  <commentList>
    <comment ref="G4" authorId="0" shapeId="0" xr:uid="{00000000-0006-0000-0000-000001000000}">
      <text>
        <r>
          <rPr>
            <b/>
            <sz val="9"/>
            <color indexed="81"/>
            <rFont val="Tahoma"/>
            <family val="2"/>
          </rPr>
          <t>demande de non reconduction a été approuvée pour finir en fin d'année 2020)</t>
        </r>
      </text>
    </comment>
    <comment ref="J4" authorId="0" shapeId="0" xr:uid="{00000000-0006-0000-0000-000002000000}">
      <text>
        <r>
          <rPr>
            <b/>
            <sz val="9"/>
            <color indexed="81"/>
            <rFont val="Tahoma"/>
            <family val="2"/>
          </rPr>
          <t>trimestre comporte soit 91 jours soit 92 jours d’où le montant différent selon le nbre de jours / trim</t>
        </r>
        <r>
          <rPr>
            <sz val="9"/>
            <color indexed="81"/>
            <rFont val="Tahoma"/>
            <family val="2"/>
          </rPr>
          <t xml:space="preserve">
</t>
        </r>
      </text>
    </comment>
    <comment ref="K4" authorId="0" shapeId="0" xr:uid="{00000000-0006-0000-0000-000003000000}">
      <text>
        <r>
          <rPr>
            <b/>
            <sz val="9"/>
            <color indexed="81"/>
            <rFont val="Tahoma"/>
            <family val="2"/>
          </rPr>
          <t>on a une hotesse et 3 agents
2 le jour 2 le soir et nuit 7/7</t>
        </r>
        <r>
          <rPr>
            <sz val="9"/>
            <color indexed="81"/>
            <rFont val="Tahoma"/>
            <family val="2"/>
          </rPr>
          <t xml:space="preserve">
</t>
        </r>
      </text>
    </comment>
    <comment ref="E6" authorId="0" shapeId="0" xr:uid="{00000000-0006-0000-0000-000004000000}">
      <text>
        <r>
          <rPr>
            <b/>
            <sz val="9"/>
            <color indexed="81"/>
            <rFont val="Tahoma"/>
            <family val="2"/>
          </rPr>
          <t>l'OS ne donne pas la date de commencement</t>
        </r>
        <r>
          <rPr>
            <sz val="9"/>
            <color indexed="81"/>
            <rFont val="Tahoma"/>
            <family val="2"/>
          </rPr>
          <t xml:space="preserve">
</t>
        </r>
      </text>
    </comment>
    <comment ref="G6" authorId="0" shapeId="0" xr:uid="{00000000-0006-0000-0000-000005000000}">
      <text>
        <r>
          <rPr>
            <b/>
            <sz val="9"/>
            <color indexed="81"/>
            <rFont val="Tahoma"/>
            <family val="2"/>
          </rPr>
          <t>le MO a résilié car l'effectifs'est réduit et il doit refaire un autre AO)</t>
        </r>
        <r>
          <rPr>
            <sz val="9"/>
            <color indexed="81"/>
            <rFont val="Tahoma"/>
            <family val="2"/>
          </rPr>
          <t xml:space="preserve">
</t>
        </r>
      </text>
    </comment>
    <comment ref="K6" authorId="0" shapeId="0" xr:uid="{00000000-0006-0000-0000-000006000000}">
      <text>
        <r>
          <rPr>
            <sz val="9"/>
            <color indexed="81"/>
            <rFont val="Tahoma"/>
            <family val="2"/>
          </rPr>
          <t>7 agents au lieu de 11 sur le CPS</t>
        </r>
      </text>
    </comment>
    <comment ref="K8" authorId="0" shapeId="0" xr:uid="{00000000-0006-0000-0000-000007000000}">
      <text>
        <r>
          <rPr>
            <b/>
            <sz val="9"/>
            <color indexed="81"/>
            <rFont val="Tahoma"/>
            <family val="2"/>
          </rPr>
          <t>4 agents 7h19h
2 agents 19h 7h 
7j/7</t>
        </r>
        <r>
          <rPr>
            <sz val="9"/>
            <color indexed="81"/>
            <rFont val="Tahoma"/>
            <family val="2"/>
          </rPr>
          <t xml:space="preserve">
</t>
        </r>
      </text>
    </comment>
    <comment ref="J10" authorId="0" shapeId="0" xr:uid="{00000000-0006-0000-0000-000008000000}">
      <text>
        <r>
          <rPr>
            <b/>
            <sz val="9"/>
            <color indexed="81"/>
            <rFont val="Tahoma"/>
            <family val="2"/>
          </rPr>
          <t>montant approximatif car le calcul de la facture se fait par jour travaillé des agents</t>
        </r>
        <r>
          <rPr>
            <sz val="9"/>
            <color indexed="81"/>
            <rFont val="Tahoma"/>
            <family val="2"/>
          </rPr>
          <t xml:space="preserve">
</t>
        </r>
      </text>
    </comment>
    <comment ref="K10" authorId="0" shapeId="0" xr:uid="{00000000-0006-0000-0000-000009000000}">
      <text>
        <r>
          <rPr>
            <sz val="9"/>
            <color indexed="81"/>
            <rFont val="Tahoma"/>
            <family val="2"/>
          </rPr>
          <t>2 agents 9h/j 5j/semaine
3 agents 12/j 7j/j</t>
        </r>
      </text>
    </comment>
    <comment ref="E14" authorId="0" shapeId="0" xr:uid="{00000000-0006-0000-0000-00000A000000}">
      <text>
        <r>
          <rPr>
            <b/>
            <sz val="9"/>
            <color indexed="81"/>
            <rFont val="Tahoma"/>
            <family val="2"/>
          </rPr>
          <t>dans lOS c'est 01 janv dans la situation 01 mars 
???.????</t>
        </r>
        <r>
          <rPr>
            <sz val="9"/>
            <color indexed="81"/>
            <rFont val="Tahoma"/>
            <family val="2"/>
          </rPr>
          <t xml:space="preserve">
</t>
        </r>
      </text>
    </comment>
    <comment ref="K14" authorId="0" shapeId="0" xr:uid="{00000000-0006-0000-0000-00000B000000}">
      <text>
        <r>
          <rPr>
            <sz val="9"/>
            <color indexed="81"/>
            <rFont val="Tahoma"/>
            <family val="2"/>
          </rPr>
          <t>5 agents de 7h 19h
3 agents de 19h 7h 7j/7</t>
        </r>
      </text>
    </comment>
    <comment ref="G15" authorId="0" shapeId="0" xr:uid="{00000000-0006-0000-0000-00000C000000}">
      <text>
        <r>
          <rPr>
            <b/>
            <sz val="9"/>
            <color indexed="81"/>
            <rFont val="Tahoma"/>
            <family val="2"/>
          </rPr>
          <t>peut être résilié par le MO car ils veulent ajouter de l'effectif et doivent procéder à un nouvel AO
Pour l'instant pas de nvlles du MO (19/11)</t>
        </r>
      </text>
    </comment>
    <comment ref="K15" authorId="0" shapeId="0" xr:uid="{00000000-0006-0000-0000-00000D000000}">
      <text>
        <r>
          <rPr>
            <b/>
            <sz val="9"/>
            <color indexed="81"/>
            <rFont val="Tahoma"/>
            <family val="2"/>
          </rPr>
          <t>2 agents (secretaires) 8h30 16h30 5j/semaine
2 agent 1 le jour  1 la nuit 7j/7</t>
        </r>
        <r>
          <rPr>
            <sz val="9"/>
            <color indexed="81"/>
            <rFont val="Tahoma"/>
            <family val="2"/>
          </rPr>
          <t xml:space="preserve">
</t>
        </r>
      </text>
    </comment>
    <comment ref="K16" authorId="0" shapeId="0" xr:uid="{00000000-0006-0000-0000-00000E000000}">
      <text>
        <r>
          <rPr>
            <b/>
            <sz val="9"/>
            <color indexed="81"/>
            <rFont val="Tahoma"/>
            <family val="2"/>
          </rPr>
          <t>3 agents 7j/7
8h16h 16h22h 22h8h
1 agent chauffeur directeur</t>
        </r>
        <r>
          <rPr>
            <sz val="9"/>
            <color indexed="81"/>
            <rFont val="Tahoma"/>
            <family val="2"/>
          </rPr>
          <t xml:space="preserve">
</t>
        </r>
      </text>
    </comment>
    <comment ref="D21" authorId="0" shapeId="0" xr:uid="{00000000-0006-0000-0000-00000F000000}">
      <text>
        <r>
          <rPr>
            <b/>
            <sz val="9"/>
            <color indexed="81"/>
            <rFont val="Tahoma"/>
            <family val="2"/>
          </rPr>
          <t xml:space="preserve">-Siège de la présidence à Casablanca
-Annexe de la présidence à Mohammedia
-La bibliothèque universitaire Mohammed Sekkat à Casablanca
-Ecole El Manfalouti à Casablanca
-Complexe Sportif Universitaire à Casablanca
</t>
        </r>
        <r>
          <rPr>
            <sz val="9"/>
            <color indexed="81"/>
            <rFont val="Tahoma"/>
            <family val="2"/>
          </rPr>
          <t xml:space="preserve">
</t>
        </r>
      </text>
    </comment>
    <comment ref="D28" authorId="0" shapeId="0" xr:uid="{DEBD3287-2109-48E4-AC8B-C92420EA68E9}">
      <text>
        <r>
          <rPr>
            <b/>
            <sz val="9"/>
            <color indexed="81"/>
            <rFont val="Tahoma"/>
            <family val="2"/>
          </rPr>
          <t xml:space="preserve">-Siège de la présidence à Casablanca
-Annexe de la présidence à Mohammedia
-La bibliothèque universitaire Mohammed Sekkat à Casablanca
-Ecole El Manfalouti à Casablanca
-Complexe Sportif Universitaire à Casablanca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Moutaouakkil</author>
    <author>Admin</author>
  </authors>
  <commentList>
    <comment ref="D6" authorId="0" shapeId="0" xr:uid="{00000000-0006-0000-0200-000001000000}">
      <text>
        <r>
          <rPr>
            <b/>
            <sz val="9"/>
            <color indexed="81"/>
            <rFont val="Tahoma"/>
            <family val="2"/>
          </rPr>
          <t>nbre pris de l'état de paie sans prendre en compte les avances et crédits (salaires totaux)</t>
        </r>
      </text>
    </comment>
    <comment ref="I6" authorId="0" shapeId="0" xr:uid="{00000000-0006-0000-0200-000002000000}">
      <text>
        <r>
          <rPr>
            <b/>
            <sz val="9"/>
            <color indexed="81"/>
            <rFont val="Tahoma"/>
            <family val="2"/>
          </rPr>
          <t>j'ai changé le salaire de 2700 par 2828,7 arrondi a 2829(% au nveau smig)</t>
        </r>
        <r>
          <rPr>
            <sz val="9"/>
            <color indexed="81"/>
            <rFont val="Tahoma"/>
            <family val="2"/>
          </rPr>
          <t xml:space="preserve">
</t>
        </r>
      </text>
    </comment>
    <comment ref="N6" authorId="0" shapeId="0" xr:uid="{00000000-0006-0000-0200-000003000000}">
      <text>
        <r>
          <rPr>
            <sz val="9"/>
            <color indexed="81"/>
            <rFont val="Tahoma"/>
            <family val="2"/>
          </rPr>
          <t xml:space="preserve">
tenues agent 240/agent multiplié par le nbre d'agent multiplié par le nbre de fois donné par an (2 fois par an on change)+ 700 tenues des agents qui doivent porter des costumes donc 5 agents une fois par an avec 2 chemises(1 été 1 hiver) et un pull +cravate supplementaire pr les 5 agents+ chaussures pour tous une fois/an (220)</t>
        </r>
      </text>
    </comment>
    <comment ref="Q6" authorId="0" shapeId="0" xr:uid="{00000000-0006-0000-0200-000004000000}">
      <text>
        <r>
          <rPr>
            <sz val="9"/>
            <color indexed="81"/>
            <rFont val="Tahoma"/>
            <family val="2"/>
          </rPr>
          <t>salaires totaux/26jours multiplié par 1,5jours/mois ce qui nous donne le montant que doit percevoir soit les jokers soit ceux qui ne prennent pas leurs congés 
donc c'est la charge mensuelle du projet par rapport aux congés</t>
        </r>
      </text>
    </comment>
    <comment ref="N8" authorId="0" shapeId="0" xr:uid="{00000000-0006-0000-0200-000005000000}">
      <text>
        <r>
          <rPr>
            <b/>
            <sz val="9"/>
            <color indexed="81"/>
            <rFont val="Tahoma"/>
            <family val="2"/>
          </rPr>
          <t>le montant qui doit être dépensé en habit 
cependant pas d'habit (2020)  car le marché finira le 31/12/2020</t>
        </r>
      </text>
    </comment>
    <comment ref="N10" authorId="0" shapeId="0" xr:uid="{00000000-0006-0000-0200-000006000000}">
      <text>
        <r>
          <rPr>
            <b/>
            <sz val="9"/>
            <color indexed="81"/>
            <rFont val="Tahoma"/>
            <family val="2"/>
          </rPr>
          <t>(2 tenues par an par agent + une jacquette+ pull par agent par an;
et un costume une fois par an pour bachir</t>
        </r>
        <r>
          <rPr>
            <sz val="9"/>
            <color indexed="81"/>
            <rFont val="Tahoma"/>
            <family val="2"/>
          </rPr>
          <t xml:space="preserve">
</t>
        </r>
      </text>
    </comment>
    <comment ref="D19" authorId="1" shapeId="0" xr:uid="{00000000-0006-0000-0200-000007000000}">
      <text>
        <r>
          <rPr>
            <b/>
            <sz val="9"/>
            <color indexed="81"/>
            <rFont val="Tahoma"/>
            <family val="2"/>
          </rPr>
          <t>Admin:</t>
        </r>
        <r>
          <rPr>
            <sz val="9"/>
            <color indexed="81"/>
            <rFont val="Tahoma"/>
            <family val="2"/>
          </rPr>
          <t xml:space="preserve">
salaires net pour les 15 jours de travail, la date de commencement était le 15/09/2020 5376</t>
        </r>
      </text>
    </comment>
    <comment ref="F19" authorId="0" shapeId="0" xr:uid="{00000000-0006-0000-0200-000008000000}">
      <text>
        <r>
          <rPr>
            <b/>
            <sz val="9"/>
            <color indexed="81"/>
            <rFont val="Tahoma"/>
            <family val="2"/>
          </rPr>
          <t>sept oct 4 agents déclarés
a partir de novembre le chauffeur est retraité donc 3 agentd a declarer</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Moutaouakkil</author>
  </authors>
  <commentList>
    <comment ref="D6" authorId="0" shapeId="0" xr:uid="{8087FB03-801C-4D11-BF9B-FF2335B1CC03}">
      <text>
        <r>
          <rPr>
            <b/>
            <sz val="9"/>
            <color indexed="81"/>
            <rFont val="Tahoma"/>
            <family val="2"/>
          </rPr>
          <t>nbre pris de l'état de paie sans prendre en compte les avances et crédits (salaires totaux)</t>
        </r>
      </text>
    </comment>
    <comment ref="I6" authorId="0" shapeId="0" xr:uid="{3EF111AE-AFA9-480B-AF39-248C9C586538}">
      <text>
        <r>
          <rPr>
            <b/>
            <sz val="9"/>
            <color indexed="81"/>
            <rFont val="Tahoma"/>
            <family val="2"/>
          </rPr>
          <t>j'ai changé le salaire de 2700 par 2828,7 arrondi a 2829(% au nveau smig)</t>
        </r>
        <r>
          <rPr>
            <sz val="9"/>
            <color indexed="81"/>
            <rFont val="Tahoma"/>
            <family val="2"/>
          </rPr>
          <t xml:space="preserve">
</t>
        </r>
      </text>
    </comment>
    <comment ref="N6" authorId="0" shapeId="0" xr:uid="{32DAF1FF-50A4-49EA-93C1-4B582020BC60}">
      <text>
        <r>
          <rPr>
            <sz val="9"/>
            <color indexed="81"/>
            <rFont val="Tahoma"/>
            <family val="2"/>
          </rPr>
          <t xml:space="preserve">
tenues agent 240/agent multiplié par le nbre d'agent multiplié par le nbre de fois donné par an (2 fois par an on change)+ 700 tenues des agents qui doivent porter des costumes donc 5 agents une fois par an avec 2 chemises(1 été 1 hiver) et un pull +cravate supplementaire pr les 5 agents+ chaussures pour tous une fois/an (220)</t>
        </r>
      </text>
    </comment>
    <comment ref="Q6" authorId="0" shapeId="0" xr:uid="{07A56049-1B74-42B8-B089-354DAD5F7134}">
      <text>
        <r>
          <rPr>
            <sz val="9"/>
            <color indexed="81"/>
            <rFont val="Tahoma"/>
            <family val="2"/>
          </rPr>
          <t>salaires totaux/26jours multiplié par 1,5jours/mois ce qui nous donne le montant que doit percevoir soit les jokers soit ceux qui ne prennent pas leurs congés 
donc c'est la charge mensuelle du projet par rapport aux congés</t>
        </r>
      </text>
    </comment>
    <comment ref="N8" authorId="0" shapeId="0" xr:uid="{2B8CCB0A-C1E1-4824-AD6B-26B771CB71B7}">
      <text>
        <r>
          <rPr>
            <b/>
            <sz val="9"/>
            <color indexed="81"/>
            <rFont val="Tahoma"/>
            <family val="2"/>
          </rPr>
          <t>le montant qui doit être dépensé en habit 
cependant pas d'habit (2020)  car le marché finira le 31/12/2020</t>
        </r>
      </text>
    </comment>
    <comment ref="N10" authorId="0" shapeId="0" xr:uid="{1D429886-8E9A-4F42-8530-3F4C40B9B224}">
      <text>
        <r>
          <rPr>
            <b/>
            <sz val="9"/>
            <color indexed="81"/>
            <rFont val="Tahoma"/>
            <family val="2"/>
          </rPr>
          <t>(2 tenues par an par agent + une jacquette+ pull par agent par an;
et un costume une fois par an pour bachir</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Moutaouakkil</author>
  </authors>
  <commentList>
    <comment ref="I6" authorId="0" shapeId="0" xr:uid="{00000000-0006-0000-0300-000001000000}">
      <text>
        <r>
          <rPr>
            <sz val="9"/>
            <color indexed="81"/>
            <rFont val="Tahoma"/>
            <family val="2"/>
          </rPr>
          <t>salaires brut pris de l'état de paie</t>
        </r>
      </text>
    </comment>
    <comment ref="I8" authorId="0" shapeId="0" xr:uid="{00000000-0006-0000-0300-000002000000}">
      <text>
        <r>
          <rPr>
            <b/>
            <sz val="9"/>
            <color indexed="81"/>
            <rFont val="Tahoma"/>
            <family val="2"/>
          </rPr>
          <t>selon etat de paie</t>
        </r>
      </text>
    </comment>
    <comment ref="D9" authorId="0" shapeId="0" xr:uid="{00000000-0006-0000-0300-000003000000}">
      <text>
        <r>
          <rPr>
            <b/>
            <sz val="9"/>
            <color indexed="81"/>
            <rFont val="Tahoma"/>
            <family val="2"/>
          </rPr>
          <t xml:space="preserve">un agent est payé 800 car il nettoie les fenetres </t>
        </r>
        <r>
          <rPr>
            <sz val="9"/>
            <color indexed="81"/>
            <rFont val="Tahoma"/>
            <family val="2"/>
          </rPr>
          <t xml:space="preserve">
</t>
        </r>
      </text>
    </comment>
    <comment ref="I9" authorId="0" shapeId="0" xr:uid="{00000000-0006-0000-0300-000004000000}">
      <text>
        <r>
          <rPr>
            <b/>
            <sz val="9"/>
            <color indexed="81"/>
            <rFont val="Tahoma"/>
            <family val="2"/>
          </rPr>
          <t xml:space="preserve">
1367,79 selon etat de paie</t>
        </r>
      </text>
    </comment>
    <comment ref="I10" authorId="0" shapeId="0" xr:uid="{00000000-0006-0000-0300-000005000000}">
      <text>
        <r>
          <rPr>
            <b/>
            <sz val="9"/>
            <color indexed="81"/>
            <rFont val="Tahoma"/>
            <family val="2"/>
          </rPr>
          <t xml:space="preserve">selon etat de paie </t>
        </r>
        <r>
          <rPr>
            <sz val="9"/>
            <color indexed="81"/>
            <rFont val="Tahoma"/>
            <family val="2"/>
          </rPr>
          <t xml:space="preserve">
</t>
        </r>
      </text>
    </comment>
    <comment ref="I18" authorId="0" shapeId="0" xr:uid="{00000000-0006-0000-0300-000006000000}">
      <text>
        <r>
          <rPr>
            <b/>
            <sz val="9"/>
            <color indexed="81"/>
            <rFont val="Tahoma"/>
            <family val="2"/>
          </rPr>
          <t xml:space="preserve">
transport des déchets par camion 6 voyages par an 500/ voyage +
1000 ce qui est brûlé (estimation pour ce qui est brûlé)</t>
        </r>
        <r>
          <rPr>
            <sz val="9"/>
            <color indexed="81"/>
            <rFont val="Tahoma"/>
            <family val="2"/>
          </rPr>
          <t xml:space="preserve">
</t>
        </r>
      </text>
    </comment>
    <comment ref="M18" authorId="0" shapeId="0" xr:uid="{00000000-0006-0000-0300-000007000000}">
      <text>
        <r>
          <rPr>
            <b/>
            <sz val="9"/>
            <color indexed="81"/>
            <rFont val="Tahoma"/>
            <family val="2"/>
          </rPr>
          <t>achat ciseaux</t>
        </r>
        <r>
          <rPr>
            <sz val="9"/>
            <color indexed="81"/>
            <rFont val="Tahoma"/>
            <family val="2"/>
          </rPr>
          <t xml:space="preserve">
</t>
        </r>
      </text>
    </comment>
    <comment ref="I19" authorId="0" shapeId="0" xr:uid="{00000000-0006-0000-0300-000008000000}">
      <text>
        <r>
          <rPr>
            <sz val="9"/>
            <color indexed="81"/>
            <rFont val="Tahoma"/>
            <family val="2"/>
          </rPr>
          <t xml:space="preserve">
complexe 5 voyages
bibliothèque il brûle
manfalouti les poubelles
media le jardinier s'en charge
présidence 3 voyages</t>
        </r>
      </text>
    </comment>
    <comment ref="M19" authorId="0" shapeId="0" xr:uid="{00000000-0006-0000-0300-000009000000}">
      <text>
        <r>
          <rPr>
            <b/>
            <sz val="9"/>
            <color indexed="81"/>
            <rFont val="Tahoma"/>
            <family val="2"/>
          </rPr>
          <t>achat ciseaux</t>
        </r>
        <r>
          <rPr>
            <sz val="9"/>
            <color indexed="81"/>
            <rFont val="Tahoma"/>
            <family val="2"/>
          </rPr>
          <t xml:space="preserve">
</t>
        </r>
      </text>
    </comment>
    <comment ref="E21" authorId="0" shapeId="0" xr:uid="{00000000-0006-0000-0300-00000A000000}">
      <text>
        <r>
          <rPr>
            <sz val="9"/>
            <color indexed="81"/>
            <rFont val="Tahoma"/>
            <family val="2"/>
          </rPr>
          <t xml:space="preserve">
calcul fait à partir de l'achat des produits de 2 trimestres pour le prix de 5500, donc en multipliant par 2 on obtient le prix pour l'année divisié ensuite par 12 pour avoir le mois</t>
        </r>
      </text>
    </comment>
    <comment ref="I22" authorId="0" shapeId="0" xr:uid="{00000000-0006-0000-0300-00000B000000}">
      <text>
        <r>
          <rPr>
            <b/>
            <sz val="9"/>
            <color indexed="81"/>
            <rFont val="Tahoma"/>
            <family val="2"/>
          </rPr>
          <t xml:space="preserve">
pas encore de données, le marché a commencé le 01/10/2020</t>
        </r>
        <r>
          <rPr>
            <sz val="9"/>
            <color indexed="81"/>
            <rFont val="Tahoma"/>
            <family val="2"/>
          </rPr>
          <t xml:space="preserve">
</t>
        </r>
      </text>
    </comment>
    <comment ref="M22" authorId="0" shapeId="0" xr:uid="{00000000-0006-0000-0300-00000C000000}">
      <text>
        <r>
          <rPr>
            <sz val="9"/>
            <color indexed="81"/>
            <rFont val="Tahoma"/>
            <family val="2"/>
          </rPr>
          <t xml:space="preserve">c'est la somme de tout le matériel acheté pendant le 1er mois et le 2 eme mois de commencement, donc il faut faire une moyenne pour l'année et pour le mois
le montant total est divisé par 2 mois pour avoir le mois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Moutaouakkil</author>
  </authors>
  <commentList>
    <comment ref="J10" authorId="0" shapeId="0" xr:uid="{00000000-0006-0000-0400-000001000000}">
      <text>
        <r>
          <rPr>
            <b/>
            <sz val="9"/>
            <color indexed="81"/>
            <rFont val="Tahoma"/>
            <family val="2"/>
          </rPr>
          <t>montant mensuel au lieu de trimestriel car les charges sont calculées mensuellement</t>
        </r>
        <r>
          <rPr>
            <sz val="9"/>
            <color indexed="81"/>
            <rFont val="Tahoma"/>
            <family val="2"/>
          </rPr>
          <t xml:space="preserve">
</t>
        </r>
      </text>
    </comment>
  </commentList>
</comments>
</file>

<file path=xl/sharedStrings.xml><?xml version="1.0" encoding="utf-8"?>
<sst xmlns="http://schemas.openxmlformats.org/spreadsheetml/2006/main" count="281" uniqueCount="190">
  <si>
    <t>DATE DE COMMENCEMENT</t>
  </si>
  <si>
    <t>DATE DE FIN</t>
  </si>
  <si>
    <t>DELAI</t>
  </si>
  <si>
    <t>OBJET</t>
  </si>
  <si>
    <t>MO</t>
  </si>
  <si>
    <t>CAUTION DEFINITIVE</t>
  </si>
  <si>
    <t>NBRE AGENTS</t>
  </si>
  <si>
    <t>Gardiennage et surveillance des Bâtiments Administratifs des Services du Chef du Gouvernement</t>
  </si>
  <si>
    <t>reconductible en 3 ans</t>
  </si>
  <si>
    <t>MONTANT TOTAL (TTC)</t>
  </si>
  <si>
    <t>N° du marché</t>
  </si>
  <si>
    <t>Maitre d'ouvrage</t>
  </si>
  <si>
    <t>Montant des Salaires</t>
  </si>
  <si>
    <t>Nombre total du personnel affecté</t>
  </si>
  <si>
    <r>
      <rPr>
        <sz val="13"/>
        <color rgb="FFFF0000"/>
        <rFont val="Times New Roman"/>
        <family val="1"/>
      </rPr>
      <t>Nombre</t>
    </r>
    <r>
      <rPr>
        <sz val="13"/>
        <color theme="1"/>
        <rFont val="Times New Roman"/>
        <family val="1"/>
      </rPr>
      <t xml:space="preserve"> du personnel déclaré</t>
    </r>
  </si>
  <si>
    <r>
      <rPr>
        <sz val="13"/>
        <color rgb="FFFF0000"/>
        <rFont val="Times New Roman"/>
        <family val="1"/>
      </rPr>
      <t>Montant</t>
    </r>
    <r>
      <rPr>
        <sz val="13"/>
        <color theme="1"/>
        <rFont val="Times New Roman"/>
        <family val="1"/>
      </rPr>
      <t xml:space="preserve"> de la cotisation CNSS</t>
    </r>
  </si>
  <si>
    <t>Montant total CNSS (régional et central)</t>
  </si>
  <si>
    <t xml:space="preserve">Assurances </t>
  </si>
  <si>
    <t>Habillement</t>
  </si>
  <si>
    <t>Transport</t>
  </si>
  <si>
    <t>Indemnité et avantages divers</t>
  </si>
  <si>
    <t xml:space="preserve">Congé payé </t>
  </si>
  <si>
    <t>Total des charges directes</t>
  </si>
  <si>
    <t>Déclaré normal</t>
  </si>
  <si>
    <t>Déclaré Tahfiz ou PCS</t>
  </si>
  <si>
    <t>Déclaré IDMAJ ou Non déclaré</t>
  </si>
  <si>
    <t>Déclaré normal (27,83%)</t>
  </si>
  <si>
    <t>Déclaré Tahfiz ou PCS (6,74%)</t>
  </si>
  <si>
    <t>Déclaré IDMAJ ou Non déclaré (0%)</t>
  </si>
  <si>
    <t>01/2018</t>
  </si>
  <si>
    <r>
      <rPr>
        <sz val="11"/>
        <color rgb="FFFF0000"/>
        <rFont val="Times New Roman"/>
        <family val="1"/>
      </rPr>
      <t>Nombre</t>
    </r>
    <r>
      <rPr>
        <sz val="11"/>
        <color theme="1"/>
        <rFont val="Times New Roman"/>
        <family val="1"/>
      </rPr>
      <t xml:space="preserve"> du personnel déclaré</t>
    </r>
  </si>
  <si>
    <r>
      <rPr>
        <sz val="11"/>
        <color rgb="FFFF0000"/>
        <rFont val="Times New Roman"/>
        <family val="1"/>
      </rPr>
      <t>Montant</t>
    </r>
    <r>
      <rPr>
        <sz val="11"/>
        <color theme="1"/>
        <rFont val="Times New Roman"/>
        <family val="1"/>
      </rPr>
      <t xml:space="preserve"> de la cotisation CNSS</t>
    </r>
  </si>
  <si>
    <t>N° MARCHE</t>
  </si>
  <si>
    <t>chemise</t>
  </si>
  <si>
    <t>cravate</t>
  </si>
  <si>
    <t>casquette</t>
  </si>
  <si>
    <t>jacquette</t>
  </si>
  <si>
    <t>pull</t>
  </si>
  <si>
    <t>chaussures</t>
  </si>
  <si>
    <t>HT</t>
  </si>
  <si>
    <t>TTC</t>
  </si>
  <si>
    <t>estimation</t>
  </si>
  <si>
    <t xml:space="preserve">Montant du marché </t>
  </si>
  <si>
    <t>Délai d'exécution</t>
  </si>
  <si>
    <t>Charges directes</t>
  </si>
  <si>
    <t>Coefficient d'affectation des charges indirectes</t>
  </si>
  <si>
    <t>Charges indirectes</t>
  </si>
  <si>
    <t>Montant total des charges : (directes+indirectes)</t>
  </si>
  <si>
    <t>Montant facturé TTC</t>
  </si>
  <si>
    <t>Dont TVA</t>
  </si>
  <si>
    <t>Résultat avant impôt</t>
  </si>
  <si>
    <t>RATIO Résultat/TVA</t>
  </si>
  <si>
    <t>total des marchés DRC ATLANTA</t>
  </si>
  <si>
    <t>Charges Indirectes DRC</t>
  </si>
  <si>
    <t>Direction Réginale de l'Habitat et de la Politique de la Ville à Rabat</t>
  </si>
  <si>
    <t xml:space="preserve">01/DPS/GARD/2018 </t>
  </si>
  <si>
    <t xml:space="preserve">Les prestations de gardiennage, de sécurité et de surveillance du bâtiment abritant les services de la Direction Régionale de l’Habitat et de la Politique de la Ville de Rabat- Salé- Kénitra </t>
  </si>
  <si>
    <t>charges par mois</t>
  </si>
  <si>
    <t>01/DPS/GARD/2018</t>
  </si>
  <si>
    <t>Chef du Gouvernement Direction des Affaires Administratives et Financières</t>
  </si>
  <si>
    <t>MONTANT TRIMESTRIEL /FACTURE (TTC)</t>
  </si>
  <si>
    <t>35900,59/ 36295,10</t>
  </si>
  <si>
    <t>Conseil de la Concurrence</t>
  </si>
  <si>
    <t>01CCRG/2018</t>
  </si>
  <si>
    <t>Prestations de sécurité et surveillance et de gardiennage des locaux du conseil de la concurrence lot n°1</t>
  </si>
  <si>
    <t>Conseil Concurrence</t>
  </si>
  <si>
    <t>Institut National de l'Aménagement et de l'Urbanisme (Rabat)</t>
  </si>
  <si>
    <t>1/2019</t>
  </si>
  <si>
    <t>Gardiennage et surveillance des locaux de l'INAU</t>
  </si>
  <si>
    <t xml:space="preserve"> 01/2019</t>
  </si>
  <si>
    <t>01/03/2020 santé casa-settat</t>
  </si>
  <si>
    <t>Direction Régionale de la Santé de Casablanca</t>
  </si>
  <si>
    <t>Surveillance et Gardiennage des locaux de la Direction Régionale du Ministère de la Santé à la Région de Casablanca- Settat.</t>
  </si>
  <si>
    <t>Direction Régionale du Ministère de la Santé à la Région de Casablanca- Settat.</t>
  </si>
  <si>
    <t>03/2020</t>
  </si>
  <si>
    <t>Ministère d’État chargé des Droits de l’Homme et des Relations avec le Parlement</t>
  </si>
  <si>
    <t>01/2019</t>
  </si>
  <si>
    <t>ATLANTA DRC</t>
  </si>
  <si>
    <t>a vérifier</t>
  </si>
  <si>
    <t>8 985,60</t>
  </si>
  <si>
    <t>ATLANTA</t>
  </si>
  <si>
    <t>total des marchés DRC NAJD</t>
  </si>
  <si>
    <t>Caisse pour le Financement Routier</t>
  </si>
  <si>
    <t>Gardiennage, Sécurité et Surveillance des locaux abritant le siège
de la Caisse pour le Financement Routier</t>
  </si>
  <si>
    <t>CFR/01/2020</t>
  </si>
  <si>
    <t>Agence de développement du digital</t>
  </si>
  <si>
    <t>Gardiennage et surveillance des locaux administratifs de l'Agence de développement du digital</t>
  </si>
  <si>
    <t>02/2020</t>
  </si>
  <si>
    <t>ADD</t>
  </si>
  <si>
    <t>Agence de développement digital</t>
  </si>
  <si>
    <t>(ce qui doit être calculé)</t>
  </si>
  <si>
    <t>↓</t>
  </si>
  <si>
    <t>NAJD</t>
  </si>
  <si>
    <t>prix fournisseur actuel centre</t>
  </si>
  <si>
    <t>Total des charges du personnel et main d'œuvre</t>
  </si>
  <si>
    <t>FSAC</t>
  </si>
  <si>
    <t xml:space="preserve"> Faculté des Sciences d'Ain Chock</t>
  </si>
  <si>
    <t>NAJD DRC</t>
  </si>
  <si>
    <t xml:space="preserve">01/FSAC/2018 </t>
  </si>
  <si>
    <t>Travaux d'entretien des espaces verts de la Faculté des Sciences d'Ain Chock</t>
  </si>
  <si>
    <t>Détail des charges du personnel et main d'œuvre</t>
  </si>
  <si>
    <t>TOTAL des charges directes</t>
  </si>
  <si>
    <t>Personnel et main d'œuvre</t>
  </si>
  <si>
    <t>Matière première</t>
  </si>
  <si>
    <t>Matériaux consommable</t>
  </si>
  <si>
    <t>Carburant</t>
  </si>
  <si>
    <t>Entretien et réparation du matériel</t>
  </si>
  <si>
    <t xml:space="preserve">Location du matériel </t>
  </si>
  <si>
    <t>Commission et courtage</t>
  </si>
  <si>
    <t>Etudes</t>
  </si>
  <si>
    <t>Autres charges : à mentionner</t>
  </si>
  <si>
    <t>Présidence de l'Université Hassan II</t>
  </si>
  <si>
    <t xml:space="preserve">01FUH2C/2019 </t>
  </si>
  <si>
    <t>01/2019/ESI</t>
  </si>
  <si>
    <t>La réalisation des travaux d’entretien  des espaces verts de l’Ecole des Sciences de l’Information à Madinat Al-Irfane -Rabat</t>
  </si>
  <si>
    <t>Ecole des Sciences de l’Information</t>
  </si>
  <si>
    <t>total des marchés DRC SOCIAMED</t>
  </si>
  <si>
    <t>05FUH2C/2020</t>
  </si>
  <si>
    <t>Université Hassan II Casablanca</t>
  </si>
  <si>
    <t>Prestation de jardinage, entretien et maintenance des espaces verts des sites de l'université Hassan II de Casablanca Lot 1</t>
  </si>
  <si>
    <r>
      <t xml:space="preserve">Externalisation des Prestations d’entretien et maintenance des espaces verts des locaux de la présidence de l’Université Hassan II de Casablanca, en lot Unique  </t>
    </r>
    <r>
      <rPr>
        <sz val="11"/>
        <color theme="1"/>
        <rFont val="Trebuchet MS"/>
        <family val="2"/>
      </rPr>
      <t xml:space="preserve"> </t>
    </r>
  </si>
  <si>
    <t>Entraide Nationale - (Coordination Régionale de Tanger)</t>
  </si>
  <si>
    <t xml:space="preserve">06/CR-Tanger/2019 </t>
  </si>
  <si>
    <t>Prestations De Nettoyage Des Etablissement Relevant De La Coordination Régionale De L’entraide Nationale De La Région Du Tanger-Tétouane-Al Hoceima (Lot Unique)</t>
  </si>
  <si>
    <t>SOCIAMED</t>
  </si>
  <si>
    <t>Prestations des services de Gardiennage et surveillance des Bâtiments Administratifs Relevant du Ministère délégué auprès du Chef du Gouvernementchargé  des Relations avec le Parlement et la Société Civile</t>
  </si>
  <si>
    <t>Ministère délégué auprès du Chef du Gouvernementchargé  des Relations avec le Parlement et la Société Civile</t>
  </si>
  <si>
    <t>achat matériel jardinage</t>
  </si>
  <si>
    <t>1% du montant des salaires</t>
  </si>
  <si>
    <t>pantalon</t>
  </si>
  <si>
    <t>HOLDING DE GESTION DES ACTIONS</t>
  </si>
  <si>
    <t xml:space="preserve">Direction Régionale </t>
  </si>
  <si>
    <t>Situation des charges indirectes de fonctionnement</t>
  </si>
  <si>
    <t>Budget</t>
  </si>
  <si>
    <t>Rubrique</t>
  </si>
  <si>
    <t xml:space="preserve">Compte comptable </t>
  </si>
  <si>
    <t>Opération</t>
  </si>
  <si>
    <t>Fonctionnement</t>
  </si>
  <si>
    <t>Achats non stockés de matières et de fournitures</t>
  </si>
  <si>
    <t>Fournitures de bureau</t>
  </si>
  <si>
    <t>Achats de fournitures non stockables (Eau)</t>
  </si>
  <si>
    <t>Achats de fournitures non stockables (Electricité)</t>
  </si>
  <si>
    <t>Achats de fournitures non stockables (Carburant)</t>
  </si>
  <si>
    <t>Locations et charges locatives</t>
  </si>
  <si>
    <t xml:space="preserve">Location de constructions </t>
  </si>
  <si>
    <t>Redevances de crédit-bail</t>
  </si>
  <si>
    <t>Redevances des crédit-bail -mobilier</t>
  </si>
  <si>
    <t>Redevances des crédit-bail - matériel</t>
  </si>
  <si>
    <t>Entretien et réparation</t>
  </si>
  <si>
    <t>Entretien et réparations des biens immobiliers</t>
  </si>
  <si>
    <t>Entretien et réparations des biens mobiliers</t>
  </si>
  <si>
    <t>Maintenance (Matériel informatique)</t>
  </si>
  <si>
    <t>Maintenance (Matériel technique)</t>
  </si>
  <si>
    <t>Maintenance (Matériel de transport)</t>
  </si>
  <si>
    <r>
      <t>T</t>
    </r>
    <r>
      <rPr>
        <b/>
        <sz val="12"/>
        <rFont val="Arial Narrow"/>
        <family val="2"/>
      </rPr>
      <t>ransports sur achats</t>
    </r>
  </si>
  <si>
    <t>Transports sur ventes</t>
  </si>
  <si>
    <t>Autres transports (Frais de correspondances)</t>
  </si>
  <si>
    <t xml:space="preserve">Déplacements, missions et réceptions  </t>
  </si>
  <si>
    <t>Voyages et déplacements</t>
  </si>
  <si>
    <t>Frais de déménagement</t>
  </si>
  <si>
    <t>Missions (Restauration)</t>
  </si>
  <si>
    <t>Missions (Hebergement)</t>
  </si>
  <si>
    <t>Réceptions</t>
  </si>
  <si>
    <t>Cotisations et dons</t>
  </si>
  <si>
    <t xml:space="preserve">Dons  </t>
  </si>
  <si>
    <t xml:space="preserve">Services bancaires        </t>
  </si>
  <si>
    <t xml:space="preserve">Frais et commissions sur servicees bancaires </t>
  </si>
  <si>
    <t xml:space="preserve">Frais postaux et frais de télécommuncations </t>
  </si>
  <si>
    <t xml:space="preserve">Frais postaux   </t>
  </si>
  <si>
    <t>Frais de téléphone + internet</t>
  </si>
  <si>
    <t>Impôts, taxes et droits assimilés</t>
  </si>
  <si>
    <t xml:space="preserve">Droits d'enregistrement </t>
  </si>
  <si>
    <t>Frais de timbre Cummunal</t>
  </si>
  <si>
    <t>Taxes sur les véhicules</t>
  </si>
  <si>
    <t>Rémunérations du personnel</t>
  </si>
  <si>
    <t xml:space="preserve">Appointements et salaires </t>
  </si>
  <si>
    <t xml:space="preserve">Primes et gratifications </t>
  </si>
  <si>
    <t>Indemnités et avantages divers</t>
  </si>
  <si>
    <t>Charges sociales</t>
  </si>
  <si>
    <t>CNSS du personnel administratif</t>
  </si>
  <si>
    <t>Assurances A.T</t>
  </si>
  <si>
    <t>Virement de fonds</t>
  </si>
  <si>
    <t>Transfert à la Direction Générale</t>
  </si>
  <si>
    <t>Régies d’avances et accréditifs</t>
  </si>
  <si>
    <t>a remplir par la DEB</t>
  </si>
  <si>
    <t>CAISSE AU 1ER DU MOIS :</t>
  </si>
  <si>
    <t>=&gt; joindre le détail des régies</t>
  </si>
  <si>
    <t>Observations</t>
  </si>
  <si>
    <t>XY CONSEIL</t>
  </si>
  <si>
    <t>total des marchés DRC XY CONSEIL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</si>
</sst>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 _€_-;\-* #,##0.00\ _€_-;_-* &quot;-&quot;??\ _€_-;_-@_-"/>
    <numFmt numFmtId="165" formatCode="0.0000"/>
  </numFmts>
  <fonts count="34">
    <font>
      <sz val="11"/>
      <color theme="1"/>
      <name val="Calibri"/>
      <family val="2"/>
      <scheme val="minor"/>
    </font>
    <font>
      <sz val="11"/>
      <color theme="1"/>
      <name val="Calibri"/>
      <family val="2"/>
      <scheme val="minor"/>
    </font>
    <font>
      <b/>
      <sz val="11"/>
      <color theme="1"/>
      <name val="Calibri"/>
      <family val="2"/>
      <scheme val="minor"/>
    </font>
    <font>
      <sz val="12"/>
      <color theme="1"/>
      <name val="Times New Roman"/>
      <family val="1"/>
    </font>
    <font>
      <sz val="13"/>
      <color theme="1"/>
      <name val="Times New Roman"/>
      <family val="1"/>
    </font>
    <font>
      <sz val="13"/>
      <color rgb="FFFF0000"/>
      <name val="Times New Roman"/>
      <family val="1"/>
    </font>
    <font>
      <sz val="11"/>
      <color theme="1"/>
      <name val="Times New Roman"/>
      <family val="1"/>
    </font>
    <font>
      <sz val="11"/>
      <color rgb="FFFF0000"/>
      <name val="Times New Roman"/>
      <family val="1"/>
    </font>
    <font>
      <b/>
      <sz val="11"/>
      <color theme="1"/>
      <name val="Arial Narrow"/>
      <family val="2"/>
    </font>
    <font>
      <b/>
      <sz val="11"/>
      <color theme="1"/>
      <name val="Times New Roman"/>
      <family val="1"/>
    </font>
    <font>
      <sz val="9"/>
      <color indexed="81"/>
      <name val="Tahoma"/>
      <family val="2"/>
    </font>
    <font>
      <b/>
      <sz val="9"/>
      <color indexed="81"/>
      <name val="Tahoma"/>
      <family val="2"/>
    </font>
    <font>
      <b/>
      <sz val="12"/>
      <color theme="1"/>
      <name val="Times New Roman"/>
      <family val="1"/>
    </font>
    <font>
      <b/>
      <sz val="9"/>
      <color theme="1"/>
      <name val="Arial Narrow"/>
      <family val="2"/>
    </font>
    <font>
      <sz val="11"/>
      <color theme="1"/>
      <name val="Calibri"/>
      <family val="2"/>
    </font>
    <font>
      <b/>
      <sz val="11"/>
      <color rgb="FF000000"/>
      <name val="Times New Roman"/>
      <family val="1"/>
    </font>
    <font>
      <b/>
      <u/>
      <sz val="12"/>
      <color theme="1"/>
      <name val="Times New Roman"/>
      <family val="1"/>
    </font>
    <font>
      <sz val="12"/>
      <name val="Times New Roman"/>
      <family val="1"/>
    </font>
    <font>
      <sz val="11"/>
      <color theme="1"/>
      <name val="Trebuchet MS"/>
      <family val="2"/>
    </font>
    <font>
      <b/>
      <sz val="14"/>
      <color theme="1"/>
      <name val="Times New Roman"/>
      <family val="1"/>
    </font>
    <font>
      <sz val="14"/>
      <color theme="1"/>
      <name val="Times New Roman"/>
      <family val="1"/>
    </font>
    <font>
      <b/>
      <sz val="13"/>
      <color theme="1"/>
      <name val="Times New Roman"/>
      <family val="1"/>
    </font>
    <font>
      <sz val="11"/>
      <color theme="1"/>
      <name val="Arial Narrow"/>
      <family val="2"/>
    </font>
    <font>
      <b/>
      <sz val="12"/>
      <color theme="1"/>
      <name val="Arial Narrow"/>
      <family val="2"/>
    </font>
    <font>
      <b/>
      <sz val="12"/>
      <color theme="1"/>
      <name val="Calibri"/>
      <family val="2"/>
      <scheme val="minor"/>
    </font>
    <font>
      <sz val="12"/>
      <color theme="1"/>
      <name val="Calibri"/>
      <family val="2"/>
      <scheme val="minor"/>
    </font>
    <font>
      <b/>
      <sz val="12"/>
      <color rgb="FF000000"/>
      <name val="Arial Narrow"/>
      <family val="2"/>
    </font>
    <font>
      <b/>
      <sz val="12"/>
      <name val="Arial Narrow"/>
      <family val="2"/>
    </font>
    <font>
      <b/>
      <sz val="9"/>
      <color rgb="FF000000"/>
      <name val="Arial Narrow"/>
      <family val="2"/>
    </font>
    <font>
      <b/>
      <sz val="9"/>
      <name val="Arial Narrow"/>
      <family val="2"/>
    </font>
    <font>
      <b/>
      <sz val="9"/>
      <color theme="1"/>
      <name val="Calibri"/>
      <family val="2"/>
      <scheme val="minor"/>
    </font>
    <font>
      <b/>
      <sz val="9"/>
      <color theme="1"/>
      <name val="Arrial"/>
    </font>
    <font>
      <b/>
      <sz val="10"/>
      <color theme="1"/>
      <name val="Arial Narrow"/>
      <family val="2"/>
    </font>
    <font>
      <b/>
      <sz val="9"/>
      <color theme="1"/>
      <name val="Times New Roman"/>
      <family val="1"/>
    </font>
  </fonts>
  <fills count="1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0000"/>
        <bgColor indexed="64"/>
      </patternFill>
    </fill>
  </fills>
  <borders count="6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style="medium">
        <color indexed="64"/>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style="thin">
        <color indexed="64"/>
      </bottom>
      <diagonal/>
    </border>
    <border>
      <left/>
      <right style="thin">
        <color indexed="64"/>
      </right>
      <top style="medium">
        <color indexed="64"/>
      </top>
      <bottom/>
      <diagonal/>
    </border>
    <border>
      <left/>
      <right style="thin">
        <color indexed="64"/>
      </right>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326">
    <xf numFmtId="0" fontId="0" fillId="0" borderId="0" xfId="0"/>
    <xf numFmtId="0" fontId="0" fillId="0" borderId="1" xfId="0" applyBorder="1" applyAlignment="1">
      <alignment vertical="center"/>
    </xf>
    <xf numFmtId="0" fontId="0" fillId="0" borderId="0" xfId="0" applyAlignment="1">
      <alignment vertical="center"/>
    </xf>
    <xf numFmtId="0" fontId="0" fillId="0" borderId="1" xfId="0" applyBorder="1" applyAlignment="1">
      <alignment vertical="center" wrapText="1"/>
    </xf>
    <xf numFmtId="14" fontId="0" fillId="0" borderId="1" xfId="0" applyNumberFormat="1" applyBorder="1" applyAlignment="1">
      <alignment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14" fontId="0" fillId="0" borderId="1" xfId="0" applyNumberFormat="1" applyBorder="1" applyAlignment="1">
      <alignment horizontal="left" vertical="center"/>
    </xf>
    <xf numFmtId="0" fontId="0" fillId="0" borderId="0" xfId="0" applyAlignment="1">
      <alignment horizontal="left" vertical="center"/>
    </xf>
    <xf numFmtId="2" fontId="6" fillId="0" borderId="1" xfId="0" applyNumberFormat="1" applyFont="1" applyBorder="1" applyAlignment="1">
      <alignment horizontal="center" vertical="center"/>
    </xf>
    <xf numFmtId="0" fontId="0" fillId="0" borderId="0" xfId="0" applyFont="1" applyAlignment="1">
      <alignment vertical="center"/>
    </xf>
    <xf numFmtId="0" fontId="0" fillId="0" borderId="1" xfId="0" applyFont="1" applyBorder="1" applyAlignment="1">
      <alignment vertical="center"/>
    </xf>
    <xf numFmtId="0" fontId="12" fillId="0" borderId="1" xfId="0" applyFont="1" applyBorder="1" applyAlignment="1">
      <alignment horizontal="center" vertical="center" wrapText="1"/>
    </xf>
    <xf numFmtId="0" fontId="12" fillId="3" borderId="1" xfId="0" applyFont="1" applyFill="1" applyBorder="1" applyAlignment="1">
      <alignment horizontal="center" vertical="center" wrapText="1"/>
    </xf>
    <xf numFmtId="43" fontId="2" fillId="0" borderId="1" xfId="1" applyFont="1" applyBorder="1" applyAlignment="1">
      <alignment horizontal="center" vertical="center"/>
    </xf>
    <xf numFmtId="0" fontId="8" fillId="0" borderId="1" xfId="0" applyFont="1" applyBorder="1" applyAlignment="1">
      <alignment horizontal="center" vertical="center" wrapText="1"/>
    </xf>
    <xf numFmtId="43" fontId="0" fillId="0" borderId="1" xfId="1" applyFont="1" applyBorder="1" applyAlignment="1">
      <alignment horizontal="left" vertical="center"/>
    </xf>
    <xf numFmtId="43" fontId="0" fillId="0" borderId="1" xfId="1" applyFont="1" applyBorder="1" applyAlignment="1">
      <alignment vertical="center"/>
    </xf>
    <xf numFmtId="43" fontId="6" fillId="0" borderId="1" xfId="1" applyFont="1" applyFill="1" applyBorder="1" applyAlignment="1">
      <alignment horizontal="center" vertical="center"/>
    </xf>
    <xf numFmtId="0" fontId="6" fillId="0" borderId="1" xfId="0" applyFont="1" applyBorder="1" applyAlignment="1">
      <alignment horizontal="center" vertical="center"/>
    </xf>
    <xf numFmtId="43" fontId="9" fillId="0" borderId="1" xfId="1" applyFont="1" applyBorder="1" applyAlignment="1">
      <alignment horizontal="center" vertical="center"/>
    </xf>
    <xf numFmtId="49" fontId="6" fillId="0" borderId="1" xfId="0" quotePrefix="1" applyNumberFormat="1" applyFont="1" applyBorder="1" applyAlignment="1">
      <alignment horizontal="center" vertical="center"/>
    </xf>
    <xf numFmtId="49" fontId="6" fillId="0" borderId="1" xfId="0" quotePrefix="1" applyNumberFormat="1"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0" fillId="0" borderId="0" xfId="0" applyAlignment="1">
      <alignment vertical="center" wrapText="1"/>
    </xf>
    <xf numFmtId="0" fontId="0" fillId="0" borderId="0" xfId="0" applyBorder="1" applyAlignment="1">
      <alignment vertical="center"/>
    </xf>
    <xf numFmtId="0" fontId="2" fillId="0" borderId="0" xfId="0" applyFont="1" applyBorder="1" applyAlignment="1">
      <alignment horizontal="center" vertical="center"/>
    </xf>
    <xf numFmtId="43" fontId="0" fillId="0" borderId="1" xfId="1" applyFont="1" applyBorder="1" applyAlignment="1">
      <alignment horizontal="center" vertical="center" wrapText="1"/>
    </xf>
    <xf numFmtId="2" fontId="6" fillId="0" borderId="3" xfId="0" applyNumberFormat="1" applyFont="1" applyBorder="1" applyAlignment="1">
      <alignment horizontal="center" vertical="center"/>
    </xf>
    <xf numFmtId="2" fontId="6" fillId="0" borderId="4" xfId="0" applyNumberFormat="1" applyFont="1" applyBorder="1" applyAlignment="1">
      <alignment horizontal="center" vertical="center"/>
    </xf>
    <xf numFmtId="43" fontId="6" fillId="0" borderId="4" xfId="1" applyFont="1" applyFill="1" applyBorder="1" applyAlignment="1">
      <alignment horizontal="center" vertical="center"/>
    </xf>
    <xf numFmtId="2" fontId="6" fillId="0" borderId="11" xfId="0" applyNumberFormat="1" applyFont="1" applyBorder="1" applyAlignment="1">
      <alignment horizontal="center" vertical="center"/>
    </xf>
    <xf numFmtId="2" fontId="6" fillId="0" borderId="12" xfId="0" applyNumberFormat="1" applyFont="1" applyBorder="1" applyAlignment="1">
      <alignment horizontal="center" vertical="center"/>
    </xf>
    <xf numFmtId="0" fontId="0" fillId="0" borderId="13" xfId="0" applyFont="1" applyBorder="1" applyAlignment="1">
      <alignment vertical="center"/>
    </xf>
    <xf numFmtId="0" fontId="0" fillId="0" borderId="0" xfId="0" applyFont="1" applyBorder="1" applyAlignment="1">
      <alignment vertical="center"/>
    </xf>
    <xf numFmtId="0" fontId="0" fillId="0" borderId="14" xfId="0" applyFont="1" applyBorder="1" applyAlignment="1">
      <alignment vertical="center"/>
    </xf>
    <xf numFmtId="43" fontId="6" fillId="0" borderId="11" xfId="1" applyFont="1" applyFill="1" applyBorder="1" applyAlignment="1">
      <alignment horizontal="center" vertical="center"/>
    </xf>
    <xf numFmtId="43" fontId="6" fillId="0" borderId="12" xfId="1" applyFont="1" applyFill="1" applyBorder="1" applyAlignment="1">
      <alignment horizontal="center" vertical="center"/>
    </xf>
    <xf numFmtId="43" fontId="6" fillId="0" borderId="15" xfId="1" applyFont="1" applyFill="1" applyBorder="1" applyAlignment="1">
      <alignment horizontal="center" vertical="center"/>
    </xf>
    <xf numFmtId="43" fontId="6" fillId="0" borderId="16" xfId="1" applyFont="1" applyFill="1" applyBorder="1" applyAlignment="1">
      <alignment horizontal="center" vertical="center"/>
    </xf>
    <xf numFmtId="43" fontId="6" fillId="0" borderId="17" xfId="1" applyFont="1" applyFill="1" applyBorder="1" applyAlignment="1">
      <alignment horizontal="center" vertical="center"/>
    </xf>
    <xf numFmtId="2" fontId="6" fillId="0" borderId="15" xfId="0" applyNumberFormat="1" applyFont="1" applyBorder="1" applyAlignment="1">
      <alignment horizontal="center" vertical="center"/>
    </xf>
    <xf numFmtId="2" fontId="6" fillId="0" borderId="16" xfId="0" applyNumberFormat="1" applyFont="1" applyBorder="1" applyAlignment="1">
      <alignment horizontal="center" vertical="center"/>
    </xf>
    <xf numFmtId="2" fontId="6" fillId="0" borderId="17" xfId="0" applyNumberFormat="1" applyFont="1" applyBorder="1" applyAlignment="1">
      <alignment horizontal="center" vertical="center"/>
    </xf>
    <xf numFmtId="43" fontId="0" fillId="0" borderId="0" xfId="1" applyFont="1" applyAlignment="1">
      <alignment vertical="center"/>
    </xf>
    <xf numFmtId="165" fontId="6" fillId="0" borderId="1" xfId="1" applyNumberFormat="1" applyFont="1" applyFill="1" applyBorder="1" applyAlignment="1">
      <alignment horizontal="center" vertical="center"/>
    </xf>
    <xf numFmtId="49" fontId="0" fillId="0" borderId="1" xfId="0" applyNumberFormat="1" applyBorder="1" applyAlignment="1">
      <alignment horizontal="center" vertical="center"/>
    </xf>
    <xf numFmtId="0" fontId="0" fillId="0" borderId="1" xfId="0" quotePrefix="1" applyBorder="1" applyAlignment="1">
      <alignment horizontal="center" vertical="center"/>
    </xf>
    <xf numFmtId="17" fontId="0" fillId="0" borderId="1" xfId="0" quotePrefix="1" applyNumberFormat="1" applyBorder="1" applyAlignment="1">
      <alignment horizontal="center" vertical="center"/>
    </xf>
    <xf numFmtId="43" fontId="2" fillId="0" borderId="4" xfId="1" applyFont="1" applyBorder="1" applyAlignment="1">
      <alignment horizontal="center" vertical="center"/>
    </xf>
    <xf numFmtId="43" fontId="0" fillId="0" borderId="14" xfId="1" applyFont="1" applyBorder="1" applyAlignment="1">
      <alignment vertical="center"/>
    </xf>
    <xf numFmtId="2" fontId="6" fillId="0" borderId="5" xfId="0" applyNumberFormat="1" applyFont="1" applyBorder="1" applyAlignment="1">
      <alignment horizontal="center" vertical="center"/>
    </xf>
    <xf numFmtId="2" fontId="6" fillId="0" borderId="9" xfId="0" applyNumberFormat="1" applyFont="1" applyBorder="1" applyAlignment="1">
      <alignment horizontal="center" vertical="center"/>
    </xf>
    <xf numFmtId="2" fontId="6" fillId="0" borderId="16" xfId="0" applyNumberFormat="1" applyFont="1" applyBorder="1" applyAlignment="1">
      <alignment horizontal="center" vertical="center" wrapText="1"/>
    </xf>
    <xf numFmtId="2" fontId="6" fillId="0" borderId="30" xfId="0" applyNumberFormat="1" applyFont="1" applyBorder="1" applyAlignment="1">
      <alignment horizontal="center" vertical="center"/>
    </xf>
    <xf numFmtId="43" fontId="6" fillId="0" borderId="31" xfId="1" applyFont="1" applyFill="1" applyBorder="1" applyAlignment="1">
      <alignment horizontal="center" vertical="center"/>
    </xf>
    <xf numFmtId="2" fontId="6" fillId="0" borderId="15" xfId="0" applyNumberFormat="1" applyFont="1" applyBorder="1" applyAlignment="1">
      <alignment horizontal="center" vertical="center" wrapText="1"/>
    </xf>
    <xf numFmtId="2" fontId="6" fillId="0" borderId="17" xfId="0" applyNumberFormat="1" applyFont="1" applyBorder="1" applyAlignment="1">
      <alignment horizontal="center" vertical="center" wrapText="1"/>
    </xf>
    <xf numFmtId="2" fontId="6" fillId="0" borderId="25" xfId="0" applyNumberFormat="1" applyFont="1" applyBorder="1" applyAlignment="1">
      <alignment horizontal="center" vertical="center"/>
    </xf>
    <xf numFmtId="2" fontId="6" fillId="0" borderId="26" xfId="0" applyNumberFormat="1" applyFont="1" applyBorder="1" applyAlignment="1">
      <alignment horizontal="center" vertical="center"/>
    </xf>
    <xf numFmtId="0" fontId="0" fillId="0" borderId="12" xfId="0" applyFont="1" applyBorder="1" applyAlignment="1">
      <alignment vertical="center"/>
    </xf>
    <xf numFmtId="2" fontId="6" fillId="0" borderId="31" xfId="0" applyNumberFormat="1" applyFont="1" applyBorder="1" applyAlignment="1">
      <alignment horizontal="center" vertical="center" wrapText="1"/>
    </xf>
    <xf numFmtId="0" fontId="0" fillId="0" borderId="4" xfId="0" applyFont="1" applyBorder="1" applyAlignment="1">
      <alignment vertical="center"/>
    </xf>
    <xf numFmtId="0" fontId="8" fillId="0" borderId="37" xfId="0" applyFont="1" applyBorder="1" applyAlignment="1">
      <alignment horizontal="center" vertical="center" wrapText="1"/>
    </xf>
    <xf numFmtId="0" fontId="0" fillId="0" borderId="19" xfId="0" applyFont="1" applyBorder="1" applyAlignment="1">
      <alignment vertical="center"/>
    </xf>
    <xf numFmtId="0" fontId="8" fillId="0" borderId="38" xfId="0" applyFont="1" applyBorder="1" applyAlignment="1">
      <alignment horizontal="center" vertical="center" wrapText="1"/>
    </xf>
    <xf numFmtId="0" fontId="8" fillId="0" borderId="6" xfId="0" applyFont="1" applyBorder="1" applyAlignment="1">
      <alignment horizontal="center" vertical="center" wrapText="1"/>
    </xf>
    <xf numFmtId="43" fontId="9" fillId="0" borderId="41" xfId="1" applyFont="1" applyBorder="1" applyAlignment="1">
      <alignment horizontal="center" vertical="center"/>
    </xf>
    <xf numFmtId="43" fontId="9" fillId="0" borderId="42" xfId="1" applyFont="1" applyFill="1" applyBorder="1" applyAlignment="1">
      <alignment horizontal="center" vertical="center"/>
    </xf>
    <xf numFmtId="43" fontId="9" fillId="0" borderId="43" xfId="1" applyFont="1" applyFill="1" applyBorder="1" applyAlignment="1">
      <alignment horizontal="center" vertical="center"/>
    </xf>
    <xf numFmtId="0" fontId="0" fillId="0" borderId="4" xfId="0" applyBorder="1" applyAlignment="1">
      <alignment horizontal="left" vertical="center" wrapText="1"/>
    </xf>
    <xf numFmtId="0" fontId="0" fillId="0" borderId="4" xfId="0" applyBorder="1" applyAlignment="1">
      <alignment vertical="center"/>
    </xf>
    <xf numFmtId="0" fontId="0" fillId="0" borderId="4" xfId="0" applyBorder="1" applyAlignment="1">
      <alignment vertical="center" wrapText="1"/>
    </xf>
    <xf numFmtId="0" fontId="0" fillId="0" borderId="0" xfId="0" applyBorder="1" applyAlignment="1">
      <alignment vertical="center" wrapText="1"/>
    </xf>
    <xf numFmtId="17" fontId="0" fillId="0" borderId="0" xfId="0" quotePrefix="1" applyNumberFormat="1" applyBorder="1" applyAlignment="1">
      <alignment horizontal="center" vertical="center"/>
    </xf>
    <xf numFmtId="14" fontId="0" fillId="0" borderId="0" xfId="0" applyNumberFormat="1" applyBorder="1" applyAlignment="1">
      <alignment vertical="center"/>
    </xf>
    <xf numFmtId="43" fontId="0" fillId="0" borderId="0" xfId="1" applyFont="1" applyBorder="1" applyAlignment="1">
      <alignment vertical="center"/>
    </xf>
    <xf numFmtId="14" fontId="0" fillId="3" borderId="1" xfId="0" applyNumberFormat="1" applyFill="1" applyBorder="1" applyAlignment="1">
      <alignment vertical="center"/>
    </xf>
    <xf numFmtId="0" fontId="0" fillId="3" borderId="0" xfId="0" applyFill="1" applyAlignment="1">
      <alignment vertical="center"/>
    </xf>
    <xf numFmtId="0" fontId="13" fillId="0" borderId="8" xfId="0" applyFont="1" applyFill="1" applyBorder="1" applyAlignment="1">
      <alignment horizontal="center" vertical="center" wrapText="1"/>
    </xf>
    <xf numFmtId="0" fontId="0" fillId="0" borderId="13" xfId="0" applyFont="1" applyFill="1" applyBorder="1" applyAlignment="1">
      <alignment vertical="center"/>
    </xf>
    <xf numFmtId="0" fontId="13" fillId="0" borderId="10" xfId="0" applyFont="1" applyFill="1" applyBorder="1" applyAlignment="1">
      <alignment horizontal="center" vertical="center" wrapText="1"/>
    </xf>
    <xf numFmtId="0" fontId="13" fillId="0" borderId="6" xfId="0" applyFont="1" applyFill="1" applyBorder="1" applyAlignment="1">
      <alignment horizontal="center" vertical="center" wrapText="1"/>
    </xf>
    <xf numFmtId="2" fontId="6" fillId="3" borderId="11" xfId="0" applyNumberFormat="1" applyFont="1" applyFill="1" applyBorder="1" applyAlignment="1">
      <alignment horizontal="center" vertical="center"/>
    </xf>
    <xf numFmtId="2" fontId="6" fillId="3" borderId="1" xfId="0" applyNumberFormat="1" applyFont="1" applyFill="1" applyBorder="1" applyAlignment="1">
      <alignment horizontal="center" vertical="center"/>
    </xf>
    <xf numFmtId="2" fontId="6" fillId="3" borderId="12" xfId="0" applyNumberFormat="1" applyFont="1" applyFill="1" applyBorder="1" applyAlignment="1">
      <alignment horizontal="center" vertical="center"/>
    </xf>
    <xf numFmtId="2" fontId="6" fillId="3" borderId="25" xfId="0" applyNumberFormat="1" applyFont="1" applyFill="1" applyBorder="1" applyAlignment="1">
      <alignment horizontal="center" vertical="center"/>
    </xf>
    <xf numFmtId="2" fontId="6" fillId="3" borderId="5" xfId="0" applyNumberFormat="1" applyFont="1" applyFill="1" applyBorder="1" applyAlignment="1">
      <alignment horizontal="center" vertical="center"/>
    </xf>
    <xf numFmtId="2" fontId="6" fillId="3" borderId="26" xfId="0" applyNumberFormat="1" applyFont="1" applyFill="1" applyBorder="1" applyAlignment="1">
      <alignment horizontal="center" vertical="center"/>
    </xf>
    <xf numFmtId="49" fontId="6" fillId="0" borderId="0" xfId="0" quotePrefix="1" applyNumberFormat="1" applyFont="1" applyBorder="1" applyAlignment="1">
      <alignment horizontal="center" vertical="center" wrapText="1"/>
    </xf>
    <xf numFmtId="0" fontId="8" fillId="0" borderId="0" xfId="0" applyFont="1" applyBorder="1" applyAlignment="1">
      <alignment horizontal="center" vertical="center" wrapText="1"/>
    </xf>
    <xf numFmtId="43" fontId="6" fillId="0" borderId="0" xfId="1" applyFont="1" applyFill="1" applyBorder="1" applyAlignment="1">
      <alignment horizontal="center" vertical="center"/>
    </xf>
    <xf numFmtId="164" fontId="6" fillId="0" borderId="1" xfId="1" applyNumberFormat="1" applyFont="1" applyFill="1" applyBorder="1" applyAlignment="1">
      <alignment horizontal="center" vertical="center"/>
    </xf>
    <xf numFmtId="0" fontId="0" fillId="0" borderId="0" xfId="0" applyFill="1" applyBorder="1" applyAlignment="1">
      <alignment horizontal="center" vertical="center" wrapText="1"/>
    </xf>
    <xf numFmtId="43" fontId="0" fillId="0" borderId="1" xfId="1" applyNumberFormat="1" applyFont="1" applyBorder="1" applyAlignment="1">
      <alignment vertical="center"/>
    </xf>
    <xf numFmtId="0" fontId="0" fillId="0" borderId="0" xfId="0" applyFont="1" applyAlignment="1">
      <alignment vertical="center" wrapText="1"/>
    </xf>
    <xf numFmtId="0" fontId="14" fillId="0" borderId="0" xfId="0" applyFont="1" applyAlignment="1">
      <alignment horizontal="center" vertical="center" wrapText="1"/>
    </xf>
    <xf numFmtId="2" fontId="6" fillId="0" borderId="23" xfId="0" applyNumberFormat="1" applyFont="1" applyBorder="1" applyAlignment="1">
      <alignment horizontal="center" vertical="center"/>
    </xf>
    <xf numFmtId="2" fontId="6" fillId="3" borderId="23" xfId="0" applyNumberFormat="1" applyFont="1" applyFill="1" applyBorder="1" applyAlignment="1">
      <alignment horizontal="center" vertical="center"/>
    </xf>
    <xf numFmtId="17" fontId="13" fillId="0" borderId="10" xfId="0" quotePrefix="1" applyNumberFormat="1" applyFont="1" applyFill="1" applyBorder="1" applyAlignment="1">
      <alignment horizontal="center" vertical="center" wrapText="1"/>
    </xf>
    <xf numFmtId="17" fontId="13" fillId="0" borderId="45" xfId="0" quotePrefix="1" applyNumberFormat="1" applyFont="1" applyFill="1" applyBorder="1" applyAlignment="1">
      <alignment horizontal="center" vertical="center" wrapText="1"/>
    </xf>
    <xf numFmtId="17" fontId="13" fillId="0" borderId="46" xfId="0" quotePrefix="1" applyNumberFormat="1" applyFont="1" applyFill="1" applyBorder="1" applyAlignment="1">
      <alignment horizontal="center" vertical="center" wrapText="1"/>
    </xf>
    <xf numFmtId="0" fontId="13" fillId="0" borderId="7" xfId="0" applyFont="1" applyFill="1" applyBorder="1" applyAlignment="1">
      <alignment horizontal="center" vertical="center" wrapText="1"/>
    </xf>
    <xf numFmtId="0" fontId="13" fillId="0" borderId="38" xfId="0" applyFont="1" applyFill="1" applyBorder="1" applyAlignment="1">
      <alignment horizontal="center" vertical="center" wrapText="1"/>
    </xf>
    <xf numFmtId="2" fontId="6" fillId="0" borderId="31" xfId="0" applyNumberFormat="1" applyFont="1" applyBorder="1" applyAlignment="1">
      <alignment horizontal="center" vertical="center"/>
    </xf>
    <xf numFmtId="2" fontId="6" fillId="0" borderId="33" xfId="0" applyNumberFormat="1" applyFont="1" applyBorder="1" applyAlignment="1">
      <alignment horizontal="center" vertical="center"/>
    </xf>
    <xf numFmtId="2" fontId="6" fillId="0" borderId="34" xfId="0" applyNumberFormat="1" applyFont="1" applyBorder="1" applyAlignment="1">
      <alignment horizontal="center" vertical="center"/>
    </xf>
    <xf numFmtId="2" fontId="6" fillId="3" borderId="32" xfId="0" applyNumberFormat="1" applyFont="1" applyFill="1" applyBorder="1" applyAlignment="1">
      <alignment horizontal="center" vertical="center"/>
    </xf>
    <xf numFmtId="2" fontId="6" fillId="3" borderId="33" xfId="0" applyNumberFormat="1" applyFont="1" applyFill="1" applyBorder="1" applyAlignment="1">
      <alignment horizontal="center" vertical="center"/>
    </xf>
    <xf numFmtId="2" fontId="6" fillId="0" borderId="32" xfId="0" applyNumberFormat="1" applyFont="1" applyBorder="1" applyAlignment="1">
      <alignment horizontal="center" vertical="center"/>
    </xf>
    <xf numFmtId="2" fontId="6" fillId="0" borderId="47" xfId="0" applyNumberFormat="1" applyFont="1" applyBorder="1" applyAlignment="1">
      <alignment horizontal="center" vertical="center"/>
    </xf>
    <xf numFmtId="43" fontId="9" fillId="0" borderId="7" xfId="1" applyFont="1" applyBorder="1" applyAlignment="1">
      <alignment horizontal="center" vertical="center"/>
    </xf>
    <xf numFmtId="43" fontId="9" fillId="0" borderId="38" xfId="1" applyFont="1" applyBorder="1" applyAlignment="1">
      <alignment horizontal="center" vertical="center"/>
    </xf>
    <xf numFmtId="43" fontId="9" fillId="0" borderId="6" xfId="1" applyFont="1" applyBorder="1" applyAlignment="1">
      <alignment horizontal="center" vertical="center"/>
    </xf>
    <xf numFmtId="0" fontId="9" fillId="0" borderId="8" xfId="0" applyFont="1" applyFill="1" applyBorder="1" applyAlignment="1">
      <alignment horizontal="center" vertical="center" wrapText="1"/>
    </xf>
    <xf numFmtId="43" fontId="15" fillId="2" borderId="11" xfId="1" applyFont="1" applyFill="1" applyBorder="1" applyAlignment="1">
      <alignment horizontal="center" vertical="center"/>
    </xf>
    <xf numFmtId="0" fontId="6" fillId="0" borderId="0" xfId="0" applyFont="1" applyAlignment="1">
      <alignment vertical="center"/>
    </xf>
    <xf numFmtId="43" fontId="3" fillId="0" borderId="23" xfId="1" applyFont="1" applyBorder="1" applyAlignment="1">
      <alignment vertical="center"/>
    </xf>
    <xf numFmtId="0" fontId="9" fillId="0" borderId="49" xfId="0" applyFont="1" applyBorder="1" applyAlignment="1">
      <alignment horizontal="center" vertical="center" wrapText="1"/>
    </xf>
    <xf numFmtId="43" fontId="6" fillId="0" borderId="1" xfId="1" applyFont="1" applyFill="1" applyBorder="1" applyAlignment="1">
      <alignment vertical="center"/>
    </xf>
    <xf numFmtId="0" fontId="0" fillId="0" borderId="1" xfId="0" applyFont="1" applyBorder="1" applyAlignment="1">
      <alignment vertical="center" wrapText="1"/>
    </xf>
    <xf numFmtId="0" fontId="0" fillId="0" borderId="1" xfId="0" applyFont="1" applyBorder="1" applyAlignment="1">
      <alignment horizontal="center" vertical="center"/>
    </xf>
    <xf numFmtId="43" fontId="19" fillId="0" borderId="0" xfId="1" applyFont="1" applyFill="1" applyBorder="1" applyAlignment="1">
      <alignment horizontal="center" vertical="center"/>
    </xf>
    <xf numFmtId="43" fontId="20" fillId="0" borderId="0" xfId="1" applyFont="1" applyFill="1" applyBorder="1" applyAlignment="1">
      <alignment horizontal="center" vertical="center"/>
    </xf>
    <xf numFmtId="0" fontId="0" fillId="0" borderId="1" xfId="0" applyFont="1" applyBorder="1" applyAlignment="1">
      <alignment horizontal="center" vertical="center" wrapText="1"/>
    </xf>
    <xf numFmtId="2" fontId="3" fillId="0" borderId="1" xfId="0" applyNumberFormat="1" applyFont="1" applyBorder="1" applyAlignment="1">
      <alignment horizontal="center" vertical="center"/>
    </xf>
    <xf numFmtId="0" fontId="9" fillId="0" borderId="13" xfId="0" applyFont="1" applyBorder="1" applyAlignment="1">
      <alignment horizontal="center" vertical="center" wrapText="1"/>
    </xf>
    <xf numFmtId="43" fontId="9" fillId="0" borderId="12" xfId="1" applyFont="1" applyFill="1" applyBorder="1" applyAlignment="1">
      <alignment horizontal="center" vertical="center"/>
    </xf>
    <xf numFmtId="0" fontId="9" fillId="0" borderId="36" xfId="0" applyFont="1" applyBorder="1" applyAlignment="1">
      <alignment horizontal="center" vertical="center" wrapText="1"/>
    </xf>
    <xf numFmtId="2" fontId="3" fillId="0" borderId="16" xfId="0" applyNumberFormat="1" applyFont="1" applyBorder="1" applyAlignment="1">
      <alignment horizontal="center" vertical="center"/>
    </xf>
    <xf numFmtId="43" fontId="6" fillId="0" borderId="16" xfId="1" applyFont="1" applyFill="1" applyBorder="1" applyAlignment="1">
      <alignment vertical="center"/>
    </xf>
    <xf numFmtId="43" fontId="9" fillId="0" borderId="17" xfId="1" applyFont="1" applyFill="1" applyBorder="1" applyAlignment="1">
      <alignment horizontal="center" vertical="center"/>
    </xf>
    <xf numFmtId="0" fontId="9" fillId="0" borderId="36" xfId="0" applyFont="1" applyFill="1" applyBorder="1" applyAlignment="1">
      <alignment horizontal="center" vertical="center" wrapText="1"/>
    </xf>
    <xf numFmtId="43" fontId="6" fillId="0" borderId="5" xfId="1" applyFont="1" applyFill="1" applyBorder="1" applyAlignment="1">
      <alignment horizontal="center" vertical="center"/>
    </xf>
    <xf numFmtId="43" fontId="15" fillId="2" borderId="25" xfId="1" applyFont="1" applyFill="1" applyBorder="1" applyAlignment="1">
      <alignment horizontal="center" vertical="center"/>
    </xf>
    <xf numFmtId="43" fontId="9" fillId="0" borderId="26" xfId="1" applyFont="1" applyFill="1" applyBorder="1" applyAlignment="1">
      <alignment horizontal="center" vertical="center"/>
    </xf>
    <xf numFmtId="43" fontId="6" fillId="0" borderId="9" xfId="1" applyFont="1" applyFill="1" applyBorder="1" applyAlignment="1">
      <alignment horizontal="center" vertical="center"/>
    </xf>
    <xf numFmtId="2" fontId="3" fillId="0" borderId="11" xfId="0" applyNumberFormat="1" applyFont="1" applyBorder="1" applyAlignment="1">
      <alignment horizontal="center" vertical="center"/>
    </xf>
    <xf numFmtId="2" fontId="3" fillId="0" borderId="15" xfId="0" applyNumberFormat="1" applyFont="1" applyBorder="1" applyAlignment="1">
      <alignment horizontal="center" vertical="center"/>
    </xf>
    <xf numFmtId="43" fontId="6" fillId="0" borderId="25" xfId="1" applyFont="1" applyFill="1" applyBorder="1" applyAlignment="1">
      <alignment horizontal="center" vertical="center"/>
    </xf>
    <xf numFmtId="43" fontId="6" fillId="0" borderId="26" xfId="1" applyFont="1" applyFill="1" applyBorder="1" applyAlignment="1">
      <alignment horizontal="center" vertical="center"/>
    </xf>
    <xf numFmtId="43" fontId="6" fillId="0" borderId="11" xfId="1" applyFont="1" applyFill="1" applyBorder="1" applyAlignment="1">
      <alignment vertical="center"/>
    </xf>
    <xf numFmtId="43" fontId="6" fillId="0" borderId="12" xfId="1" applyFont="1" applyFill="1" applyBorder="1" applyAlignment="1">
      <alignment vertical="center"/>
    </xf>
    <xf numFmtId="43" fontId="6" fillId="0" borderId="17" xfId="1" applyFont="1" applyFill="1" applyBorder="1" applyAlignment="1">
      <alignment vertical="center"/>
    </xf>
    <xf numFmtId="0" fontId="3" fillId="0" borderId="35" xfId="0" applyFont="1" applyBorder="1" applyAlignment="1">
      <alignment vertical="center"/>
    </xf>
    <xf numFmtId="0" fontId="3" fillId="0" borderId="56" xfId="0" applyFont="1" applyBorder="1" applyAlignment="1">
      <alignment vertical="center"/>
    </xf>
    <xf numFmtId="17" fontId="3" fillId="0" borderId="48" xfId="0" applyNumberFormat="1" applyFont="1" applyBorder="1" applyAlignment="1">
      <alignment horizontal="center" vertical="center" wrapText="1"/>
    </xf>
    <xf numFmtId="17" fontId="17" fillId="0" borderId="48" xfId="0" applyNumberFormat="1" applyFont="1" applyBorder="1" applyAlignment="1">
      <alignment horizontal="center" vertical="center" wrapText="1"/>
    </xf>
    <xf numFmtId="43" fontId="3" fillId="0" borderId="5" xfId="1" applyFont="1" applyBorder="1" applyAlignment="1">
      <alignment vertical="center"/>
    </xf>
    <xf numFmtId="43" fontId="0" fillId="0" borderId="0" xfId="0" applyNumberFormat="1" applyAlignment="1">
      <alignment vertical="center"/>
    </xf>
    <xf numFmtId="14" fontId="0" fillId="0" borderId="1" xfId="0" applyNumberFormat="1" applyFill="1" applyBorder="1" applyAlignment="1">
      <alignment vertical="center"/>
    </xf>
    <xf numFmtId="0" fontId="0" fillId="0" borderId="1" xfId="0" applyFill="1" applyBorder="1" applyAlignment="1">
      <alignment vertical="center"/>
    </xf>
    <xf numFmtId="43" fontId="0" fillId="0" borderId="1" xfId="1" applyFont="1" applyFill="1" applyBorder="1" applyAlignment="1">
      <alignment vertical="center"/>
    </xf>
    <xf numFmtId="0" fontId="0" fillId="6" borderId="0" xfId="0" applyFont="1" applyFill="1" applyAlignment="1">
      <alignment vertical="center"/>
    </xf>
    <xf numFmtId="164" fontId="0" fillId="0" borderId="0" xfId="0" applyNumberFormat="1" applyAlignment="1">
      <alignment vertical="center"/>
    </xf>
    <xf numFmtId="0" fontId="0" fillId="0" borderId="5" xfId="0" applyBorder="1" applyAlignment="1">
      <alignment vertical="center"/>
    </xf>
    <xf numFmtId="0" fontId="0" fillId="0" borderId="16" xfId="0" applyBorder="1" applyAlignment="1">
      <alignment vertical="center"/>
    </xf>
    <xf numFmtId="0" fontId="0" fillId="6" borderId="16" xfId="0" applyFill="1" applyBorder="1" applyAlignment="1">
      <alignment vertical="center"/>
    </xf>
    <xf numFmtId="17" fontId="3" fillId="0" borderId="58" xfId="0" applyNumberFormat="1" applyFont="1" applyBorder="1" applyAlignment="1">
      <alignment horizontal="center" vertical="center" wrapText="1"/>
    </xf>
    <xf numFmtId="43" fontId="3" fillId="0" borderId="34" xfId="1" applyFont="1" applyBorder="1" applyAlignment="1">
      <alignment vertical="center"/>
    </xf>
    <xf numFmtId="43" fontId="3" fillId="0" borderId="58" xfId="1" applyFont="1" applyBorder="1" applyAlignment="1">
      <alignment vertical="center"/>
    </xf>
    <xf numFmtId="0" fontId="3" fillId="0" borderId="8" xfId="0" applyFont="1" applyBorder="1" applyAlignment="1">
      <alignment horizontal="center" vertical="center" wrapText="1"/>
    </xf>
    <xf numFmtId="2" fontId="3" fillId="5" borderId="10" xfId="0" applyNumberFormat="1" applyFont="1" applyFill="1" applyBorder="1" applyAlignment="1">
      <alignment vertical="center"/>
    </xf>
    <xf numFmtId="2" fontId="3" fillId="5" borderId="8" xfId="0" applyNumberFormat="1" applyFont="1" applyFill="1" applyBorder="1" applyAlignment="1">
      <alignment vertical="center"/>
    </xf>
    <xf numFmtId="0" fontId="3" fillId="0" borderId="57" xfId="0" applyFont="1" applyBorder="1" applyAlignment="1">
      <alignment horizontal="center" vertical="center" wrapText="1"/>
    </xf>
    <xf numFmtId="2" fontId="3" fillId="5" borderId="7" xfId="0" applyNumberFormat="1" applyFont="1" applyFill="1" applyBorder="1" applyAlignment="1">
      <alignment vertical="center"/>
    </xf>
    <xf numFmtId="2" fontId="3" fillId="5" borderId="7" xfId="0" applyNumberFormat="1" applyFont="1" applyFill="1" applyBorder="1" applyAlignment="1">
      <alignment vertical="center" wrapText="1"/>
    </xf>
    <xf numFmtId="2" fontId="3" fillId="5" borderId="57" xfId="0" applyNumberFormat="1" applyFont="1" applyFill="1" applyBorder="1" applyAlignment="1">
      <alignment vertical="center" wrapText="1"/>
    </xf>
    <xf numFmtId="17" fontId="3" fillId="0" borderId="59" xfId="0" applyNumberFormat="1" applyFont="1" applyBorder="1" applyAlignment="1">
      <alignment horizontal="center" vertical="center" wrapText="1"/>
    </xf>
    <xf numFmtId="43" fontId="3" fillId="0" borderId="47" xfId="1" applyFont="1" applyBorder="1" applyAlignment="1">
      <alignment vertical="center"/>
    </xf>
    <xf numFmtId="0" fontId="0" fillId="0" borderId="3" xfId="0" applyBorder="1" applyAlignment="1">
      <alignment vertical="center"/>
    </xf>
    <xf numFmtId="0" fontId="0" fillId="0" borderId="30" xfId="0" applyBorder="1" applyAlignment="1">
      <alignment vertical="center"/>
    </xf>
    <xf numFmtId="43" fontId="3" fillId="0" borderId="7" xfId="1" applyFont="1" applyBorder="1" applyAlignment="1">
      <alignment vertical="center"/>
    </xf>
    <xf numFmtId="43" fontId="3" fillId="0" borderId="57" xfId="1" applyFont="1" applyBorder="1" applyAlignment="1">
      <alignment vertical="center"/>
    </xf>
    <xf numFmtId="0" fontId="22" fillId="0" borderId="0" xfId="0" applyFont="1" applyAlignment="1">
      <alignment horizontal="right"/>
    </xf>
    <xf numFmtId="0" fontId="21" fillId="0" borderId="0" xfId="0" applyFont="1" applyAlignment="1">
      <alignment horizontal="right"/>
    </xf>
    <xf numFmtId="17" fontId="21" fillId="0" borderId="0" xfId="0" applyNumberFormat="1" applyFont="1"/>
    <xf numFmtId="0" fontId="23" fillId="7" borderId="61" xfId="0" applyFont="1" applyFill="1" applyBorder="1" applyAlignment="1">
      <alignment horizontal="center" vertical="center" wrapText="1"/>
    </xf>
    <xf numFmtId="0" fontId="23" fillId="7" borderId="48" xfId="0" applyFont="1" applyFill="1" applyBorder="1" applyAlignment="1">
      <alignment horizontal="center" vertical="center" wrapText="1"/>
    </xf>
    <xf numFmtId="0" fontId="23" fillId="7" borderId="59" xfId="0" applyFont="1" applyFill="1" applyBorder="1" applyAlignment="1">
      <alignment horizontal="center" vertical="center" wrapText="1"/>
    </xf>
    <xf numFmtId="0" fontId="23" fillId="7" borderId="8" xfId="0" applyFont="1" applyFill="1" applyBorder="1" applyAlignment="1">
      <alignment horizontal="center" vertical="center" wrapText="1"/>
    </xf>
    <xf numFmtId="0" fontId="24" fillId="0" borderId="7" xfId="0" applyFont="1" applyBorder="1" applyAlignment="1">
      <alignment horizontal="center" vertical="center" wrapText="1"/>
    </xf>
    <xf numFmtId="0" fontId="25" fillId="0" borderId="0" xfId="0" applyFont="1" applyAlignment="1">
      <alignment horizontal="center" vertical="center"/>
    </xf>
    <xf numFmtId="0" fontId="23" fillId="8" borderId="50" xfId="0" applyFont="1" applyFill="1" applyBorder="1" applyAlignment="1">
      <alignment horizontal="center" wrapText="1"/>
    </xf>
    <xf numFmtId="0" fontId="23" fillId="0" borderId="10" xfId="0" applyFont="1" applyBorder="1" applyAlignment="1">
      <alignment horizontal="left" vertical="center" wrapText="1"/>
    </xf>
    <xf numFmtId="2" fontId="26" fillId="0" borderId="38" xfId="1" applyNumberFormat="1" applyFont="1" applyFill="1" applyBorder="1" applyAlignment="1">
      <alignment horizontal="center" vertical="center"/>
    </xf>
    <xf numFmtId="2" fontId="23" fillId="0" borderId="0" xfId="1" applyNumberFormat="1" applyFont="1" applyFill="1" applyBorder="1" applyAlignment="1">
      <alignment horizontal="center" vertical="center"/>
    </xf>
    <xf numFmtId="0" fontId="23" fillId="0" borderId="45" xfId="0" applyFont="1" applyBorder="1" applyAlignment="1">
      <alignment horizontal="left" vertical="center" wrapText="1"/>
    </xf>
    <xf numFmtId="0" fontId="23" fillId="8" borderId="1" xfId="0" applyFont="1" applyFill="1" applyBorder="1" applyAlignment="1">
      <alignment horizontal="center" vertical="center" wrapText="1"/>
    </xf>
    <xf numFmtId="0" fontId="23" fillId="8" borderId="65" xfId="0" applyFont="1" applyFill="1" applyBorder="1" applyAlignment="1">
      <alignment horizontal="center" vertical="center" wrapText="1"/>
    </xf>
    <xf numFmtId="0" fontId="23" fillId="8" borderId="3" xfId="0" applyFont="1" applyFill="1" applyBorder="1" applyAlignment="1">
      <alignment horizontal="center" wrapText="1"/>
    </xf>
    <xf numFmtId="0" fontId="27" fillId="0" borderId="45" xfId="0" applyFont="1" applyBorder="1" applyAlignment="1">
      <alignment horizontal="left" vertical="center" wrapText="1"/>
    </xf>
    <xf numFmtId="0" fontId="23" fillId="8" borderId="5" xfId="0" applyFont="1" applyFill="1" applyBorder="1" applyAlignment="1">
      <alignment horizontal="center" vertical="center" wrapText="1"/>
    </xf>
    <xf numFmtId="0" fontId="23" fillId="8" borderId="1" xfId="0" applyFont="1" applyFill="1" applyBorder="1" applyAlignment="1">
      <alignment vertical="center" wrapText="1"/>
    </xf>
    <xf numFmtId="0" fontId="23" fillId="0" borderId="45" xfId="0" applyFont="1" applyBorder="1" applyAlignment="1">
      <alignment horizontal="left" wrapText="1"/>
    </xf>
    <xf numFmtId="0" fontId="23" fillId="8" borderId="65" xfId="0" applyFont="1" applyFill="1" applyBorder="1" applyAlignment="1">
      <alignment horizontal="center" vertical="center"/>
    </xf>
    <xf numFmtId="0" fontId="23" fillId="0" borderId="45" xfId="0" applyFont="1" applyBorder="1" applyAlignment="1">
      <alignment horizontal="left" vertical="center"/>
    </xf>
    <xf numFmtId="0" fontId="23" fillId="0" borderId="50" xfId="0" applyFont="1" applyBorder="1" applyAlignment="1">
      <alignment horizontal="center" vertical="center"/>
    </xf>
    <xf numFmtId="0" fontId="23" fillId="0" borderId="10" xfId="0" applyFont="1" applyBorder="1" applyAlignment="1">
      <alignment vertical="center" wrapText="1"/>
    </xf>
    <xf numFmtId="0" fontId="23" fillId="0" borderId="66" xfId="0" applyFont="1" applyBorder="1" applyAlignment="1">
      <alignment horizontal="center" vertical="center"/>
    </xf>
    <xf numFmtId="0" fontId="23" fillId="0" borderId="46" xfId="0" applyFont="1" applyBorder="1" applyAlignment="1">
      <alignment vertical="center" wrapText="1"/>
    </xf>
    <xf numFmtId="2" fontId="26" fillId="0" borderId="6" xfId="1" applyNumberFormat="1" applyFont="1" applyFill="1" applyBorder="1" applyAlignment="1">
      <alignment horizontal="center" vertical="center"/>
    </xf>
    <xf numFmtId="0" fontId="13" fillId="0" borderId="0" xfId="0" applyFont="1" applyAlignment="1">
      <alignment vertical="center" wrapText="1"/>
    </xf>
    <xf numFmtId="0" fontId="8" fillId="0" borderId="0" xfId="0" applyFont="1" applyAlignment="1">
      <alignment horizontal="center" vertical="center" wrapText="1"/>
    </xf>
    <xf numFmtId="0" fontId="13" fillId="0" borderId="0" xfId="0" applyFont="1" applyAlignment="1">
      <alignment horizontal="left" wrapText="1"/>
    </xf>
    <xf numFmtId="2" fontId="28" fillId="0" borderId="0" xfId="1" applyNumberFormat="1" applyFont="1" applyFill="1" applyBorder="1" applyAlignment="1">
      <alignment horizontal="center" vertical="center"/>
    </xf>
    <xf numFmtId="2" fontId="13" fillId="0" borderId="0" xfId="1" applyNumberFormat="1" applyFont="1" applyFill="1" applyBorder="1" applyAlignment="1">
      <alignment horizontal="center" vertical="center"/>
    </xf>
    <xf numFmtId="0" fontId="8" fillId="0" borderId="0" xfId="0" applyFont="1" applyAlignment="1">
      <alignment vertical="center" wrapText="1"/>
    </xf>
    <xf numFmtId="0" fontId="13" fillId="0" borderId="0" xfId="0" applyFont="1" applyAlignment="1">
      <alignment horizontal="left" vertical="center" wrapText="1"/>
    </xf>
    <xf numFmtId="2" fontId="29" fillId="0" borderId="0" xfId="1" applyNumberFormat="1" applyFont="1" applyFill="1" applyBorder="1" applyAlignment="1">
      <alignment horizontal="center" vertical="center"/>
    </xf>
    <xf numFmtId="0" fontId="8" fillId="0" borderId="0" xfId="0" applyFont="1" applyAlignment="1">
      <alignment vertical="center"/>
    </xf>
    <xf numFmtId="2" fontId="29" fillId="0" borderId="0" xfId="0" applyNumberFormat="1" applyFont="1" applyAlignment="1">
      <alignment horizontal="center" vertical="center" wrapText="1"/>
    </xf>
    <xf numFmtId="2" fontId="30" fillId="0" borderId="0" xfId="0" applyNumberFormat="1" applyFont="1" applyAlignment="1">
      <alignment horizontal="center" vertical="center"/>
    </xf>
    <xf numFmtId="2" fontId="13" fillId="0" borderId="0" xfId="0" applyNumberFormat="1" applyFont="1" applyAlignment="1">
      <alignment horizontal="center" vertical="center" wrapText="1"/>
    </xf>
    <xf numFmtId="2" fontId="31" fillId="0" borderId="0" xfId="0" applyNumberFormat="1" applyFont="1" applyAlignment="1">
      <alignment horizontal="center" vertical="center"/>
    </xf>
    <xf numFmtId="2" fontId="32" fillId="0" borderId="0" xfId="1" applyNumberFormat="1" applyFont="1" applyFill="1" applyBorder="1" applyAlignment="1">
      <alignment horizontal="center"/>
    </xf>
    <xf numFmtId="0" fontId="0" fillId="0" borderId="0" xfId="0" applyFill="1" applyBorder="1" applyAlignment="1">
      <alignment horizontal="center" vertical="center"/>
    </xf>
    <xf numFmtId="0" fontId="25" fillId="0" borderId="0" xfId="0" applyFont="1" applyFill="1" applyBorder="1" applyAlignment="1">
      <alignment horizontal="center" vertical="center"/>
    </xf>
    <xf numFmtId="0" fontId="23" fillId="0" borderId="0" xfId="0" applyFont="1" applyFill="1" applyBorder="1" applyAlignment="1">
      <alignment horizontal="center" vertical="center" wrapText="1"/>
    </xf>
    <xf numFmtId="2" fontId="26" fillId="3" borderId="38" xfId="1" applyNumberFormat="1" applyFont="1" applyFill="1" applyBorder="1" applyAlignment="1">
      <alignment horizontal="center" vertical="center"/>
    </xf>
    <xf numFmtId="2" fontId="27" fillId="3" borderId="38" xfId="1" applyNumberFormat="1" applyFont="1" applyFill="1" applyBorder="1" applyAlignment="1">
      <alignment horizontal="center" vertical="center"/>
    </xf>
    <xf numFmtId="0" fontId="0" fillId="3" borderId="0" xfId="0" applyFill="1" applyAlignment="1">
      <alignment horizontal="center" vertical="center"/>
    </xf>
    <xf numFmtId="0" fontId="2" fillId="9" borderId="0" xfId="0" applyFont="1" applyFill="1" applyAlignment="1">
      <alignment horizontal="center" vertical="center"/>
    </xf>
    <xf numFmtId="0" fontId="0" fillId="10" borderId="0" xfId="0" applyFill="1" applyAlignment="1">
      <alignment vertical="center"/>
    </xf>
    <xf numFmtId="0" fontId="23" fillId="7" borderId="57" xfId="0" applyFont="1" applyFill="1" applyBorder="1" applyAlignment="1">
      <alignment horizontal="center" vertical="center" wrapText="1"/>
    </xf>
    <xf numFmtId="0" fontId="23" fillId="0" borderId="7" xfId="0" applyFont="1" applyBorder="1" applyAlignment="1">
      <alignment horizontal="left" vertical="center" wrapText="1"/>
    </xf>
    <xf numFmtId="0" fontId="23" fillId="0" borderId="38" xfId="0" applyFont="1" applyBorder="1" applyAlignment="1">
      <alignment horizontal="left" vertical="center" wrapText="1"/>
    </xf>
    <xf numFmtId="0" fontId="27" fillId="0" borderId="38" xfId="0" applyFont="1" applyBorder="1" applyAlignment="1">
      <alignment horizontal="left" vertical="center" wrapText="1"/>
    </xf>
    <xf numFmtId="0" fontId="23" fillId="0" borderId="38" xfId="0" applyFont="1" applyBorder="1" applyAlignment="1">
      <alignment horizontal="left" wrapText="1"/>
    </xf>
    <xf numFmtId="0" fontId="23" fillId="0" borderId="38" xfId="0" applyFont="1" applyBorder="1" applyAlignment="1">
      <alignment horizontal="left" vertical="center"/>
    </xf>
    <xf numFmtId="0" fontId="23" fillId="0" borderId="7" xfId="0" applyFont="1" applyBorder="1" applyAlignment="1">
      <alignment vertical="center" wrapText="1"/>
    </xf>
    <xf numFmtId="0" fontId="23" fillId="0" borderId="6" xfId="0" applyFont="1" applyBorder="1" applyAlignment="1">
      <alignment vertical="center" wrapText="1"/>
    </xf>
    <xf numFmtId="4" fontId="0" fillId="3" borderId="25" xfId="0" applyNumberFormat="1" applyFont="1" applyFill="1" applyBorder="1" applyAlignment="1">
      <alignment horizontal="center" vertical="center"/>
    </xf>
    <xf numFmtId="0" fontId="0" fillId="3" borderId="13" xfId="0" applyFont="1" applyFill="1" applyBorder="1" applyAlignment="1">
      <alignment vertical="center"/>
    </xf>
    <xf numFmtId="0" fontId="0" fillId="3" borderId="14" xfId="0" applyFont="1" applyFill="1" applyBorder="1" applyAlignment="1">
      <alignment vertical="center"/>
    </xf>
    <xf numFmtId="0" fontId="0" fillId="3" borderId="11" xfId="0" applyFont="1" applyFill="1" applyBorder="1" applyAlignment="1">
      <alignment vertical="center"/>
    </xf>
    <xf numFmtId="0" fontId="0" fillId="3" borderId="1" xfId="0" applyFont="1" applyFill="1" applyBorder="1" applyAlignment="1">
      <alignment vertical="center"/>
    </xf>
    <xf numFmtId="0" fontId="0" fillId="3" borderId="12" xfId="0" applyFont="1" applyFill="1" applyBorder="1" applyAlignment="1">
      <alignment vertical="center"/>
    </xf>
    <xf numFmtId="4" fontId="6" fillId="3" borderId="11" xfId="0" applyNumberFormat="1" applyFont="1" applyFill="1" applyBorder="1" applyAlignment="1">
      <alignment horizontal="center" vertical="center"/>
    </xf>
    <xf numFmtId="0" fontId="0" fillId="3" borderId="0" xfId="0" applyFont="1" applyFill="1" applyBorder="1" applyAlignment="1">
      <alignment vertical="center"/>
    </xf>
    <xf numFmtId="4" fontId="6" fillId="3" borderId="15" xfId="0" applyNumberFormat="1" applyFont="1" applyFill="1" applyBorder="1" applyAlignment="1">
      <alignment horizontal="center" vertical="center"/>
    </xf>
    <xf numFmtId="2" fontId="6" fillId="3" borderId="17" xfId="0" applyNumberFormat="1" applyFont="1" applyFill="1" applyBorder="1" applyAlignment="1">
      <alignment horizontal="center" vertical="center"/>
    </xf>
    <xf numFmtId="2" fontId="6" fillId="3" borderId="15" xfId="0" applyNumberFormat="1" applyFont="1" applyFill="1" applyBorder="1" applyAlignment="1">
      <alignment horizontal="center" vertical="center"/>
    </xf>
    <xf numFmtId="2" fontId="6" fillId="3" borderId="16" xfId="0" applyNumberFormat="1" applyFont="1" applyFill="1" applyBorder="1" applyAlignment="1">
      <alignment horizontal="center" vertical="center"/>
    </xf>
    <xf numFmtId="43" fontId="6" fillId="3" borderId="32" xfId="1" applyFont="1" applyFill="1" applyBorder="1" applyAlignment="1">
      <alignment horizontal="center" vertical="center"/>
    </xf>
    <xf numFmtId="4" fontId="6" fillId="3" borderId="25" xfId="0" applyNumberFormat="1" applyFont="1" applyFill="1" applyBorder="1" applyAlignment="1">
      <alignment horizontal="center" vertical="center"/>
    </xf>
    <xf numFmtId="43" fontId="0" fillId="3" borderId="11" xfId="1" applyFont="1" applyFill="1" applyBorder="1" applyAlignment="1">
      <alignment vertical="center"/>
    </xf>
    <xf numFmtId="2" fontId="3" fillId="3" borderId="12" xfId="0" applyNumberFormat="1" applyFont="1" applyFill="1" applyBorder="1" applyAlignment="1">
      <alignment horizontal="center" vertical="center"/>
    </xf>
    <xf numFmtId="2" fontId="3" fillId="3" borderId="11" xfId="0" applyNumberFormat="1" applyFont="1" applyFill="1" applyBorder="1" applyAlignment="1">
      <alignment horizontal="center" vertical="center"/>
    </xf>
    <xf numFmtId="2" fontId="3" fillId="3" borderId="1" xfId="0" applyNumberFormat="1" applyFont="1" applyFill="1" applyBorder="1" applyAlignment="1">
      <alignment horizontal="center" vertical="center"/>
    </xf>
    <xf numFmtId="43" fontId="0" fillId="3" borderId="15" xfId="1" applyFont="1" applyFill="1" applyBorder="1" applyAlignment="1">
      <alignment vertical="center"/>
    </xf>
    <xf numFmtId="2" fontId="3" fillId="3" borderId="17" xfId="0" applyNumberFormat="1" applyFont="1" applyFill="1" applyBorder="1" applyAlignment="1">
      <alignment horizontal="center" vertical="center"/>
    </xf>
    <xf numFmtId="2" fontId="3" fillId="3" borderId="15" xfId="0" applyNumberFormat="1" applyFont="1" applyFill="1" applyBorder="1" applyAlignment="1">
      <alignment horizontal="center" vertical="center"/>
    </xf>
    <xf numFmtId="2" fontId="3" fillId="3" borderId="16" xfId="0" applyNumberFormat="1" applyFont="1" applyFill="1" applyBorder="1" applyAlignment="1">
      <alignment horizontal="center" vertical="center"/>
    </xf>
    <xf numFmtId="0" fontId="0" fillId="4" borderId="18" xfId="0" applyFill="1" applyBorder="1" applyAlignment="1">
      <alignment horizontal="center" vertical="center" wrapText="1"/>
    </xf>
    <xf numFmtId="0" fontId="0" fillId="4" borderId="19" xfId="0" applyFill="1" applyBorder="1" applyAlignment="1">
      <alignment horizontal="center" vertical="center" wrapText="1"/>
    </xf>
    <xf numFmtId="0" fontId="0" fillId="4" borderId="20" xfId="0" applyFill="1" applyBorder="1" applyAlignment="1">
      <alignment horizontal="center" vertical="center" wrapText="1"/>
    </xf>
    <xf numFmtId="0" fontId="23" fillId="8" borderId="56" xfId="0" applyFont="1" applyFill="1" applyBorder="1" applyAlignment="1">
      <alignment horizontal="center" vertical="center" wrapText="1"/>
    </xf>
    <xf numFmtId="0" fontId="23" fillId="8" borderId="0" xfId="0" applyFont="1" applyFill="1" applyAlignment="1">
      <alignment horizontal="center" vertical="center" wrapText="1"/>
    </xf>
    <xf numFmtId="0" fontId="23" fillId="8" borderId="23" xfId="0" applyFont="1" applyFill="1" applyBorder="1" applyAlignment="1">
      <alignment horizontal="center" vertical="center" wrapText="1"/>
    </xf>
    <xf numFmtId="0" fontId="23" fillId="8" borderId="1" xfId="0" applyFont="1" applyFill="1" applyBorder="1" applyAlignment="1">
      <alignment horizontal="center" vertical="center" wrapText="1"/>
    </xf>
    <xf numFmtId="0" fontId="23" fillId="8" borderId="62" xfId="0" applyFont="1" applyFill="1" applyBorder="1" applyAlignment="1">
      <alignment horizontal="center" vertical="center" wrapText="1"/>
    </xf>
    <xf numFmtId="0" fontId="23" fillId="8" borderId="63" xfId="0" applyFont="1" applyFill="1" applyBorder="1" applyAlignment="1">
      <alignment horizontal="center" vertical="center" wrapText="1"/>
    </xf>
    <xf numFmtId="0" fontId="23" fillId="8" borderId="64" xfId="0" applyFont="1" applyFill="1" applyBorder="1" applyAlignment="1">
      <alignment horizontal="center" vertical="center" wrapText="1"/>
    </xf>
    <xf numFmtId="0" fontId="23" fillId="8" borderId="2" xfId="0" applyFont="1" applyFill="1" applyBorder="1" applyAlignment="1">
      <alignment horizontal="center" vertical="center" wrapText="1"/>
    </xf>
    <xf numFmtId="0" fontId="23" fillId="8" borderId="5" xfId="0" applyFont="1" applyFill="1" applyBorder="1" applyAlignment="1">
      <alignment horizontal="center" vertical="center" wrapText="1"/>
    </xf>
    <xf numFmtId="0" fontId="23" fillId="0" borderId="18" xfId="0" applyFont="1" applyBorder="1" applyAlignment="1">
      <alignment horizontal="center" vertical="center" wrapText="1"/>
    </xf>
    <xf numFmtId="0" fontId="23" fillId="0" borderId="20" xfId="0" applyFont="1" applyBorder="1" applyAlignment="1">
      <alignment horizontal="center" vertical="center" wrapText="1"/>
    </xf>
    <xf numFmtId="0" fontId="23" fillId="8" borderId="44" xfId="0" applyFont="1" applyFill="1" applyBorder="1" applyAlignment="1">
      <alignment horizontal="center" vertical="center" wrapText="1"/>
    </xf>
    <xf numFmtId="0" fontId="21" fillId="0" borderId="0" xfId="0" applyFont="1" applyAlignment="1">
      <alignment horizontal="center"/>
    </xf>
    <xf numFmtId="0" fontId="23" fillId="0" borderId="60" xfId="0" applyFont="1" applyBorder="1" applyAlignment="1">
      <alignment horizontal="center"/>
    </xf>
    <xf numFmtId="0" fontId="23" fillId="0" borderId="0" xfId="0" applyFont="1" applyAlignment="1">
      <alignment horizontal="center"/>
    </xf>
    <xf numFmtId="0" fontId="2" fillId="4" borderId="18" xfId="0" applyFont="1" applyFill="1" applyBorder="1" applyAlignment="1">
      <alignment horizontal="center" vertical="center" textRotation="255"/>
    </xf>
    <xf numFmtId="0" fontId="2" fillId="4" borderId="19" xfId="0" applyFont="1" applyFill="1" applyBorder="1" applyAlignment="1">
      <alignment horizontal="center" vertical="center" textRotation="255"/>
    </xf>
    <xf numFmtId="0" fontId="2" fillId="4" borderId="20" xfId="0" applyFont="1" applyFill="1" applyBorder="1" applyAlignment="1">
      <alignment horizontal="center" vertical="center" textRotation="255"/>
    </xf>
    <xf numFmtId="17" fontId="6" fillId="0" borderId="39" xfId="0" applyNumberFormat="1" applyFont="1" applyBorder="1" applyAlignment="1">
      <alignment horizontal="center" vertical="center" wrapText="1"/>
    </xf>
    <xf numFmtId="17" fontId="6" fillId="0" borderId="40" xfId="0" applyNumberFormat="1" applyFont="1" applyBorder="1" applyAlignment="1">
      <alignment horizontal="center" vertical="center" wrapText="1"/>
    </xf>
    <xf numFmtId="17" fontId="6" fillId="0" borderId="21" xfId="0" applyNumberFormat="1" applyFont="1" applyBorder="1" applyAlignment="1">
      <alignment horizontal="center" vertical="center" wrapText="1"/>
    </xf>
    <xf numFmtId="17" fontId="6" fillId="0" borderId="27" xfId="0" applyNumberFormat="1" applyFont="1" applyBorder="1" applyAlignment="1">
      <alignment horizontal="center" vertical="center" wrapText="1"/>
    </xf>
    <xf numFmtId="17" fontId="6" fillId="0" borderId="22" xfId="0" applyNumberFormat="1" applyFont="1" applyBorder="1" applyAlignment="1">
      <alignment horizontal="center" vertical="center" wrapText="1"/>
    </xf>
    <xf numFmtId="17" fontId="6" fillId="0" borderId="28" xfId="0" applyNumberFormat="1" applyFont="1" applyBorder="1" applyAlignment="1">
      <alignment horizontal="center" vertical="center" wrapText="1"/>
    </xf>
    <xf numFmtId="17" fontId="6" fillId="0" borderId="24" xfId="0" applyNumberFormat="1" applyFont="1" applyBorder="1" applyAlignment="1">
      <alignment horizontal="center" vertical="center" wrapText="1"/>
    </xf>
    <xf numFmtId="17" fontId="6" fillId="0" borderId="29" xfId="0" applyNumberFormat="1" applyFont="1" applyBorder="1" applyAlignment="1">
      <alignment horizontal="center" vertical="center" wrapText="1"/>
    </xf>
    <xf numFmtId="0" fontId="6" fillId="0" borderId="35" xfId="0" applyFont="1" applyBorder="1" applyAlignment="1">
      <alignment horizontal="center" vertical="center" wrapText="1"/>
    </xf>
    <xf numFmtId="0" fontId="6" fillId="0" borderId="36"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20" xfId="0" applyFont="1" applyBorder="1" applyAlignment="1">
      <alignment horizontal="center" vertical="center" wrapText="1"/>
    </xf>
    <xf numFmtId="17" fontId="6" fillId="0" borderId="32" xfId="0" applyNumberFormat="1" applyFont="1" applyBorder="1" applyAlignment="1">
      <alignment horizontal="center" vertical="center" wrapText="1"/>
    </xf>
    <xf numFmtId="17" fontId="6" fillId="0" borderId="23" xfId="0" applyNumberFormat="1" applyFont="1" applyBorder="1" applyAlignment="1">
      <alignment horizontal="center" vertical="center" wrapText="1"/>
    </xf>
    <xf numFmtId="17" fontId="6" fillId="0" borderId="33" xfId="0" applyNumberFormat="1" applyFont="1" applyBorder="1" applyAlignment="1">
      <alignment horizontal="center" vertical="center" wrapText="1"/>
    </xf>
    <xf numFmtId="17" fontId="6" fillId="0" borderId="34" xfId="0" applyNumberFormat="1" applyFont="1" applyBorder="1" applyAlignment="1">
      <alignment horizontal="center" vertical="center" wrapText="1"/>
    </xf>
    <xf numFmtId="17" fontId="4" fillId="0" borderId="24" xfId="0" applyNumberFormat="1" applyFont="1" applyBorder="1" applyAlignment="1">
      <alignment horizontal="center" vertical="center" wrapText="1"/>
    </xf>
    <xf numFmtId="17" fontId="4" fillId="0" borderId="29" xfId="0" applyNumberFormat="1" applyFont="1" applyBorder="1" applyAlignment="1">
      <alignment horizontal="center" vertical="center" wrapText="1"/>
    </xf>
    <xf numFmtId="0" fontId="16" fillId="0" borderId="21" xfId="0" applyFont="1" applyBorder="1" applyAlignment="1">
      <alignment horizontal="center" vertical="center"/>
    </xf>
    <xf numFmtId="0" fontId="16" fillId="0" borderId="22" xfId="0" applyFont="1" applyBorder="1" applyAlignment="1">
      <alignment horizontal="center" vertical="center"/>
    </xf>
    <xf numFmtId="0" fontId="16" fillId="0" borderId="51" xfId="0" applyFont="1" applyBorder="1" applyAlignment="1">
      <alignment horizontal="center" vertical="center"/>
    </xf>
    <xf numFmtId="17" fontId="12" fillId="0" borderId="18" xfId="0" applyNumberFormat="1" applyFont="1" applyBorder="1" applyAlignment="1">
      <alignment horizontal="center" vertical="center" wrapText="1"/>
    </xf>
    <xf numFmtId="17" fontId="12" fillId="0" borderId="20" xfId="0" applyNumberFormat="1" applyFont="1" applyBorder="1" applyAlignment="1">
      <alignment horizontal="center" vertical="center" wrapText="1"/>
    </xf>
    <xf numFmtId="17" fontId="3" fillId="0" borderId="54" xfId="0" applyNumberFormat="1" applyFont="1" applyBorder="1" applyAlignment="1">
      <alignment horizontal="center" vertical="center" wrapText="1"/>
    </xf>
    <xf numFmtId="17" fontId="3" fillId="0" borderId="55" xfId="0" applyNumberFormat="1" applyFont="1" applyBorder="1" applyAlignment="1">
      <alignment horizontal="center" vertical="center" wrapText="1"/>
    </xf>
    <xf numFmtId="17" fontId="4" fillId="0" borderId="22" xfId="0" applyNumberFormat="1" applyFont="1" applyBorder="1" applyAlignment="1">
      <alignment horizontal="center" vertical="center" wrapText="1"/>
    </xf>
    <xf numFmtId="17" fontId="4" fillId="0" borderId="28" xfId="0" applyNumberFormat="1" applyFont="1" applyBorder="1" applyAlignment="1">
      <alignment horizontal="center" vertical="center" wrapText="1"/>
    </xf>
    <xf numFmtId="17" fontId="3" fillId="0" borderId="22" xfId="0" applyNumberFormat="1" applyFont="1" applyBorder="1" applyAlignment="1">
      <alignment horizontal="center" vertical="center" wrapText="1"/>
    </xf>
    <xf numFmtId="17" fontId="3" fillId="0" borderId="28" xfId="0" applyNumberFormat="1" applyFont="1" applyBorder="1" applyAlignment="1">
      <alignment horizontal="center" vertical="center" wrapText="1"/>
    </xf>
    <xf numFmtId="17" fontId="4" fillId="0" borderId="10" xfId="0" applyNumberFormat="1" applyFont="1" applyBorder="1" applyAlignment="1">
      <alignment horizontal="center" vertical="center" wrapText="1"/>
    </xf>
    <xf numFmtId="17" fontId="4" fillId="0" borderId="50" xfId="0" applyNumberFormat="1" applyFont="1" applyBorder="1" applyAlignment="1">
      <alignment horizontal="center" vertical="center" wrapText="1"/>
    </xf>
    <xf numFmtId="17" fontId="4" fillId="0" borderId="53" xfId="0" applyNumberFormat="1" applyFont="1" applyBorder="1" applyAlignment="1">
      <alignment horizontal="center" vertical="center" wrapText="1"/>
    </xf>
    <xf numFmtId="0" fontId="3" fillId="0" borderId="21" xfId="0" applyFont="1" applyBorder="1" applyAlignment="1">
      <alignment horizontal="center" vertical="center" wrapText="1"/>
    </xf>
    <xf numFmtId="0" fontId="3" fillId="0" borderId="27" xfId="0" applyFont="1" applyBorder="1" applyAlignment="1">
      <alignment horizontal="center" vertical="center" wrapText="1"/>
    </xf>
    <xf numFmtId="0" fontId="3" fillId="0" borderId="51" xfId="0" applyFont="1" applyBorder="1" applyAlignment="1">
      <alignment horizontal="center" vertical="center" wrapText="1"/>
    </xf>
    <xf numFmtId="0" fontId="3" fillId="0" borderId="52" xfId="0" applyFont="1" applyBorder="1" applyAlignment="1">
      <alignment horizontal="center" vertical="center" wrapText="1"/>
    </xf>
    <xf numFmtId="17" fontId="3" fillId="0" borderId="21" xfId="0" applyNumberFormat="1" applyFont="1" applyBorder="1" applyAlignment="1">
      <alignment horizontal="center" vertical="center" wrapText="1"/>
    </xf>
    <xf numFmtId="17" fontId="3" fillId="0" borderId="27" xfId="0" applyNumberFormat="1" applyFont="1" applyBorder="1" applyAlignment="1">
      <alignment horizontal="center" vertical="center" wrapText="1"/>
    </xf>
    <xf numFmtId="17" fontId="3" fillId="0" borderId="24" xfId="0" applyNumberFormat="1" applyFont="1" applyBorder="1" applyAlignment="1">
      <alignment horizontal="center" vertical="center" wrapText="1"/>
    </xf>
    <xf numFmtId="17" fontId="3" fillId="0" borderId="29" xfId="0" applyNumberFormat="1" applyFont="1" applyBorder="1" applyAlignment="1">
      <alignment horizontal="center" vertical="center" wrapText="1"/>
    </xf>
    <xf numFmtId="0" fontId="12" fillId="4" borderId="35" xfId="0" applyFont="1" applyFill="1" applyBorder="1" applyAlignment="1">
      <alignment horizontal="center" vertical="center" textRotation="255"/>
    </xf>
    <xf numFmtId="0" fontId="12" fillId="4" borderId="13" xfId="0" applyFont="1" applyFill="1" applyBorder="1" applyAlignment="1">
      <alignment horizontal="center" vertical="center" textRotation="255"/>
    </xf>
    <xf numFmtId="0" fontId="12" fillId="4" borderId="36" xfId="0" applyFont="1" applyFill="1" applyBorder="1" applyAlignment="1">
      <alignment horizontal="center" vertical="center" textRotation="255"/>
    </xf>
    <xf numFmtId="0" fontId="12" fillId="4" borderId="1" xfId="0" applyFont="1" applyFill="1" applyBorder="1" applyAlignment="1">
      <alignment horizontal="center" vertical="center" textRotation="255"/>
    </xf>
    <xf numFmtId="0" fontId="12" fillId="4" borderId="2" xfId="0" applyFont="1" applyFill="1" applyBorder="1" applyAlignment="1">
      <alignment horizontal="center" vertical="center" textRotation="255"/>
    </xf>
    <xf numFmtId="0" fontId="12" fillId="4" borderId="44" xfId="0" applyFont="1" applyFill="1" applyBorder="1" applyAlignment="1">
      <alignment horizontal="center" vertical="center" textRotation="255"/>
    </xf>
    <xf numFmtId="0" fontId="12" fillId="4" borderId="5" xfId="0" applyFont="1" applyFill="1" applyBorder="1" applyAlignment="1">
      <alignment horizontal="center" vertical="center" textRotation="255"/>
    </xf>
    <xf numFmtId="0" fontId="33" fillId="4" borderId="1" xfId="0" applyFont="1" applyFill="1" applyBorder="1" applyAlignment="1">
      <alignment horizontal="center" vertical="center" textRotation="45"/>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1"/>
  <sheetViews>
    <sheetView tabSelected="1" zoomScale="90" zoomScaleNormal="90" workbookViewId="0">
      <pane xSplit="1" ySplit="1" topLeftCell="B2" activePane="bottomRight" state="frozen"/>
      <selection pane="topRight" activeCell="B1" sqref="B1"/>
      <selection pane="bottomLeft" activeCell="A4" sqref="A4"/>
      <selection pane="bottomRight" sqref="A1:XFD2"/>
    </sheetView>
  </sheetViews>
  <sheetFormatPr defaultColWidth="11.5703125" defaultRowHeight="15"/>
  <cols>
    <col min="1" max="1" width="11.5703125" style="2"/>
    <col min="2" max="2" width="34.42578125" style="2" bestFit="1" customWidth="1"/>
    <col min="3" max="3" width="19.28515625" style="10" bestFit="1" customWidth="1"/>
    <col min="4" max="4" width="59.85546875" style="2" customWidth="1"/>
    <col min="5" max="5" width="15" style="2" customWidth="1"/>
    <col min="6" max="6" width="14.5703125" style="2" customWidth="1"/>
    <col min="7" max="8" width="11.5703125" style="2"/>
    <col min="9" max="9" width="15.42578125" style="2" bestFit="1" customWidth="1"/>
    <col min="10" max="10" width="16.5703125" style="2" customWidth="1"/>
    <col min="11" max="11" width="13.85546875" style="2" customWidth="1"/>
    <col min="12" max="16384" width="11.5703125" style="2"/>
  </cols>
  <sheetData>
    <row r="1" spans="1:12" s="27" customFormat="1" ht="45.75" thickBot="1">
      <c r="B1" s="26" t="s">
        <v>4</v>
      </c>
      <c r="C1" s="26" t="s">
        <v>32</v>
      </c>
      <c r="D1" s="26" t="s">
        <v>3</v>
      </c>
      <c r="E1" s="26" t="s">
        <v>0</v>
      </c>
      <c r="F1" s="26" t="s">
        <v>2</v>
      </c>
      <c r="G1" s="26" t="s">
        <v>1</v>
      </c>
      <c r="H1" s="26" t="s">
        <v>5</v>
      </c>
      <c r="I1" s="26" t="s">
        <v>9</v>
      </c>
      <c r="J1" s="26" t="s">
        <v>60</v>
      </c>
      <c r="K1" s="26" t="s">
        <v>6</v>
      </c>
    </row>
    <row r="2" spans="1:12" ht="45">
      <c r="A2" s="257" t="s">
        <v>77</v>
      </c>
      <c r="B2" s="73" t="s">
        <v>59</v>
      </c>
      <c r="C2" s="49" t="s">
        <v>29</v>
      </c>
      <c r="D2" s="8" t="s">
        <v>7</v>
      </c>
      <c r="E2" s="9">
        <v>43175</v>
      </c>
      <c r="F2" s="8" t="s">
        <v>8</v>
      </c>
      <c r="G2" s="9">
        <v>44256</v>
      </c>
      <c r="H2" s="18">
        <v>22212</v>
      </c>
      <c r="I2" s="18">
        <v>740400</v>
      </c>
      <c r="J2" s="18">
        <v>185100</v>
      </c>
      <c r="K2" s="7">
        <v>17</v>
      </c>
    </row>
    <row r="3" spans="1:12">
      <c r="A3" s="258"/>
      <c r="C3" s="6"/>
    </row>
    <row r="4" spans="1:12" ht="45">
      <c r="A4" s="258"/>
      <c r="B4" s="73" t="s">
        <v>54</v>
      </c>
      <c r="C4" s="49" t="s">
        <v>55</v>
      </c>
      <c r="D4" s="8" t="s">
        <v>56</v>
      </c>
      <c r="E4" s="9">
        <v>43282</v>
      </c>
      <c r="F4" s="8" t="s">
        <v>8</v>
      </c>
      <c r="G4" s="9">
        <v>44196</v>
      </c>
      <c r="H4" s="18">
        <v>4320</v>
      </c>
      <c r="I4" s="18">
        <v>143996.88</v>
      </c>
      <c r="J4" s="30" t="s">
        <v>61</v>
      </c>
      <c r="K4" s="7">
        <v>4</v>
      </c>
    </row>
    <row r="5" spans="1:12">
      <c r="A5" s="258"/>
      <c r="C5" s="6"/>
    </row>
    <row r="6" spans="1:12" ht="37.9" customHeight="1">
      <c r="A6" s="258"/>
      <c r="B6" s="74" t="s">
        <v>62</v>
      </c>
      <c r="C6" s="5" t="s">
        <v>63</v>
      </c>
      <c r="D6" s="3" t="s">
        <v>64</v>
      </c>
      <c r="E6" s="4">
        <v>43405</v>
      </c>
      <c r="F6" s="3" t="s">
        <v>8</v>
      </c>
      <c r="G6" s="4">
        <v>44196</v>
      </c>
      <c r="H6" s="19">
        <v>12466</v>
      </c>
      <c r="I6" s="19">
        <v>415501.92</v>
      </c>
      <c r="J6" s="19">
        <f>34625.16*3</f>
        <v>103875.48000000001</v>
      </c>
      <c r="K6" s="1">
        <v>7</v>
      </c>
    </row>
    <row r="7" spans="1:12">
      <c r="A7" s="258"/>
      <c r="C7" s="6"/>
    </row>
    <row r="8" spans="1:12" ht="30">
      <c r="A8" s="258"/>
      <c r="B8" s="75" t="s">
        <v>66</v>
      </c>
      <c r="C8" s="50" t="s">
        <v>67</v>
      </c>
      <c r="D8" s="1" t="s">
        <v>68</v>
      </c>
      <c r="E8" s="4">
        <v>43556</v>
      </c>
      <c r="F8" s="3" t="s">
        <v>8</v>
      </c>
      <c r="G8" s="4">
        <v>44652</v>
      </c>
      <c r="H8" s="19">
        <v>6908</v>
      </c>
      <c r="I8" s="19">
        <v>230256</v>
      </c>
      <c r="J8" s="19">
        <f>+I8/4</f>
        <v>57564</v>
      </c>
      <c r="K8" s="1">
        <v>6</v>
      </c>
    </row>
    <row r="9" spans="1:12">
      <c r="A9" s="258"/>
      <c r="C9" s="2"/>
    </row>
    <row r="10" spans="1:12" ht="45.75" thickBot="1">
      <c r="A10" s="259"/>
      <c r="B10" s="75" t="s">
        <v>73</v>
      </c>
      <c r="C10" s="51" t="s">
        <v>74</v>
      </c>
      <c r="D10" s="3" t="s">
        <v>72</v>
      </c>
      <c r="E10" s="4">
        <v>44016</v>
      </c>
      <c r="F10" s="3" t="s">
        <v>8</v>
      </c>
      <c r="G10" s="4">
        <v>45111</v>
      </c>
      <c r="H10" s="1">
        <v>12564.14</v>
      </c>
      <c r="I10" s="19">
        <v>418804.56</v>
      </c>
      <c r="J10" s="19">
        <f>+I10/4</f>
        <v>104701.14</v>
      </c>
      <c r="K10" s="1">
        <v>5</v>
      </c>
    </row>
    <row r="11" spans="1:12">
      <c r="A11" s="96"/>
      <c r="B11" s="76"/>
      <c r="C11" s="77"/>
      <c r="D11" s="76"/>
      <c r="E11" s="78"/>
      <c r="F11" s="76"/>
      <c r="G11" s="78"/>
      <c r="H11" s="28"/>
      <c r="I11" s="79">
        <f>+I10+I8+I6+I4+I2</f>
        <v>1948959.3599999999</v>
      </c>
      <c r="J11" s="79"/>
      <c r="K11" s="28"/>
    </row>
    <row r="12" spans="1:12">
      <c r="A12" s="96"/>
      <c r="B12" s="76"/>
      <c r="C12" s="77"/>
      <c r="D12" s="76"/>
      <c r="E12" s="78"/>
      <c r="F12" s="76"/>
      <c r="G12" s="78"/>
      <c r="H12" s="28"/>
      <c r="I12" s="79"/>
      <c r="J12" s="79"/>
      <c r="K12" s="28"/>
    </row>
    <row r="13" spans="1:12" ht="15.75" thickBot="1">
      <c r="C13" s="2"/>
    </row>
    <row r="14" spans="1:12" ht="60">
      <c r="A14" s="257" t="s">
        <v>97</v>
      </c>
      <c r="B14" s="3" t="s">
        <v>126</v>
      </c>
      <c r="C14" s="51" t="s">
        <v>76</v>
      </c>
      <c r="D14" s="3" t="s">
        <v>125</v>
      </c>
      <c r="E14" s="80">
        <v>43466</v>
      </c>
      <c r="F14" s="3" t="s">
        <v>8</v>
      </c>
      <c r="G14" s="4">
        <v>44562</v>
      </c>
      <c r="H14" s="19" t="s">
        <v>79</v>
      </c>
      <c r="I14" s="155">
        <f>74880*4</f>
        <v>299520</v>
      </c>
      <c r="J14" s="19">
        <v>74880</v>
      </c>
      <c r="K14" s="154">
        <v>8</v>
      </c>
      <c r="L14" s="81" t="s">
        <v>78</v>
      </c>
    </row>
    <row r="15" spans="1:12" ht="40.15" customHeight="1">
      <c r="A15" s="258"/>
      <c r="B15" s="1" t="s">
        <v>82</v>
      </c>
      <c r="C15" s="5" t="s">
        <v>84</v>
      </c>
      <c r="D15" s="3" t="s">
        <v>83</v>
      </c>
      <c r="E15" s="4">
        <v>43900</v>
      </c>
      <c r="F15" s="3" t="s">
        <v>8</v>
      </c>
      <c r="G15" s="4">
        <v>44196</v>
      </c>
      <c r="H15" s="19">
        <v>7927.2</v>
      </c>
      <c r="I15" s="19">
        <v>264240</v>
      </c>
      <c r="J15" s="19">
        <v>65954.3</v>
      </c>
      <c r="K15" s="1">
        <v>3</v>
      </c>
    </row>
    <row r="16" spans="1:12" ht="30.75" thickBot="1">
      <c r="A16" s="259"/>
      <c r="B16" s="1" t="s">
        <v>85</v>
      </c>
      <c r="C16" s="50" t="s">
        <v>87</v>
      </c>
      <c r="D16" s="3" t="s">
        <v>86</v>
      </c>
      <c r="E16" s="4">
        <v>44089</v>
      </c>
      <c r="F16" s="3" t="s">
        <v>8</v>
      </c>
      <c r="G16" s="4">
        <v>45184</v>
      </c>
      <c r="H16" s="19">
        <v>8139.76</v>
      </c>
      <c r="I16" s="19">
        <v>271325.52</v>
      </c>
      <c r="J16" s="97">
        <f>+I16/4</f>
        <v>67831.38</v>
      </c>
      <c r="K16" s="1">
        <v>4</v>
      </c>
    </row>
    <row r="17" spans="1:11">
      <c r="B17" s="29"/>
      <c r="C17" s="2"/>
      <c r="I17" s="47">
        <f>+I16+I15</f>
        <v>535565.52</v>
      </c>
    </row>
    <row r="18" spans="1:11">
      <c r="B18" s="29"/>
      <c r="C18" s="2"/>
      <c r="I18" s="47"/>
    </row>
    <row r="19" spans="1:11" ht="15.75" thickBot="1">
      <c r="B19" s="29"/>
      <c r="C19" s="2"/>
    </row>
    <row r="20" spans="1:11" ht="30">
      <c r="A20" s="257" t="s">
        <v>124</v>
      </c>
      <c r="B20" s="1" t="s">
        <v>96</v>
      </c>
      <c r="C20" s="1" t="s">
        <v>98</v>
      </c>
      <c r="D20" s="3" t="s">
        <v>99</v>
      </c>
      <c r="E20" s="153">
        <v>43435</v>
      </c>
      <c r="F20" s="3" t="s">
        <v>8</v>
      </c>
      <c r="G20" s="4">
        <v>44531</v>
      </c>
      <c r="H20" s="19">
        <v>5388</v>
      </c>
      <c r="I20" s="19">
        <v>179596.79999999999</v>
      </c>
      <c r="J20" s="19">
        <f>+I20/4</f>
        <v>44899.199999999997</v>
      </c>
      <c r="K20" s="1">
        <v>4</v>
      </c>
    </row>
    <row r="21" spans="1:11" ht="45">
      <c r="A21" s="258"/>
      <c r="B21" s="1" t="s">
        <v>111</v>
      </c>
      <c r="C21" s="1" t="s">
        <v>112</v>
      </c>
      <c r="D21" s="123" t="s">
        <v>120</v>
      </c>
      <c r="E21" s="80">
        <v>43497</v>
      </c>
      <c r="F21" s="3" t="s">
        <v>8</v>
      </c>
      <c r="G21" s="4">
        <v>44593</v>
      </c>
      <c r="H21" s="19">
        <v>17538</v>
      </c>
      <c r="I21" s="19">
        <v>292320</v>
      </c>
      <c r="J21" s="19">
        <v>73080</v>
      </c>
      <c r="K21" s="1">
        <v>7</v>
      </c>
    </row>
    <row r="22" spans="1:11" ht="30">
      <c r="A22" s="258"/>
      <c r="B22" s="124" t="s">
        <v>115</v>
      </c>
      <c r="C22" s="1" t="s">
        <v>113</v>
      </c>
      <c r="D22" s="3" t="s">
        <v>114</v>
      </c>
      <c r="E22" s="153">
        <v>43753</v>
      </c>
      <c r="F22" s="3" t="s">
        <v>8</v>
      </c>
      <c r="G22" s="4">
        <v>44849</v>
      </c>
      <c r="H22" s="19">
        <v>5934</v>
      </c>
      <c r="I22" s="19">
        <v>98895.360000000001</v>
      </c>
      <c r="J22" s="19">
        <f>+I22/4</f>
        <v>24723.84</v>
      </c>
      <c r="K22" s="1">
        <v>2</v>
      </c>
    </row>
    <row r="23" spans="1:11" ht="45">
      <c r="A23" s="258"/>
      <c r="B23" s="127" t="s">
        <v>121</v>
      </c>
      <c r="C23" s="1" t="s">
        <v>122</v>
      </c>
      <c r="D23" s="3" t="s">
        <v>123</v>
      </c>
      <c r="E23" s="80">
        <v>43862</v>
      </c>
      <c r="F23" s="3" t="s">
        <v>8</v>
      </c>
      <c r="G23" s="4">
        <v>44958</v>
      </c>
      <c r="H23" s="19">
        <v>4464</v>
      </c>
      <c r="I23" s="19">
        <v>148800</v>
      </c>
      <c r="J23" s="19">
        <f t="shared" ref="J23:J24" si="0">+I23/4</f>
        <v>37200</v>
      </c>
      <c r="K23" s="1">
        <v>8</v>
      </c>
    </row>
    <row r="24" spans="1:11" ht="30">
      <c r="A24" s="258"/>
      <c r="B24" s="124" t="s">
        <v>118</v>
      </c>
      <c r="C24" s="1" t="s">
        <v>117</v>
      </c>
      <c r="D24" s="3" t="s">
        <v>119</v>
      </c>
      <c r="E24" s="4">
        <v>44105</v>
      </c>
      <c r="F24" s="3" t="s">
        <v>8</v>
      </c>
      <c r="G24" s="4">
        <v>45200</v>
      </c>
      <c r="H24" s="1">
        <v>17223</v>
      </c>
      <c r="I24" s="19">
        <v>574070.89</v>
      </c>
      <c r="J24" s="19">
        <f t="shared" si="0"/>
        <v>143517.7225</v>
      </c>
      <c r="K24" s="1">
        <v>13</v>
      </c>
    </row>
    <row r="25" spans="1:11">
      <c r="B25" s="29"/>
      <c r="C25" s="2"/>
      <c r="I25" s="157"/>
      <c r="J25" s="47"/>
    </row>
    <row r="26" spans="1:11" ht="15.75" thickBot="1">
      <c r="B26" s="29"/>
      <c r="C26" s="2"/>
    </row>
    <row r="27" spans="1:11">
      <c r="A27" s="257" t="s">
        <v>188</v>
      </c>
      <c r="B27" s="1"/>
      <c r="C27" s="1"/>
      <c r="D27" s="3"/>
      <c r="E27" s="153"/>
      <c r="F27" s="3"/>
      <c r="G27" s="4"/>
      <c r="H27" s="19"/>
      <c r="I27" s="19"/>
      <c r="J27" s="19"/>
      <c r="K27" s="1"/>
    </row>
    <row r="28" spans="1:11">
      <c r="A28" s="258"/>
      <c r="B28" s="1"/>
      <c r="C28" s="1"/>
      <c r="D28" s="123"/>
      <c r="E28" s="80"/>
      <c r="F28" s="3"/>
      <c r="G28" s="4"/>
      <c r="H28" s="19"/>
      <c r="I28" s="19"/>
      <c r="J28" s="19"/>
      <c r="K28" s="1"/>
    </row>
    <row r="29" spans="1:11">
      <c r="B29" s="28"/>
    </row>
    <row r="30" spans="1:11">
      <c r="B30" s="28"/>
    </row>
    <row r="31" spans="1:11">
      <c r="B31" s="28"/>
    </row>
  </sheetData>
  <mergeCells count="4">
    <mergeCell ref="A2:A10"/>
    <mergeCell ref="A14:A16"/>
    <mergeCell ref="A20:A24"/>
    <mergeCell ref="A27:A28"/>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566F7-E474-47DE-B300-086303AA632B}">
  <dimension ref="B2:P61"/>
  <sheetViews>
    <sheetView topLeftCell="B28" workbookViewId="0">
      <selection activeCell="F44" sqref="F44"/>
    </sheetView>
  </sheetViews>
  <sheetFormatPr defaultColWidth="11.5703125" defaultRowHeight="15"/>
  <cols>
    <col min="1" max="1" width="11.5703125" style="6"/>
    <col min="2" max="2" width="14.85546875" style="6" bestFit="1" customWidth="1"/>
    <col min="3" max="3" width="29.85546875" style="6" customWidth="1"/>
    <col min="4" max="4" width="46.5703125" style="6" customWidth="1"/>
    <col min="5" max="5" width="46.7109375" style="6" customWidth="1"/>
    <col min="6" max="6" width="11.5703125" style="6"/>
    <col min="7" max="7" width="28.140625" style="6" customWidth="1"/>
    <col min="8" max="16384" width="11.5703125" style="6"/>
  </cols>
  <sheetData>
    <row r="2" spans="2:16" ht="16.5">
      <c r="C2" s="272" t="s">
        <v>130</v>
      </c>
      <c r="D2" s="272"/>
      <c r="E2" s="272"/>
      <c r="F2" s="272"/>
      <c r="G2" s="272"/>
      <c r="N2" s="219"/>
      <c r="O2" s="219"/>
      <c r="P2" s="219"/>
    </row>
    <row r="3" spans="2:16" ht="17.25">
      <c r="C3" s="177"/>
      <c r="D3" s="178" t="s">
        <v>131</v>
      </c>
      <c r="E3" s="272"/>
      <c r="F3" s="272"/>
      <c r="G3" s="179"/>
      <c r="N3" s="219"/>
      <c r="O3" s="219"/>
      <c r="P3" s="219"/>
    </row>
    <row r="4" spans="2:16" ht="16.5" thickBot="1">
      <c r="C4" s="273" t="s">
        <v>132</v>
      </c>
      <c r="D4" s="273"/>
      <c r="E4" s="273"/>
      <c r="F4" s="273"/>
      <c r="G4" s="274"/>
      <c r="N4" s="219"/>
      <c r="O4" s="219"/>
      <c r="P4" s="219"/>
    </row>
    <row r="5" spans="2:16">
      <c r="I5" s="219"/>
      <c r="J5" s="219"/>
      <c r="K5" s="219"/>
      <c r="L5" s="219"/>
      <c r="M5" s="219"/>
      <c r="N5" s="219"/>
      <c r="O5" s="219"/>
      <c r="P5" s="219"/>
    </row>
    <row r="6" spans="2:16">
      <c r="I6" s="219"/>
      <c r="J6" s="219"/>
      <c r="K6" s="219"/>
      <c r="L6" s="219"/>
      <c r="M6" s="219"/>
      <c r="N6" s="219"/>
      <c r="O6" s="219"/>
      <c r="P6" s="219"/>
    </row>
    <row r="7" spans="2:16">
      <c r="E7" s="225" t="s">
        <v>185</v>
      </c>
      <c r="I7" s="219"/>
      <c r="J7" s="219"/>
      <c r="K7" s="219"/>
      <c r="L7" s="219"/>
      <c r="M7" s="219"/>
      <c r="N7" s="219"/>
      <c r="O7" s="219"/>
      <c r="P7" s="219"/>
    </row>
    <row r="8" spans="2:16" ht="15.75" thickBot="1">
      <c r="H8" s="224"/>
      <c r="I8" s="219" t="s">
        <v>184</v>
      </c>
      <c r="J8" s="219"/>
      <c r="K8" s="219"/>
      <c r="L8" s="219"/>
      <c r="M8" s="219"/>
      <c r="N8" s="219"/>
      <c r="O8" s="219"/>
      <c r="P8" s="219"/>
    </row>
    <row r="9" spans="2:16" s="185" customFormat="1" ht="16.5" thickBot="1">
      <c r="B9" s="180" t="s">
        <v>133</v>
      </c>
      <c r="C9" s="181" t="s">
        <v>134</v>
      </c>
      <c r="D9" s="182" t="s">
        <v>135</v>
      </c>
      <c r="E9" s="183" t="s">
        <v>136</v>
      </c>
      <c r="F9" s="184"/>
      <c r="G9" s="227" t="s">
        <v>187</v>
      </c>
      <c r="I9" s="220"/>
      <c r="J9" s="220"/>
      <c r="K9" s="221"/>
      <c r="L9" s="220"/>
      <c r="M9" s="220"/>
      <c r="N9" s="220"/>
      <c r="O9" s="220"/>
      <c r="P9" s="220"/>
    </row>
    <row r="10" spans="2:16" s="185" customFormat="1" ht="15.75">
      <c r="B10" s="260" t="s">
        <v>137</v>
      </c>
      <c r="C10" s="262" t="s">
        <v>138</v>
      </c>
      <c r="D10" s="186">
        <v>61227</v>
      </c>
      <c r="E10" s="187" t="s">
        <v>139</v>
      </c>
      <c r="F10" s="188"/>
      <c r="G10" s="228"/>
      <c r="I10" s="219"/>
      <c r="J10" s="219"/>
      <c r="K10" s="219"/>
      <c r="L10" s="219"/>
      <c r="M10" s="220"/>
      <c r="N10" s="220"/>
      <c r="O10" s="220"/>
      <c r="P10" s="220"/>
    </row>
    <row r="11" spans="2:16" s="185" customFormat="1" ht="15.75">
      <c r="B11" s="261"/>
      <c r="C11" s="263"/>
      <c r="D11" s="264">
        <v>61251</v>
      </c>
      <c r="E11" s="190" t="s">
        <v>140</v>
      </c>
      <c r="F11" s="188"/>
      <c r="G11" s="229"/>
      <c r="I11" s="219"/>
      <c r="J11" s="219"/>
      <c r="K11" s="219"/>
      <c r="L11" s="219"/>
      <c r="M11" s="220"/>
      <c r="N11" s="220"/>
      <c r="O11" s="220"/>
      <c r="P11" s="220"/>
    </row>
    <row r="12" spans="2:16" s="185" customFormat="1" ht="15.75">
      <c r="B12" s="261"/>
      <c r="C12" s="263"/>
      <c r="D12" s="265"/>
      <c r="E12" s="190" t="s">
        <v>141</v>
      </c>
      <c r="F12" s="188"/>
      <c r="G12" s="229"/>
      <c r="I12" s="219"/>
      <c r="J12" s="219"/>
      <c r="K12" s="219"/>
      <c r="L12" s="219"/>
      <c r="M12" s="220"/>
      <c r="N12" s="220"/>
      <c r="O12" s="220"/>
      <c r="P12" s="220"/>
    </row>
    <row r="13" spans="2:16" s="185" customFormat="1" ht="15.75">
      <c r="B13" s="261"/>
      <c r="C13" s="263"/>
      <c r="D13" s="266"/>
      <c r="E13" s="190" t="s">
        <v>142</v>
      </c>
      <c r="F13" s="188"/>
      <c r="G13" s="229"/>
      <c r="I13" s="219"/>
      <c r="J13" s="219"/>
      <c r="K13" s="219"/>
      <c r="L13" s="219"/>
      <c r="M13" s="220"/>
      <c r="N13" s="220"/>
      <c r="O13" s="220"/>
      <c r="P13" s="220"/>
    </row>
    <row r="14" spans="2:16" s="185" customFormat="1" ht="15.75">
      <c r="B14" s="261"/>
      <c r="C14" s="191" t="s">
        <v>143</v>
      </c>
      <c r="D14" s="192">
        <v>61312</v>
      </c>
      <c r="E14" s="190" t="s">
        <v>144</v>
      </c>
      <c r="F14" s="188"/>
      <c r="G14" s="229"/>
      <c r="I14" s="219"/>
      <c r="J14" s="219"/>
      <c r="K14" s="219"/>
      <c r="L14" s="219"/>
      <c r="M14" s="220"/>
      <c r="N14" s="220"/>
      <c r="O14" s="220"/>
      <c r="P14" s="220"/>
    </row>
    <row r="15" spans="2:16" s="185" customFormat="1" ht="15.75">
      <c r="B15" s="261"/>
      <c r="C15" s="267" t="s">
        <v>145</v>
      </c>
      <c r="D15" s="264">
        <v>61321</v>
      </c>
      <c r="E15" s="190" t="s">
        <v>146</v>
      </c>
      <c r="F15" s="222"/>
      <c r="G15" s="229"/>
      <c r="I15" s="219"/>
      <c r="J15" s="219"/>
      <c r="K15" s="219"/>
      <c r="L15" s="219"/>
      <c r="M15" s="220"/>
      <c r="N15" s="220"/>
      <c r="O15" s="220"/>
      <c r="P15" s="220"/>
    </row>
    <row r="16" spans="2:16" s="185" customFormat="1" ht="15.75">
      <c r="B16" s="261"/>
      <c r="C16" s="268"/>
      <c r="D16" s="266"/>
      <c r="E16" s="190" t="s">
        <v>147</v>
      </c>
      <c r="F16" s="222"/>
      <c r="G16" s="229"/>
      <c r="I16" s="219"/>
      <c r="J16" s="219"/>
      <c r="K16" s="219"/>
      <c r="L16" s="219"/>
      <c r="M16" s="220"/>
      <c r="N16" s="220"/>
      <c r="O16" s="220"/>
      <c r="P16" s="220"/>
    </row>
    <row r="17" spans="2:16" s="185" customFormat="1" ht="15.75">
      <c r="B17" s="261"/>
      <c r="C17" s="263" t="s">
        <v>148</v>
      </c>
      <c r="D17" s="192">
        <v>61331</v>
      </c>
      <c r="E17" s="190" t="s">
        <v>149</v>
      </c>
      <c r="F17" s="188"/>
      <c r="G17" s="229"/>
      <c r="I17" s="219"/>
      <c r="J17" s="219"/>
      <c r="K17" s="219"/>
      <c r="L17" s="219"/>
      <c r="M17" s="220"/>
      <c r="N17" s="220"/>
      <c r="O17" s="220"/>
      <c r="P17" s="220"/>
    </row>
    <row r="18" spans="2:16" s="185" customFormat="1" ht="15.75">
      <c r="B18" s="261"/>
      <c r="C18" s="263"/>
      <c r="D18" s="193">
        <v>61332</v>
      </c>
      <c r="E18" s="190" t="s">
        <v>150</v>
      </c>
      <c r="F18" s="188"/>
      <c r="G18" s="229"/>
      <c r="I18" s="219"/>
      <c r="J18" s="219"/>
      <c r="K18" s="219"/>
      <c r="L18" s="219"/>
      <c r="M18" s="220"/>
      <c r="N18" s="220"/>
      <c r="O18" s="220"/>
      <c r="P18" s="220"/>
    </row>
    <row r="19" spans="2:16" s="185" customFormat="1" ht="15.75">
      <c r="B19" s="261"/>
      <c r="C19" s="263"/>
      <c r="D19" s="264">
        <v>61335</v>
      </c>
      <c r="E19" s="190" t="s">
        <v>151</v>
      </c>
      <c r="F19" s="188"/>
      <c r="G19" s="229"/>
      <c r="I19" s="219"/>
      <c r="J19" s="219"/>
      <c r="K19" s="219"/>
      <c r="L19" s="219"/>
      <c r="M19" s="220"/>
      <c r="N19" s="220"/>
      <c r="O19" s="220"/>
      <c r="P19" s="220"/>
    </row>
    <row r="20" spans="2:16" s="185" customFormat="1" ht="15.75">
      <c r="B20" s="261"/>
      <c r="C20" s="263"/>
      <c r="D20" s="265"/>
      <c r="E20" s="190" t="s">
        <v>152</v>
      </c>
      <c r="F20" s="188"/>
      <c r="G20" s="229"/>
      <c r="I20" s="219"/>
      <c r="J20" s="219"/>
      <c r="K20" s="219"/>
      <c r="L20" s="219"/>
      <c r="M20" s="220"/>
      <c r="N20" s="220"/>
      <c r="O20" s="220"/>
      <c r="P20" s="220"/>
    </row>
    <row r="21" spans="2:16" s="185" customFormat="1" ht="15.75">
      <c r="B21" s="261"/>
      <c r="C21" s="263"/>
      <c r="D21" s="266"/>
      <c r="E21" s="190" t="s">
        <v>153</v>
      </c>
      <c r="F21" s="188"/>
      <c r="G21" s="229"/>
      <c r="I21" s="219"/>
      <c r="J21" s="219"/>
      <c r="K21" s="219"/>
      <c r="L21" s="219"/>
      <c r="M21" s="220"/>
      <c r="N21" s="220"/>
      <c r="O21" s="220"/>
      <c r="P21" s="220"/>
    </row>
    <row r="22" spans="2:16" s="185" customFormat="1" ht="15.75">
      <c r="B22" s="261"/>
      <c r="C22" s="263" t="s">
        <v>19</v>
      </c>
      <c r="D22" s="192">
        <v>61425</v>
      </c>
      <c r="E22" s="190" t="s">
        <v>154</v>
      </c>
      <c r="F22" s="188"/>
      <c r="G22" s="229"/>
      <c r="I22" s="219"/>
      <c r="J22" s="219"/>
      <c r="K22" s="219"/>
      <c r="L22" s="219"/>
      <c r="M22" s="220"/>
      <c r="N22" s="220"/>
      <c r="O22" s="220"/>
      <c r="P22" s="220"/>
    </row>
    <row r="23" spans="2:16" s="185" customFormat="1" ht="15.75">
      <c r="B23" s="261"/>
      <c r="C23" s="263"/>
      <c r="D23" s="192">
        <v>61426</v>
      </c>
      <c r="E23" s="194" t="s">
        <v>155</v>
      </c>
      <c r="F23" s="188"/>
      <c r="G23" s="230"/>
      <c r="I23" s="219"/>
      <c r="J23" s="219"/>
      <c r="K23" s="219"/>
      <c r="L23" s="219"/>
      <c r="M23" s="220"/>
      <c r="N23" s="220"/>
      <c r="O23" s="220"/>
      <c r="P23" s="220"/>
    </row>
    <row r="24" spans="2:16" s="185" customFormat="1" ht="15.75">
      <c r="B24" s="261"/>
      <c r="C24" s="263"/>
      <c r="D24" s="192">
        <v>61428</v>
      </c>
      <c r="E24" s="190" t="s">
        <v>156</v>
      </c>
      <c r="F24" s="188"/>
      <c r="G24" s="229"/>
      <c r="I24" s="219"/>
      <c r="J24" s="219"/>
      <c r="K24" s="219"/>
      <c r="L24" s="219"/>
      <c r="M24" s="220"/>
      <c r="N24" s="220"/>
      <c r="O24" s="220"/>
      <c r="P24" s="220"/>
    </row>
    <row r="25" spans="2:16" s="185" customFormat="1" ht="15.75">
      <c r="B25" s="261"/>
      <c r="C25" s="267" t="s">
        <v>157</v>
      </c>
      <c r="D25" s="192">
        <v>61431</v>
      </c>
      <c r="E25" s="194" t="s">
        <v>158</v>
      </c>
      <c r="F25" s="188"/>
      <c r="G25" s="230"/>
      <c r="I25" s="220"/>
      <c r="J25" s="220"/>
      <c r="K25" s="189"/>
      <c r="L25" s="220"/>
      <c r="M25" s="220"/>
      <c r="N25" s="220"/>
    </row>
    <row r="26" spans="2:16" s="185" customFormat="1" ht="15.75">
      <c r="B26" s="261"/>
      <c r="C26" s="271"/>
      <c r="D26" s="192">
        <v>61433</v>
      </c>
      <c r="E26" s="190" t="s">
        <v>159</v>
      </c>
      <c r="F26" s="188"/>
      <c r="G26" s="229"/>
      <c r="I26" s="220"/>
      <c r="J26" s="220"/>
      <c r="K26" s="189"/>
      <c r="L26" s="220"/>
      <c r="M26" s="220"/>
      <c r="N26" s="220"/>
    </row>
    <row r="27" spans="2:16" s="185" customFormat="1" ht="15.75">
      <c r="B27" s="261"/>
      <c r="C27" s="271"/>
      <c r="D27" s="192">
        <v>61435</v>
      </c>
      <c r="E27" s="190" t="s">
        <v>160</v>
      </c>
      <c r="F27" s="188"/>
      <c r="G27" s="229"/>
      <c r="I27" s="220"/>
      <c r="J27" s="220"/>
      <c r="K27" s="189"/>
      <c r="L27" s="220"/>
      <c r="M27" s="220"/>
      <c r="N27" s="220"/>
    </row>
    <row r="28" spans="2:16" s="185" customFormat="1" ht="15.75">
      <c r="B28" s="261"/>
      <c r="C28" s="271"/>
      <c r="D28" s="192">
        <v>61435</v>
      </c>
      <c r="E28" s="190" t="s">
        <v>161</v>
      </c>
      <c r="F28" s="188"/>
      <c r="G28" s="229"/>
      <c r="K28" s="189"/>
    </row>
    <row r="29" spans="2:16" s="185" customFormat="1" ht="15.75">
      <c r="B29" s="261"/>
      <c r="C29" s="268"/>
      <c r="D29" s="192">
        <v>61436</v>
      </c>
      <c r="E29" s="190" t="s">
        <v>162</v>
      </c>
      <c r="F29" s="188"/>
      <c r="G29" s="229"/>
      <c r="K29" s="189"/>
    </row>
    <row r="30" spans="2:16" s="185" customFormat="1" ht="15.75">
      <c r="B30" s="261"/>
      <c r="C30" s="195" t="s">
        <v>163</v>
      </c>
      <c r="D30" s="192">
        <v>61462</v>
      </c>
      <c r="E30" s="190" t="s">
        <v>164</v>
      </c>
      <c r="F30" s="188"/>
      <c r="G30" s="229"/>
      <c r="K30" s="189"/>
    </row>
    <row r="31" spans="2:16" s="185" customFormat="1" ht="15.75">
      <c r="B31" s="261"/>
      <c r="C31" s="196" t="s">
        <v>165</v>
      </c>
      <c r="D31" s="192">
        <v>6147</v>
      </c>
      <c r="E31" s="190" t="s">
        <v>166</v>
      </c>
      <c r="F31" s="188"/>
      <c r="G31" s="229"/>
      <c r="K31" s="189"/>
    </row>
    <row r="32" spans="2:16" s="185" customFormat="1" ht="15.75">
      <c r="B32" s="261"/>
      <c r="C32" s="263" t="s">
        <v>167</v>
      </c>
      <c r="D32" s="192">
        <v>61451</v>
      </c>
      <c r="E32" s="190" t="s">
        <v>168</v>
      </c>
      <c r="F32" s="188"/>
      <c r="G32" s="229"/>
      <c r="K32" s="189"/>
    </row>
    <row r="33" spans="2:11" s="185" customFormat="1" ht="15.75">
      <c r="B33" s="261"/>
      <c r="C33" s="263"/>
      <c r="D33" s="192">
        <v>61455</v>
      </c>
      <c r="E33" s="197" t="s">
        <v>169</v>
      </c>
      <c r="F33" s="188"/>
      <c r="G33" s="231"/>
      <c r="K33" s="189"/>
    </row>
    <row r="34" spans="2:11" s="185" customFormat="1" ht="15.75">
      <c r="B34" s="261"/>
      <c r="C34" s="263" t="s">
        <v>170</v>
      </c>
      <c r="D34" s="192">
        <v>61671</v>
      </c>
      <c r="E34" s="197" t="s">
        <v>171</v>
      </c>
      <c r="F34" s="188"/>
      <c r="G34" s="231"/>
      <c r="K34" s="189"/>
    </row>
    <row r="35" spans="2:11" s="185" customFormat="1" ht="15.75">
      <c r="B35" s="261"/>
      <c r="C35" s="263"/>
      <c r="D35" s="192"/>
      <c r="E35" s="197" t="s">
        <v>172</v>
      </c>
      <c r="F35" s="188"/>
      <c r="G35" s="231"/>
      <c r="K35" s="189"/>
    </row>
    <row r="36" spans="2:11" s="185" customFormat="1" ht="15.75">
      <c r="B36" s="261"/>
      <c r="C36" s="263"/>
      <c r="D36" s="192">
        <v>61673</v>
      </c>
      <c r="E36" s="197" t="s">
        <v>173</v>
      </c>
      <c r="F36" s="222"/>
      <c r="G36" s="231"/>
      <c r="K36" s="189"/>
    </row>
    <row r="37" spans="2:11" s="185" customFormat="1" ht="15.75">
      <c r="B37" s="261"/>
      <c r="C37" s="267" t="s">
        <v>174</v>
      </c>
      <c r="D37" s="198">
        <v>61711</v>
      </c>
      <c r="E37" s="199" t="s">
        <v>175</v>
      </c>
      <c r="F37" s="223"/>
      <c r="G37" s="232"/>
      <c r="K37" s="189"/>
    </row>
    <row r="38" spans="2:11" s="185" customFormat="1" ht="15.75">
      <c r="B38" s="261"/>
      <c r="C38" s="271"/>
      <c r="D38" s="192">
        <v>61712</v>
      </c>
      <c r="E38" s="197" t="s">
        <v>176</v>
      </c>
      <c r="F38" s="223"/>
      <c r="G38" s="231"/>
      <c r="K38" s="189"/>
    </row>
    <row r="39" spans="2:11" s="185" customFormat="1" ht="15.75">
      <c r="B39" s="261"/>
      <c r="C39" s="268"/>
      <c r="D39" s="192">
        <v>61713</v>
      </c>
      <c r="E39" s="197" t="s">
        <v>177</v>
      </c>
      <c r="F39" s="223"/>
      <c r="G39" s="231"/>
      <c r="K39" s="189"/>
    </row>
    <row r="40" spans="2:11" s="185" customFormat="1" ht="15.75">
      <c r="B40" s="261"/>
      <c r="C40" s="263" t="s">
        <v>178</v>
      </c>
      <c r="D40" s="192">
        <v>61741</v>
      </c>
      <c r="E40" s="190" t="s">
        <v>179</v>
      </c>
      <c r="F40" s="222"/>
      <c r="G40" s="229"/>
      <c r="K40" s="189"/>
    </row>
    <row r="41" spans="2:11" s="185" customFormat="1" ht="16.5" thickBot="1">
      <c r="B41" s="261"/>
      <c r="C41" s="263"/>
      <c r="D41" s="192">
        <v>61745</v>
      </c>
      <c r="E41" s="199" t="s">
        <v>180</v>
      </c>
      <c r="F41" s="222"/>
      <c r="G41" s="232"/>
      <c r="K41" s="189"/>
    </row>
    <row r="42" spans="2:11" s="185" customFormat="1" ht="15.75">
      <c r="B42" s="261"/>
      <c r="C42" s="269" t="s">
        <v>181</v>
      </c>
      <c r="D42" s="200">
        <v>5115</v>
      </c>
      <c r="E42" s="201" t="s">
        <v>182</v>
      </c>
      <c r="F42" s="188"/>
      <c r="G42" s="233"/>
      <c r="K42" s="189"/>
    </row>
    <row r="43" spans="2:11" s="185" customFormat="1" ht="16.5" thickBot="1">
      <c r="B43" s="261"/>
      <c r="C43" s="270"/>
      <c r="D43" s="202">
        <v>5165</v>
      </c>
      <c r="E43" s="203" t="s">
        <v>183</v>
      </c>
      <c r="F43" s="204"/>
      <c r="G43" s="234" t="s">
        <v>186</v>
      </c>
      <c r="K43" s="189"/>
    </row>
    <row r="44" spans="2:11" ht="16.5">
      <c r="B44" s="205"/>
      <c r="C44" s="206"/>
      <c r="D44" s="207"/>
      <c r="E44" s="207"/>
      <c r="F44" s="208"/>
      <c r="G44" s="208"/>
      <c r="H44" s="208"/>
      <c r="I44" s="208"/>
      <c r="J44" s="208"/>
      <c r="K44" s="209"/>
    </row>
    <row r="45" spans="2:11" ht="15" customHeight="1">
      <c r="B45" s="205"/>
      <c r="C45" s="210"/>
      <c r="D45" s="207"/>
      <c r="E45" s="207"/>
      <c r="F45" s="208"/>
      <c r="G45" s="208"/>
      <c r="H45" s="208"/>
      <c r="I45" s="208"/>
      <c r="J45" s="208"/>
      <c r="K45" s="209"/>
    </row>
    <row r="46" spans="2:11" ht="16.5">
      <c r="B46" s="205"/>
      <c r="C46" s="210"/>
      <c r="D46" s="211"/>
      <c r="E46" s="211"/>
      <c r="F46" s="208"/>
      <c r="G46" s="208"/>
      <c r="H46" s="208"/>
      <c r="I46" s="208"/>
      <c r="J46" s="208"/>
      <c r="K46" s="209"/>
    </row>
    <row r="47" spans="2:11" ht="16.5">
      <c r="B47" s="205"/>
      <c r="C47" s="210"/>
      <c r="D47" s="211"/>
      <c r="E47" s="211"/>
      <c r="F47" s="208"/>
      <c r="G47" s="208"/>
      <c r="H47" s="208"/>
      <c r="I47" s="208"/>
      <c r="J47" s="208"/>
      <c r="K47" s="209"/>
    </row>
    <row r="48" spans="2:11" ht="16.5">
      <c r="B48" s="205"/>
      <c r="C48" s="210"/>
      <c r="D48" s="211"/>
      <c r="E48" s="211"/>
      <c r="F48" s="212"/>
      <c r="G48" s="208"/>
      <c r="H48" s="208"/>
      <c r="I48" s="208"/>
      <c r="J48" s="208"/>
      <c r="K48" s="209"/>
    </row>
    <row r="49" spans="2:11" ht="16.5">
      <c r="B49" s="205"/>
      <c r="C49" s="210"/>
      <c r="D49" s="211"/>
      <c r="E49" s="211"/>
      <c r="F49" s="208"/>
      <c r="G49" s="208"/>
      <c r="H49" s="208"/>
      <c r="I49" s="208"/>
      <c r="J49" s="208"/>
      <c r="K49" s="209"/>
    </row>
    <row r="50" spans="2:11" ht="15" customHeight="1">
      <c r="B50" s="205"/>
      <c r="C50" s="210"/>
      <c r="D50" s="211"/>
      <c r="E50" s="211"/>
      <c r="F50" s="208"/>
      <c r="G50" s="208"/>
      <c r="H50" s="208"/>
      <c r="I50" s="208"/>
      <c r="J50" s="208"/>
      <c r="K50" s="209"/>
    </row>
    <row r="51" spans="2:11" ht="16.5">
      <c r="B51" s="205"/>
      <c r="C51" s="210"/>
      <c r="D51" s="211"/>
      <c r="E51" s="211"/>
      <c r="F51" s="208"/>
      <c r="G51" s="208"/>
      <c r="H51" s="208"/>
      <c r="I51" s="208"/>
      <c r="J51" s="208"/>
      <c r="K51" s="209"/>
    </row>
    <row r="52" spans="2:11" ht="14.45" customHeight="1">
      <c r="B52" s="205"/>
      <c r="C52" s="213"/>
      <c r="D52" s="205"/>
      <c r="E52" s="205"/>
      <c r="F52" s="214"/>
      <c r="G52" s="214"/>
      <c r="H52" s="215"/>
      <c r="I52" s="215"/>
      <c r="J52" s="215"/>
      <c r="K52" s="209"/>
    </row>
    <row r="53" spans="2:11" ht="16.5">
      <c r="B53" s="205"/>
      <c r="C53" s="213"/>
      <c r="D53" s="205"/>
      <c r="E53" s="205"/>
      <c r="F53" s="216"/>
      <c r="G53" s="214"/>
      <c r="H53" s="215"/>
      <c r="I53" s="215"/>
      <c r="J53" s="215"/>
      <c r="K53" s="209"/>
    </row>
    <row r="54" spans="2:11">
      <c r="B54"/>
      <c r="C54"/>
      <c r="D54"/>
      <c r="E54" s="205"/>
      <c r="F54" s="217"/>
      <c r="G54" s="218"/>
      <c r="H54" s="218"/>
      <c r="I54" s="218"/>
      <c r="J54" s="218"/>
      <c r="K54" s="218"/>
    </row>
    <row r="56" spans="2:11" ht="27" customHeight="1"/>
    <row r="61" spans="2:11" ht="27" customHeight="1"/>
  </sheetData>
  <mergeCells count="17">
    <mergeCell ref="C2:G2"/>
    <mergeCell ref="E3:F3"/>
    <mergeCell ref="C4:G4"/>
    <mergeCell ref="B10:B43"/>
    <mergeCell ref="C10:C13"/>
    <mergeCell ref="D11:D13"/>
    <mergeCell ref="C15:C16"/>
    <mergeCell ref="D15:D16"/>
    <mergeCell ref="C17:C21"/>
    <mergeCell ref="D19:D21"/>
    <mergeCell ref="C42:C43"/>
    <mergeCell ref="C22:C24"/>
    <mergeCell ref="C25:C29"/>
    <mergeCell ref="C32:C33"/>
    <mergeCell ref="C34:C36"/>
    <mergeCell ref="C37:C39"/>
    <mergeCell ref="C40:C4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W19"/>
  <sheetViews>
    <sheetView workbookViewId="0">
      <pane xSplit="1" ySplit="5" topLeftCell="B15" activePane="bottomRight" state="frozen"/>
      <selection pane="topRight" activeCell="B1" sqref="B1"/>
      <selection pane="bottomLeft" activeCell="A6" sqref="A6"/>
      <selection pane="bottomRight" activeCell="A17" sqref="A17:A19"/>
    </sheetView>
  </sheetViews>
  <sheetFormatPr defaultColWidth="11.5703125" defaultRowHeight="15"/>
  <cols>
    <col min="1" max="1" width="4.28515625" style="12" customWidth="1"/>
    <col min="2" max="2" width="13.85546875" style="12" customWidth="1"/>
    <col min="3" max="3" width="21.5703125" style="12" customWidth="1"/>
    <col min="4" max="4" width="10.28515625" style="12" customWidth="1"/>
    <col min="5" max="5" width="11.7109375" style="12" bestFit="1" customWidth="1"/>
    <col min="6" max="6" width="7.85546875" style="12" bestFit="1" customWidth="1"/>
    <col min="7" max="7" width="9.5703125" style="12" bestFit="1" customWidth="1"/>
    <col min="8" max="8" width="10.85546875" style="12" bestFit="1" customWidth="1"/>
    <col min="9" max="9" width="10.28515625" style="12" bestFit="1" customWidth="1"/>
    <col min="10" max="10" width="9.7109375" style="12" bestFit="1" customWidth="1"/>
    <col min="11" max="11" width="11.7109375" style="12" bestFit="1" customWidth="1"/>
    <col min="12" max="12" width="13" style="12" customWidth="1"/>
    <col min="13" max="13" width="10.28515625" style="12" bestFit="1" customWidth="1"/>
    <col min="14" max="14" width="11.7109375" style="12" bestFit="1" customWidth="1"/>
    <col min="15" max="15" width="8.85546875" style="12" bestFit="1" customWidth="1"/>
    <col min="16" max="16" width="11.5703125" style="12"/>
    <col min="17" max="17" width="11.7109375" style="12" bestFit="1" customWidth="1"/>
    <col min="18" max="18" width="13.5703125" style="12" bestFit="1" customWidth="1"/>
    <col min="19" max="20" width="11.5703125" style="12"/>
    <col min="21" max="21" width="6" style="12" bestFit="1" customWidth="1"/>
    <col min="22" max="22" width="7" style="12" bestFit="1" customWidth="1"/>
    <col min="23" max="16384" width="11.5703125" style="12"/>
  </cols>
  <sheetData>
    <row r="2" spans="1:23" ht="45">
      <c r="A2" s="12" t="s">
        <v>57</v>
      </c>
      <c r="N2" s="98" t="s">
        <v>90</v>
      </c>
    </row>
    <row r="3" spans="1:23" ht="15.75" thickBot="1">
      <c r="N3" s="99" t="s">
        <v>91</v>
      </c>
      <c r="P3" s="156" t="s">
        <v>128</v>
      </c>
    </row>
    <row r="4" spans="1:23">
      <c r="B4" s="286" t="s">
        <v>10</v>
      </c>
      <c r="C4" s="288" t="s">
        <v>11</v>
      </c>
      <c r="D4" s="280" t="s">
        <v>12</v>
      </c>
      <c r="E4" s="284" t="s">
        <v>13</v>
      </c>
      <c r="F4" s="290" t="s">
        <v>30</v>
      </c>
      <c r="G4" s="291"/>
      <c r="H4" s="292"/>
      <c r="I4" s="293" t="s">
        <v>31</v>
      </c>
      <c r="J4" s="291"/>
      <c r="K4" s="292"/>
      <c r="L4" s="280" t="s">
        <v>16</v>
      </c>
      <c r="M4" s="282" t="s">
        <v>17</v>
      </c>
      <c r="N4" s="282" t="s">
        <v>18</v>
      </c>
      <c r="O4" s="282" t="s">
        <v>19</v>
      </c>
      <c r="P4" s="282" t="s">
        <v>20</v>
      </c>
      <c r="Q4" s="284" t="s">
        <v>21</v>
      </c>
      <c r="R4" s="278" t="s">
        <v>22</v>
      </c>
    </row>
    <row r="5" spans="1:23" ht="60.75" thickBot="1">
      <c r="B5" s="287"/>
      <c r="C5" s="289"/>
      <c r="D5" s="281"/>
      <c r="E5" s="285"/>
      <c r="F5" s="59" t="s">
        <v>23</v>
      </c>
      <c r="G5" s="56" t="s">
        <v>24</v>
      </c>
      <c r="H5" s="60" t="s">
        <v>25</v>
      </c>
      <c r="I5" s="64" t="s">
        <v>26</v>
      </c>
      <c r="J5" s="56" t="s">
        <v>27</v>
      </c>
      <c r="K5" s="60" t="s">
        <v>28</v>
      </c>
      <c r="L5" s="281"/>
      <c r="M5" s="283"/>
      <c r="N5" s="283"/>
      <c r="O5" s="283"/>
      <c r="P5" s="283"/>
      <c r="Q5" s="285"/>
      <c r="R5" s="279"/>
      <c r="T5" s="12" t="s">
        <v>93</v>
      </c>
    </row>
    <row r="6" spans="1:23" ht="66.75" thickBot="1">
      <c r="A6" s="275" t="s">
        <v>80</v>
      </c>
      <c r="B6" s="82" t="s">
        <v>29</v>
      </c>
      <c r="C6" s="66" t="s">
        <v>59</v>
      </c>
      <c r="D6" s="235"/>
      <c r="E6" s="91"/>
      <c r="F6" s="89"/>
      <c r="G6" s="90"/>
      <c r="H6" s="91"/>
      <c r="I6" s="55">
        <f>F6*2829*(27.83/100)</f>
        <v>0</v>
      </c>
      <c r="J6" s="54">
        <f>G6*2829*(6.74/100)</f>
        <v>0</v>
      </c>
      <c r="K6" s="62">
        <f>H6*2829*(0/100)</f>
        <v>0</v>
      </c>
      <c r="L6" s="61">
        <f>I6+J6+K6</f>
        <v>0</v>
      </c>
      <c r="M6" s="54">
        <f>D6*(3/100)</f>
        <v>0</v>
      </c>
      <c r="N6" s="54"/>
      <c r="O6" s="54"/>
      <c r="P6" s="54"/>
      <c r="Q6" s="62">
        <f>+(D6/26)*1.5</f>
        <v>0</v>
      </c>
      <c r="R6" s="70">
        <f>D6+L6+M6+N6+O6+P6+Q6</f>
        <v>0</v>
      </c>
      <c r="T6" s="13"/>
      <c r="U6" s="13" t="s">
        <v>39</v>
      </c>
      <c r="V6" s="13" t="s">
        <v>40</v>
      </c>
    </row>
    <row r="7" spans="1:23" ht="15.75" thickBot="1">
      <c r="A7" s="276"/>
      <c r="B7" s="83"/>
      <c r="C7" s="67"/>
      <c r="D7" s="236"/>
      <c r="E7" s="237"/>
      <c r="F7" s="238"/>
      <c r="G7" s="239"/>
      <c r="H7" s="240"/>
      <c r="I7" s="65"/>
      <c r="J7" s="13"/>
      <c r="K7" s="63"/>
      <c r="L7" s="36"/>
      <c r="M7" s="37"/>
      <c r="N7" s="37"/>
      <c r="O7" s="37"/>
      <c r="P7" s="37"/>
      <c r="Q7" s="35"/>
      <c r="R7" s="53"/>
      <c r="T7" s="13" t="s">
        <v>33</v>
      </c>
      <c r="U7" s="13">
        <v>80</v>
      </c>
      <c r="V7" s="13">
        <f>+U7*1.2</f>
        <v>96</v>
      </c>
    </row>
    <row r="8" spans="1:23" ht="66.75" thickBot="1">
      <c r="A8" s="276"/>
      <c r="B8" s="82" t="s">
        <v>58</v>
      </c>
      <c r="C8" s="68" t="s">
        <v>54</v>
      </c>
      <c r="D8" s="241"/>
      <c r="E8" s="88"/>
      <c r="F8" s="86"/>
      <c r="G8" s="87"/>
      <c r="H8" s="88"/>
      <c r="I8" s="33">
        <f>F8*2829*(27.83/100)</f>
        <v>0</v>
      </c>
      <c r="J8" s="20">
        <f>G8*2829*(6.74/100)</f>
        <v>0</v>
      </c>
      <c r="K8" s="40">
        <f>H8*2829*(0/100)</f>
        <v>0</v>
      </c>
      <c r="L8" s="39">
        <f>I8+J8+K8</f>
        <v>0</v>
      </c>
      <c r="M8" s="20">
        <f>D8*(3/100)</f>
        <v>0</v>
      </c>
      <c r="N8" s="11"/>
      <c r="O8" s="11"/>
      <c r="P8" s="11"/>
      <c r="Q8" s="35">
        <f>+(D8/26)*1.5</f>
        <v>0</v>
      </c>
      <c r="R8" s="71">
        <f>D8+L8+M8+N8+O8+P8+Q8</f>
        <v>0</v>
      </c>
      <c r="T8" s="12" t="s">
        <v>129</v>
      </c>
      <c r="U8" s="12">
        <v>80</v>
      </c>
      <c r="V8" s="12">
        <v>96</v>
      </c>
    </row>
    <row r="9" spans="1:23" ht="15.75" thickBot="1">
      <c r="A9" s="276"/>
      <c r="B9" s="83"/>
      <c r="C9" s="67"/>
      <c r="D9" s="236"/>
      <c r="E9" s="237"/>
      <c r="F9" s="238"/>
      <c r="G9" s="239"/>
      <c r="H9" s="240"/>
      <c r="I9" s="65"/>
      <c r="J9" s="20"/>
      <c r="K9" s="40"/>
      <c r="L9" s="36"/>
      <c r="M9" s="37"/>
      <c r="N9" s="37"/>
      <c r="O9" s="37"/>
      <c r="P9" s="37"/>
      <c r="Q9" s="35"/>
      <c r="R9" s="53"/>
      <c r="T9" s="13" t="s">
        <v>36</v>
      </c>
      <c r="U9" s="13">
        <v>150</v>
      </c>
      <c r="V9" s="13">
        <f>+U9*1.2</f>
        <v>180</v>
      </c>
    </row>
    <row r="10" spans="1:23" ht="17.25" thickBot="1">
      <c r="A10" s="276"/>
      <c r="B10" s="82" t="s">
        <v>63</v>
      </c>
      <c r="C10" s="68" t="s">
        <v>65</v>
      </c>
      <c r="D10" s="241"/>
      <c r="E10" s="88"/>
      <c r="F10" s="86"/>
      <c r="G10" s="87"/>
      <c r="H10" s="88"/>
      <c r="I10" s="33">
        <f>F10*2829*(27.83/100)</f>
        <v>0</v>
      </c>
      <c r="J10" s="20">
        <f>G10*2829*(6.74/100)</f>
        <v>0</v>
      </c>
      <c r="K10" s="40">
        <f>H10*2829*(0/100)</f>
        <v>0</v>
      </c>
      <c r="L10" s="39">
        <f>I10+J10+K10</f>
        <v>0</v>
      </c>
      <c r="M10" s="20">
        <f>D10*(3/100)</f>
        <v>0</v>
      </c>
      <c r="N10" s="11"/>
      <c r="O10" s="11"/>
      <c r="P10" s="11"/>
      <c r="Q10" s="35">
        <f>+(D10/26)*1.5</f>
        <v>0</v>
      </c>
      <c r="R10" s="71">
        <f>D10+L10+M10+N10+O10+P10+Q10</f>
        <v>0</v>
      </c>
      <c r="T10" s="13" t="s">
        <v>37</v>
      </c>
      <c r="U10" s="13">
        <v>125</v>
      </c>
      <c r="V10" s="13">
        <f>+U10*1.2</f>
        <v>150</v>
      </c>
      <c r="W10" s="65" t="s">
        <v>41</v>
      </c>
    </row>
    <row r="11" spans="1:23" ht="15.75" thickBot="1">
      <c r="A11" s="276"/>
      <c r="B11" s="83"/>
      <c r="C11" s="67"/>
      <c r="D11" s="236"/>
      <c r="E11" s="237"/>
      <c r="F11" s="238"/>
      <c r="G11" s="239"/>
      <c r="H11" s="240"/>
      <c r="I11" s="65"/>
      <c r="J11" s="13"/>
      <c r="K11" s="63"/>
      <c r="L11" s="36"/>
      <c r="M11" s="37"/>
      <c r="N11" s="37"/>
      <c r="O11" s="37"/>
      <c r="P11" s="37"/>
      <c r="Q11" s="35"/>
      <c r="R11" s="38"/>
      <c r="T11" s="13" t="s">
        <v>38</v>
      </c>
      <c r="U11" s="13">
        <f>+V11/1.2</f>
        <v>183.33333333333334</v>
      </c>
      <c r="V11" s="13">
        <v>220</v>
      </c>
    </row>
    <row r="12" spans="1:23" ht="49.5">
      <c r="A12" s="276"/>
      <c r="B12" s="84" t="s">
        <v>69</v>
      </c>
      <c r="C12" s="68" t="s">
        <v>66</v>
      </c>
      <c r="D12" s="241"/>
      <c r="E12" s="88"/>
      <c r="F12" s="86"/>
      <c r="G12" s="87"/>
      <c r="H12" s="88"/>
      <c r="I12" s="33">
        <f>F12*2829*(27.83/100)</f>
        <v>0</v>
      </c>
      <c r="J12" s="20">
        <f>G12*2829*(6.74/100)</f>
        <v>0</v>
      </c>
      <c r="K12" s="40">
        <f>H12*2829*(0/100)</f>
        <v>0</v>
      </c>
      <c r="L12" s="39">
        <f>I12+J12+K12</f>
        <v>0</v>
      </c>
      <c r="M12" s="20">
        <f>D12*(3/100)</f>
        <v>0</v>
      </c>
      <c r="N12" s="11"/>
      <c r="O12" s="11"/>
      <c r="P12" s="11"/>
      <c r="Q12" s="35">
        <f>+(D12/26)*1.5</f>
        <v>0</v>
      </c>
      <c r="R12" s="71">
        <f>D12+L12+M12+N12+O12+P12+Q12</f>
        <v>0</v>
      </c>
      <c r="T12" s="13" t="s">
        <v>34</v>
      </c>
      <c r="U12" s="13">
        <v>20</v>
      </c>
      <c r="V12" s="13">
        <f>+U12*1.2</f>
        <v>24</v>
      </c>
    </row>
    <row r="13" spans="1:23" ht="15.75" thickBot="1">
      <c r="A13" s="276"/>
      <c r="B13" s="83"/>
      <c r="C13" s="67"/>
      <c r="D13" s="236"/>
      <c r="E13" s="237"/>
      <c r="F13" s="236"/>
      <c r="G13" s="242"/>
      <c r="H13" s="237"/>
      <c r="I13" s="37"/>
      <c r="J13" s="37"/>
      <c r="K13" s="38"/>
      <c r="L13" s="36"/>
      <c r="M13" s="37"/>
      <c r="N13" s="37"/>
      <c r="O13" s="37"/>
      <c r="P13" s="37"/>
      <c r="Q13" s="35"/>
      <c r="R13" s="38"/>
      <c r="T13" s="13" t="s">
        <v>35</v>
      </c>
      <c r="U13" s="13">
        <v>20</v>
      </c>
      <c r="V13" s="13">
        <f>+U13*1.2</f>
        <v>24</v>
      </c>
    </row>
    <row r="14" spans="1:23" ht="33.75" thickBot="1">
      <c r="A14" s="277"/>
      <c r="B14" s="82" t="s">
        <v>70</v>
      </c>
      <c r="C14" s="69" t="s">
        <v>71</v>
      </c>
      <c r="D14" s="243"/>
      <c r="E14" s="244"/>
      <c r="F14" s="245"/>
      <c r="G14" s="246"/>
      <c r="H14" s="244"/>
      <c r="I14" s="58">
        <f>F14*2829*(27.83/100)</f>
        <v>0</v>
      </c>
      <c r="J14" s="42">
        <f>G14*2700*(6.74/100)</f>
        <v>0</v>
      </c>
      <c r="K14" s="43">
        <f>H14*2700*(0/100)</f>
        <v>0</v>
      </c>
      <c r="L14" s="41">
        <f>I14+J14+K14</f>
        <v>0</v>
      </c>
      <c r="M14" s="42">
        <f>D14*(3/100)</f>
        <v>0</v>
      </c>
      <c r="N14" s="45"/>
      <c r="O14" s="45"/>
      <c r="P14" s="45"/>
      <c r="Q14" s="46">
        <f>+(D14/26)*1.5</f>
        <v>0</v>
      </c>
      <c r="R14" s="72">
        <f>D14+L14+M14+N14+O14+P14+Q14</f>
        <v>0</v>
      </c>
      <c r="V14" s="12">
        <f>+V8+V12+V11+V10+V9+V7</f>
        <v>766</v>
      </c>
    </row>
    <row r="16" spans="1:23" ht="15.75" thickBot="1"/>
    <row r="17" spans="1:18" ht="37.9" customHeight="1">
      <c r="A17" s="275" t="s">
        <v>92</v>
      </c>
      <c r="B17" s="102" t="s">
        <v>76</v>
      </c>
      <c r="C17" s="105" t="s">
        <v>75</v>
      </c>
      <c r="D17" s="247"/>
      <c r="E17" s="111"/>
      <c r="F17" s="110"/>
      <c r="G17" s="101"/>
      <c r="H17" s="111"/>
      <c r="I17" s="112">
        <f>F17*2829*(27.83/100)</f>
        <v>0</v>
      </c>
      <c r="J17" s="100">
        <f>G17*2829*(6.74/100)</f>
        <v>0</v>
      </c>
      <c r="K17" s="108">
        <f>H17*2829*(0/100)</f>
        <v>0</v>
      </c>
      <c r="L17" s="109">
        <f>I17+J17+K17</f>
        <v>0</v>
      </c>
      <c r="M17" s="100">
        <f>D17*(3/100)</f>
        <v>0</v>
      </c>
      <c r="N17" s="100"/>
      <c r="O17" s="100"/>
      <c r="P17" s="100"/>
      <c r="Q17" s="113">
        <f>+(D17/26)*1.5</f>
        <v>0</v>
      </c>
      <c r="R17" s="114">
        <f>D17+L17+M17+N17+O17+P17+Q17</f>
        <v>0</v>
      </c>
    </row>
    <row r="18" spans="1:18" ht="27">
      <c r="A18" s="276"/>
      <c r="B18" s="103" t="s">
        <v>84</v>
      </c>
      <c r="C18" s="106" t="s">
        <v>82</v>
      </c>
      <c r="D18" s="241"/>
      <c r="E18" s="88"/>
      <c r="F18" s="86"/>
      <c r="G18" s="87"/>
      <c r="H18" s="88"/>
      <c r="I18" s="34">
        <f>F18*2829*(27.83/100)</f>
        <v>0</v>
      </c>
      <c r="J18" s="11">
        <f>G18*2829*(6.74/100)</f>
        <v>0</v>
      </c>
      <c r="K18" s="35">
        <f>H18*2829*(0/100)</f>
        <v>0</v>
      </c>
      <c r="L18" s="32">
        <f>I18+J18+K18</f>
        <v>0</v>
      </c>
      <c r="M18" s="11">
        <f>D18*(3/100)</f>
        <v>0</v>
      </c>
      <c r="N18" s="11"/>
      <c r="O18" s="11"/>
      <c r="P18" s="11"/>
      <c r="Q18" s="31">
        <f>+(D18/26)*1.5</f>
        <v>0</v>
      </c>
      <c r="R18" s="115">
        <f>D18+L18+M18+N18+O18+P18+Q18</f>
        <v>0</v>
      </c>
    </row>
    <row r="19" spans="1:18" ht="27.75" thickBot="1">
      <c r="A19" s="277"/>
      <c r="B19" s="104" t="s">
        <v>88</v>
      </c>
      <c r="C19" s="85" t="s">
        <v>89</v>
      </c>
      <c r="D19" s="243"/>
      <c r="E19" s="244"/>
      <c r="F19" s="245"/>
      <c r="G19" s="246"/>
      <c r="H19" s="244"/>
      <c r="I19" s="44">
        <f>F19*2829*(27.83/100)</f>
        <v>0</v>
      </c>
      <c r="J19" s="45">
        <f>G19*2829*(6.74/100)</f>
        <v>0</v>
      </c>
      <c r="K19" s="46">
        <f>H19*2829*(0/100)</f>
        <v>0</v>
      </c>
      <c r="L19" s="107">
        <f>I19+J19+K19</f>
        <v>0</v>
      </c>
      <c r="M19" s="45">
        <f>D19*(3/100)</f>
        <v>0</v>
      </c>
      <c r="N19" s="45"/>
      <c r="O19" s="45"/>
      <c r="P19" s="45"/>
      <c r="Q19" s="57">
        <f>+(D19/26)*1.5</f>
        <v>0</v>
      </c>
      <c r="R19" s="116">
        <f>D19+L19+M19+N19+O19+P19+Q19</f>
        <v>0</v>
      </c>
    </row>
  </sheetData>
  <mergeCells count="15">
    <mergeCell ref="A6:A14"/>
    <mergeCell ref="A17:A19"/>
    <mergeCell ref="R4:R5"/>
    <mergeCell ref="L4:L5"/>
    <mergeCell ref="M4:M5"/>
    <mergeCell ref="N4:N5"/>
    <mergeCell ref="O4:O5"/>
    <mergeCell ref="P4:P5"/>
    <mergeCell ref="Q4:Q5"/>
    <mergeCell ref="B4:B5"/>
    <mergeCell ref="C4:C5"/>
    <mergeCell ref="D4:D5"/>
    <mergeCell ref="E4:E5"/>
    <mergeCell ref="F4:H4"/>
    <mergeCell ref="I4:K4"/>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210F1-3199-4B6E-B67E-49C7B19329A7}">
  <dimension ref="A2:W14"/>
  <sheetViews>
    <sheetView workbookViewId="0">
      <pane xSplit="1" ySplit="5" topLeftCell="B6" activePane="bottomRight" state="frozen"/>
      <selection pane="topRight" activeCell="B1" sqref="B1"/>
      <selection pane="bottomLeft" activeCell="A6" sqref="A6"/>
      <selection pane="bottomRight" activeCell="L21" sqref="L21"/>
    </sheetView>
  </sheetViews>
  <sheetFormatPr defaultColWidth="11.5703125" defaultRowHeight="15"/>
  <cols>
    <col min="1" max="1" width="4.28515625" style="12" customWidth="1"/>
    <col min="2" max="2" width="13.85546875" style="12" customWidth="1"/>
    <col min="3" max="3" width="21.5703125" style="12" customWidth="1"/>
    <col min="4" max="4" width="10.28515625" style="12" customWidth="1"/>
    <col min="5" max="5" width="11.7109375" style="12" bestFit="1" customWidth="1"/>
    <col min="6" max="6" width="7.85546875" style="12" bestFit="1" customWidth="1"/>
    <col min="7" max="7" width="9.5703125" style="12" bestFit="1" customWidth="1"/>
    <col min="8" max="8" width="10.85546875" style="12" bestFit="1" customWidth="1"/>
    <col min="9" max="9" width="10.28515625" style="12" bestFit="1" customWidth="1"/>
    <col min="10" max="10" width="9.7109375" style="12" bestFit="1" customWidth="1"/>
    <col min="11" max="11" width="11.7109375" style="12" bestFit="1" customWidth="1"/>
    <col min="12" max="12" width="13" style="12" customWidth="1"/>
    <col min="13" max="13" width="10.28515625" style="12" bestFit="1" customWidth="1"/>
    <col min="14" max="14" width="11.7109375" style="12" bestFit="1" customWidth="1"/>
    <col min="15" max="15" width="8.85546875" style="12" bestFit="1" customWidth="1"/>
    <col min="16" max="16" width="11.5703125" style="12"/>
    <col min="17" max="17" width="11.7109375" style="12" bestFit="1" customWidth="1"/>
    <col min="18" max="18" width="13.5703125" style="12" bestFit="1" customWidth="1"/>
    <col min="19" max="20" width="11.5703125" style="12"/>
    <col min="21" max="21" width="6" style="12" bestFit="1" customWidth="1"/>
    <col min="22" max="22" width="7" style="12" bestFit="1" customWidth="1"/>
    <col min="23" max="16384" width="11.5703125" style="12"/>
  </cols>
  <sheetData>
    <row r="2" spans="1:23" ht="45">
      <c r="A2" s="12" t="s">
        <v>57</v>
      </c>
      <c r="N2" s="98" t="s">
        <v>90</v>
      </c>
    </row>
    <row r="3" spans="1:23" ht="15.75" thickBot="1">
      <c r="N3" s="99" t="s">
        <v>91</v>
      </c>
      <c r="P3" s="156" t="s">
        <v>128</v>
      </c>
    </row>
    <row r="4" spans="1:23">
      <c r="B4" s="286" t="s">
        <v>10</v>
      </c>
      <c r="C4" s="288" t="s">
        <v>11</v>
      </c>
      <c r="D4" s="280" t="s">
        <v>12</v>
      </c>
      <c r="E4" s="284" t="s">
        <v>13</v>
      </c>
      <c r="F4" s="290" t="s">
        <v>30</v>
      </c>
      <c r="G4" s="291"/>
      <c r="H4" s="292"/>
      <c r="I4" s="293" t="s">
        <v>31</v>
      </c>
      <c r="J4" s="291"/>
      <c r="K4" s="292"/>
      <c r="L4" s="280" t="s">
        <v>16</v>
      </c>
      <c r="M4" s="282" t="s">
        <v>17</v>
      </c>
      <c r="N4" s="282" t="s">
        <v>18</v>
      </c>
      <c r="O4" s="282" t="s">
        <v>19</v>
      </c>
      <c r="P4" s="282" t="s">
        <v>20</v>
      </c>
      <c r="Q4" s="284" t="s">
        <v>21</v>
      </c>
      <c r="R4" s="278" t="s">
        <v>22</v>
      </c>
    </row>
    <row r="5" spans="1:23" ht="60.75" thickBot="1">
      <c r="B5" s="287"/>
      <c r="C5" s="289"/>
      <c r="D5" s="281"/>
      <c r="E5" s="285"/>
      <c r="F5" s="59" t="s">
        <v>23</v>
      </c>
      <c r="G5" s="56" t="s">
        <v>24</v>
      </c>
      <c r="H5" s="60" t="s">
        <v>25</v>
      </c>
      <c r="I5" s="64" t="s">
        <v>26</v>
      </c>
      <c r="J5" s="56" t="s">
        <v>27</v>
      </c>
      <c r="K5" s="60" t="s">
        <v>28</v>
      </c>
      <c r="L5" s="281"/>
      <c r="M5" s="283"/>
      <c r="N5" s="283"/>
      <c r="O5" s="283"/>
      <c r="P5" s="283"/>
      <c r="Q5" s="285"/>
      <c r="R5" s="279"/>
      <c r="T5" s="12" t="s">
        <v>93</v>
      </c>
    </row>
    <row r="6" spans="1:23" ht="17.25" thickBot="1">
      <c r="A6" s="275" t="s">
        <v>188</v>
      </c>
      <c r="B6" s="82"/>
      <c r="C6" s="66"/>
      <c r="D6" s="235"/>
      <c r="E6" s="91"/>
      <c r="F6" s="89"/>
      <c r="G6" s="90"/>
      <c r="H6" s="91"/>
      <c r="I6" s="55">
        <f>F6*2829*(27.83/100)</f>
        <v>0</v>
      </c>
      <c r="J6" s="54">
        <f>G6*2829*(6.74/100)</f>
        <v>0</v>
      </c>
      <c r="K6" s="62">
        <f>H6*2829*(0/100)</f>
        <v>0</v>
      </c>
      <c r="L6" s="61">
        <f>I6+J6+K6</f>
        <v>0</v>
      </c>
      <c r="M6" s="54">
        <f>D6*(3/100)</f>
        <v>0</v>
      </c>
      <c r="N6" s="54"/>
      <c r="O6" s="54"/>
      <c r="P6" s="54"/>
      <c r="Q6" s="62">
        <f>+(D6/26)*1.5</f>
        <v>0</v>
      </c>
      <c r="R6" s="70">
        <f>D6+L6+M6+N6+O6+P6+Q6</f>
        <v>0</v>
      </c>
      <c r="T6" s="13"/>
      <c r="U6" s="13" t="s">
        <v>39</v>
      </c>
      <c r="V6" s="13" t="s">
        <v>40</v>
      </c>
    </row>
    <row r="7" spans="1:23" ht="15.75" thickBot="1">
      <c r="A7" s="276"/>
      <c r="B7" s="83"/>
      <c r="C7" s="67"/>
      <c r="D7" s="236"/>
      <c r="E7" s="237"/>
      <c r="F7" s="238"/>
      <c r="G7" s="239"/>
      <c r="H7" s="240"/>
      <c r="I7" s="65"/>
      <c r="J7" s="13"/>
      <c r="K7" s="63"/>
      <c r="L7" s="36"/>
      <c r="M7" s="37"/>
      <c r="N7" s="37"/>
      <c r="O7" s="37"/>
      <c r="P7" s="37"/>
      <c r="Q7" s="35"/>
      <c r="R7" s="53"/>
      <c r="T7" s="13" t="s">
        <v>33</v>
      </c>
      <c r="U7" s="13">
        <v>80</v>
      </c>
      <c r="V7" s="13">
        <f>+U7*1.2</f>
        <v>96</v>
      </c>
    </row>
    <row r="8" spans="1:23" ht="17.25" thickBot="1">
      <c r="A8" s="276"/>
      <c r="B8" s="82"/>
      <c r="C8" s="68"/>
      <c r="D8" s="241"/>
      <c r="E8" s="88"/>
      <c r="F8" s="86"/>
      <c r="G8" s="87"/>
      <c r="H8" s="88"/>
      <c r="I8" s="33">
        <f>F8*2829*(27.83/100)</f>
        <v>0</v>
      </c>
      <c r="J8" s="20">
        <f>G8*2829*(6.74/100)</f>
        <v>0</v>
      </c>
      <c r="K8" s="40">
        <f>H8*2829*(0/100)</f>
        <v>0</v>
      </c>
      <c r="L8" s="39">
        <f>I8+J8+K8</f>
        <v>0</v>
      </c>
      <c r="M8" s="20">
        <f>D8*(3/100)</f>
        <v>0</v>
      </c>
      <c r="N8" s="11"/>
      <c r="O8" s="11"/>
      <c r="P8" s="11"/>
      <c r="Q8" s="35">
        <f>+(D8/26)*1.5</f>
        <v>0</v>
      </c>
      <c r="R8" s="71">
        <f>D8+L8+M8+N8+O8+P8+Q8</f>
        <v>0</v>
      </c>
      <c r="T8" s="12" t="s">
        <v>129</v>
      </c>
      <c r="U8" s="12">
        <v>80</v>
      </c>
      <c r="V8" s="12">
        <v>96</v>
      </c>
    </row>
    <row r="9" spans="1:23" ht="15.75" thickBot="1">
      <c r="A9" s="276"/>
      <c r="B9" s="83"/>
      <c r="C9" s="67"/>
      <c r="D9" s="236"/>
      <c r="E9" s="237"/>
      <c r="F9" s="238"/>
      <c r="G9" s="239"/>
      <c r="H9" s="240"/>
      <c r="I9" s="65"/>
      <c r="J9" s="20"/>
      <c r="K9" s="40"/>
      <c r="L9" s="36"/>
      <c r="M9" s="37"/>
      <c r="N9" s="37"/>
      <c r="O9" s="37"/>
      <c r="P9" s="37"/>
      <c r="Q9" s="35"/>
      <c r="R9" s="53"/>
      <c r="T9" s="13" t="s">
        <v>36</v>
      </c>
      <c r="U9" s="13">
        <v>150</v>
      </c>
      <c r="V9" s="13">
        <f>+U9*1.2</f>
        <v>180</v>
      </c>
    </row>
    <row r="10" spans="1:23" ht="17.25" thickBot="1">
      <c r="A10" s="276"/>
      <c r="B10" s="82"/>
      <c r="C10" s="68"/>
      <c r="D10" s="241"/>
      <c r="E10" s="88"/>
      <c r="F10" s="86"/>
      <c r="G10" s="87"/>
      <c r="H10" s="88"/>
      <c r="I10" s="33">
        <f>F10*2829*(27.83/100)</f>
        <v>0</v>
      </c>
      <c r="J10" s="20">
        <f>G10*2829*(6.74/100)</f>
        <v>0</v>
      </c>
      <c r="K10" s="40">
        <f>H10*2829*(0/100)</f>
        <v>0</v>
      </c>
      <c r="L10" s="39">
        <f>I10+J10+K10</f>
        <v>0</v>
      </c>
      <c r="M10" s="20">
        <f>D10*(3/100)</f>
        <v>0</v>
      </c>
      <c r="N10" s="11"/>
      <c r="O10" s="11"/>
      <c r="P10" s="11"/>
      <c r="Q10" s="35">
        <f>+(D10/26)*1.5</f>
        <v>0</v>
      </c>
      <c r="R10" s="71">
        <f>D10+L10+M10+N10+O10+P10+Q10</f>
        <v>0</v>
      </c>
      <c r="T10" s="13" t="s">
        <v>37</v>
      </c>
      <c r="U10" s="13">
        <v>125</v>
      </c>
      <c r="V10" s="13">
        <f>+U10*1.2</f>
        <v>150</v>
      </c>
      <c r="W10" s="65" t="s">
        <v>41</v>
      </c>
    </row>
    <row r="11" spans="1:23" ht="15.75" thickBot="1">
      <c r="A11" s="276"/>
      <c r="B11" s="83"/>
      <c r="C11" s="67"/>
      <c r="D11" s="236"/>
      <c r="E11" s="237"/>
      <c r="F11" s="238"/>
      <c r="G11" s="239"/>
      <c r="H11" s="240"/>
      <c r="I11" s="65"/>
      <c r="J11" s="13"/>
      <c r="K11" s="63"/>
      <c r="L11" s="36"/>
      <c r="M11" s="37"/>
      <c r="N11" s="37"/>
      <c r="O11" s="37"/>
      <c r="P11" s="37"/>
      <c r="Q11" s="35"/>
      <c r="R11" s="38"/>
      <c r="T11" s="13" t="s">
        <v>38</v>
      </c>
      <c r="U11" s="13">
        <f>+V11/1.2</f>
        <v>183.33333333333334</v>
      </c>
      <c r="V11" s="13">
        <v>220</v>
      </c>
    </row>
    <row r="12" spans="1:23" ht="16.5">
      <c r="A12" s="276"/>
      <c r="B12" s="84"/>
      <c r="C12" s="68"/>
      <c r="D12" s="241"/>
      <c r="E12" s="88"/>
      <c r="F12" s="86"/>
      <c r="G12" s="87"/>
      <c r="H12" s="88"/>
      <c r="I12" s="33">
        <f>F12*2829*(27.83/100)</f>
        <v>0</v>
      </c>
      <c r="J12" s="20">
        <f>G12*2829*(6.74/100)</f>
        <v>0</v>
      </c>
      <c r="K12" s="40">
        <f>H12*2829*(0/100)</f>
        <v>0</v>
      </c>
      <c r="L12" s="39">
        <f>I12+J12+K12</f>
        <v>0</v>
      </c>
      <c r="M12" s="20">
        <f>D12*(3/100)</f>
        <v>0</v>
      </c>
      <c r="N12" s="11"/>
      <c r="O12" s="11"/>
      <c r="P12" s="11"/>
      <c r="Q12" s="35">
        <f>+(D12/26)*1.5</f>
        <v>0</v>
      </c>
      <c r="R12" s="71">
        <f>D12+L12+M12+N12+O12+P12+Q12</f>
        <v>0</v>
      </c>
      <c r="T12" s="13" t="s">
        <v>34</v>
      </c>
      <c r="U12" s="13">
        <v>20</v>
      </c>
      <c r="V12" s="13">
        <f>+U12*1.2</f>
        <v>24</v>
      </c>
    </row>
    <row r="13" spans="1:23" ht="15.75" thickBot="1">
      <c r="A13" s="276"/>
      <c r="B13" s="83"/>
      <c r="C13" s="67"/>
      <c r="D13" s="236"/>
      <c r="E13" s="237"/>
      <c r="F13" s="236"/>
      <c r="G13" s="242"/>
      <c r="H13" s="237"/>
      <c r="I13" s="37"/>
      <c r="J13" s="37"/>
      <c r="K13" s="38"/>
      <c r="L13" s="36"/>
      <c r="M13" s="37"/>
      <c r="N13" s="37"/>
      <c r="O13" s="37"/>
      <c r="P13" s="37"/>
      <c r="Q13" s="35"/>
      <c r="R13" s="38"/>
      <c r="T13" s="13" t="s">
        <v>35</v>
      </c>
      <c r="U13" s="13">
        <v>20</v>
      </c>
      <c r="V13" s="13">
        <f>+U13*1.2</f>
        <v>24</v>
      </c>
    </row>
    <row r="14" spans="1:23" ht="17.25" thickBot="1">
      <c r="A14" s="277"/>
      <c r="B14" s="82"/>
      <c r="C14" s="69"/>
      <c r="D14" s="243"/>
      <c r="E14" s="244"/>
      <c r="F14" s="245"/>
      <c r="G14" s="246"/>
      <c r="H14" s="244"/>
      <c r="I14" s="58">
        <f>F14*2829*(27.83/100)</f>
        <v>0</v>
      </c>
      <c r="J14" s="42">
        <f>G14*2700*(6.74/100)</f>
        <v>0</v>
      </c>
      <c r="K14" s="43">
        <f>H14*2700*(0/100)</f>
        <v>0</v>
      </c>
      <c r="L14" s="41">
        <f>I14+J14+K14</f>
        <v>0</v>
      </c>
      <c r="M14" s="42">
        <f>D14*(3/100)</f>
        <v>0</v>
      </c>
      <c r="N14" s="45"/>
      <c r="O14" s="45"/>
      <c r="P14" s="45"/>
      <c r="Q14" s="46">
        <f>+(D14/26)*1.5</f>
        <v>0</v>
      </c>
      <c r="R14" s="72">
        <f>D14+L14+M14+N14+O14+P14+Q14</f>
        <v>0</v>
      </c>
      <c r="V14" s="12">
        <f>+V8+V12+V11+V10+V9+V7</f>
        <v>766</v>
      </c>
    </row>
  </sheetData>
  <mergeCells count="14">
    <mergeCell ref="R4:R5"/>
    <mergeCell ref="A6:A14"/>
    <mergeCell ref="L4:L5"/>
    <mergeCell ref="M4:M5"/>
    <mergeCell ref="N4:N5"/>
    <mergeCell ref="O4:O5"/>
    <mergeCell ref="P4:P5"/>
    <mergeCell ref="Q4:Q5"/>
    <mergeCell ref="B4:B5"/>
    <mergeCell ref="C4:C5"/>
    <mergeCell ref="D4:D5"/>
    <mergeCell ref="E4:E5"/>
    <mergeCell ref="F4:H4"/>
    <mergeCell ref="I4:K4"/>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R23"/>
  <sheetViews>
    <sheetView zoomScale="90" zoomScaleNormal="90" workbookViewId="0">
      <selection activeCell="Q13" sqref="Q13"/>
    </sheetView>
  </sheetViews>
  <sheetFormatPr defaultColWidth="11.5703125" defaultRowHeight="15"/>
  <cols>
    <col min="1" max="1" width="7.140625" style="2" customWidth="1"/>
    <col min="2" max="2" width="15.7109375" style="2" customWidth="1"/>
    <col min="3" max="3" width="20.5703125" style="2" customWidth="1"/>
    <col min="4" max="5" width="11.7109375" style="2" bestFit="1" customWidth="1"/>
    <col min="6" max="6" width="13.5703125" style="2" customWidth="1"/>
    <col min="7" max="12" width="11.7109375" style="2" bestFit="1" customWidth="1"/>
    <col min="13" max="13" width="13.140625" style="2" customWidth="1"/>
    <col min="14" max="14" width="13.42578125" style="2" customWidth="1"/>
    <col min="15" max="15" width="11.5703125" style="2"/>
    <col min="16" max="16" width="14.28515625" style="2" customWidth="1"/>
    <col min="17" max="17" width="11.7109375" style="2" bestFit="1" customWidth="1"/>
    <col min="18" max="18" width="15.42578125" style="2" customWidth="1"/>
    <col min="19" max="16384" width="11.5703125" style="2"/>
  </cols>
  <sheetData>
    <row r="3" spans="2:18" ht="15.75" thickBot="1"/>
    <row r="4" spans="2:18" ht="16.5">
      <c r="B4" s="310" t="s">
        <v>10</v>
      </c>
      <c r="C4" s="312" t="s">
        <v>11</v>
      </c>
      <c r="D4" s="314" t="s">
        <v>12</v>
      </c>
      <c r="E4" s="316" t="s">
        <v>13</v>
      </c>
      <c r="F4" s="307" t="s">
        <v>14</v>
      </c>
      <c r="G4" s="308"/>
      <c r="H4" s="309"/>
      <c r="I4" s="307" t="s">
        <v>15</v>
      </c>
      <c r="J4" s="308"/>
      <c r="K4" s="309"/>
      <c r="L4" s="301" t="s">
        <v>16</v>
      </c>
      <c r="M4" s="303" t="s">
        <v>17</v>
      </c>
      <c r="N4" s="303" t="s">
        <v>18</v>
      </c>
      <c r="O4" s="303" t="s">
        <v>19</v>
      </c>
      <c r="P4" s="305" t="s">
        <v>20</v>
      </c>
      <c r="Q4" s="303" t="s">
        <v>21</v>
      </c>
      <c r="R4" s="294" t="s">
        <v>94</v>
      </c>
    </row>
    <row r="5" spans="2:18" s="12" customFormat="1" ht="60.75" thickBot="1">
      <c r="B5" s="311"/>
      <c r="C5" s="313"/>
      <c r="D5" s="315"/>
      <c r="E5" s="317"/>
      <c r="F5" s="59" t="s">
        <v>23</v>
      </c>
      <c r="G5" s="56" t="s">
        <v>24</v>
      </c>
      <c r="H5" s="60" t="s">
        <v>25</v>
      </c>
      <c r="I5" s="59" t="s">
        <v>26</v>
      </c>
      <c r="J5" s="56" t="s">
        <v>27</v>
      </c>
      <c r="K5" s="60" t="s">
        <v>28</v>
      </c>
      <c r="L5" s="302"/>
      <c r="M5" s="304"/>
      <c r="N5" s="304"/>
      <c r="O5" s="304"/>
      <c r="P5" s="306"/>
      <c r="Q5" s="304"/>
      <c r="R5" s="295"/>
    </row>
    <row r="6" spans="2:18" s="119" customFormat="1" ht="15.75" thickBot="1">
      <c r="B6" s="135" t="s">
        <v>98</v>
      </c>
      <c r="C6" s="121" t="s">
        <v>95</v>
      </c>
      <c r="D6" s="248"/>
      <c r="E6" s="91"/>
      <c r="F6" s="89"/>
      <c r="G6" s="90"/>
      <c r="H6" s="91"/>
      <c r="I6" s="142">
        <f>F6*(2495.68*(27.83/100))</f>
        <v>0</v>
      </c>
      <c r="J6" s="136">
        <f>G6*2838*(6.74/100)</f>
        <v>0</v>
      </c>
      <c r="K6" s="143">
        <f>H6*2838*(0/100)</f>
        <v>0</v>
      </c>
      <c r="L6" s="139">
        <f>I6+J6+K6</f>
        <v>0</v>
      </c>
      <c r="M6" s="136">
        <f>D6*(3/100)</f>
        <v>0</v>
      </c>
      <c r="N6" s="137"/>
      <c r="O6" s="136"/>
      <c r="P6" s="136"/>
      <c r="Q6" s="54">
        <f>+(D6/26)*1.5</f>
        <v>0</v>
      </c>
      <c r="R6" s="138">
        <f>D6+L6+M6+N6+O6+P6+Q6</f>
        <v>0</v>
      </c>
    </row>
    <row r="7" spans="2:18" ht="43.5" thickBot="1">
      <c r="B7" s="117" t="s">
        <v>112</v>
      </c>
      <c r="C7" s="121" t="s">
        <v>111</v>
      </c>
      <c r="D7" s="249"/>
      <c r="E7" s="88"/>
      <c r="F7" s="86"/>
      <c r="G7" s="87"/>
      <c r="H7" s="88"/>
      <c r="I7" s="144">
        <f>F7*(2495.68*(27.83/100))</f>
        <v>0</v>
      </c>
      <c r="J7" s="122">
        <f>G7*2838*(6.74/100)</f>
        <v>0</v>
      </c>
      <c r="K7" s="145">
        <f>H7*2838*(0/100)</f>
        <v>0</v>
      </c>
      <c r="L7" s="33">
        <f t="shared" ref="L7:L10" si="0">I7+J7+K7</f>
        <v>0</v>
      </c>
      <c r="M7" s="20">
        <f t="shared" ref="M7:M10" si="1">D7*(3/100)</f>
        <v>0</v>
      </c>
      <c r="N7" s="118"/>
      <c r="O7" s="20"/>
      <c r="P7" s="20"/>
      <c r="Q7" s="11">
        <f t="shared" ref="Q7:Q10" si="2">+(D7/26)*1.5</f>
        <v>0</v>
      </c>
      <c r="R7" s="130">
        <f t="shared" ref="R7:R10" si="3">D7+L7+M7+N7+O7+P7+Q7</f>
        <v>0</v>
      </c>
    </row>
    <row r="8" spans="2:18" ht="29.25" thickBot="1">
      <c r="B8" s="117" t="s">
        <v>113</v>
      </c>
      <c r="C8" s="121" t="s">
        <v>115</v>
      </c>
      <c r="D8" s="249"/>
      <c r="E8" s="88"/>
      <c r="F8" s="86"/>
      <c r="G8" s="87"/>
      <c r="H8" s="88"/>
      <c r="I8" s="144">
        <f>F8*(2828.71*(27.83/100))</f>
        <v>0</v>
      </c>
      <c r="J8" s="122">
        <f>G8*2838*(6.74/100)</f>
        <v>0</v>
      </c>
      <c r="K8" s="145">
        <f>H8*2838*(0/100)</f>
        <v>0</v>
      </c>
      <c r="L8" s="33">
        <f t="shared" si="0"/>
        <v>0</v>
      </c>
      <c r="M8" s="20">
        <f t="shared" si="1"/>
        <v>0</v>
      </c>
      <c r="N8" s="118"/>
      <c r="O8" s="20"/>
      <c r="P8" s="20"/>
      <c r="Q8" s="11">
        <f t="shared" si="2"/>
        <v>0</v>
      </c>
      <c r="R8" s="130">
        <f t="shared" si="3"/>
        <v>0</v>
      </c>
    </row>
    <row r="9" spans="2:18" ht="57.75" thickBot="1">
      <c r="B9" s="117" t="s">
        <v>122</v>
      </c>
      <c r="C9" s="121" t="s">
        <v>121</v>
      </c>
      <c r="D9" s="249"/>
      <c r="E9" s="250"/>
      <c r="F9" s="251"/>
      <c r="G9" s="252"/>
      <c r="H9" s="88"/>
      <c r="I9" s="140">
        <f>F9*1367.79*(27.83/100)</f>
        <v>0</v>
      </c>
      <c r="J9" s="122">
        <f>G9*1367.79*(6.74/100)</f>
        <v>0</v>
      </c>
      <c r="K9" s="145">
        <f>H9*1367.79*(0/100)</f>
        <v>0</v>
      </c>
      <c r="L9" s="33">
        <f t="shared" si="0"/>
        <v>0</v>
      </c>
      <c r="M9" s="20">
        <f t="shared" si="1"/>
        <v>0</v>
      </c>
      <c r="N9" s="128"/>
      <c r="O9" s="128"/>
      <c r="P9" s="128"/>
      <c r="Q9" s="11">
        <f t="shared" si="2"/>
        <v>0</v>
      </c>
      <c r="R9" s="130">
        <f t="shared" si="3"/>
        <v>0</v>
      </c>
    </row>
    <row r="10" spans="2:18" ht="29.25" thickBot="1">
      <c r="B10" s="117" t="s">
        <v>117</v>
      </c>
      <c r="C10" s="131" t="s">
        <v>118</v>
      </c>
      <c r="D10" s="253"/>
      <c r="E10" s="254"/>
      <c r="F10" s="255"/>
      <c r="G10" s="256"/>
      <c r="H10" s="244"/>
      <c r="I10" s="141">
        <f>F10*(14.81*6*26)*(27.83/100)</f>
        <v>0</v>
      </c>
      <c r="J10" s="133">
        <f>G10*(14.81*6*26)*(6.74/100)</f>
        <v>0</v>
      </c>
      <c r="K10" s="146">
        <f>H10*(14.81*6*26)*(0/100)</f>
        <v>0</v>
      </c>
      <c r="L10" s="58">
        <f t="shared" si="0"/>
        <v>0</v>
      </c>
      <c r="M10" s="42">
        <f t="shared" si="1"/>
        <v>0</v>
      </c>
      <c r="N10" s="132"/>
      <c r="O10" s="132"/>
      <c r="P10" s="132"/>
      <c r="Q10" s="45">
        <f t="shared" si="2"/>
        <v>0</v>
      </c>
      <c r="R10" s="134">
        <f t="shared" si="3"/>
        <v>0</v>
      </c>
    </row>
    <row r="11" spans="2:18">
      <c r="C11" s="129"/>
    </row>
    <row r="12" spans="2:18">
      <c r="B12" s="28"/>
      <c r="C12" s="28"/>
    </row>
    <row r="15" spans="2:18" ht="15.75" thickBot="1"/>
    <row r="16" spans="2:18" ht="16.5" thickBot="1">
      <c r="B16" s="147"/>
      <c r="C16" s="148"/>
      <c r="D16" s="296" t="s">
        <v>100</v>
      </c>
      <c r="E16" s="297"/>
      <c r="F16" s="297"/>
      <c r="G16" s="297"/>
      <c r="H16" s="297"/>
      <c r="I16" s="297"/>
      <c r="J16" s="297"/>
      <c r="K16" s="297"/>
      <c r="L16" s="297"/>
      <c r="M16" s="297"/>
      <c r="N16" s="297"/>
      <c r="O16" s="298"/>
      <c r="P16" s="299" t="s">
        <v>101</v>
      </c>
    </row>
    <row r="17" spans="2:16" ht="48" thickBot="1">
      <c r="B17" s="164" t="s">
        <v>10</v>
      </c>
      <c r="C17" s="167" t="s">
        <v>11</v>
      </c>
      <c r="D17" s="161" t="s">
        <v>102</v>
      </c>
      <c r="E17" s="149" t="s">
        <v>103</v>
      </c>
      <c r="F17" s="149" t="s">
        <v>104</v>
      </c>
      <c r="G17" s="149" t="s">
        <v>105</v>
      </c>
      <c r="H17" s="150" t="s">
        <v>106</v>
      </c>
      <c r="I17" s="149" t="s">
        <v>107</v>
      </c>
      <c r="J17" s="149" t="s">
        <v>19</v>
      </c>
      <c r="K17" s="149" t="s">
        <v>108</v>
      </c>
      <c r="L17" s="149" t="s">
        <v>109</v>
      </c>
      <c r="M17" s="149" t="s">
        <v>127</v>
      </c>
      <c r="N17" s="149" t="s">
        <v>110</v>
      </c>
      <c r="O17" s="171" t="s">
        <v>110</v>
      </c>
      <c r="P17" s="300"/>
    </row>
    <row r="18" spans="2:16" ht="16.5" thickBot="1">
      <c r="B18" s="165" t="str">
        <f t="shared" ref="B18:C22" si="4">+B6</f>
        <v xml:space="preserve">01/FSAC/2018 </v>
      </c>
      <c r="C18" s="168" t="str">
        <f t="shared" si="4"/>
        <v>FSAC</v>
      </c>
      <c r="D18" s="162">
        <f>+R6</f>
        <v>0</v>
      </c>
      <c r="E18" s="120"/>
      <c r="F18" s="120"/>
      <c r="G18" s="120"/>
      <c r="H18" s="120"/>
      <c r="I18" s="120"/>
      <c r="J18" s="120"/>
      <c r="K18" s="120"/>
      <c r="L18" s="120"/>
      <c r="M18" s="120"/>
      <c r="N18" s="120"/>
      <c r="O18" s="172"/>
      <c r="P18" s="175">
        <f>+SUM(D18:O18)</f>
        <v>0</v>
      </c>
    </row>
    <row r="19" spans="2:16" ht="32.25" thickBot="1">
      <c r="B19" s="165" t="str">
        <f t="shared" si="4"/>
        <v xml:space="preserve">01FUH2C/2019 </v>
      </c>
      <c r="C19" s="169" t="str">
        <f t="shared" si="4"/>
        <v>Présidence de l'Université Hassan II</v>
      </c>
      <c r="D19" s="162">
        <f>+R7</f>
        <v>0</v>
      </c>
      <c r="E19" s="1"/>
      <c r="F19" s="1"/>
      <c r="G19" s="19"/>
      <c r="H19" s="1"/>
      <c r="I19" s="19"/>
      <c r="J19" s="1"/>
      <c r="K19" s="1"/>
      <c r="L19" s="1"/>
      <c r="M19" s="151"/>
      <c r="N19" s="1"/>
      <c r="O19" s="173"/>
      <c r="P19" s="175">
        <f>+SUM(D19:O19)</f>
        <v>0</v>
      </c>
    </row>
    <row r="20" spans="2:16" ht="32.25" thickBot="1">
      <c r="B20" s="165" t="str">
        <f t="shared" si="4"/>
        <v>01/2019/ESI</v>
      </c>
      <c r="C20" s="169" t="str">
        <f t="shared" si="4"/>
        <v>Ecole des Sciences de l’Information</v>
      </c>
      <c r="D20" s="162">
        <f>+R8</f>
        <v>0</v>
      </c>
      <c r="E20" s="1"/>
      <c r="F20" s="1"/>
      <c r="G20" s="1"/>
      <c r="H20" s="1"/>
      <c r="I20" s="1"/>
      <c r="J20" s="1"/>
      <c r="K20" s="1"/>
      <c r="L20" s="1"/>
      <c r="M20" s="1"/>
      <c r="N20" s="1"/>
      <c r="O20" s="173"/>
      <c r="P20" s="175">
        <f>+SUM(D20:O20)</f>
        <v>0</v>
      </c>
    </row>
    <row r="21" spans="2:16" ht="48" thickBot="1">
      <c r="B21" s="165" t="str">
        <f t="shared" si="4"/>
        <v xml:space="preserve">06/CR-Tanger/2019 </v>
      </c>
      <c r="C21" s="169" t="str">
        <f t="shared" si="4"/>
        <v>Entraide Nationale - (Coordination Régionale de Tanger)</v>
      </c>
      <c r="D21" s="162">
        <f t="shared" ref="D21:D22" si="5">+R9</f>
        <v>0</v>
      </c>
      <c r="E21" s="19"/>
      <c r="F21" s="1"/>
      <c r="G21" s="1"/>
      <c r="H21" s="1"/>
      <c r="I21" s="1"/>
      <c r="J21" s="1"/>
      <c r="K21" s="1"/>
      <c r="L21" s="1"/>
      <c r="M21" s="1"/>
      <c r="N21" s="1"/>
      <c r="O21" s="173"/>
      <c r="P21" s="175">
        <f t="shared" ref="P21:P22" si="6">+SUM(D21:O21)</f>
        <v>0</v>
      </c>
    </row>
    <row r="22" spans="2:16" ht="32.25" thickBot="1">
      <c r="B22" s="166" t="str">
        <f t="shared" si="4"/>
        <v>05FUH2C/2020</v>
      </c>
      <c r="C22" s="170" t="str">
        <f t="shared" si="4"/>
        <v>Université Hassan II Casablanca</v>
      </c>
      <c r="D22" s="163">
        <f t="shared" si="5"/>
        <v>0</v>
      </c>
      <c r="E22" s="159"/>
      <c r="F22" s="159"/>
      <c r="G22" s="160"/>
      <c r="H22" s="160"/>
      <c r="I22" s="159"/>
      <c r="J22" s="159"/>
      <c r="K22" s="159"/>
      <c r="L22" s="159"/>
      <c r="M22" s="160"/>
      <c r="N22" s="159"/>
      <c r="O22" s="174"/>
      <c r="P22" s="176">
        <f t="shared" si="6"/>
        <v>0</v>
      </c>
    </row>
    <row r="23" spans="2:16">
      <c r="M23" s="158"/>
    </row>
  </sheetData>
  <mergeCells count="15">
    <mergeCell ref="B4:B5"/>
    <mergeCell ref="C4:C5"/>
    <mergeCell ref="D4:D5"/>
    <mergeCell ref="E4:E5"/>
    <mergeCell ref="F4:H4"/>
    <mergeCell ref="R4:R5"/>
    <mergeCell ref="D16:O16"/>
    <mergeCell ref="P16:P17"/>
    <mergeCell ref="L4:L5"/>
    <mergeCell ref="M4:M5"/>
    <mergeCell ref="N4:N5"/>
    <mergeCell ref="O4:O5"/>
    <mergeCell ref="P4:P5"/>
    <mergeCell ref="Q4:Q5"/>
    <mergeCell ref="I4:K4"/>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P41"/>
  <sheetViews>
    <sheetView topLeftCell="A7" workbookViewId="0">
      <selection activeCell="D7" sqref="D7"/>
    </sheetView>
  </sheetViews>
  <sheetFormatPr defaultColWidth="11.5703125" defaultRowHeight="15"/>
  <cols>
    <col min="1" max="1" width="8.42578125" style="2" customWidth="1"/>
    <col min="2" max="2" width="12.42578125" style="2" bestFit="1" customWidth="1"/>
    <col min="3" max="3" width="11.7109375" style="2" bestFit="1" customWidth="1"/>
    <col min="4" max="4" width="18.28515625" style="2" customWidth="1"/>
    <col min="5" max="5" width="35.85546875" style="2" customWidth="1"/>
    <col min="6" max="6" width="13" style="2" customWidth="1"/>
    <col min="7" max="7" width="13.7109375" style="2" bestFit="1" customWidth="1"/>
    <col min="8" max="8" width="11.5703125" style="2" bestFit="1" customWidth="1"/>
    <col min="9" max="9" width="15.85546875" style="2" bestFit="1" customWidth="1"/>
    <col min="10" max="10" width="14" style="2" bestFit="1" customWidth="1"/>
    <col min="11" max="11" width="10.7109375" style="2" customWidth="1"/>
    <col min="12" max="12" width="13.28515625" style="2" customWidth="1"/>
    <col min="13" max="13" width="14.140625" style="2" bestFit="1" customWidth="1"/>
    <col min="14" max="14" width="16.28515625" style="2" customWidth="1"/>
    <col min="15" max="16384" width="11.5703125" style="2"/>
  </cols>
  <sheetData>
    <row r="3" spans="1:13">
      <c r="A3" s="2" t="s">
        <v>52</v>
      </c>
      <c r="D3" s="152">
        <f>+B10+B12+B14+B16+B18</f>
        <v>1948959.36</v>
      </c>
      <c r="F3" s="47">
        <f>+D3/6</f>
        <v>324826.56</v>
      </c>
    </row>
    <row r="4" spans="1:13">
      <c r="A4" s="2" t="s">
        <v>81</v>
      </c>
      <c r="D4" s="152">
        <f>+B21+B23+B25</f>
        <v>835085.52</v>
      </c>
      <c r="F4" s="47">
        <f>+D4/6</f>
        <v>139180.92000000001</v>
      </c>
    </row>
    <row r="5" spans="1:13">
      <c r="A5" s="2" t="s">
        <v>116</v>
      </c>
      <c r="D5" s="152">
        <f>+B28+B30+B32+B34+B36</f>
        <v>1293683.05</v>
      </c>
    </row>
    <row r="6" spans="1:13">
      <c r="A6" s="2" t="s">
        <v>189</v>
      </c>
      <c r="D6" s="152">
        <f>+B39+B41</f>
        <v>0</v>
      </c>
    </row>
    <row r="7" spans="1:13">
      <c r="A7" s="2" t="s">
        <v>53</v>
      </c>
      <c r="D7" s="152">
        <v>7304.15</v>
      </c>
    </row>
    <row r="9" spans="1:13" ht="63.75" thickBot="1">
      <c r="B9" s="14" t="s">
        <v>42</v>
      </c>
      <c r="C9" s="14" t="s">
        <v>43</v>
      </c>
      <c r="D9" s="14" t="s">
        <v>10</v>
      </c>
      <c r="E9" s="14" t="s">
        <v>11</v>
      </c>
      <c r="F9" s="14" t="s">
        <v>44</v>
      </c>
      <c r="G9" s="14" t="s">
        <v>45</v>
      </c>
      <c r="H9" s="15" t="s">
        <v>46</v>
      </c>
      <c r="I9" s="14" t="s">
        <v>47</v>
      </c>
      <c r="J9" s="14" t="s">
        <v>48</v>
      </c>
      <c r="K9" s="14" t="s">
        <v>49</v>
      </c>
      <c r="L9" s="14" t="s">
        <v>50</v>
      </c>
      <c r="M9" s="14" t="s">
        <v>51</v>
      </c>
    </row>
    <row r="10" spans="1:13" s="119" customFormat="1" ht="33">
      <c r="A10" s="318" t="s">
        <v>80</v>
      </c>
      <c r="B10" s="22">
        <v>740400</v>
      </c>
      <c r="C10" s="21">
        <v>12</v>
      </c>
      <c r="D10" s="23" t="str">
        <f>+'CHARGES DIRECTES SECURITE'!B6</f>
        <v>01/2018</v>
      </c>
      <c r="E10" s="17" t="str">
        <f>+'CHARGES DIRECTES SECURITE'!C6</f>
        <v>Chef du Gouvernement Direction des Affaires Administratives et Financières</v>
      </c>
      <c r="F10" s="20">
        <f>+'CHARGES DIRECTES SECURITE'!R6</f>
        <v>0</v>
      </c>
      <c r="G10" s="48">
        <f>B10/$D$3</f>
        <v>0.37989504306544392</v>
      </c>
      <c r="H10" s="20">
        <f>+$D$7*G10</f>
        <v>2774.8103788064618</v>
      </c>
      <c r="I10" s="20">
        <f>F10+H10</f>
        <v>2774.8103788064618</v>
      </c>
      <c r="J10" s="20">
        <f>B10/C10</f>
        <v>61700</v>
      </c>
      <c r="K10" s="20">
        <f>J10/6</f>
        <v>10283.333333333334</v>
      </c>
      <c r="L10" s="20">
        <f>+J10-I10</f>
        <v>58925.189621193538</v>
      </c>
      <c r="M10" s="20">
        <f>L10/K10</f>
        <v>5.7301643067611217</v>
      </c>
    </row>
    <row r="11" spans="1:13">
      <c r="A11" s="319"/>
      <c r="B11" s="1"/>
      <c r="C11" s="1"/>
      <c r="D11" s="23"/>
      <c r="E11" s="23"/>
      <c r="F11" s="1"/>
      <c r="G11" s="48"/>
      <c r="H11" s="20">
        <f t="shared" ref="H11:H16" si="0">+$D$7*G11</f>
        <v>0</v>
      </c>
      <c r="I11" s="1"/>
      <c r="J11" s="1"/>
      <c r="K11" s="1"/>
      <c r="L11" s="1"/>
      <c r="M11" s="1"/>
    </row>
    <row r="12" spans="1:13" s="119" customFormat="1" ht="33">
      <c r="A12" s="319"/>
      <c r="B12" s="22">
        <v>143996.88</v>
      </c>
      <c r="C12" s="21">
        <v>12</v>
      </c>
      <c r="D12" s="24" t="str">
        <f>+'CHARGES DIRECTES SECURITE'!B8</f>
        <v>01/DPS/GARD/2018</v>
      </c>
      <c r="E12" s="17" t="str">
        <f>+'CHARGES DIRECTES SECURITE'!C8</f>
        <v>Direction Réginale de l'Habitat et de la Politique de la Ville à Rabat</v>
      </c>
      <c r="F12" s="20">
        <f>+'CHARGES DIRECTES SECURITE'!R8</f>
        <v>0</v>
      </c>
      <c r="G12" s="48">
        <f>B12/$D$3</f>
        <v>7.3883982886128519E-2</v>
      </c>
      <c r="H12" s="20">
        <f t="shared" si="0"/>
        <v>539.65969359771555</v>
      </c>
      <c r="I12" s="20">
        <f>F12+H12</f>
        <v>539.65969359771555</v>
      </c>
      <c r="J12" s="20">
        <f>B12/C12</f>
        <v>11999.74</v>
      </c>
      <c r="K12" s="20">
        <f>J12/6</f>
        <v>1999.9566666666667</v>
      </c>
      <c r="L12" s="20">
        <f>+J12-I12</f>
        <v>11460.080306402284</v>
      </c>
      <c r="M12" s="20">
        <f>L12/K12</f>
        <v>5.7301643067611217</v>
      </c>
    </row>
    <row r="13" spans="1:13" ht="16.5">
      <c r="A13" s="319"/>
      <c r="B13" s="1"/>
      <c r="C13" s="1"/>
      <c r="D13" s="24"/>
      <c r="E13" s="17"/>
      <c r="F13" s="20"/>
      <c r="G13" s="48"/>
      <c r="H13" s="20"/>
      <c r="I13" s="20"/>
      <c r="J13" s="20"/>
      <c r="K13" s="20"/>
      <c r="L13" s="20"/>
      <c r="M13" s="20"/>
    </row>
    <row r="14" spans="1:13" ht="16.5">
      <c r="A14" s="319"/>
      <c r="B14" s="22">
        <v>415501.92</v>
      </c>
      <c r="C14" s="5">
        <v>12</v>
      </c>
      <c r="D14" s="24" t="str">
        <f>+'CHARGES DIRECTES SECURITE'!B10</f>
        <v>01CCRG/2018</v>
      </c>
      <c r="E14" s="17" t="str">
        <f>+'CHARGES DIRECTES SECURITE'!C10</f>
        <v>Conseil Concurrence</v>
      </c>
      <c r="F14" s="20">
        <f>+'CHARGES DIRECTES SECURITE'!R10</f>
        <v>0</v>
      </c>
      <c r="G14" s="48">
        <f>B14/$D$3</f>
        <v>0.21319167989218613</v>
      </c>
      <c r="H14" s="20">
        <f t="shared" si="0"/>
        <v>1557.1840086845111</v>
      </c>
      <c r="I14" s="20">
        <f>F14+H14</f>
        <v>1557.1840086845111</v>
      </c>
      <c r="J14" s="20">
        <f>B14/C14</f>
        <v>34625.159999999996</v>
      </c>
      <c r="K14" s="20">
        <f>J14/6</f>
        <v>5770.86</v>
      </c>
      <c r="L14" s="20">
        <f>+J14-I14</f>
        <v>33067.975991315485</v>
      </c>
      <c r="M14" s="20">
        <f>L14/K14</f>
        <v>5.7301643067611217</v>
      </c>
    </row>
    <row r="15" spans="1:13" ht="16.5">
      <c r="A15" s="319"/>
      <c r="B15" s="1"/>
      <c r="C15" s="1"/>
      <c r="D15" s="24"/>
      <c r="E15" s="17"/>
      <c r="F15" s="20"/>
      <c r="G15" s="48"/>
      <c r="H15" s="20"/>
      <c r="I15" s="20"/>
      <c r="J15" s="20"/>
      <c r="K15" s="20"/>
      <c r="L15" s="20"/>
      <c r="M15" s="20"/>
    </row>
    <row r="16" spans="1:13" ht="33">
      <c r="A16" s="319"/>
      <c r="B16" s="16">
        <v>230256</v>
      </c>
      <c r="C16" s="5">
        <v>12</v>
      </c>
      <c r="D16" s="24" t="str">
        <f>+'CHARGES DIRECTES SECURITE'!B12</f>
        <v xml:space="preserve"> 01/2019</v>
      </c>
      <c r="E16" s="17" t="str">
        <f>+'CHARGES DIRECTES SECURITE'!C12</f>
        <v>Institut National de l'Aménagement et de l'Urbanisme (Rabat)</v>
      </c>
      <c r="F16" s="20">
        <f>+'CHARGES DIRECTES SECURITE'!R12</f>
        <v>0</v>
      </c>
      <c r="G16" s="48">
        <f>B16/$D$3</f>
        <v>0.11814304840096819</v>
      </c>
      <c r="H16" s="20">
        <f t="shared" si="0"/>
        <v>862.93454697793175</v>
      </c>
      <c r="I16" s="20">
        <f>F16+H16</f>
        <v>862.93454697793175</v>
      </c>
      <c r="J16" s="20">
        <f>B16/C16</f>
        <v>19188</v>
      </c>
      <c r="K16" s="20">
        <f>J16/6</f>
        <v>3198</v>
      </c>
      <c r="L16" s="20">
        <f>+J16-I16</f>
        <v>18325.065453022067</v>
      </c>
      <c r="M16" s="20">
        <f>L16/K16</f>
        <v>5.7301643067611217</v>
      </c>
    </row>
    <row r="17" spans="1:16" ht="16.5">
      <c r="A17" s="319"/>
      <c r="B17" s="1"/>
      <c r="C17" s="1"/>
      <c r="D17" s="24"/>
      <c r="E17" s="17"/>
      <c r="F17" s="20"/>
      <c r="G17" s="48"/>
      <c r="H17" s="20"/>
      <c r="I17" s="20"/>
      <c r="J17" s="20"/>
      <c r="K17" s="20"/>
      <c r="L17" s="20"/>
      <c r="M17" s="20"/>
    </row>
    <row r="18" spans="1:16" ht="33.75" thickBot="1">
      <c r="A18" s="320"/>
      <c r="B18" s="16">
        <v>418804.56</v>
      </c>
      <c r="C18" s="5">
        <v>12</v>
      </c>
      <c r="D18" s="24" t="str">
        <f>+'CHARGES DIRECTES SECURITE'!B14</f>
        <v>01/03/2020 santé casa-settat</v>
      </c>
      <c r="E18" s="17" t="str">
        <f>+'CHARGES DIRECTES SECURITE'!C14</f>
        <v>Direction Régionale de la Santé de Casablanca</v>
      </c>
      <c r="F18" s="20">
        <f>+'CHARGES DIRECTES SECURITE'!R14</f>
        <v>0</v>
      </c>
      <c r="G18" s="48">
        <f>B18/$D$3</f>
        <v>0.21488624575527321</v>
      </c>
      <c r="H18" s="20">
        <f>+$D$7*G18</f>
        <v>1569.5613719333787</v>
      </c>
      <c r="I18" s="20">
        <f>F18+H18</f>
        <v>1569.5613719333787</v>
      </c>
      <c r="J18" s="20">
        <f>B18/C18</f>
        <v>34900.379999999997</v>
      </c>
      <c r="K18" s="20">
        <f>J18/6</f>
        <v>5816.73</v>
      </c>
      <c r="L18" s="20">
        <f>+J18-I18</f>
        <v>33330.81862806662</v>
      </c>
      <c r="M18" s="20">
        <f>L18/K18</f>
        <v>5.7301643067611225</v>
      </c>
    </row>
    <row r="19" spans="1:16" s="28" customFormat="1" ht="16.5">
      <c r="D19" s="92"/>
      <c r="E19" s="93"/>
      <c r="F19" s="94"/>
    </row>
    <row r="20" spans="1:16" s="28" customFormat="1" ht="16.5">
      <c r="D20" s="92"/>
      <c r="E20" s="93"/>
      <c r="F20" s="94"/>
    </row>
    <row r="21" spans="1:16" ht="49.5">
      <c r="A21" s="321" t="s">
        <v>92</v>
      </c>
      <c r="B21" s="52">
        <v>299520</v>
      </c>
      <c r="C21" s="25">
        <v>12</v>
      </c>
      <c r="D21" s="24" t="str">
        <f>+'CHARGES DIRECTES SECURITE'!B17</f>
        <v>01/2019</v>
      </c>
      <c r="E21" s="17" t="str">
        <f>+'CHARGES DIRECTES SECURITE'!C17</f>
        <v>Ministère d’État chargé des Droits de l’Homme et des Relations avec le Parlement</v>
      </c>
      <c r="F21" s="20">
        <f>+'CHARGES DIRECTES SECURITE'!R17</f>
        <v>0</v>
      </c>
      <c r="G21" s="95">
        <f>+B21/$D$4</f>
        <v>0.3586698521607703</v>
      </c>
      <c r="H21" s="20">
        <f>+$D$7*G21</f>
        <v>2619.77840066009</v>
      </c>
      <c r="I21" s="20">
        <f>F21+H21</f>
        <v>2619.77840066009</v>
      </c>
      <c r="J21" s="20">
        <f>B21/C21</f>
        <v>24960</v>
      </c>
      <c r="K21" s="20">
        <f>J21/6</f>
        <v>4160</v>
      </c>
      <c r="L21" s="20">
        <f>+J21-I21</f>
        <v>22340.221599339911</v>
      </c>
      <c r="M21" s="20">
        <f>L21/K21</f>
        <v>5.3702455767644022</v>
      </c>
    </row>
    <row r="22" spans="1:16">
      <c r="A22" s="321"/>
      <c r="G22" s="95"/>
      <c r="H22" s="20"/>
      <c r="I22" s="20"/>
      <c r="J22" s="20"/>
      <c r="K22" s="20"/>
      <c r="L22" s="20"/>
      <c r="M22" s="20"/>
    </row>
    <row r="23" spans="1:16" ht="16.5">
      <c r="A23" s="321"/>
      <c r="B23" s="52">
        <v>264240</v>
      </c>
      <c r="C23" s="25">
        <v>12</v>
      </c>
      <c r="D23" s="24" t="str">
        <f>+'CHARGES DIRECTES SECURITE'!B18</f>
        <v>CFR/01/2020</v>
      </c>
      <c r="E23" s="17" t="str">
        <f>+'CHARGES DIRECTES SECURITE'!C18</f>
        <v>Caisse pour le Financement Routier</v>
      </c>
      <c r="F23" s="20">
        <f>+'CHARGES DIRECTES SECURITE'!R18</f>
        <v>0</v>
      </c>
      <c r="G23" s="95">
        <f>+B23/$D$4</f>
        <v>0.31642268207452573</v>
      </c>
      <c r="H23" s="20">
        <f>+$D$7*G23</f>
        <v>2311.1987332746471</v>
      </c>
      <c r="I23" s="20">
        <f>F23+H23</f>
        <v>2311.1987332746471</v>
      </c>
      <c r="J23" s="20">
        <f>B23/C23</f>
        <v>22020</v>
      </c>
      <c r="K23" s="20">
        <f>J23/6</f>
        <v>3670</v>
      </c>
      <c r="L23" s="20">
        <f>+J23-I23</f>
        <v>19708.801266725353</v>
      </c>
      <c r="M23" s="20">
        <f>L23/K23</f>
        <v>5.3702455767644013</v>
      </c>
    </row>
    <row r="24" spans="1:16">
      <c r="A24" s="321"/>
      <c r="G24" s="95"/>
      <c r="H24" s="20"/>
      <c r="I24" s="20"/>
      <c r="J24" s="20"/>
      <c r="K24" s="20"/>
      <c r="L24" s="20"/>
      <c r="M24" s="20"/>
    </row>
    <row r="25" spans="1:16" ht="16.5">
      <c r="A25" s="321"/>
      <c r="B25" s="52">
        <v>271325.52</v>
      </c>
      <c r="C25" s="25">
        <v>12</v>
      </c>
      <c r="D25" s="24" t="str">
        <f>+'CHARGES DIRECTES SECURITE'!B19</f>
        <v>ADD</v>
      </c>
      <c r="E25" s="17" t="str">
        <f>+'CHARGES DIRECTES SECURITE'!C19</f>
        <v>Agence de développement digital</v>
      </c>
      <c r="F25" s="20">
        <f>+'CHARGES DIRECTES SECURITE'!R19</f>
        <v>0</v>
      </c>
      <c r="G25" s="95">
        <f>+B25/$D$4</f>
        <v>0.32490746576470397</v>
      </c>
      <c r="H25" s="20">
        <f>+$D$7*G25</f>
        <v>2373.1728660652625</v>
      </c>
      <c r="I25" s="20">
        <f>F25+H25</f>
        <v>2373.1728660652625</v>
      </c>
      <c r="J25" s="20">
        <f>B25/C25</f>
        <v>22610.460000000003</v>
      </c>
      <c r="K25" s="20">
        <f>J25/6</f>
        <v>3768.4100000000003</v>
      </c>
      <c r="L25" s="20">
        <f>+J25-I25</f>
        <v>20237.28713393474</v>
      </c>
      <c r="M25" s="20">
        <f>L25/K25</f>
        <v>5.3702455767644013</v>
      </c>
    </row>
    <row r="26" spans="1:16" ht="16.5">
      <c r="E26" s="93"/>
      <c r="N26" s="28"/>
      <c r="O26" s="28"/>
      <c r="P26" s="28"/>
    </row>
    <row r="27" spans="1:16" ht="16.5">
      <c r="E27" s="93"/>
      <c r="N27" s="28"/>
      <c r="O27" s="28"/>
      <c r="P27" s="28"/>
    </row>
    <row r="28" spans="1:16" ht="18" customHeight="1">
      <c r="A28" s="322" t="s">
        <v>124</v>
      </c>
      <c r="B28" s="52">
        <v>179596.79999999999</v>
      </c>
      <c r="C28" s="5">
        <v>12</v>
      </c>
      <c r="D28" s="1" t="str">
        <f>+'CHARGES DIRECTES SOCIAMED'!B6</f>
        <v xml:space="preserve">01/FSAC/2018 </v>
      </c>
      <c r="E28" s="17" t="str">
        <f>+'CHARGES DIRECTES SOCIAMED'!C6</f>
        <v>FSAC</v>
      </c>
      <c r="F28" s="20">
        <f>+'CHARGES DIRECTES SOCIAMED'!P18</f>
        <v>0</v>
      </c>
      <c r="G28" s="20">
        <f>+B28/$D$5</f>
        <v>0.13882596668480737</v>
      </c>
      <c r="H28" s="20">
        <f>+$D$7*G28</f>
        <v>1014.0056845608357</v>
      </c>
      <c r="I28" s="20">
        <f>F28+H28</f>
        <v>1014.0056845608357</v>
      </c>
      <c r="J28" s="20">
        <f>+B28/C28</f>
        <v>14966.4</v>
      </c>
      <c r="K28" s="20">
        <f>+J28/6</f>
        <v>2494.4</v>
      </c>
      <c r="L28" s="20">
        <f>+J28-I28</f>
        <v>13952.394315439164</v>
      </c>
      <c r="M28" s="20">
        <f>+L28/K28</f>
        <v>5.5934871373633595</v>
      </c>
      <c r="N28" s="125"/>
      <c r="O28" s="126"/>
      <c r="P28" s="28"/>
    </row>
    <row r="29" spans="1:16" ht="18.75">
      <c r="A29" s="323"/>
      <c r="C29" s="5"/>
      <c r="G29" s="20"/>
      <c r="H29" s="20"/>
      <c r="I29" s="20"/>
      <c r="J29" s="20"/>
      <c r="K29" s="20"/>
      <c r="L29" s="20"/>
      <c r="M29" s="20"/>
      <c r="N29" s="125"/>
      <c r="O29" s="126"/>
      <c r="P29" s="28"/>
    </row>
    <row r="30" spans="1:16" ht="18.75">
      <c r="A30" s="323"/>
      <c r="B30" s="52">
        <v>292320</v>
      </c>
      <c r="C30" s="5">
        <v>12</v>
      </c>
      <c r="D30" s="1" t="str">
        <f>+'CHARGES DIRECTES SOCIAMED'!B7</f>
        <v xml:space="preserve">01FUH2C/2019 </v>
      </c>
      <c r="E30" s="17" t="str">
        <f>+'CHARGES DIRECTES SOCIAMED'!C7</f>
        <v>Présidence de l'Université Hassan II</v>
      </c>
      <c r="F30" s="20">
        <f>+'CHARGES DIRECTES SOCIAMED'!P19</f>
        <v>0</v>
      </c>
      <c r="G30" s="20">
        <f>+B30/$D$5</f>
        <v>0.22595951921917815</v>
      </c>
      <c r="H30" s="20">
        <f t="shared" ref="H30:H36" si="1">+$D$7*G30</f>
        <v>1650.44222230476</v>
      </c>
      <c r="I30" s="20">
        <f t="shared" ref="I30:I34" si="2">F30+H30</f>
        <v>1650.44222230476</v>
      </c>
      <c r="J30" s="20">
        <f t="shared" ref="J30:J32" si="3">+B30/C30</f>
        <v>24360</v>
      </c>
      <c r="K30" s="20">
        <f t="shared" ref="K30:K36" si="4">+J30/6</f>
        <v>4060</v>
      </c>
      <c r="L30" s="20">
        <f t="shared" ref="L30:L34" si="5">+J30-I30</f>
        <v>22709.557777695241</v>
      </c>
      <c r="M30" s="20">
        <f t="shared" ref="M30:M34" si="6">+L30/K30</f>
        <v>5.5934871373633603</v>
      </c>
      <c r="N30" s="125"/>
      <c r="O30" s="126"/>
      <c r="P30" s="28"/>
    </row>
    <row r="31" spans="1:16" ht="18.75">
      <c r="A31" s="323"/>
      <c r="C31" s="5"/>
      <c r="G31" s="20"/>
      <c r="H31" s="20"/>
      <c r="I31" s="20"/>
      <c r="J31" s="20"/>
      <c r="K31" s="20"/>
      <c r="L31" s="20"/>
      <c r="M31" s="20"/>
      <c r="N31" s="125"/>
      <c r="O31" s="126"/>
      <c r="P31" s="28"/>
    </row>
    <row r="32" spans="1:16" ht="18.75">
      <c r="A32" s="323"/>
      <c r="B32" s="52">
        <v>98895.360000000001</v>
      </c>
      <c r="C32" s="5">
        <v>12</v>
      </c>
      <c r="D32" s="1" t="str">
        <f>+'CHARGES DIRECTES SOCIAMED'!B8</f>
        <v>01/2019/ESI</v>
      </c>
      <c r="E32" s="17" t="str">
        <f>+'CHARGES DIRECTES SOCIAMED'!C8</f>
        <v>Ecole des Sciences de l’Information</v>
      </c>
      <c r="F32" s="20">
        <f>+'CHARGES DIRECTES SOCIAMED'!P20</f>
        <v>0</v>
      </c>
      <c r="G32" s="20">
        <f t="shared" ref="G32:G34" si="7">+B32/$D$5</f>
        <v>7.644481389780905E-2</v>
      </c>
      <c r="H32" s="20">
        <f t="shared" si="1"/>
        <v>558.36438743168196</v>
      </c>
      <c r="I32" s="20">
        <f t="shared" si="2"/>
        <v>558.36438743168196</v>
      </c>
      <c r="J32" s="20">
        <f t="shared" si="3"/>
        <v>8241.2800000000007</v>
      </c>
      <c r="K32" s="20">
        <f t="shared" si="4"/>
        <v>1373.5466666666669</v>
      </c>
      <c r="L32" s="20">
        <f t="shared" si="5"/>
        <v>7682.9156125683185</v>
      </c>
      <c r="M32" s="20">
        <f t="shared" si="6"/>
        <v>5.5934871373633595</v>
      </c>
      <c r="N32" s="125"/>
      <c r="O32" s="126"/>
      <c r="P32" s="28"/>
    </row>
    <row r="33" spans="1:16">
      <c r="A33" s="323"/>
      <c r="C33" s="5"/>
      <c r="G33" s="20"/>
      <c r="H33" s="20"/>
      <c r="I33" s="20"/>
      <c r="J33" s="20"/>
      <c r="K33" s="20"/>
      <c r="L33" s="20"/>
      <c r="M33" s="20"/>
      <c r="N33" s="28"/>
      <c r="O33" s="28"/>
      <c r="P33" s="28"/>
    </row>
    <row r="34" spans="1:16" ht="33">
      <c r="A34" s="323"/>
      <c r="B34" s="52">
        <v>148800</v>
      </c>
      <c r="C34" s="5">
        <v>12</v>
      </c>
      <c r="D34" s="1" t="str">
        <f>+'CHARGES DIRECTES SOCIAMED'!B9</f>
        <v xml:space="preserve">06/CR-Tanger/2019 </v>
      </c>
      <c r="E34" s="17" t="str">
        <f>+'CHARGES DIRECTES SOCIAMED'!C9</f>
        <v>Entraide Nationale - (Coordination Régionale de Tanger)</v>
      </c>
      <c r="F34" s="20">
        <f>+'CHARGES DIRECTES SOCIAMED'!P21</f>
        <v>0</v>
      </c>
      <c r="G34" s="20">
        <f t="shared" si="7"/>
        <v>0.11502044492273436</v>
      </c>
      <c r="H34" s="20">
        <f t="shared" si="1"/>
        <v>840.12658278239019</v>
      </c>
      <c r="I34" s="20">
        <f t="shared" si="2"/>
        <v>840.12658278239019</v>
      </c>
      <c r="J34" s="20">
        <f>+B34/C34</f>
        <v>12400</v>
      </c>
      <c r="K34" s="20">
        <f t="shared" si="4"/>
        <v>2066.6666666666665</v>
      </c>
      <c r="L34" s="20">
        <f t="shared" si="5"/>
        <v>11559.87341721761</v>
      </c>
      <c r="M34" s="20">
        <f t="shared" si="6"/>
        <v>5.5934871373633603</v>
      </c>
      <c r="N34" s="28"/>
      <c r="O34" s="28"/>
      <c r="P34" s="28"/>
    </row>
    <row r="35" spans="1:16" ht="16.5">
      <c r="A35" s="323"/>
      <c r="E35" s="17"/>
      <c r="G35" s="20"/>
      <c r="H35" s="20"/>
      <c r="I35" s="20"/>
      <c r="J35" s="20"/>
      <c r="K35" s="20"/>
      <c r="L35" s="20"/>
      <c r="M35" s="20"/>
    </row>
    <row r="36" spans="1:16" ht="16.5">
      <c r="A36" s="324"/>
      <c r="B36" s="52">
        <v>574070.89</v>
      </c>
      <c r="C36" s="5">
        <v>12</v>
      </c>
      <c r="D36" s="1" t="str">
        <f>+'CHARGES DIRECTES SOCIAMED'!B10</f>
        <v>05FUH2C/2020</v>
      </c>
      <c r="E36" s="17" t="str">
        <f>+'CHARGES DIRECTES SOCIAMED'!C10</f>
        <v>Université Hassan II Casablanca</v>
      </c>
      <c r="F36" s="20">
        <f>+'CHARGES DIRECTES SOCIAMED'!P22</f>
        <v>0</v>
      </c>
      <c r="G36" s="20">
        <f t="shared" ref="G36" si="8">+B36/$D$5</f>
        <v>0.44374925527547104</v>
      </c>
      <c r="H36" s="20">
        <f t="shared" si="1"/>
        <v>3241.2111229203315</v>
      </c>
      <c r="I36" s="20">
        <f t="shared" ref="I36" si="9">F36+H36</f>
        <v>3241.2111229203315</v>
      </c>
      <c r="J36" s="20">
        <f t="shared" ref="J36" si="10">+B36/C36</f>
        <v>47839.240833333337</v>
      </c>
      <c r="K36" s="20">
        <f t="shared" si="4"/>
        <v>7973.2068055555565</v>
      </c>
      <c r="L36" s="20">
        <f t="shared" ref="L36" si="11">+J36-I36</f>
        <v>44598.029710413008</v>
      </c>
      <c r="M36" s="20">
        <f t="shared" ref="M36" si="12">+L36/K36</f>
        <v>5.5934871373633595</v>
      </c>
      <c r="N36" s="226"/>
    </row>
    <row r="39" spans="1:16" ht="18" customHeight="1">
      <c r="A39" s="325" t="s">
        <v>188</v>
      </c>
      <c r="B39" s="52"/>
      <c r="C39" s="5"/>
      <c r="D39" s="1"/>
      <c r="E39" s="17"/>
      <c r="F39" s="20">
        <f>+'CHARGES DIRECTES SOCIAMED'!P29</f>
        <v>0</v>
      </c>
      <c r="G39" s="20">
        <f>+B39/$D$5</f>
        <v>0</v>
      </c>
      <c r="H39" s="20">
        <f>+$D$7*G39</f>
        <v>0</v>
      </c>
      <c r="I39" s="20">
        <f>F39+H39</f>
        <v>0</v>
      </c>
      <c r="J39" s="20" t="e">
        <f>+B39/C39</f>
        <v>#DIV/0!</v>
      </c>
      <c r="K39" s="20" t="e">
        <f>+J39/6</f>
        <v>#DIV/0!</v>
      </c>
      <c r="L39" s="20" t="e">
        <f>+J39-I39</f>
        <v>#DIV/0!</v>
      </c>
      <c r="M39" s="20" t="e">
        <f>+L39/K39</f>
        <v>#DIV/0!</v>
      </c>
      <c r="N39" s="125"/>
      <c r="O39" s="126"/>
      <c r="P39" s="28"/>
    </row>
    <row r="40" spans="1:16" ht="18.75">
      <c r="A40" s="325"/>
      <c r="C40" s="5"/>
      <c r="G40" s="20"/>
      <c r="H40" s="20"/>
      <c r="I40" s="20"/>
      <c r="J40" s="20"/>
      <c r="K40" s="20"/>
      <c r="L40" s="20"/>
      <c r="M40" s="20"/>
      <c r="N40" s="125"/>
      <c r="O40" s="126"/>
      <c r="P40" s="28"/>
    </row>
    <row r="41" spans="1:16" ht="18.75">
      <c r="A41" s="325"/>
      <c r="B41" s="52"/>
      <c r="C41" s="5"/>
      <c r="D41" s="1"/>
      <c r="E41" s="17"/>
      <c r="F41" s="20">
        <f>+'CHARGES DIRECTES SOCIAMED'!P30</f>
        <v>0</v>
      </c>
      <c r="G41" s="20">
        <f>+B41/$D$5</f>
        <v>0</v>
      </c>
      <c r="H41" s="20">
        <f t="shared" ref="H41" si="13">+$D$7*G41</f>
        <v>0</v>
      </c>
      <c r="I41" s="20">
        <f t="shared" ref="I41" si="14">F41+H41</f>
        <v>0</v>
      </c>
      <c r="J41" s="20" t="e">
        <f t="shared" ref="J41" si="15">+B41/C41</f>
        <v>#DIV/0!</v>
      </c>
      <c r="K41" s="20" t="e">
        <f t="shared" ref="K41" si="16">+J41/6</f>
        <v>#DIV/0!</v>
      </c>
      <c r="L41" s="20" t="e">
        <f t="shared" ref="L41" si="17">+J41-I41</f>
        <v>#DIV/0!</v>
      </c>
      <c r="M41" s="20" t="e">
        <f t="shared" ref="M41" si="18">+L41/K41</f>
        <v>#DIV/0!</v>
      </c>
      <c r="N41" s="125"/>
      <c r="O41" s="126"/>
      <c r="P41" s="28"/>
    </row>
  </sheetData>
  <mergeCells count="4">
    <mergeCell ref="A10:A18"/>
    <mergeCell ref="A21:A25"/>
    <mergeCell ref="A28:A36"/>
    <mergeCell ref="A39:A4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INFOS GENERALES MARCHES</vt:lpstr>
      <vt:lpstr>CHARGES INDIRECTES!</vt:lpstr>
      <vt:lpstr>CHARGES DIRECTES SECURITE</vt:lpstr>
      <vt:lpstr>CHARGES DIRECTES XY CONSEIL</vt:lpstr>
      <vt:lpstr>CHARGES DIRECTES SOCIAMED</vt:lpstr>
      <vt:lpstr>SYNTHESE TOUS LES MARCHES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Moutaouakkil</dc:creator>
  <cp:lastModifiedBy>Zouheir</cp:lastModifiedBy>
  <dcterms:created xsi:type="dcterms:W3CDTF">2020-11-19T14:33:50Z</dcterms:created>
  <dcterms:modified xsi:type="dcterms:W3CDTF">2020-12-21T18:55:33Z</dcterms:modified>
</cp:coreProperties>
</file>