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" sheetId="1" r:id="rId3"/>
    <sheet state="visible" name="AVG Total Comp by Company" sheetId="2" r:id="rId4"/>
    <sheet state="visible" name="AVG Total Comp by Title" sheetId="3" r:id="rId5"/>
    <sheet state="visible" name="AVG Total Comp by Tag" sheetId="4" r:id="rId6"/>
    <sheet state="visible" name="Cleansed Data (Coming Soon)" sheetId="5" r:id="rId7"/>
    <sheet state="visible" name="Pivot Tables (Coming Soon)" sheetId="6" r:id="rId8"/>
    <sheet state="visible" name="Sheet7" sheetId="7" r:id="rId9"/>
    <sheet state="visible" name="All Comps" sheetId="8" r:id="rId10"/>
  </sheets>
  <definedNames>
    <definedName hidden="1" localSheetId="1" name="_xlnm._FilterDatabase">'AVG Total Comp by Company'!$A$2:$C$165</definedName>
    <definedName hidden="1" localSheetId="3" name="_xlnm._FilterDatabase">'AVG Total Comp by Tag'!$A$2:$C$165</definedName>
    <definedName hidden="1" localSheetId="6" name="_xlnm._FilterDatabase">Sheet7!$A$1:$B$3003</definedName>
    <definedName hidden="1" localSheetId="7" name="_xlnm._FilterDatabase">'All Comps'!$A$1:$B$1933</definedName>
    <definedName hidden="1" localSheetId="2" name="_xlnm._FilterDatabase">'AVG Total Comp by Title'!$A$2:$C$165</definedName>
  </definedNames>
  <calcPr/>
</workbook>
</file>

<file path=xl/sharedStrings.xml><?xml version="1.0" encoding="utf-8"?>
<sst xmlns="http://schemas.openxmlformats.org/spreadsheetml/2006/main" count="31134" uniqueCount="2821">
  <si>
    <t>Table Generated by Sergei Akulich. Got an idea for pivot table? Email us at hello@levels.fyi</t>
  </si>
  <si>
    <t>Timestamp</t>
  </si>
  <si>
    <t>Company</t>
  </si>
  <si>
    <t>Level</t>
  </si>
  <si>
    <t>Title</t>
  </si>
  <si>
    <t>Total Yearly Compensation</t>
  </si>
  <si>
    <t>Location</t>
  </si>
  <si>
    <t>Years of Experience</t>
  </si>
  <si>
    <t>Years at Company</t>
  </si>
  <si>
    <t>Base Salary</t>
  </si>
  <si>
    <t>Stock Grant Value</t>
  </si>
  <si>
    <t>Bonus</t>
  </si>
  <si>
    <t>Other details</t>
  </si>
  <si>
    <t>Gender</t>
  </si>
  <si>
    <t>Tag</t>
  </si>
  <si>
    <t/>
  </si>
  <si>
    <t>Main Site:</t>
  </si>
  <si>
    <t>https://www.Levels.fyi</t>
  </si>
  <si>
    <t>Short Link:</t>
  </si>
  <si>
    <t>http://www.Comp.fyi</t>
  </si>
  <si>
    <t>Sponsor:</t>
  </si>
  <si>
    <t>Add Your Salary:</t>
  </si>
  <si>
    <t>https://www.levels.fyi/addcomp.html</t>
  </si>
  <si>
    <t>Stock Grant Value (per year)</t>
  </si>
  <si>
    <t>Bonus (per year)</t>
  </si>
  <si>
    <t>Oracle</t>
  </si>
  <si>
    <t>L3</t>
  </si>
  <si>
    <t>Product Manager</t>
  </si>
  <si>
    <t>Redwood City, CA</t>
  </si>
  <si>
    <t>eBay</t>
  </si>
  <si>
    <t>SE 2</t>
  </si>
  <si>
    <t>Software Engineer</t>
  </si>
  <si>
    <t>San Francisco, CA</t>
  </si>
  <si>
    <t>Amazon</t>
  </si>
  <si>
    <t>L7</t>
  </si>
  <si>
    <t>Seattle, WA</t>
  </si>
  <si>
    <t>Uber</t>
  </si>
  <si>
    <t>Senior</t>
  </si>
  <si>
    <t>Sf</t>
  </si>
  <si>
    <t xml:space="preserve">Stock based on $48.65 per share. </t>
  </si>
  <si>
    <t>Microsoft</t>
  </si>
  <si>
    <t>Software Engineering Manager</t>
  </si>
  <si>
    <t>Redmknd,WA</t>
  </si>
  <si>
    <t>L5</t>
  </si>
  <si>
    <t>Vancouver, BC, Canada</t>
  </si>
  <si>
    <t>Apple</t>
  </si>
  <si>
    <t>M1</t>
  </si>
  <si>
    <t>Sunnyvale</t>
  </si>
  <si>
    <t>Facebook</t>
  </si>
  <si>
    <t>E4</t>
  </si>
  <si>
    <t>Menlo Park, CA</t>
  </si>
  <si>
    <t>Mountain View, CA</t>
  </si>
  <si>
    <t>Redmond</t>
  </si>
  <si>
    <t>Engineer Manager I (L5)</t>
  </si>
  <si>
    <t>san francisco</t>
  </si>
  <si>
    <t>microsoft</t>
  </si>
  <si>
    <t>redmond</t>
  </si>
  <si>
    <t xml:space="preserve">Salesforce </t>
  </si>
  <si>
    <t>San Francisco</t>
  </si>
  <si>
    <t>Sde 2</t>
  </si>
  <si>
    <t>Bellevue,  wa</t>
  </si>
  <si>
    <t>I’m a .92 comp ratio</t>
  </si>
  <si>
    <t>L6</t>
  </si>
  <si>
    <t>Seattle</t>
  </si>
  <si>
    <t>VMware</t>
  </si>
  <si>
    <t>MTS1</t>
  </si>
  <si>
    <t>Bangaluru, Karnataka, India</t>
  </si>
  <si>
    <t xml:space="preserve">Facebook </t>
  </si>
  <si>
    <t xml:space="preserve">30k signing bonus </t>
  </si>
  <si>
    <t>E3</t>
  </si>
  <si>
    <t>E6</t>
  </si>
  <si>
    <t>5a</t>
  </si>
  <si>
    <t xml:space="preserve">San Francisco </t>
  </si>
  <si>
    <t>L4</t>
  </si>
  <si>
    <t>UK, London</t>
  </si>
  <si>
    <t>Redmond, WA</t>
  </si>
  <si>
    <t>SDE II</t>
  </si>
  <si>
    <t>Oath</t>
  </si>
  <si>
    <t>IC4</t>
  </si>
  <si>
    <t>Bay Area</t>
  </si>
  <si>
    <t>Google</t>
  </si>
  <si>
    <t>salesforce.com</t>
  </si>
  <si>
    <t>SMTS</t>
  </si>
  <si>
    <t>L63</t>
  </si>
  <si>
    <t>Redmond WA</t>
  </si>
  <si>
    <t>Stock over 4 years vested equally every 6 months</t>
  </si>
  <si>
    <t>Bellevue, WA</t>
  </si>
  <si>
    <t>Amazon.com</t>
  </si>
  <si>
    <t>seattle, wa</t>
  </si>
  <si>
    <t>M4</t>
  </si>
  <si>
    <t>Redwood</t>
  </si>
  <si>
    <t>Ict3</t>
  </si>
  <si>
    <t>Cupertino</t>
  </si>
  <si>
    <t>T6</t>
  </si>
  <si>
    <t>New York, NY</t>
  </si>
  <si>
    <t>Netflix</t>
  </si>
  <si>
    <t>Senior Software Engineer</t>
  </si>
  <si>
    <t>Los Gatos, CA</t>
  </si>
  <si>
    <t>ICT2</t>
  </si>
  <si>
    <t>Tons of overtime</t>
  </si>
  <si>
    <t>Dublin, Ireland</t>
  </si>
  <si>
    <t>II</t>
  </si>
  <si>
    <t>ICT3</t>
  </si>
  <si>
    <t xml:space="preserve">Senior </t>
  </si>
  <si>
    <t>Cupertino, CA</t>
  </si>
  <si>
    <t>Expedia</t>
  </si>
  <si>
    <t>L</t>
  </si>
  <si>
    <t>Redmond, wa</t>
  </si>
  <si>
    <t>Seattle, wa</t>
  </si>
  <si>
    <t>Zillow</t>
  </si>
  <si>
    <t>SDE 2</t>
  </si>
  <si>
    <t>San Francisco,CA</t>
  </si>
  <si>
    <t>Senior Software Engineer 2 (5b)</t>
  </si>
  <si>
    <t>IC5</t>
  </si>
  <si>
    <t>Senior Member of Technical Staff</t>
  </si>
  <si>
    <t>SNV</t>
  </si>
  <si>
    <t>ICT4</t>
  </si>
  <si>
    <t>IC2</t>
  </si>
  <si>
    <t>Baltimore, MD</t>
  </si>
  <si>
    <t>Salesforce</t>
  </si>
  <si>
    <t>Lead MTS</t>
  </si>
  <si>
    <t>PhD</t>
  </si>
  <si>
    <t>Pinterest</t>
  </si>
  <si>
    <t>Linkedin</t>
  </si>
  <si>
    <t>Intuit</t>
  </si>
  <si>
    <t>Staff</t>
  </si>
  <si>
    <t>Stock is based off of overlapping RSU grants with 3 year vesting cycles</t>
  </si>
  <si>
    <t>amazon</t>
  </si>
  <si>
    <t>Seattle, CA</t>
  </si>
  <si>
    <t>seattle</t>
  </si>
  <si>
    <t xml:space="preserve">Amazon </t>
  </si>
  <si>
    <t xml:space="preserve">Seattle, WA </t>
  </si>
  <si>
    <t>How do I access results?</t>
  </si>
  <si>
    <t xml:space="preserve">Seattle </t>
  </si>
  <si>
    <t>Sunnyvale, CA</t>
  </si>
  <si>
    <t>Year 2 bonus, 24k</t>
  </si>
  <si>
    <t>Seattle WA</t>
  </si>
  <si>
    <t>SF</t>
  </si>
  <si>
    <t>401k match 50%, vested immediately, up to the legal limit
"Cadillac" insurance at no cost</t>
  </si>
  <si>
    <t>Yahoo</t>
  </si>
  <si>
    <t>Los Angeles, CA</t>
  </si>
  <si>
    <t>SDE 3</t>
  </si>
  <si>
    <t>Adobe</t>
  </si>
  <si>
    <t>Director</t>
  </si>
  <si>
    <t>Refresh equity on 3 yr vest; Up to 3% 401K match; Good ESPP program</t>
  </si>
  <si>
    <t>401k match, ESPP, health insurance</t>
  </si>
  <si>
    <t>LinkedIn</t>
  </si>
  <si>
    <t>Investment Banker</t>
  </si>
  <si>
    <t>Texas</t>
  </si>
  <si>
    <t>ICT5</t>
  </si>
  <si>
    <t>ICT - 5</t>
  </si>
  <si>
    <t>sEATTLE</t>
  </si>
  <si>
    <t>L8</t>
  </si>
  <si>
    <t>LTMS</t>
  </si>
  <si>
    <t>Symantec</t>
  </si>
  <si>
    <t>Senior Principal</t>
  </si>
  <si>
    <t>ESPP face value is around 1.5% ($3.1k); up to $7k in 401k matching is quite valuable (consider how much it'll be worth by time of retirement) but is not included in above</t>
  </si>
  <si>
    <t>Dell</t>
  </si>
  <si>
    <t>Round Rock, TX</t>
  </si>
  <si>
    <t>Sunnyvale, CA, USA</t>
  </si>
  <si>
    <t>MTS 1</t>
  </si>
  <si>
    <t>Boston, MA</t>
  </si>
  <si>
    <t>Of stock, 1.5m is vested, 1.3m outstanding. Includes discretionary stock grant of 750k. Hired at E4 in 2013, initial grant was 9,600 shares at $26.</t>
  </si>
  <si>
    <t>Intel Corporation</t>
  </si>
  <si>
    <t>Sacramento, CA</t>
  </si>
  <si>
    <t>Senior Software Engineer I</t>
  </si>
  <si>
    <t>E5</t>
  </si>
  <si>
    <t>SalesForce</t>
  </si>
  <si>
    <t xml:space="preserve">Microsoft </t>
  </si>
  <si>
    <t>$10,000 one-time relocation lump sum. Must pay back the prorated amount if you leave in less than 2 years. Stock vests mostly in year 3 and 4 so total compensation is lower than it already is.</t>
  </si>
  <si>
    <t>Intel</t>
  </si>
  <si>
    <t>G6</t>
  </si>
  <si>
    <t>Oregon</t>
  </si>
  <si>
    <t>Palantir</t>
  </si>
  <si>
    <t>N/A</t>
  </si>
  <si>
    <t>Palo Alto, CA</t>
  </si>
  <si>
    <t>T5</t>
  </si>
  <si>
    <t>redmond,wa</t>
  </si>
  <si>
    <t>Cambridge, MA</t>
  </si>
  <si>
    <t>T3</t>
  </si>
  <si>
    <t>L61</t>
  </si>
  <si>
    <t xml:space="preserve">$20,000 sign on </t>
  </si>
  <si>
    <t xml:space="preserve">Google </t>
  </si>
  <si>
    <t xml:space="preserve">Bonus includes on call compensation, referral, and annual </t>
  </si>
  <si>
    <t>IC3</t>
  </si>
  <si>
    <t>Stock grant is in RSUs over 4 years</t>
  </si>
  <si>
    <t>40K signon for years</t>
  </si>
  <si>
    <t>Lyft</t>
  </si>
  <si>
    <t>Snap</t>
  </si>
  <si>
    <t>Lehi, UT</t>
  </si>
  <si>
    <t>Sony</t>
  </si>
  <si>
    <t>L2</t>
  </si>
  <si>
    <t>Aliso Viejo, CA</t>
  </si>
  <si>
    <t>CA</t>
  </si>
  <si>
    <t>SDE3</t>
  </si>
  <si>
    <t>San jose</t>
  </si>
  <si>
    <t>Cruise Automation</t>
  </si>
  <si>
    <t>$10k signing bonus, $115k RSU/4 years, $115k PSU/2-4 years</t>
  </si>
  <si>
    <t>Bangalore, India</t>
  </si>
  <si>
    <t>Mountain View</t>
  </si>
  <si>
    <t>Yelp</t>
  </si>
  <si>
    <t>New Grad</t>
  </si>
  <si>
    <t xml:space="preserve">microsoft </t>
  </si>
  <si>
    <t>india</t>
  </si>
  <si>
    <t>Airbnb</t>
  </si>
  <si>
    <t>San Francisco, Ca</t>
  </si>
  <si>
    <t>MTS 3</t>
  </si>
  <si>
    <t>MENLO PARK</t>
  </si>
  <si>
    <t>CoverMyMeds</t>
  </si>
  <si>
    <t>Mid?</t>
  </si>
  <si>
    <t>Columbus, OH</t>
  </si>
  <si>
    <t>Bangalore/Karnataka/India</t>
  </si>
  <si>
    <t>SEATTLE</t>
  </si>
  <si>
    <t>EPAM</t>
  </si>
  <si>
    <t>Belarus</t>
  </si>
  <si>
    <t>outsource</t>
  </si>
  <si>
    <t>stock grant is vested over 4 years, bonus is equity vested over 4 years, signing bonus of 10k</t>
  </si>
  <si>
    <t>stock is vested over 4 yrs, bonus is avg cash bonus (0-20% of annual salary), $40k sign-on (over 2 yrs)</t>
  </si>
  <si>
    <t>T2</t>
  </si>
  <si>
    <t>10k relocation</t>
  </si>
  <si>
    <t>Sunnyvale CA</t>
  </si>
  <si>
    <t>Cambridge, Massachusetts</t>
  </si>
  <si>
    <t>E7</t>
  </si>
  <si>
    <t>HFT Firm</t>
  </si>
  <si>
    <t>Quant Researcher</t>
  </si>
  <si>
    <t>New York City</t>
  </si>
  <si>
    <t>Maybe a bit higher with on call comp</t>
  </si>
  <si>
    <t>Kirkland, WA</t>
  </si>
  <si>
    <t>Mobile Architect</t>
  </si>
  <si>
    <t>E6 ready for promotion to E7. 20 years experience, expert in my area of focus (10 years focus on mobile application design and architecture), full stack skills, mobile focused.</t>
  </si>
  <si>
    <t>redmond, WA</t>
  </si>
  <si>
    <t>+ 40000 for retention bonus</t>
  </si>
  <si>
    <t>Santa Clara</t>
  </si>
  <si>
    <t>NVIDIA</t>
  </si>
  <si>
    <t>SAP</t>
  </si>
  <si>
    <t>T4PF</t>
  </si>
  <si>
    <t>Palo Alto</t>
  </si>
  <si>
    <t>London, London, UK</t>
  </si>
  <si>
    <t>San Jose, CA</t>
  </si>
  <si>
    <t xml:space="preserve">Cupertino </t>
  </si>
  <si>
    <t>Stock roughly doubled since I joined.</t>
  </si>
  <si>
    <t>Credit Karma</t>
  </si>
  <si>
    <t>SWE1</t>
  </si>
  <si>
    <t>sign on $50000</t>
  </si>
  <si>
    <t>Return internship offer</t>
  </si>
  <si>
    <t>L5 / SDE2</t>
  </si>
  <si>
    <t>Lower end of SDE2</t>
  </si>
  <si>
    <t>New York</t>
  </si>
  <si>
    <t>Stock vesting is f**ked up. 75k with 5-10-40-40 and joining is split up as 39k 1st year and 33.5k second year</t>
  </si>
  <si>
    <t>Walmart Labs</t>
  </si>
  <si>
    <t>Sign on 20000</t>
  </si>
  <si>
    <t>redwood city</t>
  </si>
  <si>
    <t>VMWare</t>
  </si>
  <si>
    <t>Software engineer</t>
  </si>
  <si>
    <t>First Solar</t>
  </si>
  <si>
    <t>T7</t>
  </si>
  <si>
    <t>Dropbox</t>
  </si>
  <si>
    <t>Remote</t>
  </si>
  <si>
    <t>Twitter</t>
  </si>
  <si>
    <t>Slack</t>
  </si>
  <si>
    <t>L7.5</t>
  </si>
  <si>
    <t>vmware</t>
  </si>
  <si>
    <t>LMTS</t>
  </si>
  <si>
    <t>Tableau Software</t>
  </si>
  <si>
    <t>kirkland</t>
  </si>
  <si>
    <t>menlo park, CA</t>
  </si>
  <si>
    <t>Stock vests in 5, 15, 40, 40.</t>
  </si>
  <si>
    <t>Washington D.C.</t>
  </si>
  <si>
    <t>Cisco</t>
  </si>
  <si>
    <t>15% target bonus</t>
  </si>
  <si>
    <t>Splunk</t>
  </si>
  <si>
    <t>P4</t>
  </si>
  <si>
    <t>San Jose</t>
  </si>
  <si>
    <t>mountain view, ca</t>
  </si>
  <si>
    <t>NYC</t>
  </si>
  <si>
    <t>SDE I</t>
  </si>
  <si>
    <t>REDMOND</t>
  </si>
  <si>
    <t>Data Analyst, not Product Manager (no option to add)</t>
  </si>
  <si>
    <t>45k signing, 157.5k stock refresher</t>
  </si>
  <si>
    <t>Mixpanel</t>
  </si>
  <si>
    <t>L2 (new grad)</t>
  </si>
  <si>
    <t>options: 00.04% stake over four years</t>
  </si>
  <si>
    <t>Ebay</t>
  </si>
  <si>
    <t>MTS2</t>
  </si>
  <si>
    <t>Staff Engineer II</t>
  </si>
  <si>
    <t>Stock grant now worth about 130k</t>
  </si>
  <si>
    <t>Verizon</t>
  </si>
  <si>
    <t xml:space="preserve">Principal </t>
  </si>
  <si>
    <t>6% 401k match</t>
  </si>
  <si>
    <t>Stock is options at 40% of strike monthly</t>
  </si>
  <si>
    <t>Ic5</t>
  </si>
  <si>
    <t>Zynga</t>
  </si>
  <si>
    <t xml:space="preserve">Cupertino, CA, </t>
  </si>
  <si>
    <t>Quant hedge fund</t>
  </si>
  <si>
    <t>Researcher</t>
  </si>
  <si>
    <t>Bonus is percent of PnL</t>
  </si>
  <si>
    <t>Redmond,W</t>
  </si>
  <si>
    <t>Pittsburgh, PA</t>
  </si>
  <si>
    <t>Google X</t>
  </si>
  <si>
    <t>Technical Program Manager</t>
  </si>
  <si>
    <t>Software Engineer(SWE)</t>
  </si>
  <si>
    <t>san Jose</t>
  </si>
  <si>
    <t>Bellevue</t>
  </si>
  <si>
    <t xml:space="preserve"> </t>
  </si>
  <si>
    <t>MICROSOFT</t>
  </si>
  <si>
    <t>Zerto</t>
  </si>
  <si>
    <t>Manager</t>
  </si>
  <si>
    <t>Boston</t>
  </si>
  <si>
    <t>No other compensation</t>
  </si>
  <si>
    <t>Offer in Oct 2011; Principal Technical Program Manager</t>
  </si>
  <si>
    <t>new york,ny</t>
  </si>
  <si>
    <t>Paloalto</t>
  </si>
  <si>
    <t>Seattle,WA</t>
  </si>
  <si>
    <t xml:space="preserve">Tableau Software </t>
  </si>
  <si>
    <t>Non-senior</t>
  </si>
  <si>
    <t xml:space="preserve">Vancouver, BC, Canada </t>
  </si>
  <si>
    <t>The equity is above what a new hire would get at this point.</t>
  </si>
  <si>
    <t>No degree, used competing offer from Facebook</t>
  </si>
  <si>
    <t>Research Scientist</t>
  </si>
  <si>
    <t>IBM</t>
  </si>
  <si>
    <t>Austin, TX</t>
  </si>
  <si>
    <t>Principal engineer</t>
  </si>
  <si>
    <t>Hillsboro, or</t>
  </si>
  <si>
    <t xml:space="preserve">Shutterstock </t>
  </si>
  <si>
    <t>Stock is 60K per year and it varies</t>
  </si>
  <si>
    <t>dropbox</t>
  </si>
  <si>
    <t>san francisco, ca</t>
  </si>
  <si>
    <t>San Diego</t>
  </si>
  <si>
    <t>Bonus includes 100K sign-on</t>
  </si>
  <si>
    <t xml:space="preserve">L7 Principal </t>
  </si>
  <si>
    <t>Portland, Oregon</t>
  </si>
  <si>
    <t>Remote US</t>
  </si>
  <si>
    <t>WalmartLabs</t>
  </si>
  <si>
    <t>SunnyVale</t>
  </si>
  <si>
    <t>10% performance bonus, 150k stock over 4 years</t>
  </si>
  <si>
    <t>Redmond. WA</t>
  </si>
  <si>
    <t>Engineering Manager</t>
  </si>
  <si>
    <t>Bay Area, CA</t>
  </si>
  <si>
    <t>Dallas, TX</t>
  </si>
  <si>
    <t>linkedin</t>
  </si>
  <si>
    <t xml:space="preserve">senior </t>
  </si>
  <si>
    <t>ebay</t>
  </si>
  <si>
    <t xml:space="preserve">T24 </t>
  </si>
  <si>
    <t>Spotify</t>
  </si>
  <si>
    <t>Individual Step</t>
  </si>
  <si>
    <t>salesforce</t>
  </si>
  <si>
    <t>PMTS</t>
  </si>
  <si>
    <t>sfo</t>
  </si>
  <si>
    <t>New Grad (ICT2)</t>
  </si>
  <si>
    <t>RSUs stack, leading to 200/220k per yr for year 3/4 respectively.</t>
  </si>
  <si>
    <t>Capital One</t>
  </si>
  <si>
    <t>Senior Associate</t>
  </si>
  <si>
    <t>Washington D.C</t>
  </si>
  <si>
    <t>L1</t>
  </si>
  <si>
    <t>Los Angeles</t>
  </si>
  <si>
    <t>stock is backloaded, 10% first year, 20% second, 30% third, 40% fourth. original stock grant was 322k, has appreciated.</t>
  </si>
  <si>
    <t>facebook</t>
  </si>
  <si>
    <t>Veritas</t>
  </si>
  <si>
    <t>relocation=10k, joining=15k</t>
  </si>
  <si>
    <t>SDE3(L6)</t>
  </si>
  <si>
    <t>Herndon, VA</t>
  </si>
  <si>
    <t>stock vests over 4 years weighted towards back end</t>
  </si>
  <si>
    <t>Seattle, Wa</t>
  </si>
  <si>
    <t xml:space="preserve">redmond </t>
  </si>
  <si>
    <t>e6</t>
  </si>
  <si>
    <t xml:space="preserve">menlo park, CA </t>
  </si>
  <si>
    <t>Grade 11</t>
  </si>
  <si>
    <t>Technical Lead - Hardware</t>
  </si>
  <si>
    <t>Twilio</t>
  </si>
  <si>
    <t>senior</t>
  </si>
  <si>
    <t>Kirkland, Wa</t>
  </si>
  <si>
    <t>Qualcomm</t>
  </si>
  <si>
    <t>Staff Engineer</t>
  </si>
  <si>
    <t>San Diego, Ca</t>
  </si>
  <si>
    <t>L64</t>
  </si>
  <si>
    <t>AWS</t>
  </si>
  <si>
    <t>Los Gatos, ca</t>
  </si>
  <si>
    <t>12k sign-on</t>
  </si>
  <si>
    <t>Intercom</t>
  </si>
  <si>
    <t>10k signon, stock pre-IPO so not saleable</t>
  </si>
  <si>
    <t>Workday</t>
  </si>
  <si>
    <t>SDE III</t>
  </si>
  <si>
    <t xml:space="preserve">Kirkland </t>
  </si>
  <si>
    <t>Advanced Micro Devices</t>
  </si>
  <si>
    <t>Got 50K worth of stock when I joined.</t>
  </si>
  <si>
    <t>FB</t>
  </si>
  <si>
    <t>Principal</t>
  </si>
  <si>
    <t>Tesla</t>
  </si>
  <si>
    <t>Senior (P3)</t>
  </si>
  <si>
    <t>Sam Francisco, CA</t>
  </si>
  <si>
    <t>150k stocks vest over 4 years</t>
  </si>
  <si>
    <t>paypal</t>
  </si>
  <si>
    <t>L24</t>
  </si>
  <si>
    <t>stock grant includes refresher, 20k+20k</t>
  </si>
  <si>
    <t>SDE II (61)</t>
  </si>
  <si>
    <t>Battelle (PNNL)</t>
  </si>
  <si>
    <t>Richland, WA</t>
  </si>
  <si>
    <t>26k bonus awarded year 2, stock grant value vests over 4 years at 5/15/40/40%. Year 1 April 1.7% raise</t>
  </si>
  <si>
    <t xml:space="preserve">Cisco </t>
  </si>
  <si>
    <t>Cambridge, Cambridgeshire, United Kingdom</t>
  </si>
  <si>
    <t>Sunnyvale, ca</t>
  </si>
  <si>
    <t>Senior Staff</t>
  </si>
  <si>
    <t>United States</t>
  </si>
  <si>
    <t>London</t>
  </si>
  <si>
    <t>Principal member of technical staff</t>
  </si>
  <si>
    <t xml:space="preserve">Twitter </t>
  </si>
  <si>
    <t xml:space="preserve">Swe2 </t>
  </si>
  <si>
    <t>Box</t>
  </si>
  <si>
    <t>+$4000 ESPP Gains</t>
  </si>
  <si>
    <t>Visa</t>
  </si>
  <si>
    <t>foster city, CA</t>
  </si>
  <si>
    <t>GE Digital</t>
  </si>
  <si>
    <t>New Orleans, LA</t>
  </si>
  <si>
    <t>New York City, NY</t>
  </si>
  <si>
    <t>Stock grant value is annualized</t>
  </si>
  <si>
    <t>Menlo Park</t>
  </si>
  <si>
    <t xml:space="preserve">Hewlett Packard Enterprise </t>
  </si>
  <si>
    <t>III</t>
  </si>
  <si>
    <t>Senior staff</t>
  </si>
  <si>
    <t>San diego</t>
  </si>
  <si>
    <t>CA Technologies</t>
  </si>
  <si>
    <t>Principal Software Engineer</t>
  </si>
  <si>
    <t>Stock: €190000 4 years vesting</t>
  </si>
  <si>
    <t>Senior Engineer O</t>
  </si>
  <si>
    <t>Grade 6</t>
  </si>
  <si>
    <t>HILLSBORO, OR, USA</t>
  </si>
  <si>
    <t>Goldman Sachs</t>
  </si>
  <si>
    <t>Associate</t>
  </si>
  <si>
    <t>Square</t>
  </si>
  <si>
    <t>Years of experience is years-in-role, not years-in-industry. Breakdown numbers are dollars not thousands.</t>
  </si>
  <si>
    <t>T4</t>
  </si>
  <si>
    <t>Seattle, ca</t>
  </si>
  <si>
    <t>Irvine, CA</t>
  </si>
  <si>
    <t>Stock Grant over 4 years, new grad</t>
  </si>
  <si>
    <t>pre-ipo stock grant not included in total comp</t>
  </si>
  <si>
    <t>USAA</t>
  </si>
  <si>
    <t>San Antonio, TX</t>
  </si>
  <si>
    <t>machine zone inc</t>
  </si>
  <si>
    <t>software engineer</t>
  </si>
  <si>
    <t>palo alto</t>
  </si>
  <si>
    <t>Starbucks</t>
  </si>
  <si>
    <t>Sr</t>
  </si>
  <si>
    <t>Software Engineer 1</t>
  </si>
  <si>
    <t>mountain view , ca</t>
  </si>
  <si>
    <t>Data Scientist Manager</t>
  </si>
  <si>
    <t>KUKA Robotics</t>
  </si>
  <si>
    <t>Austin, Texas</t>
  </si>
  <si>
    <t>Medical, Dental, Vision</t>
  </si>
  <si>
    <t>San Ramon, CA</t>
  </si>
  <si>
    <t>Male</t>
  </si>
  <si>
    <t>SDET, not SDE</t>
  </si>
  <si>
    <t>x</t>
  </si>
  <si>
    <t>Akamai</t>
  </si>
  <si>
    <t>Santa Clara, CA</t>
  </si>
  <si>
    <t>didn't count benefits (+24k) in total comp because it says "Salary + Bonus + Stock"</t>
  </si>
  <si>
    <t>P2</t>
  </si>
  <si>
    <t>Pleasanton, CA</t>
  </si>
  <si>
    <t>Stock grand 60k on signing + 40k after a year. Both vest 1/4 a year</t>
  </si>
  <si>
    <t>Female</t>
  </si>
  <si>
    <t>San Diego, CA</t>
  </si>
  <si>
    <t>Hourly/Salary overtime included</t>
  </si>
  <si>
    <t>Toyota Research Institute</t>
  </si>
  <si>
    <t>IC-4</t>
  </si>
  <si>
    <t>Nvidia</t>
  </si>
  <si>
    <t>ESPP 2 year vesting</t>
  </si>
  <si>
    <t>ICT 3</t>
  </si>
  <si>
    <t>Anonymous (Fintech)</t>
  </si>
  <si>
    <t>L4/Computer Scientist II</t>
  </si>
  <si>
    <t>Nordstrom</t>
  </si>
  <si>
    <t>Activision</t>
  </si>
  <si>
    <t>LOS ANGELES</t>
  </si>
  <si>
    <t>MOUNTAIN VIEW</t>
  </si>
  <si>
    <t>PlayStation</t>
  </si>
  <si>
    <t>Squarespace</t>
  </si>
  <si>
    <t>There is no bonus at all, not sure why this form is required.
Ladder is:
Engineer 1-3, Senior 1-2, then Principle then Staff
E1 new grad, E2 new grad or 1, E3 is 2-3 years, SE1 3-5 years. rest are subject to performance and other metrics.</t>
  </si>
  <si>
    <t>Ionic Security</t>
  </si>
  <si>
    <t>L4 (Senior SDE)</t>
  </si>
  <si>
    <t>Atlanta</t>
  </si>
  <si>
    <t>Folsom, CA</t>
  </si>
  <si>
    <t>SDEII</t>
  </si>
  <si>
    <t>Informatica</t>
  </si>
  <si>
    <t>Redwood City</t>
  </si>
  <si>
    <t>L6 - SDE3 - Senior Engineer</t>
  </si>
  <si>
    <t>Salesforce.com</t>
  </si>
  <si>
    <t>MTS</t>
  </si>
  <si>
    <t>Chicago, IL</t>
  </si>
  <si>
    <t>IC6</t>
  </si>
  <si>
    <t>U.S. Navy</t>
  </si>
  <si>
    <t>ND-4</t>
  </si>
  <si>
    <t>Charleston, SC</t>
  </si>
  <si>
    <t>Scientist with Ph.D. hired at ND-4; ND-3 is usually for M.S., ND-2 for B.S.;  there is only one level up: ND-5. Each ND has intermediate "steps".</t>
  </si>
  <si>
    <t>Sunnyvale,CA</t>
  </si>
  <si>
    <t>65 sign on</t>
  </si>
  <si>
    <t xml:space="preserve">Design manager </t>
  </si>
  <si>
    <t>Senior MTS</t>
  </si>
  <si>
    <t>Palo alto</t>
  </si>
  <si>
    <t>Senior Manager</t>
  </si>
  <si>
    <t>Richmond VA</t>
  </si>
  <si>
    <t>Great leave/401k/ESPP/Health benefits</t>
  </si>
  <si>
    <t>Blackbaud</t>
  </si>
  <si>
    <t>SE1</t>
  </si>
  <si>
    <t>Optym</t>
  </si>
  <si>
    <t>SDE1</t>
  </si>
  <si>
    <t>Florida</t>
  </si>
  <si>
    <t>Senior Product Manager</t>
  </si>
  <si>
    <t>GE</t>
  </si>
  <si>
    <t>Godaddy</t>
  </si>
  <si>
    <t>About 30K yearly stock refresh</t>
  </si>
  <si>
    <t>seattle,wa</t>
  </si>
  <si>
    <t>WeWork</t>
  </si>
  <si>
    <t>Senior Director - I Band</t>
  </si>
  <si>
    <t>Stock includes the year's total vest value from the sign-in, yearly performance, and spot award pools</t>
  </si>
  <si>
    <t>RSU granted @ 86 / share 4 year vest, not counting ESPP ~4k match, 401k 5.5k match, HSA family company contribution and 100/ month in "fitness" credits. Negotiated base &gt;10% from initial offer, and RSU &gt;25k more.</t>
  </si>
  <si>
    <t>Citadel</t>
  </si>
  <si>
    <t>Mid</t>
  </si>
  <si>
    <t>grade 6</t>
  </si>
  <si>
    <t>santa clara</t>
  </si>
  <si>
    <t>Excludes $10k relocation (pre-tax)</t>
  </si>
  <si>
    <t>Minneapolis</t>
  </si>
  <si>
    <t>Wow salaries in Minnesota are low</t>
  </si>
  <si>
    <t>Staff (Grade 8)</t>
  </si>
  <si>
    <t>Hillsboro, OR</t>
  </si>
  <si>
    <t>Stock is based on annual performance, above is should be around mean for Gr 8</t>
  </si>
  <si>
    <t>Bloomberg</t>
  </si>
  <si>
    <t>$7.75k 401(k) match. $10k sign-on and $10k relocation from SF to NYC</t>
  </si>
  <si>
    <t>ICT 2</t>
  </si>
  <si>
    <t>New grad, intern once at company</t>
  </si>
  <si>
    <t>L66</t>
  </si>
  <si>
    <t>Marcus</t>
  </si>
  <si>
    <t>Site Reliability Engineer</t>
  </si>
  <si>
    <t>Food, Tea,Coffee, Gym, WomenInTechGroup, TaxiAfter10pm, StockBonus, Donuts, Swag,Monitors, CupCakes, Kochumba, IceCream, Dinner, BestMonitors, AppleGear</t>
  </si>
  <si>
    <t>I'm an outlier for compensation due to some negotiations I undertook</t>
  </si>
  <si>
    <t>Netgear</t>
  </si>
  <si>
    <t>Sr. Software Engineer</t>
  </si>
  <si>
    <t>stock grant is per year, vests over 4 years, 1 year cliff, also have ESPP, and 5k 401k match</t>
  </si>
  <si>
    <t>Picked SDM but I manage non-software technical teams.</t>
  </si>
  <si>
    <t>ThoughtWorks</t>
  </si>
  <si>
    <t>Senionr</t>
  </si>
  <si>
    <t>Yandex</t>
  </si>
  <si>
    <t>Moscow</t>
  </si>
  <si>
    <t>Qualcomm Inc</t>
  </si>
  <si>
    <t>Senior Engineer</t>
  </si>
  <si>
    <t>Seattle, Washington</t>
  </si>
  <si>
    <t>Nowhere</t>
  </si>
  <si>
    <t>Toronto, ON</t>
  </si>
  <si>
    <t>Sr MTS</t>
  </si>
  <si>
    <t>palo alto, CA</t>
  </si>
  <si>
    <t>SDE III (L6)</t>
  </si>
  <si>
    <t>Accenture</t>
  </si>
  <si>
    <t>Boulder, CO</t>
  </si>
  <si>
    <t xml:space="preserve">Sunnyvale </t>
  </si>
  <si>
    <t>JP Morgan Chase</t>
  </si>
  <si>
    <t>Senior Associate Engineer</t>
  </si>
  <si>
    <t>Jersey City, NJ</t>
  </si>
  <si>
    <t>Redmond,WA</t>
  </si>
  <si>
    <t>Vancouver, BC</t>
  </si>
  <si>
    <t>Values in $CAD</t>
  </si>
  <si>
    <t>NetApp</t>
  </si>
  <si>
    <t>MTS III</t>
  </si>
  <si>
    <t>Acquisition was cash bonus heavy</t>
  </si>
  <si>
    <t>Microsofr</t>
  </si>
  <si>
    <t>Redmond,WA,US</t>
  </si>
  <si>
    <t>SE2</t>
  </si>
  <si>
    <t>Culver city, CA</t>
  </si>
  <si>
    <t xml:space="preserve">Oracle </t>
  </si>
  <si>
    <t>IC 3</t>
  </si>
  <si>
    <t>Boston, MI</t>
  </si>
  <si>
    <t xml:space="preserve">LinkedIn </t>
  </si>
  <si>
    <t>135k Base/ 175K Stock/ 25k Sign On</t>
  </si>
  <si>
    <t>McLean, VA</t>
  </si>
  <si>
    <t>Associate Manager</t>
  </si>
  <si>
    <t>Chicago</t>
  </si>
  <si>
    <t>Grade 8</t>
  </si>
  <si>
    <t>Redmon</t>
  </si>
  <si>
    <t>Nike</t>
  </si>
  <si>
    <t>Portland, OR</t>
  </si>
  <si>
    <t>Contract</t>
  </si>
  <si>
    <t xml:space="preserve">L7 </t>
  </si>
  <si>
    <t>Kirkland</t>
  </si>
  <si>
    <t>Hillsboro</t>
  </si>
  <si>
    <t>Mckinsey &amp; Company</t>
  </si>
  <si>
    <t>Senior manager</t>
  </si>
  <si>
    <t>Joining 30000</t>
  </si>
  <si>
    <t>Redmond, aa</t>
  </si>
  <si>
    <t>Promoted mid-year into 65</t>
  </si>
  <si>
    <t>Los Gatos, Ca</t>
  </si>
  <si>
    <t xml:space="preserve">Principal engunrrr </t>
  </si>
  <si>
    <t xml:space="preserve">Santa Clara,CA, USA </t>
  </si>
  <si>
    <t>Analyst</t>
  </si>
  <si>
    <t>Relocation package's services are valued at 26k. 25k is signing bonus as mentioned above.</t>
  </si>
  <si>
    <t>Grade 7</t>
  </si>
  <si>
    <t>SWE 2</t>
  </si>
  <si>
    <t>L59</t>
  </si>
  <si>
    <t>ICT-4</t>
  </si>
  <si>
    <t>Redmomd, WA</t>
  </si>
  <si>
    <t xml:space="preserve">bonus is 30k signing bonus. </t>
  </si>
  <si>
    <t>G8</t>
  </si>
  <si>
    <t xml:space="preserve">San Jose </t>
  </si>
  <si>
    <t>Senior Software Engineer P4</t>
  </si>
  <si>
    <t>Pleasanton</t>
  </si>
  <si>
    <t>pinterest</t>
  </si>
  <si>
    <t>Sign on 28000</t>
  </si>
  <si>
    <t>Los Gatos</t>
  </si>
  <si>
    <t>Oracle OCI</t>
  </si>
  <si>
    <t>20k signon</t>
  </si>
  <si>
    <t>30k signon</t>
  </si>
  <si>
    <t>Grade 10</t>
  </si>
  <si>
    <t>San jose, ca</t>
  </si>
  <si>
    <t>iOS experienced engineer coming from FB</t>
  </si>
  <si>
    <t>Product Manager 3</t>
  </si>
  <si>
    <t>Software Engineer II</t>
  </si>
  <si>
    <t>L60</t>
  </si>
  <si>
    <t>Fremont</t>
  </si>
  <si>
    <t>Yahoo!</t>
  </si>
  <si>
    <t>Sunnyval, CA, USA</t>
  </si>
  <si>
    <t>Senior SW QA</t>
  </si>
  <si>
    <t>Beaverton, OR</t>
  </si>
  <si>
    <t>You need to at Software QA to the drop down list</t>
  </si>
  <si>
    <t>Redmond, WA, USA</t>
  </si>
  <si>
    <t>Tinder</t>
  </si>
  <si>
    <t>Jr. Software Engineer</t>
  </si>
  <si>
    <t>Capital Group</t>
  </si>
  <si>
    <t>Senior Developer</t>
  </si>
  <si>
    <t>Irvine</t>
  </si>
  <si>
    <t>Retirement Fund - 30K/yr (captured as Stock)</t>
  </si>
  <si>
    <t>You must be in the top 3-5% of employees in Canada to get any promotion.</t>
  </si>
  <si>
    <t>l7</t>
  </si>
  <si>
    <t>Principal software engineer</t>
  </si>
  <si>
    <t>Staff SWE</t>
  </si>
  <si>
    <t>San Ramon</t>
  </si>
  <si>
    <t>Group Product Manager</t>
  </si>
  <si>
    <t>SDE 2 / 61</t>
  </si>
  <si>
    <t>redwood city, CA</t>
  </si>
  <si>
    <t xml:space="preserve">Intuit </t>
  </si>
  <si>
    <t xml:space="preserve">Senior Software Engineer </t>
  </si>
  <si>
    <t xml:space="preserve">Mountain View </t>
  </si>
  <si>
    <t>Liberty Mutual</t>
  </si>
  <si>
    <t>L20</t>
  </si>
  <si>
    <t>Yekaterinburg</t>
  </si>
  <si>
    <t>Santa Clara, ca</t>
  </si>
  <si>
    <t>Blend</t>
  </si>
  <si>
    <t>Vancouver</t>
  </si>
  <si>
    <t>it is all in Canadian Dollars</t>
  </si>
  <si>
    <t>Software Eng</t>
  </si>
  <si>
    <t>xyz, Inc</t>
  </si>
  <si>
    <t>Twitter Inc.</t>
  </si>
  <si>
    <t>SWE 1 (New Grad)</t>
  </si>
  <si>
    <t>MTS 2</t>
  </si>
  <si>
    <t xml:space="preserve">San Jose, CA. </t>
  </si>
  <si>
    <t>There is 20k sign on bonus too</t>
  </si>
  <si>
    <t>SWE III T4</t>
  </si>
  <si>
    <t>Evaluating an offer</t>
  </si>
  <si>
    <t xml:space="preserve">Turn it in </t>
  </si>
  <si>
    <t xml:space="preserve">Oakland </t>
  </si>
  <si>
    <t>London, UK</t>
  </si>
  <si>
    <t>160k + 160 shares amazon stock that vest mostly in year 3-4, and bonuses paid with paycheck to keep comp at 212000(Since little stock vests first year)</t>
  </si>
  <si>
    <t>San francisco</t>
  </si>
  <si>
    <t>Bonuses are performance based</t>
  </si>
  <si>
    <t>Paypal</t>
  </si>
  <si>
    <t>Technical lead</t>
  </si>
  <si>
    <t>Mutual of Omaha</t>
  </si>
  <si>
    <t>Mid-grade (of Jr, Mid, Sr)</t>
  </si>
  <si>
    <t>Omaha, NE</t>
  </si>
  <si>
    <t>InfoSec Engineer</t>
  </si>
  <si>
    <t>Zendesk</t>
  </si>
  <si>
    <t>Electronic Arts</t>
  </si>
  <si>
    <t xml:space="preserve">BlackRock </t>
  </si>
  <si>
    <t xml:space="preserve">Associate </t>
  </si>
  <si>
    <t>When I joined the company, my initial stock grant would have only vested $75k in stock per year. But the FB stock price has gone up a lot, and I've gotten refreshers. So during 2018, I will vest more than $240k in stock.</t>
  </si>
  <si>
    <t>Jornaya</t>
  </si>
  <si>
    <t>Philadelphia, PA</t>
  </si>
  <si>
    <t>F5 Networks</t>
  </si>
  <si>
    <t>Plus sign on, other misc.</t>
  </si>
  <si>
    <t>PayPal</t>
  </si>
  <si>
    <t>San Jose, CA, USA</t>
  </si>
  <si>
    <t>Title is Tech Lead</t>
  </si>
  <si>
    <t>Technical Director</t>
  </si>
  <si>
    <t>Culver City, CA</t>
  </si>
  <si>
    <t>Salt Lake City, UT</t>
  </si>
  <si>
    <t>Mountain view</t>
  </si>
  <si>
    <t>G16</t>
  </si>
  <si>
    <t>Moscow, Russia</t>
  </si>
  <si>
    <t>samsung</t>
  </si>
  <si>
    <t>Full Stack</t>
  </si>
  <si>
    <t>Cambridge</t>
  </si>
  <si>
    <t>Distributed Systems (Back-End)</t>
  </si>
  <si>
    <t>Mountain View CA</t>
  </si>
  <si>
    <t>Mobile (iOS + Android)</t>
  </si>
  <si>
    <t>M3</t>
  </si>
  <si>
    <t>Ant Financial</t>
  </si>
  <si>
    <t>P7+</t>
  </si>
  <si>
    <t>ML / AI</t>
  </si>
  <si>
    <t>Senior Staff Engineer</t>
  </si>
  <si>
    <t>Embedded Systems</t>
  </si>
  <si>
    <t>VmWare</t>
  </si>
  <si>
    <t>Stock is one year's worth of vest</t>
  </si>
  <si>
    <t>Web Development (Front-End)</t>
  </si>
  <si>
    <t>Master Software Engineer</t>
  </si>
  <si>
    <t>Starting bonus 20000</t>
  </si>
  <si>
    <t>iOS</t>
  </si>
  <si>
    <t>Booking.com</t>
  </si>
  <si>
    <t xml:space="preserve">Core </t>
  </si>
  <si>
    <t>Amsterdam, NL</t>
  </si>
  <si>
    <t>40k signing</t>
  </si>
  <si>
    <t>API Development (Back-End)</t>
  </si>
  <si>
    <t>Autodesk</t>
  </si>
  <si>
    <t>Samsung</t>
  </si>
  <si>
    <t>WALTHAM, MA</t>
  </si>
  <si>
    <t>DevOps</t>
  </si>
  <si>
    <t>Principal (IC4)</t>
  </si>
  <si>
    <t>Denver, CO</t>
  </si>
  <si>
    <t>Data Scientist</t>
  </si>
  <si>
    <t>Data Analysis</t>
  </si>
  <si>
    <t>Solution Architect</t>
  </si>
  <si>
    <t>Orange County, ca</t>
  </si>
  <si>
    <t>Networking</t>
  </si>
  <si>
    <t>Engineer</t>
  </si>
  <si>
    <t>Peloton</t>
  </si>
  <si>
    <t>Sign on: 100K</t>
  </si>
  <si>
    <t>Tintri</t>
  </si>
  <si>
    <t>Stadd</t>
  </si>
  <si>
    <t>mountain view</t>
  </si>
  <si>
    <t>T-Mobile</t>
  </si>
  <si>
    <t>L08 Sr Engineer</t>
  </si>
  <si>
    <t>Bloomberg LP</t>
  </si>
  <si>
    <t>Detroit, MI</t>
  </si>
  <si>
    <t>Cloud</t>
  </si>
  <si>
    <t>Proofpoint</t>
  </si>
  <si>
    <t>Testing (SDET)</t>
  </si>
  <si>
    <t>SAP Ariba</t>
  </si>
  <si>
    <t>Associate - Level 1</t>
  </si>
  <si>
    <t>Goldman sachs</t>
  </si>
  <si>
    <t>rxnetworks</t>
  </si>
  <si>
    <t>Redmond Wa</t>
  </si>
  <si>
    <t>Senior PM</t>
  </si>
  <si>
    <t>Indianapolis</t>
  </si>
  <si>
    <t xml:space="preserve">Intuit Inc. </t>
  </si>
  <si>
    <t>Staff Software Engineer</t>
  </si>
  <si>
    <t>Mountain View, CA United States</t>
  </si>
  <si>
    <t>Centare</t>
  </si>
  <si>
    <t>Milwaukee, WI</t>
  </si>
  <si>
    <t>Northwestern Mutual</t>
  </si>
  <si>
    <t>P3</t>
  </si>
  <si>
    <t>Bonus is 10%</t>
  </si>
  <si>
    <t>Associate Offering Manager (Band 6)</t>
  </si>
  <si>
    <t>Austin</t>
  </si>
  <si>
    <t>Sign on 50 k</t>
  </si>
  <si>
    <t>Coursera</t>
  </si>
  <si>
    <t>Redwood City,CA</t>
  </si>
  <si>
    <t>Senior SWE</t>
  </si>
  <si>
    <t xml:space="preserve">Redwood City, CA </t>
  </si>
  <si>
    <t>Android</t>
  </si>
  <si>
    <t>SmartThings</t>
  </si>
  <si>
    <t>Minneapolis, MN</t>
  </si>
  <si>
    <t>Band 6</t>
  </si>
  <si>
    <t>Snap, Inc.</t>
  </si>
  <si>
    <t>SAN FRANCISCO</t>
  </si>
  <si>
    <t>Security</t>
  </si>
  <si>
    <t xml:space="preserve">Redmond </t>
  </si>
  <si>
    <t>BOOKING.COM</t>
  </si>
  <si>
    <t>Product Owner</t>
  </si>
  <si>
    <t>Amsterdam, Netherlands</t>
  </si>
  <si>
    <t>Zurich, Switzerland</t>
  </si>
  <si>
    <t>total with stock at grant (not vest) value</t>
  </si>
  <si>
    <t>SE 3</t>
  </si>
  <si>
    <t>MapR</t>
  </si>
  <si>
    <t>Hyderabad, Telangana, India</t>
  </si>
  <si>
    <t>Singapore</t>
  </si>
  <si>
    <t>Fanatics</t>
  </si>
  <si>
    <t>GE Healthcare</t>
  </si>
  <si>
    <t>LPB2</t>
  </si>
  <si>
    <t>tableau software</t>
  </si>
  <si>
    <t>senior software engineer</t>
  </si>
  <si>
    <t>palo alto ca</t>
  </si>
  <si>
    <t>Senior I</t>
  </si>
  <si>
    <t>Lots of vested ISOs, some fresh RSUs, illiquid.</t>
  </si>
  <si>
    <t>Negotiated sign-on, 25k</t>
  </si>
  <si>
    <t>Marketing Tech</t>
  </si>
  <si>
    <t>new york city</t>
  </si>
  <si>
    <t xml:space="preserve">Akamai </t>
  </si>
  <si>
    <t>Product Support</t>
  </si>
  <si>
    <t>Desktop</t>
  </si>
  <si>
    <t>Dublin</t>
  </si>
  <si>
    <t>Trading Firm</t>
  </si>
  <si>
    <t>Amazon web services</t>
  </si>
  <si>
    <t xml:space="preserve">Palo Alto </t>
  </si>
  <si>
    <t>Signing bonus 10K</t>
  </si>
  <si>
    <t>Upsight Inc</t>
  </si>
  <si>
    <t>Systems software</t>
  </si>
  <si>
    <t>G18</t>
  </si>
  <si>
    <t>Hulu</t>
  </si>
  <si>
    <t>c++</t>
  </si>
  <si>
    <t>Seattle,wa</t>
  </si>
  <si>
    <t>ESPP is offered</t>
  </si>
  <si>
    <t>Kernel, Storage</t>
  </si>
  <si>
    <t>Principle</t>
  </si>
  <si>
    <t>L62</t>
  </si>
  <si>
    <t>+21K as Insurance+HSA+401K+ESPP</t>
  </si>
  <si>
    <t>Denver</t>
  </si>
  <si>
    <t>5-15-40-40 annual vest schedule. bonus paid over 2 years</t>
  </si>
  <si>
    <t>L10</t>
  </si>
  <si>
    <t>Austin, tx</t>
  </si>
  <si>
    <t>Qualtrics</t>
  </si>
  <si>
    <t>27 Year old</t>
  </si>
  <si>
    <t>G17</t>
  </si>
  <si>
    <t>g18</t>
  </si>
  <si>
    <t>M2</t>
  </si>
  <si>
    <t>Stock grant &amp; bonus is yearly refresh, at time of grant (not including stock appreciation)</t>
  </si>
  <si>
    <t>capital one</t>
  </si>
  <si>
    <t xml:space="preserve">senior associate </t>
  </si>
  <si>
    <t>chicago</t>
  </si>
  <si>
    <t>SRE</t>
  </si>
  <si>
    <t>System SW</t>
  </si>
  <si>
    <t>Atlassian</t>
  </si>
  <si>
    <t>Graduate Software Developer</t>
  </si>
  <si>
    <t>bellevue</t>
  </si>
  <si>
    <t>Gr8</t>
  </si>
  <si>
    <t>Embedded</t>
  </si>
  <si>
    <t>SWE II</t>
  </si>
  <si>
    <t>Groupon</t>
  </si>
  <si>
    <t>Ancestry</t>
  </si>
  <si>
    <t>Lehi, Utah, United States</t>
  </si>
  <si>
    <t>NextGen Healthcare</t>
  </si>
  <si>
    <t>Center ID</t>
  </si>
  <si>
    <t>SDE</t>
  </si>
  <si>
    <t>P5</t>
  </si>
  <si>
    <t>No bonus. 1 year cliff on stock</t>
  </si>
  <si>
    <t>Disregard the Data Scientist. I'm a Mechanical Engineer. Can you please add this track?</t>
  </si>
  <si>
    <t>Mechanical Engineering</t>
  </si>
  <si>
    <t>Band 8</t>
  </si>
  <si>
    <t>I’m a senior manager, product management tech</t>
  </si>
  <si>
    <t>Sr Staff</t>
  </si>
  <si>
    <t>Apttus</t>
  </si>
  <si>
    <t>Lead</t>
  </si>
  <si>
    <t>San Mateo, California</t>
  </si>
  <si>
    <t>Yahoo/Oath</t>
  </si>
  <si>
    <t xml:space="preserve">IBM </t>
  </si>
  <si>
    <t>Toronto, Ontario, Canada</t>
  </si>
  <si>
    <t>Free mobile, Free Subway Pass, Very good resources to learn new things, + Basic benefits like insurance etc etc</t>
  </si>
  <si>
    <t>GrubHub</t>
  </si>
  <si>
    <t>L07</t>
  </si>
  <si>
    <t>Senior Finance Manager</t>
  </si>
  <si>
    <t>Finance</t>
  </si>
  <si>
    <t>AppNexus</t>
  </si>
  <si>
    <t>Network Deployment Senior Program Manager - Azure</t>
  </si>
  <si>
    <t>Facebook Building 8</t>
  </si>
  <si>
    <t>MPK</t>
  </si>
  <si>
    <t>G14</t>
  </si>
  <si>
    <t>+8</t>
  </si>
  <si>
    <t>Assuming stock price is $200/share, bonus = 20% + yearly grant</t>
  </si>
  <si>
    <t>herndon, va</t>
  </si>
  <si>
    <t>Sand Francisco, CA</t>
  </si>
  <si>
    <t>Homeaway</t>
  </si>
  <si>
    <t>E2</t>
  </si>
  <si>
    <t>Alexa</t>
  </si>
  <si>
    <t>Bonus is targeted at 15% of base salary</t>
  </si>
  <si>
    <t>Hardware Engineering</t>
  </si>
  <si>
    <t>Data Engineering</t>
  </si>
  <si>
    <t>Stock Grant is 4 years</t>
  </si>
  <si>
    <t>Infrastructure</t>
  </si>
  <si>
    <t>Germany</t>
  </si>
  <si>
    <t>G15</t>
  </si>
  <si>
    <t>NA</t>
  </si>
  <si>
    <t>Values are converted from GBP to USD. Bonus is housing subsidy + yearly bonus. Stock options are not included.</t>
  </si>
  <si>
    <t>G5</t>
  </si>
  <si>
    <t>Sacramento</t>
  </si>
  <si>
    <t>Firmware</t>
  </si>
  <si>
    <t>Sony Interactive Entertainment</t>
  </si>
  <si>
    <t>Sony does not give you RSU/stocks. So ensure that your Base salary is high</t>
  </si>
  <si>
    <t>Backend Tools</t>
  </si>
  <si>
    <t>Hilbert</t>
  </si>
  <si>
    <t>Cookpad</t>
  </si>
  <si>
    <t>Colombiq</t>
  </si>
  <si>
    <t>Roku</t>
  </si>
  <si>
    <t>TripAdvisor</t>
  </si>
  <si>
    <t>Seattle , WA</t>
  </si>
  <si>
    <t>tcs</t>
  </si>
  <si>
    <t>senior staff</t>
  </si>
  <si>
    <t>san franscisco</t>
  </si>
  <si>
    <t>project manager</t>
  </si>
  <si>
    <t>Cloudera</t>
  </si>
  <si>
    <t>STSM</t>
  </si>
  <si>
    <t xml:space="preserve"> New York, NY</t>
  </si>
  <si>
    <t>Eng 1</t>
  </si>
  <si>
    <t>QUALCOMM</t>
  </si>
  <si>
    <t>STAFF ENGINEER</t>
  </si>
  <si>
    <t>SAN DIEGO</t>
  </si>
  <si>
    <t>US Navy</t>
  </si>
  <si>
    <t>PhD in CS</t>
  </si>
  <si>
    <t>Charleston</t>
  </si>
  <si>
    <t>BS in CS</t>
  </si>
  <si>
    <t>L4.5</t>
  </si>
  <si>
    <t>M65</t>
  </si>
  <si>
    <t>SDE2</t>
  </si>
  <si>
    <t>Redmond, Washington</t>
  </si>
  <si>
    <t>India</t>
  </si>
  <si>
    <t xml:space="preserve">Netflix </t>
  </si>
  <si>
    <t>Principal MTS</t>
  </si>
  <si>
    <t>Ic3</t>
  </si>
  <si>
    <t>Albany, NY</t>
  </si>
  <si>
    <t>Providence, RI</t>
  </si>
  <si>
    <t>Strategist</t>
  </si>
  <si>
    <t>Grade 5</t>
  </si>
  <si>
    <t>QA Engineer</t>
  </si>
  <si>
    <t>QA / Testing</t>
  </si>
  <si>
    <t>Santa Barbara, CA</t>
  </si>
  <si>
    <t>L6 (Staff)</t>
  </si>
  <si>
    <t>Desktop development</t>
  </si>
  <si>
    <t>MTS(member of technical staff)</t>
  </si>
  <si>
    <t>NYC, NY</t>
  </si>
  <si>
    <t>Hoboken, NJ</t>
  </si>
  <si>
    <t>Cisco Systems</t>
  </si>
  <si>
    <t>Distinguished Engineer</t>
  </si>
  <si>
    <t>Redmond Washington</t>
  </si>
  <si>
    <t xml:space="preserve">Indeed </t>
  </si>
  <si>
    <t>SWE 1</t>
  </si>
  <si>
    <t>Tokyo, Japan</t>
  </si>
  <si>
    <t>Don't get stock but do get 10k Long Term Incentive Plan units every year that vest after 3 years. Value is based on revenue growth during vesting period. I currently estimate mine to be worth $2 eacb</t>
  </si>
  <si>
    <t>Santa clara, ca</t>
  </si>
  <si>
    <t>Shopify</t>
  </si>
  <si>
    <t>waterloo,on,canada</t>
  </si>
  <si>
    <t xml:space="preserve">Pinterest </t>
  </si>
  <si>
    <t>SDEIII</t>
  </si>
  <si>
    <t>Twitch</t>
  </si>
  <si>
    <t>100 shares</t>
  </si>
  <si>
    <t>Santa Monica, CA</t>
  </si>
  <si>
    <t>Chicago, Il</t>
  </si>
  <si>
    <t>Big Data Software Company</t>
  </si>
  <si>
    <t>Singapore, Singapore, Singapore</t>
  </si>
  <si>
    <t>Colorado</t>
  </si>
  <si>
    <t>Bonus money is the target assuming individual performance and company performance is as expected</t>
  </si>
  <si>
    <t>Realtor.com</t>
  </si>
  <si>
    <t>Sign on bonus - 45k(Not included in TC).</t>
  </si>
  <si>
    <t>GE digital</t>
  </si>
  <si>
    <t>san ramon, ca</t>
  </si>
  <si>
    <t xml:space="preserve">Please add IT roles (IT Support, IT Engineer, IT Administrator, IT Manager, etc) - I am IT Manager </t>
  </si>
  <si>
    <t xml:space="preserve">IT </t>
  </si>
  <si>
    <t>ADP</t>
  </si>
  <si>
    <t>Sr UX Researcher 4</t>
  </si>
  <si>
    <t>Roseland, New Jersey</t>
  </si>
  <si>
    <t>UX Research</t>
  </si>
  <si>
    <t>EY</t>
  </si>
  <si>
    <t xml:space="preserve">Embedded </t>
  </si>
  <si>
    <t>Senior 1</t>
  </si>
  <si>
    <t>Deloitte</t>
  </si>
  <si>
    <t>Houston</t>
  </si>
  <si>
    <t>SAP Security</t>
  </si>
  <si>
    <t xml:space="preserve">Principal SWE </t>
  </si>
  <si>
    <t>Santa clara</t>
  </si>
  <si>
    <t xml:space="preserve">Software engineer </t>
  </si>
  <si>
    <t>Apple Inc.</t>
  </si>
  <si>
    <t>70000 signon</t>
  </si>
  <si>
    <t>Lead Software Engineer</t>
  </si>
  <si>
    <t>L6 PM</t>
  </si>
  <si>
    <t>Group PM</t>
  </si>
  <si>
    <t>Bonus per year is up to 20%</t>
  </si>
  <si>
    <t>san diego</t>
  </si>
  <si>
    <t>40k cash split over 2 years. 75k rsus over 4 years. Bonus is median 10% of base per yr.</t>
  </si>
  <si>
    <t>Palo Alto,CA</t>
  </si>
  <si>
    <t>Ict4</t>
  </si>
  <si>
    <t>220k base / 400k rsu/ 85k signon</t>
  </si>
  <si>
    <t>US Army</t>
  </si>
  <si>
    <t>O2</t>
  </si>
  <si>
    <t>Maryland</t>
  </si>
  <si>
    <t>Two Sigma</t>
  </si>
  <si>
    <t>no stock grant</t>
  </si>
  <si>
    <t>Grade 12</t>
  </si>
  <si>
    <t xml:space="preserve">goldman sachs </t>
  </si>
  <si>
    <t>vice president</t>
  </si>
  <si>
    <t>new york</t>
  </si>
  <si>
    <t>unix/linux</t>
  </si>
  <si>
    <t>Software Design Engineer in Test (SDET)</t>
  </si>
  <si>
    <t>Amazon Web Services</t>
  </si>
  <si>
    <t>Ericsson</t>
  </si>
  <si>
    <t>Nutanix</t>
  </si>
  <si>
    <t xml:space="preserve">O'Reilly Automotive </t>
  </si>
  <si>
    <t>Software developer 2</t>
  </si>
  <si>
    <t>Springfield, MO</t>
  </si>
  <si>
    <t>Veritas Technologies LLC</t>
  </si>
  <si>
    <t>Rosville,MN</t>
  </si>
  <si>
    <t>extras: spot bonus, hourly payment</t>
  </si>
  <si>
    <t>Big Data</t>
  </si>
  <si>
    <t>total comp in USD, breakdown in JPY, receive 8M first two years(6.5M base + 1.5M signon), 4M stock/4yr, vesting schedule is 5,15,40,40</t>
  </si>
  <si>
    <t>.8 (80%) PMR Ratio</t>
  </si>
  <si>
    <t>Honeywell</t>
  </si>
  <si>
    <t>Band 4</t>
  </si>
  <si>
    <t>New Jersey</t>
  </si>
  <si>
    <t>spotify</t>
  </si>
  <si>
    <t>NY</t>
  </si>
  <si>
    <t>Chandler, AZ</t>
  </si>
  <si>
    <t>Treatwell</t>
  </si>
  <si>
    <t xml:space="preserve"> Software Engineer</t>
  </si>
  <si>
    <t>London, United Kingdom</t>
  </si>
  <si>
    <t>I9</t>
  </si>
  <si>
    <t>santa clara, ca</t>
  </si>
  <si>
    <t>BD</t>
  </si>
  <si>
    <t>Games</t>
  </si>
  <si>
    <t>T-Mobile USA</t>
  </si>
  <si>
    <t>P4 Senior</t>
  </si>
  <si>
    <t>Senior SDE</t>
  </si>
  <si>
    <t>New Grad signing bonus 20</t>
  </si>
  <si>
    <t xml:space="preserve">eBay </t>
  </si>
  <si>
    <t>Mts 1</t>
  </si>
  <si>
    <t>Senior Software Engineer L4</t>
  </si>
  <si>
    <t>Your stocks are vested in 4 years. 1st anniversary you get 25%, then you get the rest 75% in 3 months installments for a duration of 3 years. Senior Engineers get a bit more than the annual salary for their stock grand.</t>
  </si>
  <si>
    <t>Austin, Tx</t>
  </si>
  <si>
    <t>High initial stock grant. After 4 years, TC will be ~400K</t>
  </si>
  <si>
    <t>OCLC</t>
  </si>
  <si>
    <t>Grade 19</t>
  </si>
  <si>
    <t>Dublin, OH</t>
  </si>
  <si>
    <t>all in €</t>
  </si>
  <si>
    <t>Seattle, WA, USA</t>
  </si>
  <si>
    <t>The Climate Corporation</t>
  </si>
  <si>
    <t>San Bruno</t>
  </si>
  <si>
    <t>Israel</t>
  </si>
  <si>
    <t>Boulder,CO</t>
  </si>
  <si>
    <t>Embedded Software</t>
  </si>
  <si>
    <t xml:space="preserve"> Palo Alto, CA</t>
  </si>
  <si>
    <t>GoDaddy</t>
  </si>
  <si>
    <t>Wisconsin</t>
  </si>
  <si>
    <t>twitter</t>
  </si>
  <si>
    <t>Yorktown Heights, NY</t>
  </si>
  <si>
    <t>Master software engineer</t>
  </si>
  <si>
    <t>Mclean Va</t>
  </si>
  <si>
    <t>65k of stocks at 5/15/40/40 vesting schedule per year. First job out of college, only internship experience prior</t>
  </si>
  <si>
    <t>redmond, wa</t>
  </si>
  <si>
    <t>Front end app development</t>
  </si>
  <si>
    <t>PM</t>
  </si>
  <si>
    <t>Industry Cloud</t>
  </si>
  <si>
    <t>Siemens</t>
  </si>
  <si>
    <t>C E40</t>
  </si>
  <si>
    <t>Apple, Inc.</t>
  </si>
  <si>
    <t>Senior Software Engineer II</t>
  </si>
  <si>
    <t>Unclear whether appreciate stock price or grant price should be used in comp.</t>
  </si>
  <si>
    <t>san jose, CA</t>
  </si>
  <si>
    <t>Sweden</t>
  </si>
  <si>
    <t>Aws</t>
  </si>
  <si>
    <t>Micr</t>
  </si>
  <si>
    <t>Special cash award of $30k this year</t>
  </si>
  <si>
    <t>E-commerce</t>
  </si>
  <si>
    <t xml:space="preserve">IC-4 </t>
  </si>
  <si>
    <t>SDE 4</t>
  </si>
  <si>
    <t>Nyc</t>
  </si>
  <si>
    <t>Product</t>
  </si>
  <si>
    <t>Palo Alto, ca</t>
  </si>
  <si>
    <t>Hansen Technologies</t>
  </si>
  <si>
    <t>PA</t>
  </si>
  <si>
    <t>300k Equity, 50% RSU, 50% PSU, 4 yr</t>
  </si>
  <si>
    <t>AV Eng</t>
  </si>
  <si>
    <t>I have a PhD and I'm joining for a Research Scientist position.</t>
  </si>
  <si>
    <t>GBIT</t>
  </si>
  <si>
    <t>Sr product manager</t>
  </si>
  <si>
    <t xml:space="preserve">san jose </t>
  </si>
  <si>
    <t>Marketplace</t>
  </si>
  <si>
    <t>Equinix</t>
  </si>
  <si>
    <t>Costa Mesa, CA</t>
  </si>
  <si>
    <t>jQuery dev</t>
  </si>
  <si>
    <t>System Programming</t>
  </si>
  <si>
    <t>gbit inc</t>
  </si>
  <si>
    <t xml:space="preserve">product </t>
  </si>
  <si>
    <t>product</t>
  </si>
  <si>
    <t>L6 SDM</t>
  </si>
  <si>
    <t>SWE III</t>
  </si>
  <si>
    <t>Cupertino, ca</t>
  </si>
  <si>
    <t>Technical Leader 2</t>
  </si>
  <si>
    <t>San Jose Ca</t>
  </si>
  <si>
    <t>Program Manager</t>
  </si>
  <si>
    <t>Senior Engineering Manager</t>
  </si>
  <si>
    <t>Software Engineer 2</t>
  </si>
  <si>
    <t>Metis</t>
  </si>
  <si>
    <t xml:space="preserve">Credit Karma </t>
  </si>
  <si>
    <t>SWE 3</t>
  </si>
  <si>
    <t>San Bruno, CA</t>
  </si>
  <si>
    <t>Kroll</t>
  </si>
  <si>
    <t>Washington, DC</t>
  </si>
  <si>
    <t>new york, ny</t>
  </si>
  <si>
    <t>sunnyvale, ca</t>
  </si>
  <si>
    <t>Midwest</t>
  </si>
  <si>
    <t>Washington,DC</t>
  </si>
  <si>
    <t>Reddit</t>
  </si>
  <si>
    <t>20th Century Fox</t>
  </si>
  <si>
    <t>jQuery Dev</t>
  </si>
  <si>
    <t>Samsung R&amp;D India</t>
  </si>
  <si>
    <t>Bangalore, Karnataka, India</t>
  </si>
  <si>
    <t>Systems</t>
  </si>
  <si>
    <t>MountainView</t>
  </si>
  <si>
    <t xml:space="preserve">LendingClub </t>
  </si>
  <si>
    <t>Undergrad Intern</t>
  </si>
  <si>
    <t>Retail</t>
  </si>
  <si>
    <t>Senior Software Eng</t>
  </si>
  <si>
    <t>7.5% 401k Match</t>
  </si>
  <si>
    <t>MobileIron</t>
  </si>
  <si>
    <t>M6</t>
  </si>
  <si>
    <t>apple</t>
  </si>
  <si>
    <t>Associate Engineer</t>
  </si>
  <si>
    <t>Marathon Petroleum Coporation</t>
  </si>
  <si>
    <t>Entry</t>
  </si>
  <si>
    <t>FIndlay, OH</t>
  </si>
  <si>
    <t>IC-5</t>
  </si>
  <si>
    <t>San Mateo, Ca</t>
  </si>
  <si>
    <t>special</t>
  </si>
  <si>
    <t>50k signon</t>
  </si>
  <si>
    <t>Seattle, W</t>
  </si>
  <si>
    <t>Marathon</t>
  </si>
  <si>
    <t>Level 1</t>
  </si>
  <si>
    <t>Findlay, Ohio</t>
  </si>
  <si>
    <t>PM, TPM</t>
  </si>
  <si>
    <t>USA</t>
  </si>
  <si>
    <t>100k base, 35k signing, bonus at year end based on firm performance</t>
  </si>
  <si>
    <t>cruise automation</t>
  </si>
  <si>
    <t>l59</t>
  </si>
  <si>
    <t xml:space="preserve">USA </t>
  </si>
  <si>
    <t xml:space="preserve">Cloud </t>
  </si>
  <si>
    <t>Logistics</t>
  </si>
  <si>
    <t>Principal Associate</t>
  </si>
  <si>
    <t>Plano, TX</t>
  </si>
  <si>
    <t>Associate Member of Technical Staff</t>
  </si>
  <si>
    <t>Signing Bonus/Relocation: $37000</t>
  </si>
  <si>
    <t>Product Engineer 3</t>
  </si>
  <si>
    <t>Associate Software Eng</t>
  </si>
  <si>
    <t>Richmond, VA</t>
  </si>
  <si>
    <t>Machine Learning</t>
  </si>
  <si>
    <t>Grade 3</t>
  </si>
  <si>
    <t>Phoenix</t>
  </si>
  <si>
    <t>C4</t>
  </si>
  <si>
    <t>Pittsburgh, pa</t>
  </si>
  <si>
    <t>Java</t>
  </si>
  <si>
    <t>Booz Allen Hamilton</t>
  </si>
  <si>
    <t>Associate Senior Data Scientist</t>
  </si>
  <si>
    <t>Surface</t>
  </si>
  <si>
    <t>Bellevue, WA USA</t>
  </si>
  <si>
    <t>E12</t>
  </si>
  <si>
    <t>App development</t>
  </si>
  <si>
    <t>Sql</t>
  </si>
  <si>
    <t>Data</t>
  </si>
  <si>
    <t>Citi</t>
  </si>
  <si>
    <t>Nyc, NY</t>
  </si>
  <si>
    <t xml:space="preserve">Quantitative analysis </t>
  </si>
  <si>
    <t>Dallas</t>
  </si>
  <si>
    <t>“Staff Solutions Consultant”</t>
  </si>
  <si>
    <t>Vancouver, Canada</t>
  </si>
  <si>
    <t>Salary indicated in Canadian dollars</t>
  </si>
  <si>
    <t>Hardware engineer</t>
  </si>
  <si>
    <t xml:space="preserve">Menlo Park </t>
  </si>
  <si>
    <t>seattle, WA</t>
  </si>
  <si>
    <t>Member of Technical Staff</t>
  </si>
  <si>
    <t>Redwood Shores, CA</t>
  </si>
  <si>
    <t>Office</t>
  </si>
  <si>
    <t>SEATLLE</t>
  </si>
  <si>
    <t>Marketing</t>
  </si>
  <si>
    <t>WDG</t>
  </si>
  <si>
    <t>Amts</t>
  </si>
  <si>
    <t>Not including ESPP</t>
  </si>
  <si>
    <t>Iot</t>
  </si>
  <si>
    <t>Marvin Creative</t>
  </si>
  <si>
    <t>e2</t>
  </si>
  <si>
    <t>Vitals</t>
  </si>
  <si>
    <t>e3</t>
  </si>
  <si>
    <t>Workpop</t>
  </si>
  <si>
    <t>redomond, WA</t>
  </si>
  <si>
    <t>Indeed</t>
  </si>
  <si>
    <t>Remond, WA</t>
  </si>
  <si>
    <t>Denver,CO</t>
  </si>
  <si>
    <t>Hardware</t>
  </si>
  <si>
    <t>Total Comp include $9250 401k match</t>
  </si>
  <si>
    <t>Culver City</t>
  </si>
  <si>
    <t>Domino’s Pizza</t>
  </si>
  <si>
    <t>D</t>
  </si>
  <si>
    <t>Ann Arbor, MI</t>
  </si>
  <si>
    <t>Design</t>
  </si>
  <si>
    <t>sunnyvale</t>
  </si>
  <si>
    <t>san fransisco</t>
  </si>
  <si>
    <t>New hire 4yr vest stock 60k, signing bonus 25k</t>
  </si>
  <si>
    <t>Staff Engineer 1</t>
  </si>
  <si>
    <t>Principal Engineer</t>
  </si>
  <si>
    <t>Senior Principal Engineer</t>
  </si>
  <si>
    <t>Round Rock</t>
  </si>
  <si>
    <t>Redwood City, ca</t>
  </si>
  <si>
    <t>Fremont, CA</t>
  </si>
  <si>
    <t>Rendering</t>
  </si>
  <si>
    <t>Bonus refers to signon averaged over 4 years.</t>
  </si>
  <si>
    <t>General</t>
  </si>
  <si>
    <t>Design Verification</t>
  </si>
  <si>
    <t>All</t>
  </si>
  <si>
    <t>Coming in at border of SDE and SDE II</t>
  </si>
  <si>
    <t>new york, NY</t>
  </si>
  <si>
    <t>google</t>
  </si>
  <si>
    <t>l5</t>
  </si>
  <si>
    <t>Illumina</t>
  </si>
  <si>
    <t>Bioinformatics Scientist II</t>
  </si>
  <si>
    <t>San Diego CA</t>
  </si>
  <si>
    <t xml:space="preserve">Bioinformatics </t>
  </si>
  <si>
    <t>Business Development</t>
  </si>
  <si>
    <t>Dolby Laboratories Inc</t>
  </si>
  <si>
    <t>Senior Solutions Engineer</t>
  </si>
  <si>
    <t>Solutions Engineer, Solutions Architect</t>
  </si>
  <si>
    <t>Mic</t>
  </si>
  <si>
    <t>IOT</t>
  </si>
  <si>
    <t>Software Engineer III</t>
  </si>
  <si>
    <t>Running</t>
  </si>
  <si>
    <t>Newport News, VA</t>
  </si>
  <si>
    <t>Education</t>
  </si>
  <si>
    <t>Performance Engineering</t>
  </si>
  <si>
    <t>Sydney, Australia</t>
  </si>
  <si>
    <t>FireEye</t>
  </si>
  <si>
    <t>Product Line Manager</t>
  </si>
  <si>
    <t>Milpitas, CA</t>
  </si>
  <si>
    <t>Principal Software Engineering Manager</t>
  </si>
  <si>
    <t>san francisco, CA</t>
  </si>
  <si>
    <t>East Palo Alto, CA</t>
  </si>
  <si>
    <t>Head of Sales Operation</t>
  </si>
  <si>
    <t>Sales Operation</t>
  </si>
  <si>
    <t>Kenzan</t>
  </si>
  <si>
    <t>Healthcare</t>
  </si>
  <si>
    <t>HR Manager</t>
  </si>
  <si>
    <t>Human Resources</t>
  </si>
  <si>
    <t>industry hire</t>
  </si>
  <si>
    <t>F</t>
  </si>
  <si>
    <t>Security Engineer</t>
  </si>
  <si>
    <t>SEATTLE, WA</t>
  </si>
  <si>
    <t>akamai</t>
  </si>
  <si>
    <t>senior software engineer II</t>
  </si>
  <si>
    <t xml:space="preserve">T5 </t>
  </si>
  <si>
    <t>Bellevue WA</t>
  </si>
  <si>
    <t>New York NY</t>
  </si>
  <si>
    <t>UI / UX Designer</t>
  </si>
  <si>
    <t>UI/UX</t>
  </si>
  <si>
    <t>Architect</t>
  </si>
  <si>
    <t>LOS GATOS, CA</t>
  </si>
  <si>
    <t>A</t>
  </si>
  <si>
    <t>Interaction Design</t>
  </si>
  <si>
    <t>Heavily Backloaded RSU grant (years 3 &amp;4 worth 8x year 1 before topups)</t>
  </si>
  <si>
    <t>Level 5</t>
  </si>
  <si>
    <t>My name is Chad</t>
  </si>
  <si>
    <t>Applied Scientist</t>
  </si>
  <si>
    <t>Nordson Medical</t>
  </si>
  <si>
    <t>Biomedical Engineer</t>
  </si>
  <si>
    <t>R&amp;D</t>
  </si>
  <si>
    <t>GoPro</t>
  </si>
  <si>
    <t>San Mateo, CA</t>
  </si>
  <si>
    <t>Redfin</t>
  </si>
  <si>
    <t>Senior 2</t>
  </si>
  <si>
    <t>Growth</t>
  </si>
  <si>
    <t>Gaming</t>
  </si>
  <si>
    <t>Embedded System</t>
  </si>
  <si>
    <t>ASIC</t>
  </si>
  <si>
    <t>ASIC HW verification</t>
  </si>
  <si>
    <t>ASIC HW</t>
  </si>
  <si>
    <t>Senior Staff Eng</t>
  </si>
  <si>
    <t>Recruiter</t>
  </si>
  <si>
    <t>Recruiters are well compensated!</t>
  </si>
  <si>
    <t>other</t>
  </si>
  <si>
    <t>Azure</t>
  </si>
  <si>
    <t>Principal PM Manager</t>
  </si>
  <si>
    <t>IT</t>
  </si>
  <si>
    <t>Epam</t>
  </si>
  <si>
    <t>L4 Product Manager</t>
  </si>
  <si>
    <t>sunnyvale, CA</t>
  </si>
  <si>
    <t xml:space="preserve">Austin, TX </t>
  </si>
  <si>
    <t>Google Cloud</t>
  </si>
  <si>
    <t>Special Awards, HiPo</t>
  </si>
  <si>
    <t>OS</t>
  </si>
  <si>
    <t>10k sign on</t>
  </si>
  <si>
    <t>CAPITAL ONE</t>
  </si>
  <si>
    <t>Director Software Engineering</t>
  </si>
  <si>
    <t>Uipath</t>
  </si>
  <si>
    <t>Senior Program Manager</t>
  </si>
  <si>
    <t>Firmware Engineer</t>
  </si>
  <si>
    <t>Multimedia</t>
  </si>
  <si>
    <t>Cooper Schroeder LLC</t>
  </si>
  <si>
    <t>ca</t>
  </si>
  <si>
    <t>Howard and Mooney LLC</t>
  </si>
  <si>
    <t>Hebert and Roth Traders</t>
  </si>
  <si>
    <t>Marqeta</t>
  </si>
  <si>
    <t>Junior</t>
  </si>
  <si>
    <t>Oakland, CA</t>
  </si>
  <si>
    <t>Walmart</t>
  </si>
  <si>
    <t>Boulder, CA</t>
  </si>
  <si>
    <t>Service Engineer</t>
  </si>
  <si>
    <t>Converted from Contractor to FTE</t>
  </si>
  <si>
    <t>Service Engineer 2</t>
  </si>
  <si>
    <t>Staff engineer</t>
  </si>
  <si>
    <t>Danaher</t>
  </si>
  <si>
    <t>Vp</t>
  </si>
  <si>
    <t>san francisco,ca</t>
  </si>
  <si>
    <t>Power</t>
  </si>
  <si>
    <t>Groupon Inc</t>
  </si>
  <si>
    <t>Software Engineer IV</t>
  </si>
  <si>
    <t>HFT</t>
  </si>
  <si>
    <t>ny</t>
  </si>
  <si>
    <t>Software Engineering Specialist</t>
  </si>
  <si>
    <t>L5 SDM</t>
  </si>
  <si>
    <t>BELLEVUE</t>
  </si>
  <si>
    <t>Electrical Engineer</t>
  </si>
  <si>
    <t>Band 7</t>
  </si>
  <si>
    <t>Luxoft</t>
  </si>
  <si>
    <t>Program manager</t>
  </si>
  <si>
    <t>Product management</t>
  </si>
  <si>
    <t>Walmart eCommerce</t>
  </si>
  <si>
    <t>X4</t>
  </si>
  <si>
    <t>eCommerce</t>
  </si>
  <si>
    <t>Staff PM</t>
  </si>
  <si>
    <t>product management</t>
  </si>
  <si>
    <t>F5 networkd</t>
  </si>
  <si>
    <t>IC design</t>
  </si>
  <si>
    <t>Not included: Special stock awards that were granted as a one-off this year. That totaled ~$82k this year.</t>
  </si>
  <si>
    <t>Kings college london</t>
  </si>
  <si>
    <t>Officer</t>
  </si>
  <si>
    <t>Waterloo, London uk</t>
  </si>
  <si>
    <t>Mainly data entry</t>
  </si>
  <si>
    <t>Principal Product Manager</t>
  </si>
  <si>
    <t>Product Marketing Manager</t>
  </si>
  <si>
    <t>San Francisco CA</t>
  </si>
  <si>
    <t>Northrop Grumman</t>
  </si>
  <si>
    <t>Melbourne</t>
  </si>
  <si>
    <t>Silicon Architecture Engineer</t>
  </si>
  <si>
    <t>Architecture</t>
  </si>
  <si>
    <t>Software Engineer (SWE)</t>
  </si>
  <si>
    <t>Product Management</t>
  </si>
  <si>
    <t>Mountain View,CA</t>
  </si>
  <si>
    <t>Softvision</t>
  </si>
  <si>
    <t>Q</t>
  </si>
  <si>
    <t>Sr. Engineer</t>
  </si>
  <si>
    <t>Biomedical</t>
  </si>
  <si>
    <t>FD</t>
  </si>
  <si>
    <t>Mi</t>
  </si>
  <si>
    <t>Grade 9</t>
  </si>
  <si>
    <t>portland, or</t>
  </si>
  <si>
    <t>Domino’s</t>
  </si>
  <si>
    <t>Ann Arbor, mi</t>
  </si>
  <si>
    <t>Mtv</t>
  </si>
  <si>
    <t>Analytics</t>
  </si>
  <si>
    <t>Computer Vision Scientist</t>
  </si>
  <si>
    <t>qualcomm</t>
  </si>
  <si>
    <t>staff engineer</t>
  </si>
  <si>
    <t>User experience designer</t>
  </si>
  <si>
    <t xml:space="preserve">Design </t>
  </si>
  <si>
    <t>SWE</t>
  </si>
  <si>
    <t>senior engineer</t>
  </si>
  <si>
    <t>L7 Product Manager</t>
  </si>
  <si>
    <t>Software Engineer Intern</t>
  </si>
  <si>
    <t>P1</t>
  </si>
  <si>
    <t>boulder</t>
  </si>
  <si>
    <t>Management</t>
  </si>
  <si>
    <t>Makespace</t>
  </si>
  <si>
    <t>Intern</t>
  </si>
  <si>
    <t>Bank of America</t>
  </si>
  <si>
    <t>B4</t>
  </si>
  <si>
    <t>Vice President</t>
  </si>
  <si>
    <t>austin</t>
  </si>
  <si>
    <t>Senior electrical engineer</t>
  </si>
  <si>
    <t>L5A</t>
  </si>
  <si>
    <t>TM</t>
  </si>
  <si>
    <t>Head</t>
  </si>
  <si>
    <t>Ireland</t>
  </si>
  <si>
    <t xml:space="preserve">Goldman Sachs </t>
  </si>
  <si>
    <t xml:space="preserve">Vice President </t>
  </si>
  <si>
    <t xml:space="preserve">Bengaluru </t>
  </si>
  <si>
    <t>L5b</t>
  </si>
  <si>
    <t>SapientRazorfish</t>
  </si>
  <si>
    <t>Junior Associate</t>
  </si>
  <si>
    <t>san luis obispo</t>
  </si>
  <si>
    <t>Equity Research Associate</t>
  </si>
  <si>
    <t>Research</t>
  </si>
  <si>
    <t>HON</t>
  </si>
  <si>
    <t>l4</t>
  </si>
  <si>
    <t>5b</t>
  </si>
  <si>
    <t>Saint Petersburg</t>
  </si>
  <si>
    <t>Sales</t>
  </si>
  <si>
    <t>LOS GATOS, CA, USA</t>
  </si>
  <si>
    <t>Infra</t>
  </si>
  <si>
    <t>Target</t>
  </si>
  <si>
    <t>National Instruments</t>
  </si>
  <si>
    <t>Shutterfly</t>
  </si>
  <si>
    <t>Staff Product Manager</t>
  </si>
  <si>
    <t>devices</t>
  </si>
  <si>
    <t>Asic</t>
  </si>
  <si>
    <t>TVA</t>
  </si>
  <si>
    <t>Chattanooga, TN</t>
  </si>
  <si>
    <t>Canonical</t>
  </si>
  <si>
    <t>No levels here</t>
  </si>
  <si>
    <t>C++ Software Dev</t>
  </si>
  <si>
    <t>Wells Fargo</t>
  </si>
  <si>
    <t>App Sys Engineer 1</t>
  </si>
  <si>
    <t>Embedded Development</t>
  </si>
  <si>
    <t>Epic Systems</t>
  </si>
  <si>
    <t>Software developer</t>
  </si>
  <si>
    <t>Madison, WI</t>
  </si>
  <si>
    <t>Level 3</t>
  </si>
  <si>
    <t>Tamr, Inc</t>
  </si>
  <si>
    <t>Somerville</t>
  </si>
  <si>
    <t>Tools</t>
  </si>
  <si>
    <t>Mitre</t>
  </si>
  <si>
    <t>Bedford, MA</t>
  </si>
  <si>
    <t>Blizzard Entertainment</t>
  </si>
  <si>
    <t>Mid Level</t>
  </si>
  <si>
    <t>Band 5</t>
  </si>
  <si>
    <t>KAYAK</t>
  </si>
  <si>
    <t>Priceline.com</t>
  </si>
  <si>
    <t>CenturyLink Developer</t>
  </si>
  <si>
    <t xml:space="preserve">Senior Lead Software </t>
  </si>
  <si>
    <t>Broomfield, CO</t>
  </si>
  <si>
    <t xml:space="preserve">CenturyLink </t>
  </si>
  <si>
    <t xml:space="preserve">Application Development Manager </t>
  </si>
  <si>
    <t>Monroe, LA</t>
  </si>
  <si>
    <t>software developer</t>
  </si>
  <si>
    <t>CQUniversity Australia</t>
  </si>
  <si>
    <t>HEW7</t>
  </si>
  <si>
    <t>Analyst/Developer</t>
  </si>
  <si>
    <t>Australia</t>
  </si>
  <si>
    <t>Solution Analyst</t>
  </si>
  <si>
    <t>Harrisburg, PA</t>
  </si>
  <si>
    <t>Sr engineering manager</t>
  </si>
  <si>
    <t>sde2</t>
  </si>
  <si>
    <t>Vector Software</t>
  </si>
  <si>
    <t>Junior Developer</t>
  </si>
  <si>
    <t>Rhode Island</t>
  </si>
  <si>
    <t>Software Engineer 10</t>
  </si>
  <si>
    <t>Lawrence Livermore Lab</t>
  </si>
  <si>
    <t>Software Developer 2</t>
  </si>
  <si>
    <t>Livermore, CA</t>
  </si>
  <si>
    <t>Epic</t>
  </si>
  <si>
    <t>Developer</t>
  </si>
  <si>
    <t>Madison</t>
  </si>
  <si>
    <t>redmomd</t>
  </si>
  <si>
    <t>azure</t>
  </si>
  <si>
    <t>Capgemini</t>
  </si>
  <si>
    <t>London,UK</t>
  </si>
  <si>
    <t>Operating Systems</t>
  </si>
  <si>
    <t>Converted from GBP to USD</t>
  </si>
  <si>
    <t>Santiment</t>
  </si>
  <si>
    <t>Sofia, Sofia, Bulgaria</t>
  </si>
  <si>
    <t>Big data</t>
  </si>
  <si>
    <t>Warsaw, Mazowieckie, Poland</t>
  </si>
  <si>
    <t>Private</t>
  </si>
  <si>
    <t>Findlay, OH</t>
  </si>
  <si>
    <t>BPS Bildungsportal Sachsen GmbH</t>
  </si>
  <si>
    <t>Chemnitz, Saxony, Germany</t>
  </si>
  <si>
    <t>BEUMER Group</t>
  </si>
  <si>
    <t>entry</t>
  </si>
  <si>
    <t>Århus, Denmark</t>
  </si>
  <si>
    <t>industry hardware</t>
  </si>
  <si>
    <t>Hirevue</t>
  </si>
  <si>
    <t>South Jordan, UT</t>
  </si>
  <si>
    <t>GFT</t>
  </si>
  <si>
    <t>Poznań</t>
  </si>
  <si>
    <t>Birst</t>
  </si>
  <si>
    <t>Ahmedabad, India</t>
  </si>
  <si>
    <t>Redmond, Wa</t>
  </si>
  <si>
    <t xml:space="preserve">Emerging Technologies </t>
  </si>
  <si>
    <t>Carsforsale</t>
  </si>
  <si>
    <t>Sioux Falls, SD</t>
  </si>
  <si>
    <t>Kroger</t>
  </si>
  <si>
    <t>Cincinnati</t>
  </si>
  <si>
    <t>United Health Group(Optum)</t>
  </si>
  <si>
    <t>Eden Prairie, MN</t>
  </si>
  <si>
    <t>Front End, Back End, API, DevOps</t>
  </si>
  <si>
    <t>Lattelecom</t>
  </si>
  <si>
    <t>Riga, Latvia</t>
  </si>
  <si>
    <t>PCG</t>
  </si>
  <si>
    <t>Olathe, KS</t>
  </si>
  <si>
    <t>COMPANY</t>
  </si>
  <si>
    <t>Mid level</t>
  </si>
  <si>
    <t>Indianapolis, IN</t>
  </si>
  <si>
    <t>Cornerstone OnDemand</t>
  </si>
  <si>
    <t>Los angeles</t>
  </si>
  <si>
    <t>Nexient</t>
  </si>
  <si>
    <t>Senior Developer II</t>
  </si>
  <si>
    <t>schumacher clinical partners</t>
  </si>
  <si>
    <t>lafayette</t>
  </si>
  <si>
    <t>Elite Alliance</t>
  </si>
  <si>
    <t>Rochester, NY</t>
  </si>
  <si>
    <t>Health insurance fully paid, 1 vacation per year at a participating luxury resort</t>
  </si>
  <si>
    <t>Appirio</t>
  </si>
  <si>
    <t>Consultant</t>
  </si>
  <si>
    <t>Tech Lead</t>
  </si>
  <si>
    <t>asic</t>
  </si>
  <si>
    <t>Developer 5</t>
  </si>
  <si>
    <t>Cincinnati, OH</t>
  </si>
  <si>
    <t xml:space="preserve">Microsoft's </t>
  </si>
  <si>
    <t>Sesttle</t>
  </si>
  <si>
    <t>Munich</t>
  </si>
  <si>
    <t>CDK Global</t>
  </si>
  <si>
    <t>Fitbit</t>
  </si>
  <si>
    <t>Guidewire</t>
  </si>
  <si>
    <t>San francisco, Ca</t>
  </si>
  <si>
    <t>Fujitsu Consulting Canada Ltd.</t>
  </si>
  <si>
    <t>Associate Consultant I</t>
  </si>
  <si>
    <t>Edmonton, Alberta, Canada</t>
  </si>
  <si>
    <t>JPMorgan Chase</t>
  </si>
  <si>
    <t>PM 2</t>
  </si>
  <si>
    <t>A Healthcare Startup</t>
  </si>
  <si>
    <t>Cambia Health Solutions</t>
  </si>
  <si>
    <t>Compilers</t>
  </si>
  <si>
    <t>Beijing</t>
  </si>
  <si>
    <t>Palo Alto, Ca</t>
  </si>
  <si>
    <t>Designer III</t>
  </si>
  <si>
    <t>Zazzle</t>
  </si>
  <si>
    <t xml:space="preserve">Director </t>
  </si>
  <si>
    <t>Sap Concur</t>
  </si>
  <si>
    <t>sf</t>
  </si>
  <si>
    <t>Hi</t>
  </si>
  <si>
    <t>Postmates</t>
  </si>
  <si>
    <t>Stock options given, but hard to judge worth</t>
  </si>
  <si>
    <t>Trustscience Inc</t>
  </si>
  <si>
    <t>Asheville, NC, USA</t>
  </si>
  <si>
    <t>Senior Product Manger III</t>
  </si>
  <si>
    <t>RTP, NC</t>
  </si>
  <si>
    <t>contractor</t>
  </si>
  <si>
    <t>Hitachi</t>
  </si>
  <si>
    <t>Redmond,</t>
  </si>
  <si>
    <t>+9500 401K</t>
  </si>
  <si>
    <t>San diego, ca</t>
  </si>
  <si>
    <t>O4</t>
  </si>
  <si>
    <t>Telford, UK</t>
  </si>
  <si>
    <t>Manchester Airport Group</t>
  </si>
  <si>
    <t>Manchester, UK</t>
  </si>
  <si>
    <t>ux</t>
  </si>
  <si>
    <t>intel</t>
  </si>
  <si>
    <t>Baidu</t>
  </si>
  <si>
    <t>IDL</t>
  </si>
  <si>
    <t>Anaplan</t>
  </si>
  <si>
    <t>Sr. Engineering Manager</t>
  </si>
  <si>
    <t>nyc</t>
  </si>
  <si>
    <t>Alibaba</t>
  </si>
  <si>
    <t>P6</t>
  </si>
  <si>
    <t>Hangzhou,Zhejiang,China</t>
  </si>
  <si>
    <t>Algorithm</t>
  </si>
  <si>
    <t>Dynamic Signal</t>
  </si>
  <si>
    <t>Hardware Engineer</t>
  </si>
  <si>
    <t>User experience</t>
  </si>
  <si>
    <t>dsafad</t>
  </si>
  <si>
    <t>asdf</t>
  </si>
  <si>
    <t>asfsaf</t>
  </si>
  <si>
    <t>Toronto, Ontario</t>
  </si>
  <si>
    <t>Online</t>
  </si>
  <si>
    <t>Hyderabad, India</t>
  </si>
  <si>
    <t>Idk</t>
  </si>
  <si>
    <t>Vienna, Austria</t>
  </si>
  <si>
    <t>Manager, Solution Architecture</t>
  </si>
  <si>
    <t>Move Inc</t>
  </si>
  <si>
    <t>L5 - Principal Software Engineer</t>
  </si>
  <si>
    <t>Burlington, MA</t>
  </si>
  <si>
    <t>Software Support Engineer</t>
  </si>
  <si>
    <t>Data Engineer</t>
  </si>
  <si>
    <t>Seattle Wa</t>
  </si>
  <si>
    <t>Program Management</t>
  </si>
  <si>
    <t>Cloud Services</t>
  </si>
  <si>
    <t>Montefiore IT</t>
  </si>
  <si>
    <t>Database Engineer</t>
  </si>
  <si>
    <t>Yonkers, NY</t>
  </si>
  <si>
    <t>MSFT</t>
  </si>
  <si>
    <t>uber</t>
  </si>
  <si>
    <t>Udemy</t>
  </si>
  <si>
    <t>System Software</t>
  </si>
  <si>
    <t>Advertising</t>
  </si>
  <si>
    <t>Principal Architect</t>
  </si>
  <si>
    <t>Portland, or</t>
  </si>
  <si>
    <t>WA</t>
  </si>
  <si>
    <t>Evernote</t>
  </si>
  <si>
    <t>los gatos</t>
  </si>
  <si>
    <t>System software</t>
  </si>
  <si>
    <t>Handshake</t>
  </si>
  <si>
    <t>HW Architect</t>
  </si>
  <si>
    <t>Flipkart</t>
  </si>
  <si>
    <t>Bangalore</t>
  </si>
  <si>
    <t>Boston,ma</t>
  </si>
  <si>
    <t>1,650,000 your comp field ain’t big enough</t>
  </si>
  <si>
    <t>Florham Park, NJ</t>
  </si>
  <si>
    <t>RealPage, Inc</t>
  </si>
  <si>
    <t>E13</t>
  </si>
  <si>
    <t>Marketing Director</t>
  </si>
  <si>
    <t>Richardson, TX</t>
  </si>
  <si>
    <t>Digital</t>
  </si>
  <si>
    <t>Coupa Software</t>
  </si>
  <si>
    <t>Lead Engg</t>
  </si>
  <si>
    <t>Senior Technical Director</t>
  </si>
  <si>
    <t>McgrawHill Education</t>
  </si>
  <si>
    <t>Senior Director</t>
  </si>
  <si>
    <t>NEW YORK</t>
  </si>
  <si>
    <t>Lead Infra Engg</t>
  </si>
  <si>
    <t xml:space="preserve">Infrastructure </t>
  </si>
  <si>
    <t>Citrix</t>
  </si>
  <si>
    <t>Fort Lauderdale, FL</t>
  </si>
  <si>
    <t>Hardware Network Engineer</t>
  </si>
  <si>
    <t>Lending Club</t>
  </si>
  <si>
    <t>Lead Software engineer</t>
  </si>
  <si>
    <t>Medical Device Company</t>
  </si>
  <si>
    <t>Senior Electrical Engineer</t>
  </si>
  <si>
    <t>domino data lab</t>
  </si>
  <si>
    <t>principal</t>
  </si>
  <si>
    <t>AR</t>
  </si>
  <si>
    <t>RF Hardware Engineer</t>
  </si>
  <si>
    <t>Application Engineering</t>
  </si>
  <si>
    <t>Tech Mahindra</t>
  </si>
  <si>
    <t>U4</t>
  </si>
  <si>
    <t>Design Engineer</t>
  </si>
  <si>
    <t>Automotive</t>
  </si>
  <si>
    <t>Product leader</t>
  </si>
  <si>
    <t>Business Analyst</t>
  </si>
  <si>
    <t>Bank of America Merrill Lynch</t>
  </si>
  <si>
    <t>Vic</t>
  </si>
  <si>
    <t>Pune, MH, India</t>
  </si>
  <si>
    <t>Coinbase</t>
  </si>
  <si>
    <t>Future stuff</t>
  </si>
  <si>
    <t>Storage</t>
  </si>
  <si>
    <t>Inautix</t>
  </si>
  <si>
    <t xml:space="preserve">Philadelphia </t>
  </si>
  <si>
    <t>ARCHITECT</t>
  </si>
  <si>
    <t>Grab</t>
  </si>
  <si>
    <t>Goo</t>
  </si>
  <si>
    <t>Not Including Sign On</t>
  </si>
  <si>
    <t>Cray</t>
  </si>
  <si>
    <t>Bloomington, MN</t>
  </si>
  <si>
    <t>Menlo Park, Ca</t>
  </si>
  <si>
    <t>Computer Scientist I</t>
  </si>
  <si>
    <t xml:space="preserve">Computer Scientist </t>
  </si>
  <si>
    <t>Product Design</t>
  </si>
  <si>
    <t>Design Management</t>
  </si>
  <si>
    <t>McK</t>
  </si>
  <si>
    <t>boston</t>
  </si>
  <si>
    <t>ML</t>
  </si>
  <si>
    <t>MTS II</t>
  </si>
  <si>
    <t>Raleigh, NC</t>
  </si>
  <si>
    <t>Singapore, SG, Singapore</t>
  </si>
  <si>
    <t>Genentech</t>
  </si>
  <si>
    <t>Senior Scientific Researcher</t>
  </si>
  <si>
    <t>South San Francisco, CA</t>
  </si>
  <si>
    <t>with PhD</t>
  </si>
  <si>
    <t>Only one level across Netflix</t>
  </si>
  <si>
    <t>Leixlip</t>
  </si>
  <si>
    <t>Principal / Architect</t>
  </si>
  <si>
    <t>Product design</t>
  </si>
  <si>
    <t>Luxembourg, LU, Luxembourg</t>
  </si>
  <si>
    <t>Principal Engineer Manager</t>
  </si>
  <si>
    <t>Wireless</t>
  </si>
  <si>
    <t>Test</t>
  </si>
  <si>
    <t xml:space="preserve">Sanjose </t>
  </si>
  <si>
    <t>Fort Lauderdale</t>
  </si>
  <si>
    <t>Support</t>
  </si>
  <si>
    <t>self driving, simulation</t>
  </si>
  <si>
    <t xml:space="preserve">Product manager </t>
  </si>
  <si>
    <t>Esri</t>
  </si>
  <si>
    <t>Redlands, CA</t>
  </si>
  <si>
    <t>Web</t>
  </si>
  <si>
    <t>60k signing bonus</t>
  </si>
  <si>
    <t>grubhub</t>
  </si>
  <si>
    <t>director</t>
  </si>
  <si>
    <t>Inventory Planner</t>
  </si>
  <si>
    <t>CP</t>
  </si>
  <si>
    <t xml:space="preserve">sunnyvale </t>
  </si>
  <si>
    <t>Pittsburgh</t>
  </si>
  <si>
    <t>Self Driving</t>
  </si>
  <si>
    <t>Production Engineer</t>
  </si>
  <si>
    <t>PMT role for AWS. Hired out of MBA program.</t>
  </si>
  <si>
    <t>Sherwin Williams</t>
  </si>
  <si>
    <t>Cleveland</t>
  </si>
  <si>
    <t>Esurance</t>
  </si>
  <si>
    <t>Barclays</t>
  </si>
  <si>
    <t>Assistant Vice-President</t>
  </si>
  <si>
    <t>Solutions Engineer</t>
  </si>
  <si>
    <t>Signing - 20k</t>
  </si>
  <si>
    <t>Sales and Marketing</t>
  </si>
  <si>
    <t>Augmented Reality</t>
  </si>
  <si>
    <t>Milwaukee</t>
  </si>
  <si>
    <t>100k Sign-on</t>
  </si>
  <si>
    <t>New york city,ny</t>
  </si>
  <si>
    <t>data</t>
  </si>
  <si>
    <t>Boulder</t>
  </si>
  <si>
    <t>electronic arts</t>
  </si>
  <si>
    <t>Game Development</t>
  </si>
  <si>
    <t>VP</t>
  </si>
  <si>
    <t>Research Staff Member</t>
  </si>
  <si>
    <t>SAN JOSE</t>
  </si>
  <si>
    <t>Associate Product Manager 1</t>
  </si>
  <si>
    <t>BI</t>
  </si>
  <si>
    <t>Senior SDM</t>
  </si>
  <si>
    <t>Wayfair</t>
  </si>
  <si>
    <t xml:space="preserve">Bloomberg </t>
  </si>
  <si>
    <t>Web Design</t>
  </si>
  <si>
    <t>Strategy Consultant</t>
  </si>
  <si>
    <t>was</t>
  </si>
  <si>
    <t>Strategy Consulting</t>
  </si>
  <si>
    <t>Lawrence Livermore National Security, LLC</t>
  </si>
  <si>
    <t>SES.3</t>
  </si>
  <si>
    <t>Java, Python</t>
  </si>
  <si>
    <t>Texas Instruments</t>
  </si>
  <si>
    <t>Software Engineer 3</t>
  </si>
  <si>
    <t>Bangalore, KA, India</t>
  </si>
  <si>
    <t>Desktop Developer</t>
  </si>
  <si>
    <t>Pm</t>
  </si>
  <si>
    <t>Johnny Air</t>
  </si>
  <si>
    <t>Employee</t>
  </si>
  <si>
    <t>Sales &amp; Marketing</t>
  </si>
  <si>
    <t xml:space="preserve"> Cambridge </t>
  </si>
  <si>
    <t>Arity</t>
  </si>
  <si>
    <t>Houston, TX</t>
  </si>
  <si>
    <t>Excel</t>
  </si>
  <si>
    <t>Freelance</t>
  </si>
  <si>
    <t>rubicon project</t>
  </si>
  <si>
    <t>Mid-Level</t>
  </si>
  <si>
    <t>Part of Rotation Program</t>
  </si>
  <si>
    <t>terminal level</t>
  </si>
  <si>
    <t>Senior Squad Step</t>
  </si>
  <si>
    <t>New York city</t>
  </si>
  <si>
    <t>London, TX</t>
  </si>
  <si>
    <t>Application Architect</t>
  </si>
  <si>
    <t>GlobalLogic</t>
  </si>
  <si>
    <t>Band 2 TE10</t>
  </si>
  <si>
    <t>Comodo Inc</t>
  </si>
  <si>
    <t>Executive</t>
  </si>
  <si>
    <t>New Jersey, NJ</t>
  </si>
  <si>
    <t>Ads</t>
  </si>
  <si>
    <t>Shanghai City, China</t>
  </si>
  <si>
    <t>UX + Visual + Research</t>
  </si>
  <si>
    <t>Ernst and young</t>
  </si>
  <si>
    <t>None</t>
  </si>
  <si>
    <t>Ca</t>
  </si>
  <si>
    <t>Platform</t>
  </si>
  <si>
    <t>stock grant vests over 4 years</t>
  </si>
  <si>
    <t>UX Manager</t>
  </si>
  <si>
    <t>Battery Algorithm Engineer</t>
  </si>
  <si>
    <t>Hardware Texhnology</t>
  </si>
  <si>
    <t>Staff Engineer 2</t>
  </si>
  <si>
    <t>Dev infra</t>
  </si>
  <si>
    <t xml:space="preserve">ebay </t>
  </si>
  <si>
    <t>Adobe Systems</t>
  </si>
  <si>
    <t>Orac</t>
  </si>
  <si>
    <t>Senior Applications Engineer</t>
  </si>
  <si>
    <t>oath</t>
  </si>
  <si>
    <t>principal engineer</t>
  </si>
  <si>
    <t>Earnest</t>
  </si>
  <si>
    <t>San Franscisco</t>
  </si>
  <si>
    <t>Staff systems test</t>
  </si>
  <si>
    <t>Modem systems test</t>
  </si>
  <si>
    <t>firmware</t>
  </si>
  <si>
    <t>SanFrancisco</t>
  </si>
  <si>
    <t>l2</t>
  </si>
  <si>
    <t>QA</t>
  </si>
  <si>
    <t>M5</t>
  </si>
  <si>
    <t>Teledyne Dalsa</t>
  </si>
  <si>
    <t>Test engineer</t>
  </si>
  <si>
    <t>Waterloo, ON, Canada</t>
  </si>
  <si>
    <t>Electrical engineering</t>
  </si>
  <si>
    <t>Veritas Technologies</t>
  </si>
  <si>
    <t>Associate Software Engineer</t>
  </si>
  <si>
    <t>BAG</t>
  </si>
  <si>
    <t>Voice</t>
  </si>
  <si>
    <t>100k sign-on</t>
  </si>
  <si>
    <t>Test Engineer</t>
  </si>
  <si>
    <t>Reliability Engineer</t>
  </si>
  <si>
    <t>Signing Bonus $35k</t>
  </si>
  <si>
    <t>Cupertino,CA</t>
  </si>
  <si>
    <t>AMTS</t>
  </si>
  <si>
    <t>FG</t>
  </si>
  <si>
    <t>Sr staff</t>
  </si>
  <si>
    <t>T28</t>
  </si>
  <si>
    <t>Do not exist</t>
  </si>
  <si>
    <t>Lead SWE</t>
  </si>
  <si>
    <t xml:space="preserve">Technical Product Management </t>
  </si>
  <si>
    <t>seatt</t>
  </si>
  <si>
    <t>Software Development Manager</t>
  </si>
  <si>
    <t>Phoenix, MD</t>
  </si>
  <si>
    <t>Senior product manager</t>
  </si>
  <si>
    <t>Compiler Development</t>
  </si>
  <si>
    <t>pm</t>
  </si>
  <si>
    <t>Principal PM</t>
  </si>
  <si>
    <t>Principal SWE</t>
  </si>
  <si>
    <t>Product Manager II</t>
  </si>
  <si>
    <t>Zillow Group</t>
  </si>
  <si>
    <t>Last Mile Experience</t>
  </si>
  <si>
    <t>Payments</t>
  </si>
  <si>
    <t xml:space="preserve">Hardware Engineer </t>
  </si>
  <si>
    <t>Amsterdam, NH, Netherlands</t>
  </si>
  <si>
    <t>Senior Managet</t>
  </si>
  <si>
    <t>Mountain view, CA</t>
  </si>
  <si>
    <t>Reston, VA</t>
  </si>
  <si>
    <t>Consulting</t>
  </si>
  <si>
    <t xml:space="preserve">Ebay </t>
  </si>
  <si>
    <t>Joining RSU 300k</t>
  </si>
  <si>
    <t>Lead Data Engineer</t>
  </si>
  <si>
    <t>Acquired company</t>
  </si>
  <si>
    <t>Smts</t>
  </si>
  <si>
    <t>Senior Linux Engineer</t>
  </si>
  <si>
    <t>San Francisco, ca</t>
  </si>
  <si>
    <t>M</t>
  </si>
  <si>
    <t>Data Science</t>
  </si>
  <si>
    <t>Canada</t>
  </si>
  <si>
    <t>Huawei</t>
  </si>
  <si>
    <t>Software enginner</t>
  </si>
  <si>
    <t>Azure Hardware</t>
  </si>
  <si>
    <t>Associate MTS</t>
  </si>
  <si>
    <t xml:space="preserve">Product </t>
  </si>
  <si>
    <t xml:space="preserve">Partner dev manager </t>
  </si>
  <si>
    <t>Paris, IL, France</t>
  </si>
  <si>
    <t>Cloud sales</t>
  </si>
  <si>
    <t>Switzerland</t>
  </si>
  <si>
    <t>Sr PMM</t>
  </si>
  <si>
    <t>Financial Analyst</t>
  </si>
  <si>
    <t>Business Operations</t>
  </si>
  <si>
    <t>Technical Leader 1</t>
  </si>
  <si>
    <t>Senior Designer</t>
  </si>
  <si>
    <t>Principal Network</t>
  </si>
  <si>
    <t>Idaho</t>
  </si>
  <si>
    <t>Other</t>
  </si>
  <si>
    <t>Pure Storage</t>
  </si>
  <si>
    <t>MTS4</t>
  </si>
  <si>
    <t xml:space="preserve">Ad measurement </t>
  </si>
  <si>
    <t>Intersection</t>
  </si>
  <si>
    <t>Oregon City, OR</t>
  </si>
  <si>
    <t>Windows OS</t>
  </si>
  <si>
    <t>based on $48.7 per share</t>
  </si>
  <si>
    <t>Chandler</t>
  </si>
  <si>
    <t>Senior Mechanical Engineer</t>
  </si>
  <si>
    <t>Mechanical/Devices/Design/Analysis</t>
  </si>
  <si>
    <t>HW</t>
  </si>
  <si>
    <t>sign-on</t>
  </si>
  <si>
    <t>System</t>
  </si>
  <si>
    <t>Zurich, ZH, Switzerland</t>
  </si>
  <si>
    <t>Renton, WA</t>
  </si>
  <si>
    <t>Ux</t>
  </si>
  <si>
    <t>Qual</t>
  </si>
  <si>
    <t>Product and Test</t>
  </si>
  <si>
    <t>Sr. MTS</t>
  </si>
  <si>
    <t>Software Architect</t>
  </si>
  <si>
    <t>Snap Inc.</t>
  </si>
  <si>
    <t>Designer</t>
  </si>
  <si>
    <t>content</t>
  </si>
  <si>
    <t>Micro</t>
  </si>
  <si>
    <t>grade 10</t>
  </si>
  <si>
    <t>Security Principal engineer</t>
  </si>
  <si>
    <t>Portland</t>
  </si>
  <si>
    <t>Technical Solutions Engineer</t>
  </si>
  <si>
    <t xml:space="preserve">Software </t>
  </si>
  <si>
    <t>Senior Principal SWE</t>
  </si>
  <si>
    <t>Atlanta, GA</t>
  </si>
  <si>
    <t>Meta</t>
  </si>
  <si>
    <t>HW engineer</t>
  </si>
  <si>
    <t>10k signing/relocating</t>
  </si>
  <si>
    <t>Mobile</t>
  </si>
  <si>
    <t>Absurd stock growth (target comp of 189k)</t>
  </si>
  <si>
    <t>also signing was 50 over 2 years, so would be 193k with signing this year</t>
  </si>
  <si>
    <t>https://airtable.com/shrfDqPOvJ9X1OWGn/tblGn8WxUtTCdNrCT</t>
  </si>
  <si>
    <t>$11k housing/reloc</t>
  </si>
  <si>
    <t>test</t>
  </si>
  <si>
    <t>managing</t>
  </si>
  <si>
    <t>consultant</t>
  </si>
  <si>
    <t>Sydney, NS, Australia</t>
  </si>
  <si>
    <t>mts</t>
  </si>
  <si>
    <t>OS System</t>
  </si>
  <si>
    <t>M10</t>
  </si>
  <si>
    <t>Apple Top Radio</t>
  </si>
  <si>
    <t>Very Important Person</t>
  </si>
  <si>
    <t>Miami, FL</t>
  </si>
  <si>
    <t>pagerduty</t>
  </si>
  <si>
    <t>Toronto, ON, Canada</t>
  </si>
  <si>
    <t xml:space="preserve">+ signing bonus + conservative refresher grant </t>
  </si>
  <si>
    <t>Ansys</t>
  </si>
  <si>
    <t>Senior Software Test Engineer</t>
  </si>
  <si>
    <t>seatle</t>
  </si>
  <si>
    <t>Boston MA</t>
  </si>
  <si>
    <t>Wa</t>
  </si>
  <si>
    <t>PNNL</t>
  </si>
  <si>
    <t>Data Visualization</t>
  </si>
  <si>
    <t xml:space="preserve">Ads </t>
  </si>
  <si>
    <t>VP-H</t>
  </si>
  <si>
    <t>Roseland, NJ</t>
  </si>
  <si>
    <t>Comcast</t>
  </si>
  <si>
    <t>Sr. Director</t>
  </si>
  <si>
    <t>Sr. Director Software Engineering</t>
  </si>
  <si>
    <t>EM30</t>
  </si>
  <si>
    <t>E1</t>
  </si>
  <si>
    <t>Sr Director</t>
  </si>
  <si>
    <t>Hardware/Sys/FW</t>
  </si>
  <si>
    <t>System Engineering</t>
  </si>
  <si>
    <t>$4000 baby cash and 7% 401K matching</t>
  </si>
  <si>
    <t>Sr Program Manager</t>
  </si>
  <si>
    <t>Cross Border Ecommerce</t>
  </si>
  <si>
    <t>itg</t>
  </si>
  <si>
    <t>l3</t>
  </si>
  <si>
    <t>san jose</t>
  </si>
  <si>
    <t>Computer Vision</t>
  </si>
  <si>
    <t>Included 15% annual target bonus + sign-on bonus/4</t>
  </si>
  <si>
    <t>Generalist</t>
  </si>
  <si>
    <t>Citrix Systems Inc</t>
  </si>
  <si>
    <t>H</t>
  </si>
  <si>
    <t>Amsterdam</t>
  </si>
  <si>
    <t>Rightpoint</t>
  </si>
  <si>
    <t>St. Louis</t>
  </si>
  <si>
    <t>Deloitte Digital</t>
  </si>
  <si>
    <t>Wireless System</t>
  </si>
  <si>
    <t>Starbucks Coffee Company</t>
  </si>
  <si>
    <t>Sr. Developer</t>
  </si>
  <si>
    <t>Mitel</t>
  </si>
  <si>
    <t>Perspecta</t>
  </si>
  <si>
    <t>Chantilly, VA</t>
  </si>
  <si>
    <t>Business Intelligence Engineer</t>
  </si>
  <si>
    <t>REI</t>
  </si>
  <si>
    <t>Business Intelligence</t>
  </si>
  <si>
    <t>SDE 1</t>
  </si>
  <si>
    <t>REDMOND, WA</t>
  </si>
  <si>
    <t>SAN FRANCISCO, CA</t>
  </si>
  <si>
    <t>F5 networks</t>
  </si>
  <si>
    <t>HMH</t>
  </si>
  <si>
    <t>Montreal, Canada</t>
  </si>
  <si>
    <t>Innovation micro technology</t>
  </si>
  <si>
    <t xml:space="preserve">Process engineer </t>
  </si>
  <si>
    <t xml:space="preserve">Architect </t>
  </si>
  <si>
    <t>IC-2</t>
  </si>
  <si>
    <t>Solution Engineer</t>
  </si>
  <si>
    <t>Bookin</t>
  </si>
  <si>
    <t>Europe</t>
  </si>
  <si>
    <t>Dj</t>
  </si>
  <si>
    <t>A T Kearney</t>
  </si>
  <si>
    <t>Senior Vendor Manager</t>
  </si>
  <si>
    <t>PC</t>
  </si>
  <si>
    <t>Bakookl</t>
  </si>
  <si>
    <t>150k in SSAs + 48k stock annual + 51k stock from previous years</t>
  </si>
  <si>
    <t>Foursquare</t>
  </si>
  <si>
    <t>PM L2</t>
  </si>
  <si>
    <t>American Express</t>
  </si>
  <si>
    <t>Band 30</t>
  </si>
  <si>
    <t>New York Mills, NY</t>
  </si>
  <si>
    <t>B40</t>
  </si>
  <si>
    <t>Director Engineering</t>
  </si>
  <si>
    <t>Phoenix, AZ</t>
  </si>
  <si>
    <t>Signing bonus is 50K total, 30K the first year, 20K the next; 31 RSUs granted 5/15/40/40.</t>
  </si>
  <si>
    <t>Manufacturing Engineering</t>
  </si>
  <si>
    <t>Hardware Manufacturing</t>
  </si>
  <si>
    <t>Ghostery</t>
  </si>
  <si>
    <t>Core</t>
  </si>
  <si>
    <t>High stock/cash bonus because of strongly exceeding expectations</t>
  </si>
  <si>
    <t>Sanjose</t>
  </si>
  <si>
    <t>Field Engineer</t>
  </si>
  <si>
    <t>Data center infrastructure</t>
  </si>
  <si>
    <t>Quantcast</t>
  </si>
  <si>
    <t>Sr Software Engineer</t>
  </si>
  <si>
    <t>TELUS</t>
  </si>
  <si>
    <t>Intermediate</t>
  </si>
  <si>
    <t>Game Circus</t>
  </si>
  <si>
    <t>Mid-level</t>
  </si>
  <si>
    <t>Addison, TX</t>
  </si>
  <si>
    <t>I am one of only 5 principal engineers in the company</t>
  </si>
  <si>
    <t>Senior business analyst ii</t>
  </si>
  <si>
    <t>Business</t>
  </si>
  <si>
    <t>Desktop and Mobile</t>
  </si>
  <si>
    <t>AT&amp;T</t>
  </si>
  <si>
    <t>Technology Development Program</t>
  </si>
  <si>
    <t xml:space="preserve">Booking.com </t>
  </si>
  <si>
    <t>Senior Researcher</t>
  </si>
  <si>
    <t>UK</t>
  </si>
  <si>
    <t>NC</t>
  </si>
  <si>
    <t>Moscow, MC, Russia</t>
  </si>
  <si>
    <t>IC-3</t>
  </si>
  <si>
    <t>Needham, MA</t>
  </si>
  <si>
    <t>SiriusXM</t>
  </si>
  <si>
    <t>Rubrik</t>
  </si>
  <si>
    <t>Viasat</t>
  </si>
  <si>
    <t>E3A</t>
  </si>
  <si>
    <t>40k joining bonus</t>
  </si>
  <si>
    <t>Application Developer II</t>
  </si>
  <si>
    <t>3 weeks PTO</t>
  </si>
  <si>
    <t>Tune</t>
  </si>
  <si>
    <t>Senior Software Developer</t>
  </si>
  <si>
    <t>Foster City</t>
  </si>
  <si>
    <t>Max offer</t>
  </si>
  <si>
    <t>Exp</t>
  </si>
  <si>
    <t>Prague, PR, Czech Republic</t>
  </si>
  <si>
    <t>Morgan Stanley</t>
  </si>
  <si>
    <t>Infrastructure Engineer</t>
  </si>
  <si>
    <t>Engineering</t>
  </si>
  <si>
    <t>Seagate</t>
  </si>
  <si>
    <t>Bloomington,MN</t>
  </si>
  <si>
    <t xml:space="preserve">Principal Engineer </t>
  </si>
  <si>
    <t>Sr. Technical Program Managter</t>
  </si>
  <si>
    <t>Los Altos, CA</t>
  </si>
  <si>
    <t>ee</t>
  </si>
  <si>
    <t>Palo Alto Networks</t>
  </si>
  <si>
    <t>L9</t>
  </si>
  <si>
    <t>Sr Operations Manager</t>
  </si>
  <si>
    <t>Ops</t>
  </si>
  <si>
    <t>A9.com</t>
  </si>
  <si>
    <t xml:space="preserve">CVS health </t>
  </si>
  <si>
    <t xml:space="preserve">Sr Advisor </t>
  </si>
  <si>
    <t>Woonsocket, RI</t>
  </si>
  <si>
    <t>BOLD</t>
  </si>
  <si>
    <t>Sign on bonus 15K</t>
  </si>
  <si>
    <t>Johnson and Johnson</t>
  </si>
  <si>
    <t>Fellow 1</t>
  </si>
  <si>
    <t>Principal eng</t>
  </si>
  <si>
    <t xml:space="preserve">San </t>
  </si>
  <si>
    <t>Delphix</t>
  </si>
  <si>
    <t>Premier Field Engineer</t>
  </si>
  <si>
    <t>Database Administration</t>
  </si>
  <si>
    <t>O5</t>
  </si>
  <si>
    <t>Sourcer</t>
  </si>
  <si>
    <t>Recruiting</t>
  </si>
  <si>
    <t>The Walt Disney Company</t>
  </si>
  <si>
    <t>Associate Product Manager</t>
  </si>
  <si>
    <t>Bristol, CT</t>
  </si>
  <si>
    <t>Milpitas</t>
  </si>
  <si>
    <t>Planner</t>
  </si>
  <si>
    <t>OYO</t>
  </si>
  <si>
    <t>Sde1</t>
  </si>
  <si>
    <t>PE3</t>
  </si>
  <si>
    <t>Normal</t>
  </si>
  <si>
    <t>Director of IT</t>
  </si>
  <si>
    <t>Director of Software Eng</t>
  </si>
  <si>
    <t>ca technologies</t>
  </si>
  <si>
    <t>Stryker</t>
  </si>
  <si>
    <t>AUSTIN</t>
  </si>
  <si>
    <t>business intelligence</t>
  </si>
  <si>
    <t>Bonus Breakdown: $15k signing, $3.5k end-of-year, $1.5k relocation</t>
  </si>
  <si>
    <t>Beautycounter</t>
  </si>
  <si>
    <t>.NET Software Engineer</t>
  </si>
  <si>
    <t>10% target bonus (half company perf, half personal perf) - 2017 company perf was 77%</t>
  </si>
  <si>
    <t>Details of offer extended</t>
  </si>
  <si>
    <t>Product Analytics</t>
  </si>
  <si>
    <t>TenX</t>
  </si>
  <si>
    <t>Champaign, IL</t>
  </si>
  <si>
    <t>Free food</t>
  </si>
  <si>
    <t>Software Engineer I</t>
  </si>
  <si>
    <t>broadcom</t>
  </si>
  <si>
    <t>icb6-master</t>
  </si>
  <si>
    <t>After AVGO takeover the RSU and Bonus improved</t>
  </si>
  <si>
    <t>consumer electronics</t>
  </si>
  <si>
    <t>Amsterdam, The Netherlands</t>
  </si>
  <si>
    <t>Ama</t>
  </si>
  <si>
    <t>Band 9</t>
  </si>
  <si>
    <t>Startup</t>
  </si>
  <si>
    <t>Director of customer success</t>
  </si>
  <si>
    <t>Customer success</t>
  </si>
  <si>
    <t xml:space="preserve">Technical Recruiter </t>
  </si>
  <si>
    <t xml:space="preserve">Tech Recruiting </t>
  </si>
  <si>
    <t>CSG</t>
  </si>
  <si>
    <t>PL</t>
  </si>
  <si>
    <t>Redmond wa</t>
  </si>
  <si>
    <t xml:space="preserve">Senior director </t>
  </si>
  <si>
    <t>Analog Design Engineer</t>
  </si>
  <si>
    <t>analog circuit</t>
  </si>
  <si>
    <t>65000 stock in 4 years, vesting shedule 5,15,30,30</t>
  </si>
  <si>
    <t>Company is pre-IPO, so stock value is just an estimate</t>
  </si>
  <si>
    <t>Conviva</t>
  </si>
  <si>
    <t>Solutions Architect</t>
  </si>
  <si>
    <t>Foster City, CA</t>
  </si>
  <si>
    <t>All platforms</t>
  </si>
  <si>
    <t>Arista Networks</t>
  </si>
  <si>
    <t>Vancouver, British Columbia, Canada</t>
  </si>
  <si>
    <t>$3000 signing-bonus</t>
  </si>
  <si>
    <t>ASIC Design</t>
  </si>
  <si>
    <t>Logic Design</t>
  </si>
  <si>
    <t>Hewlett Packard</t>
  </si>
  <si>
    <t>Real Estate</t>
  </si>
  <si>
    <t>Amadeus</t>
  </si>
  <si>
    <t>NuoDB</t>
  </si>
  <si>
    <t>L5 Product Manager</t>
  </si>
  <si>
    <t>Zscaler</t>
  </si>
  <si>
    <t>Sr Engineering Manager</t>
  </si>
  <si>
    <t xml:space="preserve">TDP </t>
  </si>
  <si>
    <t>Support Engineering Manager</t>
  </si>
  <si>
    <t>Irving, TX</t>
  </si>
  <si>
    <t xml:space="preserve">USAID </t>
  </si>
  <si>
    <t xml:space="preserve">Manager </t>
  </si>
  <si>
    <t>IT Manager</t>
  </si>
  <si>
    <t>I7</t>
  </si>
  <si>
    <t>Lead System Architect</t>
  </si>
  <si>
    <t>grant thornton llp</t>
  </si>
  <si>
    <t>Overland Park, KS</t>
  </si>
  <si>
    <t>Analytics, Implementation, Oracle BI, OBIEE, ETL</t>
  </si>
  <si>
    <t>40k signon</t>
  </si>
  <si>
    <t>Collabera</t>
  </si>
  <si>
    <t>Content Strategist</t>
  </si>
  <si>
    <t>Shutterstock</t>
  </si>
  <si>
    <t>Docker</t>
  </si>
  <si>
    <t>Driver Development</t>
  </si>
  <si>
    <t>Laddawn Inc.</t>
  </si>
  <si>
    <t>Devens, MA</t>
  </si>
  <si>
    <t>Product Marketing</t>
  </si>
  <si>
    <t>7.75k 401(k) match, 35k signing bonus, 10k relocation</t>
  </si>
  <si>
    <t>Boston Tech Company</t>
  </si>
  <si>
    <t>Desktop and Embedded</t>
  </si>
  <si>
    <t>none</t>
  </si>
  <si>
    <t>IT Engineer</t>
  </si>
  <si>
    <t>Contractor</t>
  </si>
  <si>
    <t>YouTube</t>
  </si>
  <si>
    <t>Poughkeepsie, NY</t>
  </si>
  <si>
    <t>Senior PM 1</t>
  </si>
  <si>
    <t>mi</t>
  </si>
  <si>
    <t>System Engineer</t>
  </si>
  <si>
    <t>System design</t>
  </si>
  <si>
    <t>Software Technology Group</t>
  </si>
  <si>
    <t>20k joining bonus</t>
  </si>
  <si>
    <t>Masterworks Associates</t>
  </si>
  <si>
    <t>Poulsbo</t>
  </si>
  <si>
    <t>Process Engineer</t>
  </si>
  <si>
    <t>Process Engineering</t>
  </si>
  <si>
    <t>Sr DevOps Engineer</t>
  </si>
  <si>
    <t>NerdWallet</t>
  </si>
  <si>
    <t>Red Hat</t>
  </si>
  <si>
    <t xml:space="preserve">Hillsboro </t>
  </si>
  <si>
    <t xml:space="preserve">Compliance Specialist </t>
  </si>
  <si>
    <t>Legal</t>
  </si>
  <si>
    <t>ii</t>
  </si>
  <si>
    <t>Philadelphia</t>
  </si>
  <si>
    <t>Executive Director</t>
  </si>
  <si>
    <t>Surveymonkey</t>
  </si>
  <si>
    <t xml:space="preserve">Qualtrics </t>
  </si>
  <si>
    <t>Form limits to $999k. Should be $1070k total, $286k salary, $64k bonus, $720k stock</t>
  </si>
  <si>
    <t>Network Development Engineer</t>
  </si>
  <si>
    <t>Hw</t>
  </si>
  <si>
    <t>Solution Mgt</t>
  </si>
  <si>
    <t>Web Platform</t>
  </si>
  <si>
    <t xml:space="preserve">Dublín </t>
  </si>
  <si>
    <t>Innovation</t>
  </si>
  <si>
    <t xml:space="preserve">Senior vice president </t>
  </si>
  <si>
    <t>Charlotte, NC</t>
  </si>
  <si>
    <t>GXC</t>
  </si>
  <si>
    <t>TAS</t>
  </si>
  <si>
    <t>Senior II</t>
  </si>
  <si>
    <t>hillsboro</t>
  </si>
  <si>
    <t>Tech Mahindra Americas</t>
  </si>
  <si>
    <t xml:space="preserve">Business control manager </t>
  </si>
  <si>
    <t>Operations</t>
  </si>
  <si>
    <t>zoom</t>
  </si>
  <si>
    <t>l1</t>
  </si>
  <si>
    <t>Modem HW</t>
  </si>
  <si>
    <t>Hardware Eng</t>
  </si>
  <si>
    <t>Visa Inc</t>
  </si>
  <si>
    <t>Foster City,CA</t>
  </si>
  <si>
    <t>Awesome</t>
  </si>
  <si>
    <t>Senior Product Analyst</t>
  </si>
  <si>
    <t xml:space="preserve">Data warehousing </t>
  </si>
  <si>
    <t>Avanade</t>
  </si>
  <si>
    <t>Manager (level 7)</t>
  </si>
  <si>
    <t>Dynamics CRM</t>
  </si>
  <si>
    <t>People Ops</t>
  </si>
  <si>
    <t>HR</t>
  </si>
  <si>
    <t>I distributed my signing bonus (10k) over 4 years to match my rsu vesting schedule. Target bonus is 15% of salary.</t>
  </si>
  <si>
    <t>L08</t>
  </si>
  <si>
    <t xml:space="preserve">Senior Program Manager </t>
  </si>
  <si>
    <t xml:space="preserve">Sales operations </t>
  </si>
  <si>
    <t>Senior Principal Software Engineer</t>
  </si>
  <si>
    <t>tasc consulting and capital</t>
  </si>
  <si>
    <t>associate</t>
  </si>
  <si>
    <t>Management Consultant</t>
  </si>
  <si>
    <t>finance</t>
  </si>
  <si>
    <t>Santa Cl</t>
  </si>
  <si>
    <t>Flexport</t>
  </si>
  <si>
    <t>Remix</t>
  </si>
  <si>
    <t>Change Management Consultant</t>
  </si>
  <si>
    <t>Management Consulting</t>
  </si>
  <si>
    <t>Data Science Manager</t>
  </si>
  <si>
    <t>Sr Product Manager</t>
  </si>
  <si>
    <t>Operating System</t>
  </si>
  <si>
    <t>Toronto</t>
  </si>
  <si>
    <t>Database</t>
  </si>
  <si>
    <t>Virtual Reality</t>
  </si>
  <si>
    <t>Rally Health</t>
  </si>
  <si>
    <t>Master Software Eng</t>
  </si>
  <si>
    <t>Pluralsight</t>
  </si>
  <si>
    <t>SE4</t>
  </si>
  <si>
    <t>Paris, France</t>
  </si>
  <si>
    <t>Senior Consultant</t>
  </si>
  <si>
    <t>Reno, NV</t>
  </si>
  <si>
    <t>Venice, CA</t>
  </si>
  <si>
    <t>T27</t>
  </si>
  <si>
    <t>Traffic</t>
  </si>
  <si>
    <t>Rally Health Inc</t>
  </si>
  <si>
    <t>bSwift</t>
  </si>
  <si>
    <t>Waterloo, Ontario, Canada</t>
  </si>
  <si>
    <t>dublin, ireland</t>
  </si>
  <si>
    <t>HP</t>
  </si>
  <si>
    <t>Cognizant</t>
  </si>
  <si>
    <t>Enterprise Technology Analyst</t>
  </si>
  <si>
    <t>ERP</t>
  </si>
  <si>
    <t>Applovin</t>
  </si>
  <si>
    <t>zendesk</t>
  </si>
  <si>
    <t>zen2</t>
  </si>
  <si>
    <t>Mozes, Inc.</t>
  </si>
  <si>
    <t>Platform Tools</t>
  </si>
  <si>
    <t>SE II</t>
  </si>
  <si>
    <t>Islamabad, IS, Pakistan</t>
  </si>
  <si>
    <t>mountain view, Ca</t>
  </si>
  <si>
    <t>PITTSBURGH</t>
  </si>
  <si>
    <t>Wave HQ</t>
  </si>
  <si>
    <t>Winston Salem, NC</t>
  </si>
  <si>
    <t>working remotely for a Mountain View, CA group</t>
  </si>
  <si>
    <t>Morrisville</t>
  </si>
  <si>
    <t>General Software Engineering</t>
  </si>
  <si>
    <t>blah</t>
  </si>
  <si>
    <t>General Motors</t>
  </si>
  <si>
    <t>Roswell, GA</t>
  </si>
  <si>
    <t>Bonus is dependent in self performance and company metrics. 2018 bonus will probably be less due to 'increased material cost'. Reduction in Force initiatives were annouced Oct 31, 2018.</t>
  </si>
  <si>
    <t>RStudio</t>
  </si>
  <si>
    <t>Solon, OH</t>
  </si>
  <si>
    <t>Cimpress</t>
  </si>
  <si>
    <t>PR1</t>
  </si>
  <si>
    <t>Waltham, MA</t>
  </si>
  <si>
    <t>CAMBRIDGE</t>
  </si>
  <si>
    <t>Dublin, DN, Ireland</t>
  </si>
  <si>
    <t>Anti-Abuse</t>
  </si>
  <si>
    <t>Cuperti</t>
  </si>
  <si>
    <t xml:space="preserve">St louis </t>
  </si>
  <si>
    <t>ARUBA</t>
  </si>
  <si>
    <t>Nantomics</t>
  </si>
  <si>
    <t>zenreach</t>
  </si>
  <si>
    <t>MailChimp</t>
  </si>
  <si>
    <t>Ubisoft</t>
  </si>
  <si>
    <t>Montreal, QC, Canada</t>
  </si>
  <si>
    <t>⁴</t>
  </si>
  <si>
    <t>m3</t>
  </si>
  <si>
    <t>Hexagon Safety &amp; Infrastructure</t>
  </si>
  <si>
    <t>Huntsville, AL</t>
  </si>
  <si>
    <t>Dallas, Tx</t>
  </si>
  <si>
    <t>Ticketmaster</t>
  </si>
  <si>
    <t>Freshworks</t>
  </si>
  <si>
    <t>Staff Software Engineer (IC4)</t>
  </si>
  <si>
    <t>Chennai, TN, India</t>
  </si>
  <si>
    <t>Constant Contact</t>
  </si>
  <si>
    <t>product analytics</t>
  </si>
  <si>
    <t>HCA</t>
  </si>
  <si>
    <t>Nashville, TN</t>
  </si>
  <si>
    <t>hardware engineer</t>
  </si>
  <si>
    <t>sensors</t>
  </si>
  <si>
    <t>OpenText</t>
  </si>
  <si>
    <t>Toronto, Canada</t>
  </si>
  <si>
    <t>Values converted to USD</t>
  </si>
  <si>
    <t>Group Manager</t>
  </si>
  <si>
    <t>Sydney, NSW, Australia</t>
  </si>
  <si>
    <t>Enterprise Software</t>
  </si>
  <si>
    <t xml:space="preserve">Redmond, WA </t>
  </si>
  <si>
    <t>CA, USA</t>
  </si>
  <si>
    <t>Senior software engineer</t>
  </si>
  <si>
    <t>Arm</t>
  </si>
  <si>
    <t>Cambridge, UK</t>
  </si>
  <si>
    <t>Etsy</t>
  </si>
  <si>
    <t>Radius Intelligence</t>
  </si>
  <si>
    <t>Stripe</t>
  </si>
  <si>
    <t>Nunya</t>
  </si>
  <si>
    <t>Cto</t>
  </si>
  <si>
    <t>NEW YORK, NY</t>
  </si>
  <si>
    <t>Aledade</t>
  </si>
  <si>
    <t>Bethesda, MD</t>
  </si>
  <si>
    <t>Sydney</t>
  </si>
  <si>
    <t>DigitalOcean</t>
  </si>
  <si>
    <t>Csm</t>
  </si>
  <si>
    <t>Bio</t>
  </si>
  <si>
    <t>Senior Staff SWE</t>
  </si>
  <si>
    <t>ReferralCandy</t>
  </si>
  <si>
    <t>Nonprofit Research</t>
  </si>
  <si>
    <t xml:space="preserve">Standard bank group </t>
  </si>
  <si>
    <t xml:space="preserve">President </t>
  </si>
  <si>
    <t>Johannesburg, GT, South Africa</t>
  </si>
  <si>
    <t>Polycom</t>
  </si>
  <si>
    <t>Nokia</t>
  </si>
  <si>
    <t>Walmartlabs</t>
  </si>
  <si>
    <t>Zumper</t>
  </si>
  <si>
    <t>Engineering Manager II</t>
  </si>
  <si>
    <t>Systems Engineer</t>
  </si>
  <si>
    <t>Tempe, AZ</t>
  </si>
  <si>
    <t>Tokyo, TY, Japan</t>
  </si>
  <si>
    <t>consulting</t>
  </si>
  <si>
    <t>Mozilla</t>
  </si>
  <si>
    <t>Auckland, New Zealand</t>
  </si>
  <si>
    <t>Executive Director / Vice-President</t>
  </si>
  <si>
    <t>London, EN, United Kingdom</t>
  </si>
  <si>
    <t>walmartlabs</t>
  </si>
  <si>
    <t>product engineer</t>
  </si>
  <si>
    <t>NSG</t>
  </si>
  <si>
    <t>Secret</t>
  </si>
  <si>
    <t>Manchester, England</t>
  </si>
  <si>
    <t>Limejump</t>
  </si>
  <si>
    <t>Medium Level</t>
  </si>
  <si>
    <t>NICE</t>
  </si>
  <si>
    <t>Expert</t>
  </si>
  <si>
    <t>L9 / L10</t>
  </si>
  <si>
    <t>Medtronic</t>
  </si>
  <si>
    <t xml:space="preserve"> S53</t>
  </si>
  <si>
    <t>Medical</t>
  </si>
  <si>
    <t>mit lincoln laboratory</t>
  </si>
  <si>
    <t>Brønnøysundregistrene</t>
  </si>
  <si>
    <t>Norway</t>
  </si>
  <si>
    <t>Government</t>
  </si>
  <si>
    <t>Compiler</t>
  </si>
  <si>
    <t>Berlin, Berlin, Germany</t>
  </si>
  <si>
    <t>Gemalto</t>
  </si>
  <si>
    <t>Zalando SE</t>
  </si>
  <si>
    <t>Engineer III</t>
  </si>
  <si>
    <t>Berlin, Germany</t>
  </si>
  <si>
    <t>FDE - Forward Deployed Engineer (different roles, but same starting level, only one level across Palantir)</t>
  </si>
  <si>
    <t>Used Equipment Guide</t>
  </si>
  <si>
    <t>APM1</t>
  </si>
  <si>
    <t>Zürich, Switzerland</t>
  </si>
  <si>
    <t>Skyscanner</t>
  </si>
  <si>
    <t>United Kingdom</t>
  </si>
  <si>
    <t xml:space="preserve">Salary in CAD! </t>
  </si>
  <si>
    <t>Systems Software Development</t>
  </si>
  <si>
    <t xml:space="preserve">Denmark </t>
  </si>
  <si>
    <t>Cerner</t>
  </si>
  <si>
    <t>Production Owner</t>
  </si>
  <si>
    <t>Kansas City, KS</t>
  </si>
  <si>
    <t>Stockholm, ST, Sweden</t>
  </si>
  <si>
    <t>Silicon Valley</t>
  </si>
  <si>
    <t>GitHub</t>
  </si>
  <si>
    <t>San Fransisco, CA</t>
  </si>
  <si>
    <t>Exchange rate of 72 is used</t>
  </si>
  <si>
    <t>Lead Consultant</t>
  </si>
  <si>
    <t>France</t>
  </si>
  <si>
    <t>Redwood shores</t>
  </si>
  <si>
    <t xml:space="preserve">PaaS </t>
  </si>
  <si>
    <t>Assistant vice  president</t>
  </si>
  <si>
    <t>Consulting MTS</t>
  </si>
  <si>
    <t>VP Software</t>
  </si>
  <si>
    <t>Sapientrazorfish</t>
  </si>
  <si>
    <t>Chief Architect</t>
  </si>
  <si>
    <t>markham, ontario, canada</t>
  </si>
  <si>
    <t>Mclean, VA</t>
  </si>
  <si>
    <t>Kaspersky</t>
  </si>
  <si>
    <t>Used exchange rate 65</t>
  </si>
  <si>
    <t>ABC</t>
  </si>
  <si>
    <t>Lowell, MA</t>
  </si>
  <si>
    <t>Toronto, ON, CA</t>
  </si>
  <si>
    <t>Systems Administrator</t>
  </si>
  <si>
    <t>IT Program Manager</t>
  </si>
  <si>
    <t>Engility</t>
  </si>
  <si>
    <t>IV</t>
  </si>
  <si>
    <t>General Dynamics</t>
  </si>
  <si>
    <t>Senior Advanced 1</t>
  </si>
  <si>
    <t>Pittsfield, MA</t>
  </si>
  <si>
    <t>Netcompany</t>
  </si>
  <si>
    <t>Aarhus, AR, Denmark</t>
  </si>
  <si>
    <t>RallyHealth</t>
  </si>
  <si>
    <t>PM 1</t>
  </si>
  <si>
    <t>Modeling</t>
  </si>
  <si>
    <t>SDE4</t>
  </si>
  <si>
    <t>I have a MS in CS; my starting bonus was 75,000</t>
  </si>
  <si>
    <t xml:space="preserve">T. Rowe Price </t>
  </si>
  <si>
    <t>EM</t>
  </si>
  <si>
    <t>sales</t>
  </si>
  <si>
    <t>israel</t>
  </si>
  <si>
    <t>Hong Kong, China</t>
  </si>
  <si>
    <t>Interdigital</t>
  </si>
  <si>
    <t>Sr Staff Engineer</t>
  </si>
  <si>
    <t>System engineer</t>
  </si>
  <si>
    <t xml:space="preserve">Bellevue </t>
  </si>
  <si>
    <t>35000 sign-on bonus</t>
  </si>
  <si>
    <t>Synechron</t>
  </si>
  <si>
    <t>Tel Aviv, Israel</t>
  </si>
  <si>
    <t>McLean</t>
  </si>
  <si>
    <t>IC1</t>
  </si>
  <si>
    <t>Project Manager</t>
  </si>
  <si>
    <t>Signon of 20k</t>
  </si>
  <si>
    <t>Qualcomm inc</t>
  </si>
  <si>
    <t>Criteo</t>
  </si>
  <si>
    <t>SRE Lead</t>
  </si>
  <si>
    <t>Alarm.com</t>
  </si>
  <si>
    <t>I</t>
  </si>
  <si>
    <t>Vienna, VA</t>
  </si>
  <si>
    <t>includes SSA</t>
  </si>
  <si>
    <t>Hardware Infrastructure</t>
  </si>
  <si>
    <t>RTP</t>
  </si>
  <si>
    <t>avg stock based on 4 year generous projected growth</t>
  </si>
  <si>
    <t>ICT6</t>
  </si>
  <si>
    <t>Component Design Engineer</t>
  </si>
  <si>
    <t>java go latinx hispanic angular typescript</t>
  </si>
  <si>
    <t>SE 4</t>
  </si>
  <si>
    <t>Site Operations</t>
  </si>
  <si>
    <t>Berlin,Germany</t>
  </si>
  <si>
    <t>Berlin, BE, Germany</t>
  </si>
  <si>
    <t>Grab 3</t>
  </si>
  <si>
    <t>Design Agency</t>
  </si>
  <si>
    <t>Brooklyn, NY</t>
  </si>
  <si>
    <t>Digital Design</t>
  </si>
  <si>
    <t>SaaS</t>
  </si>
  <si>
    <t>Redondo Beach, CA</t>
  </si>
  <si>
    <t>Principle Software Engineer</t>
  </si>
  <si>
    <t>Operations Manager</t>
  </si>
  <si>
    <t>Technical Leader</t>
  </si>
  <si>
    <t>Manager 2</t>
  </si>
  <si>
    <t>expedia</t>
  </si>
  <si>
    <t>swe1</t>
  </si>
  <si>
    <t>embedded</t>
  </si>
  <si>
    <t>Level 4</t>
  </si>
  <si>
    <t>Thoughtworks</t>
  </si>
  <si>
    <t>Principal SDE</t>
  </si>
  <si>
    <t>PeopleDoc</t>
  </si>
  <si>
    <t>BMC</t>
  </si>
  <si>
    <t>mSIGNIA Inc.</t>
  </si>
  <si>
    <t>Data Analytics Engineer</t>
  </si>
  <si>
    <t>Franklin, TN</t>
  </si>
  <si>
    <t>Niche.com</t>
  </si>
  <si>
    <t>QA Analyst</t>
  </si>
  <si>
    <t>Asic Hardware</t>
  </si>
  <si>
    <t>Myntra</t>
  </si>
  <si>
    <t>Product Designer</t>
  </si>
  <si>
    <t xml:space="preserve">WalmartLabs </t>
  </si>
  <si>
    <t>Analytics Director</t>
  </si>
  <si>
    <t>CX</t>
  </si>
  <si>
    <t>Cape Town, South Africa</t>
  </si>
  <si>
    <t>L66 Principal PM Manager</t>
  </si>
  <si>
    <t>Azure Cloud</t>
  </si>
  <si>
    <t>Tanium</t>
  </si>
  <si>
    <t>Durham, NC</t>
  </si>
  <si>
    <t>Senior PM 2</t>
  </si>
  <si>
    <t>Zocdoc</t>
  </si>
  <si>
    <t>Whippany,NJ</t>
  </si>
  <si>
    <t>Principle applications engineer</t>
  </si>
  <si>
    <t>Application development</t>
  </si>
  <si>
    <t>Beijing, BJ, China</t>
  </si>
  <si>
    <t>Saratoga, CA</t>
  </si>
  <si>
    <t>Sr Tech Lead</t>
  </si>
  <si>
    <t>Lowest pay among Seattle tech companies.</t>
  </si>
  <si>
    <t>Brooklyn</t>
  </si>
  <si>
    <t>Stock avg 90k without sign-on RSU</t>
  </si>
  <si>
    <t>Move</t>
  </si>
  <si>
    <t>Group Product Manager (GPM)</t>
  </si>
  <si>
    <t>SSI</t>
  </si>
  <si>
    <t>Mobile, AL</t>
  </si>
  <si>
    <t xml:space="preserve">Computer Scientist I </t>
  </si>
  <si>
    <t>Patreon</t>
  </si>
  <si>
    <t>San Franciso, CA</t>
  </si>
  <si>
    <t>Cypress Semiconductor</t>
  </si>
  <si>
    <t xml:space="preserve">Staff </t>
  </si>
  <si>
    <t>ServiceNow</t>
  </si>
  <si>
    <t>Ibm</t>
  </si>
  <si>
    <t>Juniper Networks</t>
  </si>
  <si>
    <t>SWE Staff</t>
  </si>
  <si>
    <t>The bonus is sign-on/4. Lyft doesn't do any bonuses</t>
  </si>
  <si>
    <t>Principal Security Engineer</t>
  </si>
  <si>
    <t>I have 16 months of working experience after CS MS graduation, just got this offer,  140k base + 10k sign on + 60k stock / 3 + 10 % annual bonus</t>
  </si>
  <si>
    <t>Samsung Semiconductors</t>
  </si>
  <si>
    <t xml:space="preserve">Samsung </t>
  </si>
  <si>
    <t>GPM</t>
  </si>
  <si>
    <t>Cloud (Azure)</t>
  </si>
  <si>
    <t>Sr Dir</t>
  </si>
  <si>
    <t>Principal EM</t>
  </si>
  <si>
    <t>Principal Applied Researcher</t>
  </si>
  <si>
    <t>Hyderabad, TS, India</t>
  </si>
  <si>
    <t>Madrid, MD, Spain</t>
  </si>
  <si>
    <t>Senior Director, Development</t>
  </si>
  <si>
    <t>Bengaluru</t>
  </si>
  <si>
    <t>Business development</t>
  </si>
  <si>
    <t>Telecom Project Manager</t>
  </si>
  <si>
    <t>hpe</t>
  </si>
  <si>
    <t>sr director</t>
  </si>
  <si>
    <t>alliances</t>
  </si>
  <si>
    <t xml:space="preserve">60k signing </t>
  </si>
  <si>
    <t>snapdragon</t>
  </si>
  <si>
    <t>Managing Director</t>
  </si>
  <si>
    <t>UX</t>
  </si>
  <si>
    <t>Finance Manager</t>
  </si>
  <si>
    <t>FP&amp;A</t>
  </si>
  <si>
    <t>Infusionsoft</t>
  </si>
  <si>
    <t>Staff (SE5)</t>
  </si>
  <si>
    <t>Coupang</t>
  </si>
  <si>
    <t>d4</t>
  </si>
  <si>
    <t>Stamford, CT</t>
  </si>
  <si>
    <t>DWH</t>
  </si>
  <si>
    <t>UX Engineer</t>
  </si>
  <si>
    <t>MIPS</t>
  </si>
  <si>
    <t>marketing manager</t>
  </si>
  <si>
    <t>semiconductors</t>
  </si>
  <si>
    <t>PLEASANTON</t>
  </si>
  <si>
    <t>Application Development</t>
  </si>
  <si>
    <t>SFO</t>
  </si>
  <si>
    <t>Near L6</t>
  </si>
  <si>
    <t>App Dev 1</t>
  </si>
  <si>
    <t xml:space="preserve">New graduate </t>
  </si>
  <si>
    <t>Kongregate</t>
  </si>
  <si>
    <t>TraceMe</t>
  </si>
  <si>
    <t>Returning intern, new grad offer</t>
  </si>
  <si>
    <t>Hyderabad, AP, India</t>
  </si>
  <si>
    <t>Eng 2, Software Dev &amp; Engineering</t>
  </si>
  <si>
    <t>IT App Dev Engineer</t>
  </si>
  <si>
    <t>IVR Technology Group</t>
  </si>
  <si>
    <t>Senior Software Architect</t>
  </si>
  <si>
    <t>Buffalo, NY</t>
  </si>
  <si>
    <t>Mountain View, MO</t>
  </si>
  <si>
    <t>Senior Advisory Eng</t>
  </si>
  <si>
    <t>All amounts in CAD</t>
  </si>
  <si>
    <t>Oracle applications</t>
  </si>
  <si>
    <t>T1</t>
  </si>
  <si>
    <t>TDM2</t>
  </si>
  <si>
    <t>Dubai, DU, United Arab Emirates</t>
  </si>
  <si>
    <t>4`</t>
  </si>
  <si>
    <t>Sandia National Labs</t>
  </si>
  <si>
    <t>Member</t>
  </si>
  <si>
    <t>Albuquerque, NM</t>
  </si>
  <si>
    <t>Face</t>
  </si>
  <si>
    <t>Technology</t>
  </si>
  <si>
    <t>proto pusher</t>
  </si>
  <si>
    <t>Tel Aviv, TA, Israel</t>
  </si>
  <si>
    <t>marketo</t>
  </si>
  <si>
    <t>se</t>
  </si>
  <si>
    <t>ZEN2</t>
  </si>
  <si>
    <t>Sr. Software Development Manager</t>
  </si>
  <si>
    <t xml:space="preserve">American Express </t>
  </si>
  <si>
    <t>Sunyvale</t>
  </si>
  <si>
    <t>Software Application Engineer</t>
  </si>
  <si>
    <t>EM2</t>
  </si>
  <si>
    <t>Quant Hedge Fund</t>
  </si>
  <si>
    <t>Quantitative Researcher</t>
  </si>
  <si>
    <t>CollegetNET</t>
  </si>
  <si>
    <t>Portland OR</t>
  </si>
  <si>
    <t>160 base + 75 y1signon + 65 y2signon + 150 stocks (5-15-40-40)</t>
  </si>
  <si>
    <t>FinTech Startup</t>
  </si>
  <si>
    <t>A Healthcare Analytics Company</t>
  </si>
  <si>
    <t>Integration Engineer</t>
  </si>
  <si>
    <t>Data Warehouse</t>
  </si>
  <si>
    <t>Systems Analyst</t>
  </si>
  <si>
    <t>Member of Technical Staff 2 Quality</t>
  </si>
  <si>
    <t>Band 8 backend engineer</t>
  </si>
  <si>
    <t>NCC</t>
  </si>
  <si>
    <t>SC</t>
  </si>
  <si>
    <t>Bright Health</t>
  </si>
  <si>
    <t>CloudOps Engineer</t>
  </si>
  <si>
    <t>Game</t>
  </si>
  <si>
    <t>VISA</t>
  </si>
  <si>
    <t xml:space="preserve">Senior software engineer </t>
  </si>
  <si>
    <t>Mclean, va</t>
  </si>
  <si>
    <t>Systems Design Engineer</t>
  </si>
  <si>
    <t>Snoqualmie, WA</t>
  </si>
  <si>
    <t>Economist</t>
  </si>
  <si>
    <t>ECONOMETRICS</t>
  </si>
  <si>
    <t>Recruiting Manager</t>
  </si>
  <si>
    <t>100k sign on</t>
  </si>
  <si>
    <t>60K sign-on</t>
  </si>
  <si>
    <t>Newtown Square, PA</t>
  </si>
  <si>
    <t>GreenInfo Network</t>
  </si>
  <si>
    <t>Geospatial Analyst</t>
  </si>
  <si>
    <t>GIS</t>
  </si>
  <si>
    <t>I5</t>
  </si>
  <si>
    <t>HPE</t>
  </si>
  <si>
    <t>Java Developer II</t>
  </si>
  <si>
    <t>korea</t>
  </si>
  <si>
    <t>cloud</t>
  </si>
  <si>
    <t>T. Rowe Price</t>
  </si>
  <si>
    <t>Returning intern</t>
  </si>
  <si>
    <t>New grad</t>
  </si>
  <si>
    <t>Amplitude</t>
  </si>
  <si>
    <t>AR/VR</t>
  </si>
  <si>
    <t>Senior UX Designer</t>
  </si>
  <si>
    <t>User Experience</t>
  </si>
  <si>
    <t>Eng II</t>
  </si>
  <si>
    <t>Boeing</t>
  </si>
  <si>
    <t>Member of Technical Staff 1</t>
  </si>
  <si>
    <t>DBA</t>
  </si>
  <si>
    <t xml:space="preserve">Senior product manager </t>
  </si>
  <si>
    <t xml:space="preserve">Product management </t>
  </si>
  <si>
    <t xml:space="preserve">Flower company </t>
  </si>
  <si>
    <t xml:space="preserve">Los Angeles </t>
  </si>
  <si>
    <t>Verizon Connect</t>
  </si>
  <si>
    <t>Align Technology</t>
  </si>
  <si>
    <t>R5</t>
  </si>
  <si>
    <t>Advisory Engineer</t>
  </si>
  <si>
    <t>PR</t>
  </si>
  <si>
    <t>Network Engineer</t>
  </si>
  <si>
    <t>Fjord</t>
  </si>
  <si>
    <t>zdv</t>
  </si>
  <si>
    <t>Enterprise</t>
  </si>
  <si>
    <t xml:space="preserve">Consumer </t>
  </si>
  <si>
    <t>Telecom</t>
  </si>
  <si>
    <t xml:space="preserve">Bonus is one-time payment </t>
  </si>
  <si>
    <t>T24</t>
  </si>
  <si>
    <t>System Validation Engineer</t>
  </si>
  <si>
    <t>Semiconductor</t>
  </si>
  <si>
    <t>Dev Tools</t>
  </si>
  <si>
    <t>Camera</t>
  </si>
  <si>
    <t>Boxborough, MA</t>
  </si>
  <si>
    <t xml:space="preserve">Previously own company. Negotiated. </t>
  </si>
  <si>
    <t>Uni. Grad</t>
  </si>
  <si>
    <t>Gdansk, PM, Poland</t>
  </si>
  <si>
    <t xml:space="preserve">ATT </t>
  </si>
  <si>
    <t>Telecom Engineer</t>
  </si>
  <si>
    <t>IC-6</t>
  </si>
  <si>
    <t>Orion Labs</t>
  </si>
  <si>
    <t>pony.ai</t>
  </si>
  <si>
    <t>Design engineer</t>
  </si>
  <si>
    <t>CPU</t>
  </si>
  <si>
    <t>z</t>
  </si>
  <si>
    <t>Buffalo, MN</t>
  </si>
  <si>
    <t>Align Technoligy</t>
  </si>
  <si>
    <t>Media</t>
  </si>
  <si>
    <t>Skytap</t>
  </si>
  <si>
    <t>L6 Product Manager</t>
  </si>
  <si>
    <t>Privacy</t>
  </si>
  <si>
    <t>software senior engineer</t>
  </si>
  <si>
    <t>hopkinton, ma</t>
  </si>
  <si>
    <t>Quotient</t>
  </si>
  <si>
    <t xml:space="preserve">Principal software engineer </t>
  </si>
  <si>
    <t>Unity Technologies</t>
  </si>
  <si>
    <t>AI</t>
  </si>
  <si>
    <t>Live Nation</t>
  </si>
  <si>
    <t>LTIPs not included</t>
  </si>
  <si>
    <t>MPK14</t>
  </si>
  <si>
    <t>investcloud</t>
  </si>
  <si>
    <t>no levels</t>
  </si>
  <si>
    <t>College Station, Texas</t>
  </si>
  <si>
    <t>SAS</t>
  </si>
  <si>
    <t>Cary, NC</t>
  </si>
  <si>
    <t>L5a</t>
  </si>
  <si>
    <t>Haven't included stock refreshers</t>
  </si>
  <si>
    <t xml:space="preserve">Sourcing manager </t>
  </si>
  <si>
    <t>Global Supplier Management</t>
  </si>
  <si>
    <t>Senior SDET</t>
  </si>
  <si>
    <t>Rotational Product Manager (RPM)</t>
  </si>
  <si>
    <t>Feedzai</t>
  </si>
  <si>
    <t>$80,000 Signing Bonus 1st year,  $50,000 Signing 2nd year</t>
  </si>
  <si>
    <t>Data engineering manager</t>
  </si>
  <si>
    <t xml:space="preserve">Data warehouse </t>
  </si>
  <si>
    <t>Systems Design</t>
  </si>
  <si>
    <t>Senior II Lead</t>
  </si>
  <si>
    <t>Product Design Engineer</t>
  </si>
  <si>
    <t>Mechanical Engineer</t>
  </si>
  <si>
    <t>Abbott</t>
  </si>
  <si>
    <t>Minneapolis,mn</t>
  </si>
  <si>
    <t>Med device</t>
  </si>
  <si>
    <t>7800 sign on bonus</t>
  </si>
  <si>
    <t>Trendyol</t>
  </si>
  <si>
    <t>Turkey</t>
  </si>
  <si>
    <t>SAIC</t>
  </si>
  <si>
    <t>Tampa, FL</t>
  </si>
  <si>
    <t>Cloud/Cyber</t>
  </si>
  <si>
    <t>Software Engineer, Tools and Infrastructure</t>
  </si>
  <si>
    <t>top hat</t>
  </si>
  <si>
    <t>Strategic Partnerships</t>
  </si>
  <si>
    <t>Bay area</t>
  </si>
  <si>
    <t xml:space="preserve">Business Development </t>
  </si>
  <si>
    <t>Affirm</t>
  </si>
  <si>
    <t>Memberships</t>
  </si>
  <si>
    <t>Advisory</t>
  </si>
  <si>
    <t>Cloud support engineer</t>
  </si>
  <si>
    <t>Bonus is sign on only and is spread over the first 2 years only. Stock is usually granted after the second year.</t>
  </si>
  <si>
    <t>Linux</t>
  </si>
  <si>
    <t xml:space="preserve">Quantcast </t>
  </si>
  <si>
    <t>UX Designer</t>
  </si>
  <si>
    <t>Sales Operations</t>
  </si>
  <si>
    <t>Lehi, Utah</t>
  </si>
  <si>
    <t>Jane Street Capital</t>
  </si>
  <si>
    <t xml:space="preserve">Senior Staff Eng </t>
  </si>
  <si>
    <t>Software engineering</t>
  </si>
  <si>
    <t>RTP,NC</t>
  </si>
  <si>
    <t>Oakland</t>
  </si>
  <si>
    <t>Extra: car + iPhone +unlimited data + travel + parking costs + tank card for whole europe + laptop included</t>
  </si>
  <si>
    <t>Cadence</t>
  </si>
  <si>
    <t>Field Application Engineering</t>
  </si>
  <si>
    <t>walmart</t>
  </si>
  <si>
    <t>l6</t>
  </si>
  <si>
    <t>Bentonville, AR</t>
  </si>
  <si>
    <t>EPAM Systems</t>
  </si>
  <si>
    <t xml:space="preserve">Atlanta </t>
  </si>
  <si>
    <t>lmts</t>
  </si>
  <si>
    <t xml:space="preserve">stock went up since initial grant (driving the value up) </t>
  </si>
  <si>
    <t>Senior UX Engineer</t>
  </si>
  <si>
    <t>Average Comp in Thousands</t>
  </si>
  <si>
    <t># of Entries</t>
  </si>
  <si>
    <t>Tag / Skill</t>
  </si>
  <si>
    <t>Date</t>
  </si>
  <si>
    <t>Vmware</t>
  </si>
  <si>
    <t>Covermymeds</t>
  </si>
  <si>
    <t>Hft Firm</t>
  </si>
  <si>
    <t>188000</t>
  </si>
  <si>
    <t>Sap</t>
  </si>
  <si>
    <t>Fb</t>
  </si>
  <si>
    <t>Battelle (Pnnl)</t>
  </si>
  <si>
    <t>Ge Digital</t>
  </si>
  <si>
    <t>Hewlett Packard Enterprise</t>
  </si>
  <si>
    <t>Ca Technologies</t>
  </si>
  <si>
    <t>Usaa</t>
  </si>
  <si>
    <t>Machine Zone Inc</t>
  </si>
  <si>
    <t>Kuka Robotics</t>
  </si>
  <si>
    <t>Playstation</t>
  </si>
  <si>
    <t>Ge</t>
  </si>
  <si>
    <t>Wework</t>
  </si>
  <si>
    <t>Jp Morgan Chase</t>
  </si>
  <si>
    <t>Netapp</t>
  </si>
  <si>
    <t>Oracle Oci</t>
  </si>
  <si>
    <t>Xyz, Inc</t>
  </si>
  <si>
    <t>Turn It In</t>
  </si>
  <si>
    <t>Mutual Of Omaha</t>
  </si>
  <si>
    <t>Blackrock</t>
  </si>
  <si>
    <t>Booking</t>
  </si>
  <si>
    <t>Bloomberg Lp</t>
  </si>
  <si>
    <t>Sap Ariba</t>
  </si>
  <si>
    <t>Rxnetworks</t>
  </si>
  <si>
    <t>Intuit Inc.</t>
  </si>
  <si>
    <t>Smartthings</t>
  </si>
  <si>
    <t>Mapr</t>
  </si>
  <si>
    <t>Ge Healthcare</t>
  </si>
  <si>
    <t>Nextgen Healthcare</t>
  </si>
  <si>
    <t>Center Id</t>
  </si>
  <si>
    <t>Grubhub</t>
  </si>
  <si>
    <t>Appnexus</t>
  </si>
  <si>
    <t>Tripadvisor</t>
  </si>
  <si>
    <t>Tcs</t>
  </si>
  <si>
    <t>Us Navy</t>
  </si>
  <si>
    <t>Realtor</t>
  </si>
  <si>
    <t>Adp</t>
  </si>
  <si>
    <t>Ey</t>
  </si>
  <si>
    <t>Us Army</t>
  </si>
  <si>
    <t>O'Reilly Automotive</t>
  </si>
  <si>
    <t>Veritas Technologies Llc</t>
  </si>
  <si>
    <t>T-Mobile Usa</t>
  </si>
  <si>
    <t>Oclc</t>
  </si>
  <si>
    <t>Gbit</t>
  </si>
  <si>
    <t>Gbit Inc</t>
  </si>
  <si>
    <t>20Th Century Fox</t>
  </si>
  <si>
    <t>Lendingclub</t>
  </si>
  <si>
    <t>Mobileiron</t>
  </si>
  <si>
    <t>Domino’S Pizza</t>
  </si>
  <si>
    <t>Fireeye</t>
  </si>
  <si>
    <t>Gopro</t>
  </si>
  <si>
    <t>Cooper Schroeder Llc</t>
  </si>
  <si>
    <t>Howard And Mooney Llc</t>
  </si>
  <si>
    <t>Hebert And Roth Traders</t>
  </si>
  <si>
    <t>Hft</t>
  </si>
  <si>
    <t>Walmart Ecommerce</t>
  </si>
  <si>
    <t>F5 Networkd</t>
  </si>
  <si>
    <t>Kings College London</t>
  </si>
  <si>
    <t>Fd</t>
  </si>
  <si>
    <t>Domino’S</t>
  </si>
  <si>
    <t>Bank Of America</t>
  </si>
  <si>
    <t>Tm</t>
  </si>
  <si>
    <t>Hon</t>
  </si>
  <si>
    <t>Tva</t>
  </si>
  <si>
    <t>Kayak</t>
  </si>
  <si>
    <t>Priceline</t>
  </si>
  <si>
    <t>Centurylink Developer</t>
  </si>
  <si>
    <t>Centurylink</t>
  </si>
  <si>
    <t>Cquniversity Australia</t>
  </si>
  <si>
    <t>Bps Bildungsportal Sachsen Gmbh</t>
  </si>
  <si>
    <t>Beumer Group</t>
  </si>
  <si>
    <t>Gft</t>
  </si>
  <si>
    <t>Pcg</t>
  </si>
  <si>
    <t>Cornerstone Ondemand</t>
  </si>
  <si>
    <t>Schumacher Clinical Partners</t>
  </si>
  <si>
    <t>Microsoft'S</t>
  </si>
  <si>
    <t>Cdk Global</t>
  </si>
  <si>
    <t>Jpmorgan Chase</t>
  </si>
  <si>
    <t>Are you an expert at Google Spreadsheets? Email us at hello@levels.fyi to help us create Pivot tables!</t>
  </si>
  <si>
    <t>Dsafad</t>
  </si>
  <si>
    <t>Montefiore It</t>
  </si>
  <si>
    <t>Msft</t>
  </si>
  <si>
    <t>Realpage, Inc</t>
  </si>
  <si>
    <t>Mcgrawhill Education</t>
  </si>
  <si>
    <t>Domino Data Lab</t>
  </si>
  <si>
    <t>Bank Of America Merrill Lynch</t>
  </si>
  <si>
    <t>Mck</t>
  </si>
  <si>
    <t>Lawrence Livermore National Security, Llc</t>
  </si>
  <si>
    <t>Rubicon Project</t>
  </si>
  <si>
    <t>Globallogic</t>
  </si>
  <si>
    <t>Ernst And Young</t>
  </si>
  <si>
    <t>Do Not Exist</t>
  </si>
  <si>
    <t>Pagerduty</t>
  </si>
  <si>
    <t>Pnnl</t>
  </si>
  <si>
    <t>Itg</t>
  </si>
  <si>
    <t>Rei</t>
  </si>
  <si>
    <t>Hmh</t>
  </si>
  <si>
    <t>Innovation Micro Technology</t>
  </si>
  <si>
    <t>Telus</t>
  </si>
  <si>
    <t>At&amp;T</t>
  </si>
  <si>
    <t>Siriusxm</t>
  </si>
  <si>
    <t>Cvs Health</t>
  </si>
  <si>
    <t>Bold</t>
  </si>
  <si>
    <t>Johnson And Johnson</t>
  </si>
  <si>
    <t>Oyo</t>
  </si>
  <si>
    <t>Tenx</t>
  </si>
  <si>
    <t>Broadcom</t>
  </si>
  <si>
    <t>Nuodb</t>
  </si>
  <si>
    <t>Usaid</t>
  </si>
  <si>
    <t>Grant Thornton Llp</t>
  </si>
  <si>
    <t>Youtube</t>
  </si>
  <si>
    <t>Nerdwallet</t>
  </si>
  <si>
    <t>Gxc</t>
  </si>
  <si>
    <t>Zoom</t>
  </si>
  <si>
    <t>Tasc Consulting And Capital</t>
  </si>
  <si>
    <t>Bswift</t>
  </si>
  <si>
    <t>Hp</t>
  </si>
  <si>
    <t>Wave Hq</t>
  </si>
  <si>
    <t>Blah</t>
  </si>
  <si>
    <t>Rstudio</t>
  </si>
  <si>
    <t>Aruba</t>
  </si>
  <si>
    <t>Zenreach</t>
  </si>
  <si>
    <t>Mailchimp</t>
  </si>
  <si>
    <t>Hca</t>
  </si>
  <si>
    <t>Opentext</t>
  </si>
  <si>
    <t>Digitalocean</t>
  </si>
  <si>
    <t>Referralcandy</t>
  </si>
  <si>
    <t>Standard Bank Group</t>
  </si>
  <si>
    <t>Nice</t>
  </si>
  <si>
    <t>Mit Lincoln Laboratory</t>
  </si>
  <si>
    <t>Zalando Se</t>
  </si>
  <si>
    <t>Github</t>
  </si>
  <si>
    <t>Abc</t>
  </si>
  <si>
    <t>Rallyhealth</t>
  </si>
  <si>
    <t>Alarm</t>
  </si>
  <si>
    <t>Peopledoc</t>
  </si>
  <si>
    <t>Bmc</t>
  </si>
  <si>
    <t>Msignia Inc.</t>
  </si>
  <si>
    <t>Niche</t>
  </si>
  <si>
    <t>Ssi</t>
  </si>
  <si>
    <t>Servicenow</t>
  </si>
  <si>
    <t>Hpe</t>
  </si>
  <si>
    <t>Mips</t>
  </si>
  <si>
    <t>Traceme</t>
  </si>
  <si>
    <t>Ivr Technology Group</t>
  </si>
  <si>
    <t>Marketo</t>
  </si>
  <si>
    <t>Collegetnet</t>
  </si>
  <si>
    <t>Fintech Startup</t>
  </si>
  <si>
    <t>Ncc</t>
  </si>
  <si>
    <t>Greeninfo Network</t>
  </si>
  <si>
    <t>Flower Company</t>
  </si>
  <si>
    <t>Zdv</t>
  </si>
  <si>
    <t>Att</t>
  </si>
  <si>
    <t>Pony.Ai</t>
  </si>
  <si>
    <t>Z</t>
  </si>
  <si>
    <t>Investcloud</t>
  </si>
  <si>
    <t>Sas</t>
  </si>
  <si>
    <t>Saic</t>
  </si>
  <si>
    <t>Top Hat</t>
  </si>
  <si>
    <t>Epam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</si>
</sst>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5">
    <font>
      <sz val="10.0"/>
      <color rgb="FF000000"/>
      <name val="Arial"/>
    </font>
    <font>
      <b/>
      <i/>
    </font>
    <font/>
    <font>
      <b/>
    </font>
    <font>
      <b/>
      <sz val="12.0"/>
      <color rgb="FF0B5394"/>
      <name val="Arial"/>
    </font>
    <font>
      <b/>
      <u/>
      <sz val="12.0"/>
      <color rgb="FF0B5394"/>
      <name val="Arial"/>
    </font>
    <font>
      <b/>
      <u/>
      <sz val="12.0"/>
      <color rgb="FF0B5394"/>
      <name val="Arial"/>
    </font>
    <font>
      <b/>
      <u/>
      <sz val="12.0"/>
      <color rgb="FF0B5394"/>
      <name val="Arial"/>
    </font>
    <font>
      <b/>
      <u/>
      <sz val="12.0"/>
      <color rgb="FF0B5394"/>
      <name val="Arial"/>
    </font>
    <font>
      <u/>
      <color rgb="FF0000FF"/>
    </font>
    <font>
      <u/>
      <color rgb="FF0000FF"/>
    </font>
    <font>
      <u/>
      <color rgb="FF0000FF"/>
    </font>
    <font>
      <b/>
      <sz val="10.0"/>
    </font>
    <font>
      <sz val="10.0"/>
    </font>
    <font>
      <color rgb="FFF7981D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Font="1" applyNumberFormat="1"/>
    <xf borderId="0" fillId="2" fontId="3" numFmtId="0" xfId="0" applyFill="1" applyFont="1"/>
    <xf borderId="0" fillId="2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right" readingOrder="0" shrinkToFit="0" wrapText="0"/>
    </xf>
    <xf borderId="0" fillId="3" fontId="5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6" numFmtId="0" xfId="0" applyAlignment="1" applyFont="1">
      <alignment horizontal="right" readingOrder="0"/>
    </xf>
    <xf borderId="0" fillId="4" fontId="4" numFmtId="0" xfId="0" applyAlignment="1" applyFill="1" applyFont="1">
      <alignment horizontal="right" readingOrder="0"/>
    </xf>
    <xf borderId="0" fillId="4" fontId="7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  <xf borderId="1" fillId="3" fontId="4" numFmtId="0" xfId="0" applyAlignment="1" applyBorder="1" applyFont="1">
      <alignment horizontal="right" readingOrder="0"/>
    </xf>
    <xf borderId="1" fillId="3" fontId="8" numFmtId="0" xfId="0" applyAlignment="1" applyBorder="1" applyFont="1">
      <alignment horizontal="left" readingOrder="0"/>
    </xf>
    <xf borderId="1" fillId="0" fontId="2" numFmtId="0" xfId="0" applyBorder="1" applyFont="1"/>
    <xf borderId="1" fillId="3" fontId="4" numFmtId="0" xfId="0" applyAlignment="1" applyBorder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3" numFmtId="14" xfId="0" applyFont="1" applyNumberFormat="1"/>
    <xf borderId="0" fillId="0" fontId="14" numFmtId="0" xfId="0" applyFont="1"/>
    <xf borderId="0" fillId="0" fontId="1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Form Response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'Pivot Tables (Coming Soon)'!$A$1</c:f>
            </c:strRef>
          </c:cat>
          <c:val>
            <c:numRef>
              <c:f>'Pivot Tables (Coming Soon)'!$A$1</c:f>
            </c:numRef>
          </c:val>
        </c:ser>
        <c:axId val="527688544"/>
        <c:axId val="1907224934"/>
      </c:barChart>
      <c:catAx>
        <c:axId val="52768854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07224934"/>
      </c:catAx>
      <c:valAx>
        <c:axId val="19072249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27688544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'Form Responses'!$E$5</c:f>
            </c:strRef>
          </c:tx>
          <c:spPr>
            <a:solidFill>
              <a:srgbClr val="3366CC"/>
            </a:solidFill>
          </c:spPr>
          <c:trendline>
            <c:name/>
            <c:spPr>
              <a:ln w="38100">
                <a:solidFill>
                  <a:srgbClr val="93C47D">
                    <a:alpha val="90196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'Form Responses'!$G$6:$G$4371</c:f>
            </c:strRef>
          </c:cat>
          <c:val>
            <c:numRef>
              <c:f>'Form Responses'!$E$6:$E$4371</c:f>
            </c:numRef>
          </c:val>
        </c:ser>
        <c:overlap val="100"/>
        <c:axId val="1025941144"/>
        <c:axId val="2023221517"/>
      </c:barChart>
      <c:catAx>
        <c:axId val="1025941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latin typeface="sans-serif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latin typeface="Arial black"/>
              </a:defRPr>
            </a:pPr>
          </a:p>
        </c:txPr>
        <c:crossAx val="2023221517"/>
      </c:catAx>
      <c:valAx>
        <c:axId val="20232215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latin typeface="Arial black"/>
              </a:defRPr>
            </a:pPr>
          </a:p>
        </c:txPr>
        <c:crossAx val="1025941144"/>
      </c:valAx>
    </c:plotArea>
    <c:legend>
      <c:legendPos val="tr"/>
      <c:overlay val="1"/>
      <c:txPr>
        <a:bodyPr/>
        <a:lstStyle/>
        <a:p>
          <a:pPr lvl="0">
            <a:defRPr>
              <a:latin typeface="Arial black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209550</xdr:colOff>
      <xdr:row>3</xdr:row>
      <xdr:rowOff>1162050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209550</xdr:colOff>
      <xdr:row>3</xdr:row>
      <xdr:rowOff>1162050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6:R4371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Form Respons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Booking.com" TargetMode="External"/><Relationship Id="rId22" Type="http://schemas.openxmlformats.org/officeDocument/2006/relationships/hyperlink" Target="http://Booking.com" TargetMode="External"/><Relationship Id="rId21" Type="http://schemas.openxmlformats.org/officeDocument/2006/relationships/hyperlink" Target="http://Booking.com" TargetMode="External"/><Relationship Id="rId24" Type="http://schemas.openxmlformats.org/officeDocument/2006/relationships/hyperlink" Target="http://Booking.com" TargetMode="External"/><Relationship Id="rId23" Type="http://schemas.openxmlformats.org/officeDocument/2006/relationships/hyperlink" Target="http://A9.com" TargetMode="External"/><Relationship Id="rId1" Type="http://schemas.openxmlformats.org/officeDocument/2006/relationships/hyperlink" Target="https://www.Levels.fyi" TargetMode="External"/><Relationship Id="rId2" Type="http://schemas.openxmlformats.org/officeDocument/2006/relationships/hyperlink" Target="http://www.Comp.fyi" TargetMode="External"/><Relationship Id="rId3" Type="http://schemas.openxmlformats.org/officeDocument/2006/relationships/hyperlink" Target="https://www.levels.fyi/addcomp.html" TargetMode="External"/><Relationship Id="rId4" Type="http://schemas.openxmlformats.org/officeDocument/2006/relationships/hyperlink" Target="http://salesforce.com" TargetMode="External"/><Relationship Id="rId9" Type="http://schemas.openxmlformats.org/officeDocument/2006/relationships/hyperlink" Target="http://Salesforce.com" TargetMode="External"/><Relationship Id="rId26" Type="http://schemas.openxmlformats.org/officeDocument/2006/relationships/hyperlink" Target="http://Booking.com" TargetMode="External"/><Relationship Id="rId25" Type="http://schemas.openxmlformats.org/officeDocument/2006/relationships/hyperlink" Target="http://Booking.com" TargetMode="External"/><Relationship Id="rId28" Type="http://schemas.openxmlformats.org/officeDocument/2006/relationships/hyperlink" Target="http://Booking.com" TargetMode="External"/><Relationship Id="rId27" Type="http://schemas.openxmlformats.org/officeDocument/2006/relationships/hyperlink" Target="http://Booking.com" TargetMode="External"/><Relationship Id="rId5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29" Type="http://schemas.openxmlformats.org/officeDocument/2006/relationships/hyperlink" Target="http://Alarm.com" TargetMode="External"/><Relationship Id="rId7" Type="http://schemas.openxmlformats.org/officeDocument/2006/relationships/hyperlink" Target="http://Amazon.com" TargetMode="External"/><Relationship Id="rId8" Type="http://schemas.openxmlformats.org/officeDocument/2006/relationships/hyperlink" Target="http://salesforce.com" TargetMode="External"/><Relationship Id="rId31" Type="http://schemas.openxmlformats.org/officeDocument/2006/relationships/hyperlink" Target="http://Booking.com" TargetMode="External"/><Relationship Id="rId30" Type="http://schemas.openxmlformats.org/officeDocument/2006/relationships/hyperlink" Target="http://Niche.com" TargetMode="External"/><Relationship Id="rId11" Type="http://schemas.openxmlformats.org/officeDocument/2006/relationships/hyperlink" Target="http://Amazon.co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Amazon.com" TargetMode="External"/><Relationship Id="rId32" Type="http://schemas.openxmlformats.org/officeDocument/2006/relationships/hyperlink" Target="http://pony.ai" TargetMode="External"/><Relationship Id="rId13" Type="http://schemas.openxmlformats.org/officeDocument/2006/relationships/hyperlink" Target="http://BOOKING.COM" TargetMode="External"/><Relationship Id="rId35" Type="http://schemas.openxmlformats.org/officeDocument/2006/relationships/table" Target="../tables/table1.xml"/><Relationship Id="rId12" Type="http://schemas.openxmlformats.org/officeDocument/2006/relationships/hyperlink" Target="http://Booking.com" TargetMode="External"/><Relationship Id="rId15" Type="http://schemas.openxmlformats.org/officeDocument/2006/relationships/hyperlink" Target="http://Amazon.com" TargetMode="External"/><Relationship Id="rId14" Type="http://schemas.openxmlformats.org/officeDocument/2006/relationships/hyperlink" Target="http://Booking.com" TargetMode="External"/><Relationship Id="rId17" Type="http://schemas.openxmlformats.org/officeDocument/2006/relationships/hyperlink" Target="http://Priceline.com" TargetMode="External"/><Relationship Id="rId16" Type="http://schemas.openxmlformats.org/officeDocument/2006/relationships/hyperlink" Target="http://Realtor.com" TargetMode="External"/><Relationship Id="rId19" Type="http://schemas.openxmlformats.org/officeDocument/2006/relationships/hyperlink" Target="http://Booking.com" TargetMode="External"/><Relationship Id="rId18" Type="http://schemas.openxmlformats.org/officeDocument/2006/relationships/hyperlink" Target="https://airtable.com/shrfDqPOvJ9X1OWGn/tblGn8WxUtTCdNrC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salesforce.com" TargetMode="External"/><Relationship Id="rId4" Type="http://schemas.openxmlformats.org/officeDocument/2006/relationships/hyperlink" Target="http://Realtor.com" TargetMode="External"/><Relationship Id="rId9" Type="http://schemas.openxmlformats.org/officeDocument/2006/relationships/hyperlink" Target="http://Alarm.com" TargetMode="External"/><Relationship Id="rId5" Type="http://schemas.openxmlformats.org/officeDocument/2006/relationships/hyperlink" Target="http://Priceline.com" TargetMode="External"/><Relationship Id="rId6" Type="http://schemas.openxmlformats.org/officeDocument/2006/relationships/hyperlink" Target="http://pony.ai" TargetMode="External"/><Relationship Id="rId7" Type="http://schemas.openxmlformats.org/officeDocument/2006/relationships/hyperlink" Target="http://Niche.com" TargetMode="External"/><Relationship Id="rId8" Type="http://schemas.openxmlformats.org/officeDocument/2006/relationships/hyperlink" Target="http://Booking.com" TargetMode="External"/><Relationship Id="rId1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Pony.Ai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Pony.Ai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8" width="21.57"/>
  </cols>
  <sheetData>
    <row r="1" hidden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4" t="s">
        <v>13</v>
      </c>
      <c r="N1" s="4" t="s">
        <v>14</v>
      </c>
      <c r="O1" s="5"/>
      <c r="P1" s="5"/>
      <c r="Q1" s="4" t="s">
        <v>15</v>
      </c>
      <c r="R1" s="4" t="s">
        <v>15</v>
      </c>
    </row>
    <row r="2">
      <c r="A2" s="6" t="s">
        <v>16</v>
      </c>
      <c r="B2" s="7" t="s">
        <v>17</v>
      </c>
      <c r="D2" s="8" t="s">
        <v>18</v>
      </c>
      <c r="E2" s="7" t="s">
        <v>19</v>
      </c>
      <c r="O2" s="9"/>
      <c r="P2" s="9"/>
      <c r="Q2" s="9"/>
      <c r="R2" s="9"/>
    </row>
    <row r="3">
      <c r="A3" s="10" t="s">
        <v>20</v>
      </c>
      <c r="B3" s="11" t="str">
        <f>HYPERLINK("https://triplebyte.com/a/OCT5OUw/s","Triplebyte: The Fastest Way to Level Up")</f>
        <v>Triplebyte: The Fastest Way to Level Up</v>
      </c>
      <c r="M3" s="12"/>
      <c r="N3" s="12"/>
      <c r="O3" s="12"/>
      <c r="P3" s="12"/>
      <c r="Q3" s="12"/>
      <c r="R3" s="12"/>
    </row>
    <row r="4">
      <c r="A4" s="13" t="s">
        <v>21</v>
      </c>
      <c r="B4" s="14" t="s">
        <v>22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  <c r="N4" s="16"/>
      <c r="O4" s="17"/>
      <c r="P4" s="17"/>
      <c r="Q4" s="17"/>
      <c r="R4" s="17"/>
    </row>
    <row r="5">
      <c r="A5" s="18" t="s">
        <v>1</v>
      </c>
      <c r="B5" s="18" t="s">
        <v>2</v>
      </c>
      <c r="C5" s="18" t="s">
        <v>3</v>
      </c>
      <c r="D5" s="19" t="s">
        <v>4</v>
      </c>
      <c r="E5" s="18" t="s">
        <v>5</v>
      </c>
      <c r="F5" s="18" t="s">
        <v>6</v>
      </c>
      <c r="G5" s="18" t="s">
        <v>7</v>
      </c>
      <c r="H5" s="18" t="s">
        <v>8</v>
      </c>
      <c r="I5" s="18" t="s">
        <v>9</v>
      </c>
      <c r="J5" s="19" t="s">
        <v>23</v>
      </c>
      <c r="K5" s="19" t="s">
        <v>24</v>
      </c>
      <c r="L5" s="18" t="s">
        <v>12</v>
      </c>
      <c r="M5" s="19" t="s">
        <v>13</v>
      </c>
      <c r="N5" s="19" t="s">
        <v>14</v>
      </c>
      <c r="O5" s="19" t="s">
        <v>15</v>
      </c>
      <c r="P5" s="19" t="s">
        <v>15</v>
      </c>
      <c r="Q5" s="19" t="s">
        <v>15</v>
      </c>
      <c r="R5" s="19" t="s">
        <v>15</v>
      </c>
    </row>
    <row r="6">
      <c r="A6" s="20">
        <v>42893.48156550926</v>
      </c>
      <c r="B6" s="21" t="s">
        <v>25</v>
      </c>
      <c r="C6" s="21" t="s">
        <v>26</v>
      </c>
      <c r="D6" s="21" t="s">
        <v>27</v>
      </c>
      <c r="E6" s="21">
        <v>127.0</v>
      </c>
      <c r="F6" s="21" t="s">
        <v>28</v>
      </c>
      <c r="G6" s="21">
        <v>1.5</v>
      </c>
      <c r="H6" s="21">
        <v>1.5</v>
      </c>
      <c r="I6" s="21">
        <v>107.0</v>
      </c>
      <c r="J6" s="21">
        <v>20.0</v>
      </c>
      <c r="K6" s="21">
        <v>10.0</v>
      </c>
      <c r="L6" s="22"/>
      <c r="M6" s="22"/>
      <c r="N6" s="22"/>
      <c r="O6" s="22"/>
      <c r="P6" s="22"/>
      <c r="Q6" s="22"/>
      <c r="R6" s="22"/>
    </row>
    <row r="7">
      <c r="A7" s="20">
        <v>42896.7163134838</v>
      </c>
      <c r="B7" s="21" t="s">
        <v>29</v>
      </c>
      <c r="C7" s="21" t="s">
        <v>30</v>
      </c>
      <c r="D7" s="21" t="s">
        <v>31</v>
      </c>
      <c r="E7" s="21">
        <v>100.0</v>
      </c>
      <c r="F7" s="21" t="s">
        <v>32</v>
      </c>
      <c r="G7" s="21">
        <v>5.0</v>
      </c>
      <c r="H7" s="21">
        <v>3.0</v>
      </c>
      <c r="I7" s="22"/>
      <c r="J7" s="22"/>
      <c r="K7" s="22"/>
      <c r="L7" s="22"/>
      <c r="M7" s="22"/>
      <c r="N7" s="22"/>
      <c r="O7" s="22"/>
      <c r="P7" s="22"/>
      <c r="Q7" s="22"/>
      <c r="R7" s="22"/>
    </row>
    <row r="8">
      <c r="A8" s="20">
        <v>42897.62079364584</v>
      </c>
      <c r="B8" s="21" t="s">
        <v>33</v>
      </c>
      <c r="C8" s="21" t="s">
        <v>34</v>
      </c>
      <c r="D8" s="21" t="s">
        <v>27</v>
      </c>
      <c r="E8" s="21">
        <v>310.0</v>
      </c>
      <c r="F8" s="21" t="s">
        <v>35</v>
      </c>
      <c r="G8" s="21">
        <v>8.0</v>
      </c>
      <c r="H8" s="21">
        <v>0.0</v>
      </c>
      <c r="I8" s="21">
        <v>155.0</v>
      </c>
      <c r="J8" s="22"/>
      <c r="K8" s="22"/>
      <c r="L8" s="22"/>
      <c r="M8" s="22"/>
      <c r="N8" s="22"/>
      <c r="O8" s="22"/>
      <c r="P8" s="22"/>
      <c r="Q8" s="22"/>
      <c r="R8" s="22"/>
    </row>
    <row r="9">
      <c r="A9" s="20">
        <v>42899.233059907405</v>
      </c>
      <c r="B9" s="21" t="s">
        <v>36</v>
      </c>
      <c r="C9" s="21" t="s">
        <v>37</v>
      </c>
      <c r="D9" s="21" t="s">
        <v>31</v>
      </c>
      <c r="E9" s="21">
        <v>578.0</v>
      </c>
      <c r="F9" s="21" t="s">
        <v>38</v>
      </c>
      <c r="G9" s="21">
        <v>10.0</v>
      </c>
      <c r="H9" s="21">
        <v>2.0</v>
      </c>
      <c r="I9" s="21">
        <v>180000.0</v>
      </c>
      <c r="J9" s="21">
        <v>1550000.0</v>
      </c>
      <c r="K9" s="21">
        <v>9000.0</v>
      </c>
      <c r="L9" s="21" t="s">
        <v>39</v>
      </c>
      <c r="M9" s="23"/>
      <c r="N9" s="23"/>
      <c r="O9" s="23"/>
      <c r="P9" s="23"/>
      <c r="Q9" s="23"/>
      <c r="R9" s="23"/>
    </row>
    <row r="10">
      <c r="A10" s="20">
        <v>42900.89056260417</v>
      </c>
      <c r="B10" s="21" t="s">
        <v>40</v>
      </c>
      <c r="C10" s="21">
        <v>64.0</v>
      </c>
      <c r="D10" s="21" t="s">
        <v>41</v>
      </c>
      <c r="E10" s="21">
        <v>200.0</v>
      </c>
      <c r="F10" s="21" t="s">
        <v>42</v>
      </c>
      <c r="G10" s="21">
        <v>9.0</v>
      </c>
      <c r="H10" s="21">
        <v>9.0</v>
      </c>
      <c r="I10" s="21">
        <v>169000.0</v>
      </c>
      <c r="J10" s="21">
        <v>100000.0</v>
      </c>
      <c r="K10" s="21">
        <v>30000.0</v>
      </c>
      <c r="L10" s="22"/>
      <c r="M10" s="22"/>
      <c r="N10" s="22"/>
      <c r="O10" s="22"/>
      <c r="P10" s="22"/>
      <c r="Q10" s="22"/>
      <c r="R10" s="22"/>
    </row>
    <row r="11">
      <c r="A11" s="20">
        <v>42902.44723494213</v>
      </c>
      <c r="B11" s="21" t="s">
        <v>33</v>
      </c>
      <c r="C11" s="21" t="s">
        <v>43</v>
      </c>
      <c r="D11" s="21" t="s">
        <v>31</v>
      </c>
      <c r="E11" s="21">
        <v>173.0</v>
      </c>
      <c r="F11" s="21" t="s">
        <v>44</v>
      </c>
      <c r="G11" s="21">
        <v>11.0</v>
      </c>
      <c r="H11" s="21">
        <v>1.0</v>
      </c>
      <c r="I11" s="21">
        <v>120000.0</v>
      </c>
      <c r="J11" s="22"/>
      <c r="K11" s="21">
        <v>53000.0</v>
      </c>
      <c r="L11" s="22"/>
      <c r="M11" s="22"/>
      <c r="N11" s="22"/>
      <c r="O11" s="22"/>
      <c r="P11" s="22"/>
      <c r="Q11" s="22"/>
      <c r="R11" s="22"/>
    </row>
    <row r="12">
      <c r="A12" s="20">
        <v>42903.01613089121</v>
      </c>
      <c r="B12" s="21" t="s">
        <v>45</v>
      </c>
      <c r="C12" s="21" t="s">
        <v>46</v>
      </c>
      <c r="D12" s="21" t="s">
        <v>41</v>
      </c>
      <c r="E12" s="21">
        <v>372.0</v>
      </c>
      <c r="F12" s="21" t="s">
        <v>47</v>
      </c>
      <c r="G12" s="21">
        <v>7.0</v>
      </c>
      <c r="H12" s="21">
        <v>5.0</v>
      </c>
      <c r="I12" s="21">
        <v>157.0</v>
      </c>
      <c r="J12" s="21">
        <v>180.0</v>
      </c>
      <c r="K12" s="21">
        <v>35.0</v>
      </c>
      <c r="L12" s="22"/>
      <c r="M12" s="22"/>
      <c r="N12" s="22"/>
      <c r="O12" s="22"/>
      <c r="P12" s="22"/>
      <c r="Q12" s="22"/>
      <c r="R12" s="22"/>
    </row>
    <row r="13">
      <c r="A13" s="20">
        <v>42904.98426611111</v>
      </c>
      <c r="B13" s="21" t="s">
        <v>48</v>
      </c>
      <c r="C13" s="21" t="s">
        <v>49</v>
      </c>
      <c r="D13" s="21" t="s">
        <v>31</v>
      </c>
      <c r="E13" s="21">
        <v>270.0</v>
      </c>
      <c r="F13" s="21" t="s">
        <v>50</v>
      </c>
      <c r="G13" s="21">
        <v>3.5</v>
      </c>
      <c r="H13" s="21">
        <v>2.0</v>
      </c>
      <c r="I13" s="21">
        <v>160.0</v>
      </c>
      <c r="J13" s="22"/>
      <c r="K13" s="22"/>
      <c r="L13" s="22"/>
      <c r="M13" s="22"/>
      <c r="N13" s="22"/>
      <c r="O13" s="22"/>
      <c r="P13" s="22"/>
      <c r="Q13" s="22"/>
      <c r="R13" s="22"/>
    </row>
    <row r="14">
      <c r="A14" s="20">
        <v>42906.45753542824</v>
      </c>
      <c r="B14" s="21" t="s">
        <v>40</v>
      </c>
      <c r="C14" s="21">
        <v>60.0</v>
      </c>
      <c r="D14" s="21" t="s">
        <v>31</v>
      </c>
      <c r="E14" s="21">
        <v>157.0</v>
      </c>
      <c r="F14" s="21" t="s">
        <v>51</v>
      </c>
      <c r="G14" s="21">
        <v>5.0</v>
      </c>
      <c r="H14" s="21">
        <v>3.0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>
      <c r="A15" s="20">
        <v>42906.784706817125</v>
      </c>
      <c r="B15" s="21" t="s">
        <v>33</v>
      </c>
      <c r="C15" s="21" t="s">
        <v>43</v>
      </c>
      <c r="D15" s="21" t="s">
        <v>31</v>
      </c>
      <c r="E15" s="21">
        <v>190.0</v>
      </c>
      <c r="F15" s="21" t="s">
        <v>35</v>
      </c>
      <c r="G15" s="21">
        <v>3.0</v>
      </c>
      <c r="H15" s="21">
        <v>3.0</v>
      </c>
      <c r="I15" s="21">
        <v>110000.0</v>
      </c>
      <c r="J15" s="21">
        <v>80000.0</v>
      </c>
      <c r="K15" s="22"/>
      <c r="L15" s="22"/>
      <c r="M15" s="22"/>
      <c r="N15" s="22"/>
      <c r="O15" s="22"/>
      <c r="P15" s="22"/>
      <c r="Q15" s="22"/>
      <c r="R15" s="22"/>
    </row>
    <row r="16">
      <c r="A16" s="20">
        <v>42907.72762908565</v>
      </c>
      <c r="B16" s="21" t="s">
        <v>40</v>
      </c>
      <c r="C16" s="21">
        <v>63.0</v>
      </c>
      <c r="D16" s="21" t="s">
        <v>31</v>
      </c>
      <c r="E16" s="21">
        <v>208.0</v>
      </c>
      <c r="F16" s="21" t="s">
        <v>35</v>
      </c>
      <c r="G16" s="21">
        <v>8.5</v>
      </c>
      <c r="H16" s="21">
        <v>8.5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>
      <c r="A17" s="20">
        <v>42908.52628917824</v>
      </c>
      <c r="B17" s="21" t="s">
        <v>40</v>
      </c>
      <c r="C17" s="21">
        <v>65.0</v>
      </c>
      <c r="D17" s="21" t="s">
        <v>41</v>
      </c>
      <c r="E17" s="21">
        <v>300.0</v>
      </c>
      <c r="F17" s="21" t="s">
        <v>52</v>
      </c>
      <c r="G17" s="21">
        <v>15.0</v>
      </c>
      <c r="H17" s="21">
        <v>11.0</v>
      </c>
      <c r="I17" s="21">
        <v>180.0</v>
      </c>
      <c r="J17" s="21">
        <v>65.0</v>
      </c>
      <c r="K17" s="21">
        <v>55.0</v>
      </c>
      <c r="L17" s="22"/>
      <c r="M17" s="22"/>
      <c r="N17" s="22"/>
      <c r="O17" s="22"/>
      <c r="P17" s="22"/>
      <c r="Q17" s="22"/>
      <c r="R17" s="22"/>
    </row>
    <row r="18">
      <c r="A18" s="20">
        <v>42908.580163819446</v>
      </c>
      <c r="B18" s="21" t="s">
        <v>40</v>
      </c>
      <c r="C18" s="21">
        <v>62.0</v>
      </c>
      <c r="D18" s="21" t="s">
        <v>31</v>
      </c>
      <c r="E18" s="21">
        <v>156.0</v>
      </c>
      <c r="F18" s="21" t="s">
        <v>35</v>
      </c>
      <c r="G18" s="21">
        <v>4.0</v>
      </c>
      <c r="H18" s="21">
        <v>4.0</v>
      </c>
      <c r="I18" s="21">
        <v>135.0</v>
      </c>
      <c r="J18" s="21">
        <v>8.0</v>
      </c>
      <c r="K18" s="21">
        <v>13.0</v>
      </c>
      <c r="L18" s="22"/>
      <c r="M18" s="22"/>
      <c r="N18" s="22"/>
      <c r="O18" s="22"/>
      <c r="P18" s="22"/>
      <c r="Q18" s="22"/>
      <c r="R18" s="22"/>
    </row>
    <row r="19">
      <c r="A19" s="20">
        <v>42908.90263420139</v>
      </c>
      <c r="B19" s="21" t="s">
        <v>36</v>
      </c>
      <c r="C19" s="21" t="s">
        <v>53</v>
      </c>
      <c r="D19" s="21" t="s">
        <v>41</v>
      </c>
      <c r="E19" s="21">
        <v>165.0</v>
      </c>
      <c r="F19" s="21" t="s">
        <v>54</v>
      </c>
      <c r="G19" s="21">
        <v>6.0</v>
      </c>
      <c r="H19" s="21">
        <v>1.5</v>
      </c>
      <c r="I19" s="21">
        <v>165.0</v>
      </c>
      <c r="J19" s="21">
        <v>10000.0</v>
      </c>
      <c r="K19" s="21">
        <v>131000.0</v>
      </c>
      <c r="L19" s="22"/>
      <c r="M19" s="22"/>
      <c r="N19" s="22"/>
      <c r="O19" s="22"/>
      <c r="P19" s="22"/>
      <c r="Q19" s="22"/>
      <c r="R19" s="22"/>
    </row>
    <row r="20">
      <c r="A20" s="20">
        <v>42908.96406857639</v>
      </c>
      <c r="B20" s="21" t="s">
        <v>55</v>
      </c>
      <c r="C20" s="21">
        <v>59.0</v>
      </c>
      <c r="D20" s="21" t="s">
        <v>31</v>
      </c>
      <c r="E20" s="21">
        <v>120.0</v>
      </c>
      <c r="F20" s="21" t="s">
        <v>56</v>
      </c>
      <c r="G20" s="21">
        <v>3.0</v>
      </c>
      <c r="H20" s="21">
        <v>1.0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>
      <c r="A21" s="20">
        <v>42912.89288005787</v>
      </c>
      <c r="B21" s="21" t="s">
        <v>40</v>
      </c>
      <c r="C21" s="21">
        <v>63.0</v>
      </c>
      <c r="D21" s="21" t="s">
        <v>31</v>
      </c>
      <c r="E21" s="21">
        <v>201.0</v>
      </c>
      <c r="F21" s="21" t="s">
        <v>35</v>
      </c>
      <c r="G21" s="21">
        <v>12.0</v>
      </c>
      <c r="H21" s="21">
        <v>6.0</v>
      </c>
      <c r="I21" s="21">
        <v>157.0</v>
      </c>
      <c r="J21" s="21">
        <v>26.0</v>
      </c>
      <c r="K21" s="21">
        <v>28.0</v>
      </c>
      <c r="L21" s="22"/>
      <c r="M21" s="22"/>
      <c r="N21" s="22"/>
      <c r="O21" s="22"/>
      <c r="P21" s="22"/>
      <c r="Q21" s="22"/>
      <c r="R21" s="22"/>
    </row>
    <row r="22">
      <c r="A22" s="20">
        <v>42915.634910162036</v>
      </c>
      <c r="B22" s="21" t="s">
        <v>40</v>
      </c>
      <c r="C22" s="21">
        <v>59.0</v>
      </c>
      <c r="D22" s="21" t="s">
        <v>31</v>
      </c>
      <c r="E22" s="21">
        <v>137.0</v>
      </c>
      <c r="F22" s="21" t="s">
        <v>35</v>
      </c>
      <c r="G22" s="21">
        <v>1.0</v>
      </c>
      <c r="H22" s="21">
        <v>1.0</v>
      </c>
      <c r="I22" s="21">
        <v>110000.0</v>
      </c>
      <c r="J22" s="21">
        <v>16000.0</v>
      </c>
      <c r="K22" s="21">
        <v>11000.0</v>
      </c>
      <c r="L22" s="22"/>
      <c r="M22" s="22"/>
      <c r="N22" s="22"/>
      <c r="O22" s="22"/>
      <c r="P22" s="22"/>
      <c r="Q22" s="22"/>
      <c r="R22" s="22"/>
    </row>
    <row r="23">
      <c r="A23" s="20">
        <v>42916.68738912037</v>
      </c>
      <c r="B23" s="21" t="s">
        <v>57</v>
      </c>
      <c r="C23" s="21">
        <v>9.0</v>
      </c>
      <c r="D23" s="21" t="s">
        <v>41</v>
      </c>
      <c r="E23" s="21">
        <v>450.0</v>
      </c>
      <c r="F23" s="21" t="s">
        <v>58</v>
      </c>
      <c r="G23" s="21">
        <v>16.0</v>
      </c>
      <c r="H23" s="21">
        <v>3.0</v>
      </c>
      <c r="I23" s="21">
        <v>230.0</v>
      </c>
      <c r="J23" s="21">
        <v>100.0</v>
      </c>
      <c r="K23" s="21">
        <v>45.0</v>
      </c>
      <c r="L23" s="22"/>
      <c r="M23" s="22"/>
      <c r="N23" s="22"/>
      <c r="O23" s="22"/>
      <c r="P23" s="22"/>
      <c r="Q23" s="22"/>
      <c r="R23" s="22"/>
    </row>
    <row r="24">
      <c r="A24" s="20">
        <v>42918.59504039352</v>
      </c>
      <c r="B24" s="21" t="s">
        <v>40</v>
      </c>
      <c r="C24" s="21" t="s">
        <v>59</v>
      </c>
      <c r="D24" s="21" t="s">
        <v>31</v>
      </c>
      <c r="E24" s="21">
        <v>155.0</v>
      </c>
      <c r="F24" s="21" t="s">
        <v>60</v>
      </c>
      <c r="G24" s="21">
        <v>5.0</v>
      </c>
      <c r="H24" s="21">
        <v>3.0</v>
      </c>
      <c r="I24" s="21">
        <v>126.0</v>
      </c>
      <c r="J24" s="22"/>
      <c r="K24" s="22"/>
      <c r="L24" s="22"/>
      <c r="M24" s="22"/>
      <c r="N24" s="22"/>
      <c r="O24" s="22"/>
      <c r="P24" s="22"/>
      <c r="Q24" s="22"/>
      <c r="R24" s="22"/>
    </row>
    <row r="25">
      <c r="A25" s="20">
        <v>42919.81121290509</v>
      </c>
      <c r="B25" s="21" t="s">
        <v>40</v>
      </c>
      <c r="C25" s="21">
        <v>63.0</v>
      </c>
      <c r="D25" s="21" t="s">
        <v>27</v>
      </c>
      <c r="E25" s="21">
        <v>150.0</v>
      </c>
      <c r="F25" s="21" t="s">
        <v>52</v>
      </c>
      <c r="G25" s="21">
        <v>10.0</v>
      </c>
      <c r="H25" s="21">
        <v>10.0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>
      <c r="A26" s="20">
        <v>42923.93719703704</v>
      </c>
      <c r="B26" s="21" t="s">
        <v>40</v>
      </c>
      <c r="C26" s="21">
        <v>63.0</v>
      </c>
      <c r="D26" s="21" t="s">
        <v>31</v>
      </c>
      <c r="E26" s="21">
        <v>191.0</v>
      </c>
      <c r="F26" s="21" t="s">
        <v>35</v>
      </c>
      <c r="G26" s="21">
        <v>7.0</v>
      </c>
      <c r="H26" s="21">
        <v>7.0</v>
      </c>
      <c r="I26" s="21">
        <v>152.0</v>
      </c>
      <c r="J26" s="21">
        <v>17.0</v>
      </c>
      <c r="K26" s="21">
        <v>22.0</v>
      </c>
      <c r="L26" s="22"/>
      <c r="M26" s="22"/>
      <c r="N26" s="22"/>
      <c r="O26" s="22"/>
      <c r="P26" s="22"/>
      <c r="Q26" s="22"/>
      <c r="R26" s="22"/>
    </row>
    <row r="27">
      <c r="A27" s="20">
        <v>42924.61224957176</v>
      </c>
      <c r="B27" s="21" t="s">
        <v>40</v>
      </c>
      <c r="C27" s="21">
        <v>61.0</v>
      </c>
      <c r="D27" s="21" t="s">
        <v>27</v>
      </c>
      <c r="E27" s="21">
        <v>115.0</v>
      </c>
      <c r="F27" s="21" t="s">
        <v>35</v>
      </c>
      <c r="G27" s="21">
        <v>4.0</v>
      </c>
      <c r="H27" s="21">
        <v>4.0</v>
      </c>
      <c r="I27" s="21">
        <v>115000.0</v>
      </c>
      <c r="J27" s="21">
        <v>6000.0</v>
      </c>
      <c r="K27" s="21">
        <v>8000.0</v>
      </c>
      <c r="L27" s="21" t="s">
        <v>61</v>
      </c>
      <c r="M27" s="23"/>
      <c r="N27" s="23"/>
      <c r="O27" s="23"/>
      <c r="P27" s="23"/>
      <c r="Q27" s="23"/>
      <c r="R27" s="23"/>
    </row>
    <row r="28">
      <c r="A28" s="20">
        <v>42930.900174016206</v>
      </c>
      <c r="B28" s="21" t="s">
        <v>33</v>
      </c>
      <c r="C28" s="21" t="s">
        <v>62</v>
      </c>
      <c r="D28" s="21" t="s">
        <v>41</v>
      </c>
      <c r="E28" s="21">
        <v>287.0</v>
      </c>
      <c r="F28" s="21" t="s">
        <v>63</v>
      </c>
      <c r="G28" s="21">
        <v>12.0</v>
      </c>
      <c r="H28" s="21">
        <v>1.0</v>
      </c>
      <c r="I28" s="21">
        <v>160.0</v>
      </c>
      <c r="J28" s="22"/>
      <c r="K28" s="22"/>
      <c r="L28" s="22"/>
      <c r="M28" s="22"/>
      <c r="N28" s="22"/>
      <c r="O28" s="22"/>
      <c r="P28" s="22"/>
      <c r="Q28" s="22"/>
      <c r="R28" s="22"/>
    </row>
    <row r="29">
      <c r="A29" s="20">
        <v>42932.00273532407</v>
      </c>
      <c r="B29" s="21" t="s">
        <v>64</v>
      </c>
      <c r="C29" s="21" t="s">
        <v>65</v>
      </c>
      <c r="D29" s="21" t="s">
        <v>31</v>
      </c>
      <c r="E29" s="21">
        <v>140.0</v>
      </c>
      <c r="F29" s="21" t="s">
        <v>66</v>
      </c>
      <c r="G29" s="21">
        <v>0.0</v>
      </c>
      <c r="H29" s="21">
        <v>0.0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>
      <c r="A30" s="20">
        <v>42932.70192148148</v>
      </c>
      <c r="B30" s="21" t="s">
        <v>33</v>
      </c>
      <c r="C30" s="21" t="s">
        <v>43</v>
      </c>
      <c r="D30" s="21" t="s">
        <v>31</v>
      </c>
      <c r="E30" s="21">
        <v>218.0</v>
      </c>
      <c r="F30" s="21" t="s">
        <v>35</v>
      </c>
      <c r="G30" s="21">
        <v>10.0</v>
      </c>
      <c r="H30" s="21">
        <v>0.0</v>
      </c>
      <c r="I30" s="21">
        <v>150.0</v>
      </c>
      <c r="J30" s="21">
        <v>7.0</v>
      </c>
      <c r="K30" s="21">
        <v>61.0</v>
      </c>
      <c r="L30" s="22"/>
      <c r="M30" s="22"/>
      <c r="N30" s="22"/>
      <c r="O30" s="22"/>
      <c r="P30" s="22"/>
      <c r="Q30" s="22"/>
      <c r="R30" s="22"/>
    </row>
    <row r="31">
      <c r="A31" s="20">
        <v>42933.910321944444</v>
      </c>
      <c r="B31" s="21" t="s">
        <v>67</v>
      </c>
      <c r="C31" s="21">
        <v>34.0</v>
      </c>
      <c r="D31" s="21" t="s">
        <v>31</v>
      </c>
      <c r="E31" s="21">
        <v>220.0</v>
      </c>
      <c r="F31" s="21" t="s">
        <v>32</v>
      </c>
      <c r="G31" s="21">
        <v>2.0</v>
      </c>
      <c r="H31" s="21">
        <v>0.0</v>
      </c>
      <c r="I31" s="21">
        <v>155.0</v>
      </c>
      <c r="J31" s="21">
        <v>200.0</v>
      </c>
      <c r="K31" s="21">
        <v>15.0</v>
      </c>
      <c r="L31" s="21" t="s">
        <v>68</v>
      </c>
      <c r="M31" s="23"/>
      <c r="N31" s="23"/>
      <c r="O31" s="23"/>
      <c r="P31" s="23"/>
      <c r="Q31" s="23"/>
      <c r="R31" s="23"/>
    </row>
    <row r="32">
      <c r="A32" s="20">
        <v>42936.94153696759</v>
      </c>
      <c r="B32" s="21" t="s">
        <v>48</v>
      </c>
      <c r="C32" s="21" t="s">
        <v>69</v>
      </c>
      <c r="D32" s="21" t="s">
        <v>31</v>
      </c>
      <c r="E32" s="21">
        <v>168.0</v>
      </c>
      <c r="F32" s="21" t="s">
        <v>50</v>
      </c>
      <c r="G32" s="21">
        <v>1.0</v>
      </c>
      <c r="H32" s="21">
        <v>1.0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>
      <c r="A33" s="20">
        <v>42937.64922681713</v>
      </c>
      <c r="B33" s="21" t="s">
        <v>48</v>
      </c>
      <c r="C33" s="21" t="s">
        <v>70</v>
      </c>
      <c r="D33" s="21" t="s">
        <v>31</v>
      </c>
      <c r="E33" s="21">
        <v>430.0</v>
      </c>
      <c r="F33" s="21" t="s">
        <v>32</v>
      </c>
      <c r="G33" s="21">
        <v>7.0</v>
      </c>
      <c r="H33" s="21">
        <v>7.0</v>
      </c>
      <c r="I33" s="21">
        <v>200000.0</v>
      </c>
      <c r="J33" s="21">
        <v>180000.0</v>
      </c>
      <c r="K33" s="21">
        <v>50000.0</v>
      </c>
      <c r="L33" s="22"/>
      <c r="M33" s="22"/>
      <c r="N33" s="22"/>
      <c r="O33" s="22"/>
      <c r="P33" s="22"/>
      <c r="Q33" s="22"/>
      <c r="R33" s="22"/>
    </row>
    <row r="34">
      <c r="A34" s="20">
        <v>42938.930755775466</v>
      </c>
      <c r="B34" s="21" t="s">
        <v>36</v>
      </c>
      <c r="C34" s="21" t="s">
        <v>71</v>
      </c>
      <c r="D34" s="21" t="s">
        <v>31</v>
      </c>
      <c r="E34" s="21">
        <v>160.0</v>
      </c>
      <c r="F34" s="21" t="s">
        <v>72</v>
      </c>
      <c r="G34" s="21">
        <v>9.0</v>
      </c>
      <c r="H34" s="21">
        <v>1.0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>
      <c r="A35" s="20">
        <v>42940.514669236116</v>
      </c>
      <c r="B35" s="21" t="s">
        <v>45</v>
      </c>
      <c r="C35" s="21" t="s">
        <v>73</v>
      </c>
      <c r="D35" s="21" t="s">
        <v>31</v>
      </c>
      <c r="E35" s="21">
        <v>50.0</v>
      </c>
      <c r="F35" s="21" t="s">
        <v>74</v>
      </c>
      <c r="G35" s="21">
        <v>2.0</v>
      </c>
      <c r="H35" s="21">
        <v>2.0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>
      <c r="A36" s="20">
        <v>42940.96850732639</v>
      </c>
      <c r="B36" s="21" t="s">
        <v>40</v>
      </c>
      <c r="C36" s="21">
        <v>64.0</v>
      </c>
      <c r="D36" s="21" t="s">
        <v>31</v>
      </c>
      <c r="E36" s="21">
        <v>195.0</v>
      </c>
      <c r="F36" s="21" t="s">
        <v>75</v>
      </c>
      <c r="G36" s="21">
        <v>9.0</v>
      </c>
      <c r="H36" s="21">
        <v>9.0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>
      <c r="A37" s="20">
        <v>42941.45941328704</v>
      </c>
      <c r="B37" s="21" t="s">
        <v>33</v>
      </c>
      <c r="C37" s="21" t="s">
        <v>76</v>
      </c>
      <c r="D37" s="21" t="s">
        <v>31</v>
      </c>
      <c r="E37" s="21">
        <v>212.0</v>
      </c>
      <c r="F37" s="21" t="s">
        <v>35</v>
      </c>
      <c r="G37" s="21">
        <v>2.0</v>
      </c>
      <c r="H37" s="21">
        <v>0.0</v>
      </c>
      <c r="I37" s="21">
        <v>150000.0</v>
      </c>
      <c r="J37" s="21">
        <v>7500.0</v>
      </c>
      <c r="K37" s="21">
        <v>55000.0</v>
      </c>
      <c r="L37" s="22"/>
      <c r="M37" s="22"/>
      <c r="N37" s="22"/>
      <c r="O37" s="22"/>
      <c r="P37" s="22"/>
      <c r="Q37" s="22"/>
      <c r="R37" s="22"/>
    </row>
    <row r="38">
      <c r="A38" s="20">
        <v>42941.614500578704</v>
      </c>
      <c r="B38" s="21" t="s">
        <v>77</v>
      </c>
      <c r="C38" s="21" t="s">
        <v>78</v>
      </c>
      <c r="D38" s="21" t="s">
        <v>31</v>
      </c>
      <c r="E38" s="21">
        <v>155.0</v>
      </c>
      <c r="F38" s="21" t="s">
        <v>79</v>
      </c>
      <c r="G38" s="21">
        <v>8.0</v>
      </c>
      <c r="H38" s="21">
        <v>7.0</v>
      </c>
      <c r="I38" s="21">
        <v>125.0</v>
      </c>
      <c r="J38" s="21">
        <v>30.0</v>
      </c>
      <c r="K38" s="21">
        <v>15.0</v>
      </c>
      <c r="L38" s="22"/>
      <c r="M38" s="22"/>
      <c r="N38" s="22"/>
      <c r="O38" s="22"/>
      <c r="P38" s="22"/>
      <c r="Q38" s="22"/>
      <c r="R38" s="22"/>
    </row>
    <row r="39">
      <c r="A39" s="20">
        <v>42941.807371574076</v>
      </c>
      <c r="B39" s="21" t="s">
        <v>80</v>
      </c>
      <c r="C39" s="21" t="s">
        <v>43</v>
      </c>
      <c r="D39" s="21" t="s">
        <v>31</v>
      </c>
      <c r="E39" s="21">
        <v>330.0</v>
      </c>
      <c r="F39" s="21" t="s">
        <v>51</v>
      </c>
      <c r="G39" s="21">
        <v>5.0</v>
      </c>
      <c r="H39" s="21">
        <v>4.0</v>
      </c>
      <c r="I39" s="21">
        <v>150000.0</v>
      </c>
      <c r="J39" s="21">
        <v>120000.0</v>
      </c>
      <c r="K39" s="21">
        <v>35000.0</v>
      </c>
      <c r="L39" s="22"/>
      <c r="M39" s="22"/>
      <c r="N39" s="22"/>
      <c r="O39" s="22"/>
      <c r="P39" s="22"/>
      <c r="Q39" s="22"/>
      <c r="R39" s="22"/>
    </row>
    <row r="40">
      <c r="A40" s="20">
        <v>42944.649097511574</v>
      </c>
      <c r="B40" s="24" t="s">
        <v>81</v>
      </c>
      <c r="C40" s="21" t="s">
        <v>82</v>
      </c>
      <c r="D40" s="21" t="s">
        <v>31</v>
      </c>
      <c r="E40" s="21">
        <v>212.0</v>
      </c>
      <c r="F40" s="21" t="s">
        <v>32</v>
      </c>
      <c r="G40" s="21">
        <v>8.0</v>
      </c>
      <c r="H40" s="21">
        <v>1.5</v>
      </c>
      <c r="I40" s="21">
        <v>150000.0</v>
      </c>
      <c r="J40" s="21">
        <v>25000.0</v>
      </c>
      <c r="K40" s="21">
        <v>37000.0</v>
      </c>
      <c r="L40" s="22"/>
      <c r="M40" s="22"/>
      <c r="N40" s="22"/>
      <c r="O40" s="22"/>
      <c r="P40" s="22"/>
      <c r="Q40" s="22"/>
      <c r="R40" s="22"/>
    </row>
    <row r="41">
      <c r="A41" s="20">
        <v>42945.81754553241</v>
      </c>
      <c r="B41" s="21" t="s">
        <v>40</v>
      </c>
      <c r="C41" s="21" t="s">
        <v>83</v>
      </c>
      <c r="D41" s="21" t="s">
        <v>27</v>
      </c>
      <c r="E41" s="21">
        <v>168.0</v>
      </c>
      <c r="F41" s="21" t="s">
        <v>84</v>
      </c>
      <c r="G41" s="21">
        <v>12.0</v>
      </c>
      <c r="H41" s="21">
        <v>3.0</v>
      </c>
      <c r="I41" s="21">
        <v>148412.0</v>
      </c>
      <c r="J41" s="21">
        <v>17200.0</v>
      </c>
      <c r="K41" s="21">
        <v>20000.0</v>
      </c>
      <c r="L41" s="21" t="s">
        <v>85</v>
      </c>
      <c r="M41" s="23"/>
      <c r="N41" s="23"/>
      <c r="O41" s="23"/>
      <c r="P41" s="23"/>
      <c r="Q41" s="23"/>
      <c r="R41" s="23"/>
    </row>
    <row r="42">
      <c r="A42" s="20">
        <v>42945.83065204861</v>
      </c>
      <c r="B42" s="21" t="s">
        <v>40</v>
      </c>
      <c r="C42" s="21">
        <v>67.0</v>
      </c>
      <c r="D42" s="21" t="s">
        <v>41</v>
      </c>
      <c r="E42" s="21">
        <v>462.0</v>
      </c>
      <c r="F42" s="21" t="s">
        <v>86</v>
      </c>
      <c r="G42" s="21">
        <v>15.0</v>
      </c>
      <c r="H42" s="21">
        <v>15.0</v>
      </c>
      <c r="I42" s="21">
        <v>240.0</v>
      </c>
      <c r="J42" s="21">
        <v>150.0</v>
      </c>
      <c r="K42" s="21">
        <v>72.0</v>
      </c>
      <c r="L42" s="22"/>
      <c r="M42" s="22"/>
      <c r="N42" s="22"/>
      <c r="O42" s="22"/>
      <c r="P42" s="22"/>
      <c r="Q42" s="22"/>
      <c r="R42" s="22"/>
    </row>
    <row r="43">
      <c r="A43" s="20">
        <v>42947.662698796295</v>
      </c>
      <c r="B43" s="24" t="s">
        <v>87</v>
      </c>
      <c r="C43" s="21" t="s">
        <v>62</v>
      </c>
      <c r="D43" s="21" t="s">
        <v>31</v>
      </c>
      <c r="E43" s="21">
        <v>300.0</v>
      </c>
      <c r="F43" s="21" t="s">
        <v>63</v>
      </c>
      <c r="G43" s="21">
        <v>12.0</v>
      </c>
      <c r="H43" s="21">
        <v>12.0</v>
      </c>
      <c r="I43" s="21">
        <v>158.0</v>
      </c>
      <c r="J43" s="21">
        <v>142.0</v>
      </c>
      <c r="K43" s="22"/>
      <c r="L43" s="22"/>
      <c r="M43" s="22"/>
      <c r="N43" s="22"/>
      <c r="O43" s="22"/>
      <c r="P43" s="22"/>
      <c r="Q43" s="22"/>
      <c r="R43" s="22"/>
    </row>
    <row r="44">
      <c r="A44" s="20">
        <v>42947.66321012731</v>
      </c>
      <c r="B44" s="24" t="s">
        <v>87</v>
      </c>
      <c r="C44" s="21" t="s">
        <v>34</v>
      </c>
      <c r="D44" s="21" t="s">
        <v>31</v>
      </c>
      <c r="E44" s="21">
        <v>430.0</v>
      </c>
      <c r="F44" s="21" t="s">
        <v>63</v>
      </c>
      <c r="G44" s="21">
        <v>12.0</v>
      </c>
      <c r="H44" s="21">
        <v>12.0</v>
      </c>
      <c r="I44" s="21">
        <v>220.0</v>
      </c>
      <c r="J44" s="21">
        <v>210.0</v>
      </c>
      <c r="K44" s="22"/>
      <c r="L44" s="22"/>
      <c r="M44" s="22"/>
      <c r="N44" s="22"/>
      <c r="O44" s="22"/>
      <c r="P44" s="22"/>
      <c r="Q44" s="22"/>
      <c r="R44" s="22"/>
    </row>
    <row r="45">
      <c r="A45" s="20">
        <v>42948.53826702546</v>
      </c>
      <c r="B45" s="21" t="s">
        <v>40</v>
      </c>
      <c r="C45" s="21">
        <v>61.0</v>
      </c>
      <c r="D45" s="21" t="s">
        <v>31</v>
      </c>
      <c r="E45" s="21">
        <v>156.0</v>
      </c>
      <c r="F45" s="21" t="s">
        <v>75</v>
      </c>
      <c r="G45" s="21">
        <v>5.0</v>
      </c>
      <c r="H45" s="21">
        <v>2.0</v>
      </c>
      <c r="I45" s="21">
        <v>126200.0</v>
      </c>
      <c r="J45" s="21">
        <v>26500.0</v>
      </c>
      <c r="K45" s="21">
        <v>7200.0</v>
      </c>
      <c r="L45" s="22"/>
      <c r="M45" s="22"/>
      <c r="N45" s="22"/>
      <c r="O45" s="22"/>
      <c r="P45" s="22"/>
      <c r="Q45" s="22"/>
      <c r="R45" s="22"/>
    </row>
    <row r="46">
      <c r="A46" s="20">
        <v>42948.57423641204</v>
      </c>
      <c r="B46" s="21" t="s">
        <v>55</v>
      </c>
      <c r="C46" s="21">
        <v>64.0</v>
      </c>
      <c r="D46" s="21" t="s">
        <v>41</v>
      </c>
      <c r="E46" s="21">
        <v>220.0</v>
      </c>
      <c r="F46" s="21" t="s">
        <v>88</v>
      </c>
      <c r="G46" s="21">
        <v>17.0</v>
      </c>
      <c r="H46" s="21">
        <v>6.0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</row>
    <row r="47">
      <c r="A47" s="20">
        <v>42951.11319172454</v>
      </c>
      <c r="B47" s="21" t="s">
        <v>25</v>
      </c>
      <c r="C47" s="21" t="s">
        <v>89</v>
      </c>
      <c r="D47" s="21" t="s">
        <v>41</v>
      </c>
      <c r="E47" s="21">
        <v>250.0</v>
      </c>
      <c r="F47" s="21" t="s">
        <v>90</v>
      </c>
      <c r="G47" s="21">
        <v>6.5</v>
      </c>
      <c r="H47" s="21">
        <v>1.0</v>
      </c>
      <c r="I47" s="21">
        <v>210000.0</v>
      </c>
      <c r="J47" s="21">
        <v>50000.0</v>
      </c>
      <c r="K47" s="22"/>
      <c r="L47" s="22"/>
      <c r="M47" s="22"/>
      <c r="N47" s="22"/>
      <c r="O47" s="22"/>
      <c r="P47" s="22"/>
      <c r="Q47" s="22"/>
      <c r="R47" s="22"/>
    </row>
    <row r="48">
      <c r="A48" s="20">
        <v>42951.46114800926</v>
      </c>
      <c r="B48" s="21" t="s">
        <v>40</v>
      </c>
      <c r="C48" s="21">
        <v>65.0</v>
      </c>
      <c r="D48" s="21" t="s">
        <v>27</v>
      </c>
      <c r="E48" s="21">
        <v>250.0</v>
      </c>
      <c r="F48" s="21" t="s">
        <v>75</v>
      </c>
      <c r="G48" s="21">
        <v>14.0</v>
      </c>
      <c r="H48" s="21">
        <v>1.0</v>
      </c>
      <c r="I48" s="21">
        <v>180.0</v>
      </c>
      <c r="J48" s="21">
        <v>25.0</v>
      </c>
      <c r="K48" s="21">
        <v>30.0</v>
      </c>
      <c r="L48" s="22"/>
      <c r="M48" s="22"/>
      <c r="N48" s="22"/>
      <c r="O48" s="22"/>
      <c r="P48" s="22"/>
      <c r="Q48" s="22"/>
      <c r="R48" s="22"/>
    </row>
    <row r="49">
      <c r="A49" s="20">
        <v>42953.5164634838</v>
      </c>
      <c r="B49" s="21" t="s">
        <v>40</v>
      </c>
      <c r="C49" s="21">
        <v>60.0</v>
      </c>
      <c r="D49" s="21" t="s">
        <v>31</v>
      </c>
      <c r="E49" s="21">
        <v>155.0</v>
      </c>
      <c r="F49" s="21" t="s">
        <v>75</v>
      </c>
      <c r="G49" s="21">
        <v>3.0</v>
      </c>
      <c r="H49" s="21">
        <v>2.0</v>
      </c>
      <c r="I49" s="21">
        <v>117400.0</v>
      </c>
      <c r="J49" s="21">
        <v>4200.0</v>
      </c>
      <c r="K49" s="21">
        <v>14500.0</v>
      </c>
      <c r="L49" s="22"/>
      <c r="M49" s="22"/>
      <c r="N49" s="22"/>
      <c r="O49" s="22"/>
      <c r="P49" s="22"/>
      <c r="Q49" s="22"/>
      <c r="R49" s="22"/>
    </row>
    <row r="50">
      <c r="A50" s="20">
        <v>42953.932664340275</v>
      </c>
      <c r="B50" s="21" t="s">
        <v>45</v>
      </c>
      <c r="C50" s="21" t="s">
        <v>91</v>
      </c>
      <c r="D50" s="21" t="s">
        <v>31</v>
      </c>
      <c r="E50" s="21">
        <v>200.0</v>
      </c>
      <c r="F50" s="21" t="s">
        <v>92</v>
      </c>
      <c r="G50" s="21">
        <v>3.0</v>
      </c>
      <c r="H50" s="21">
        <v>2.0</v>
      </c>
      <c r="I50" s="21">
        <v>140.0</v>
      </c>
      <c r="J50" s="21">
        <v>40.0</v>
      </c>
      <c r="K50" s="21">
        <v>20.0</v>
      </c>
      <c r="L50" s="22"/>
      <c r="M50" s="22"/>
      <c r="N50" s="22"/>
      <c r="O50" s="22"/>
      <c r="P50" s="22"/>
      <c r="Q50" s="22"/>
      <c r="R50" s="22"/>
    </row>
    <row r="51">
      <c r="A51" s="20">
        <v>42953.93515734954</v>
      </c>
      <c r="B51" s="21" t="s">
        <v>40</v>
      </c>
      <c r="C51" s="21">
        <v>63.0</v>
      </c>
      <c r="D51" s="21" t="s">
        <v>27</v>
      </c>
      <c r="E51" s="21">
        <v>190.0</v>
      </c>
      <c r="F51" s="21" t="s">
        <v>63</v>
      </c>
      <c r="G51" s="21">
        <v>6.0</v>
      </c>
      <c r="H51" s="21">
        <v>6.0</v>
      </c>
      <c r="I51" s="21">
        <v>150.0</v>
      </c>
      <c r="J51" s="21">
        <v>30.0</v>
      </c>
      <c r="K51" s="21">
        <v>17.0</v>
      </c>
      <c r="L51" s="22"/>
      <c r="M51" s="22"/>
      <c r="N51" s="22"/>
      <c r="O51" s="22"/>
      <c r="P51" s="22"/>
      <c r="Q51" s="22"/>
      <c r="R51" s="22"/>
    </row>
    <row r="52">
      <c r="A52" s="20">
        <v>42953.98160372685</v>
      </c>
      <c r="B52" s="21" t="s">
        <v>33</v>
      </c>
      <c r="C52" s="21" t="s">
        <v>43</v>
      </c>
      <c r="D52" s="21" t="s">
        <v>31</v>
      </c>
      <c r="E52" s="21">
        <v>200.0</v>
      </c>
      <c r="F52" s="21" t="s">
        <v>35</v>
      </c>
      <c r="G52" s="21">
        <v>6.0</v>
      </c>
      <c r="H52" s="21">
        <v>6.0</v>
      </c>
      <c r="I52" s="21">
        <v>12800.0</v>
      </c>
      <c r="J52" s="21">
        <v>72000.0</v>
      </c>
      <c r="K52" s="22"/>
      <c r="L52" s="22"/>
      <c r="M52" s="22"/>
      <c r="N52" s="22"/>
      <c r="O52" s="22"/>
      <c r="P52" s="22"/>
      <c r="Q52" s="22"/>
      <c r="R52" s="22"/>
    </row>
    <row r="53">
      <c r="A53" s="20">
        <v>42954.08944001158</v>
      </c>
      <c r="B53" s="21" t="s">
        <v>80</v>
      </c>
      <c r="C53" s="21" t="s">
        <v>73</v>
      </c>
      <c r="D53" s="21" t="s">
        <v>31</v>
      </c>
      <c r="E53" s="21">
        <v>300.0</v>
      </c>
      <c r="F53" s="21" t="s">
        <v>51</v>
      </c>
      <c r="G53" s="21">
        <v>8.0</v>
      </c>
      <c r="H53" s="21">
        <v>4.0</v>
      </c>
      <c r="I53" s="21">
        <v>155.0</v>
      </c>
      <c r="J53" s="21">
        <v>112.0</v>
      </c>
      <c r="K53" s="21">
        <v>33.0</v>
      </c>
      <c r="L53" s="22"/>
      <c r="M53" s="22"/>
      <c r="N53" s="22"/>
      <c r="O53" s="22"/>
      <c r="P53" s="22"/>
      <c r="Q53" s="22"/>
      <c r="R53" s="22"/>
    </row>
    <row r="54">
      <c r="A54" s="20">
        <v>42954.47217591435</v>
      </c>
      <c r="B54" s="21" t="s">
        <v>80</v>
      </c>
      <c r="C54" s="21" t="s">
        <v>93</v>
      </c>
      <c r="D54" s="21" t="s">
        <v>31</v>
      </c>
      <c r="E54" s="21">
        <v>440.0</v>
      </c>
      <c r="F54" s="21" t="s">
        <v>94</v>
      </c>
      <c r="G54" s="21">
        <v>14.0</v>
      </c>
      <c r="H54" s="21">
        <v>12.0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</row>
    <row r="55">
      <c r="A55" s="20">
        <v>42955.24612321759</v>
      </c>
      <c r="B55" s="21" t="s">
        <v>33</v>
      </c>
      <c r="C55" s="21" t="s">
        <v>43</v>
      </c>
      <c r="D55" s="21" t="s">
        <v>41</v>
      </c>
      <c r="E55" s="21">
        <v>205.0</v>
      </c>
      <c r="F55" s="21" t="s">
        <v>35</v>
      </c>
      <c r="G55" s="21">
        <v>12.0</v>
      </c>
      <c r="H55" s="21">
        <v>7.0</v>
      </c>
      <c r="I55" s="21">
        <v>138.0</v>
      </c>
      <c r="J55" s="21">
        <v>67.0</v>
      </c>
      <c r="K55" s="22"/>
      <c r="L55" s="22"/>
      <c r="M55" s="22"/>
      <c r="N55" s="22"/>
      <c r="O55" s="22"/>
      <c r="P55" s="22"/>
      <c r="Q55" s="22"/>
      <c r="R55" s="22"/>
    </row>
    <row r="56">
      <c r="A56" s="20">
        <v>42955.593357199075</v>
      </c>
      <c r="B56" s="21" t="s">
        <v>95</v>
      </c>
      <c r="C56" s="21" t="s">
        <v>96</v>
      </c>
      <c r="D56" s="21" t="s">
        <v>31</v>
      </c>
      <c r="E56" s="21">
        <v>340.0</v>
      </c>
      <c r="F56" s="21" t="s">
        <v>97</v>
      </c>
      <c r="G56" s="21">
        <v>4.0</v>
      </c>
      <c r="H56" s="21">
        <v>2.0</v>
      </c>
      <c r="I56" s="21">
        <v>340.0</v>
      </c>
      <c r="J56" s="22"/>
      <c r="K56" s="22"/>
      <c r="L56" s="22"/>
      <c r="M56" s="22"/>
      <c r="N56" s="22"/>
      <c r="O56" s="22"/>
      <c r="P56" s="22"/>
      <c r="Q56" s="22"/>
      <c r="R56" s="22"/>
    </row>
    <row r="57">
      <c r="A57" s="20">
        <v>42957.75397556713</v>
      </c>
      <c r="B57" s="21" t="s">
        <v>45</v>
      </c>
      <c r="C57" s="21" t="s">
        <v>98</v>
      </c>
      <c r="D57" s="21" t="s">
        <v>31</v>
      </c>
      <c r="E57" s="21">
        <v>120.0</v>
      </c>
      <c r="F57" s="21" t="s">
        <v>92</v>
      </c>
      <c r="G57" s="21">
        <v>5.0</v>
      </c>
      <c r="H57" s="21">
        <v>2.0</v>
      </c>
      <c r="I57" s="21">
        <v>95.0</v>
      </c>
      <c r="J57" s="21">
        <v>80.0</v>
      </c>
      <c r="K57" s="21">
        <v>8.0</v>
      </c>
      <c r="L57" s="21" t="s">
        <v>99</v>
      </c>
      <c r="M57" s="23"/>
      <c r="N57" s="23"/>
      <c r="O57" s="23"/>
      <c r="P57" s="23"/>
      <c r="Q57" s="23"/>
      <c r="R57" s="23"/>
    </row>
    <row r="58">
      <c r="A58" s="20">
        <v>42960.45690251158</v>
      </c>
      <c r="B58" s="21" t="s">
        <v>33</v>
      </c>
      <c r="C58" s="21" t="s">
        <v>43</v>
      </c>
      <c r="D58" s="21" t="s">
        <v>31</v>
      </c>
      <c r="E58" s="21">
        <v>170.0</v>
      </c>
      <c r="F58" s="21" t="s">
        <v>100</v>
      </c>
      <c r="G58" s="21">
        <v>9.0</v>
      </c>
      <c r="H58" s="21">
        <v>2.0</v>
      </c>
      <c r="I58" s="21">
        <v>93.0</v>
      </c>
      <c r="J58" s="21">
        <v>77.0</v>
      </c>
      <c r="K58" s="21">
        <v>1.0</v>
      </c>
      <c r="L58" s="22"/>
      <c r="M58" s="22"/>
      <c r="N58" s="22"/>
      <c r="O58" s="22"/>
      <c r="P58" s="22"/>
      <c r="Q58" s="22"/>
      <c r="R58" s="22"/>
    </row>
    <row r="59">
      <c r="A59" s="20">
        <v>42963.809604814815</v>
      </c>
      <c r="B59" s="21" t="s">
        <v>33</v>
      </c>
      <c r="C59" s="21" t="s">
        <v>73</v>
      </c>
      <c r="D59" s="21" t="s">
        <v>31</v>
      </c>
      <c r="E59" s="21">
        <v>161.0</v>
      </c>
      <c r="F59" s="21" t="s">
        <v>63</v>
      </c>
      <c r="G59" s="21">
        <v>7.0</v>
      </c>
      <c r="H59" s="21">
        <v>2.0</v>
      </c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>
      <c r="A60" s="20">
        <v>42964.53141939815</v>
      </c>
      <c r="B60" s="21" t="s">
        <v>40</v>
      </c>
      <c r="C60" s="21">
        <v>65.0</v>
      </c>
      <c r="D60" s="21" t="s">
        <v>31</v>
      </c>
      <c r="E60" s="21">
        <v>342.0</v>
      </c>
      <c r="F60" s="21" t="s">
        <v>75</v>
      </c>
      <c r="G60" s="21">
        <v>8.0</v>
      </c>
      <c r="H60" s="21">
        <v>1.0</v>
      </c>
      <c r="I60" s="21">
        <v>202.0</v>
      </c>
      <c r="J60" s="21">
        <v>102.0</v>
      </c>
      <c r="K60" s="21">
        <v>38.0</v>
      </c>
      <c r="L60" s="22"/>
      <c r="M60" s="22"/>
      <c r="N60" s="22"/>
      <c r="O60" s="22"/>
      <c r="P60" s="22"/>
      <c r="Q60" s="22"/>
      <c r="R60" s="22"/>
    </row>
    <row r="61">
      <c r="A61" s="20">
        <v>42964.859245416665</v>
      </c>
      <c r="B61" s="21" t="s">
        <v>36</v>
      </c>
      <c r="C61" s="21" t="s">
        <v>101</v>
      </c>
      <c r="D61" s="21" t="s">
        <v>31</v>
      </c>
      <c r="E61" s="21">
        <v>280.0</v>
      </c>
      <c r="F61" s="21" t="s">
        <v>58</v>
      </c>
      <c r="G61" s="21">
        <v>6.0</v>
      </c>
      <c r="H61" s="21">
        <v>1.0</v>
      </c>
      <c r="I61" s="21">
        <v>146000.0</v>
      </c>
      <c r="J61" s="21">
        <v>385000.0</v>
      </c>
      <c r="K61" s="21">
        <v>40000.0</v>
      </c>
      <c r="L61" s="22"/>
      <c r="M61" s="22"/>
      <c r="N61" s="22"/>
      <c r="O61" s="22"/>
      <c r="P61" s="22"/>
      <c r="Q61" s="22"/>
      <c r="R61" s="22"/>
    </row>
    <row r="62">
      <c r="A62" s="20">
        <v>42965.91497596065</v>
      </c>
      <c r="B62" s="21" t="s">
        <v>45</v>
      </c>
      <c r="C62" s="21" t="s">
        <v>102</v>
      </c>
      <c r="D62" s="21" t="s">
        <v>31</v>
      </c>
      <c r="E62" s="21">
        <v>200.0</v>
      </c>
      <c r="F62" s="21" t="s">
        <v>92</v>
      </c>
      <c r="G62" s="21">
        <v>7.0</v>
      </c>
      <c r="H62" s="21">
        <v>0.0</v>
      </c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>
      <c r="A63" s="20">
        <v>42967.05615766204</v>
      </c>
      <c r="B63" s="21" t="s">
        <v>57</v>
      </c>
      <c r="C63" s="21" t="s">
        <v>103</v>
      </c>
      <c r="D63" s="21" t="s">
        <v>27</v>
      </c>
      <c r="E63" s="21">
        <v>210.0</v>
      </c>
      <c r="F63" s="21" t="s">
        <v>72</v>
      </c>
      <c r="G63" s="21">
        <v>8.0</v>
      </c>
      <c r="H63" s="21">
        <v>1.0</v>
      </c>
      <c r="I63" s="21">
        <v>166.0</v>
      </c>
      <c r="J63" s="21">
        <v>20.0</v>
      </c>
      <c r="K63" s="21">
        <v>24.0</v>
      </c>
      <c r="L63" s="22"/>
      <c r="M63" s="22"/>
      <c r="N63" s="22"/>
      <c r="O63" s="22"/>
      <c r="P63" s="22"/>
      <c r="Q63" s="22"/>
      <c r="R63" s="22"/>
    </row>
    <row r="64">
      <c r="A64" s="20">
        <v>42967.41172452546</v>
      </c>
      <c r="B64" s="21" t="s">
        <v>40</v>
      </c>
      <c r="C64" s="21">
        <v>63.0</v>
      </c>
      <c r="D64" s="21" t="s">
        <v>31</v>
      </c>
      <c r="E64" s="21">
        <v>183.0</v>
      </c>
      <c r="F64" s="21" t="s">
        <v>86</v>
      </c>
      <c r="G64" s="21">
        <v>6.0</v>
      </c>
      <c r="H64" s="21">
        <v>6.0</v>
      </c>
      <c r="I64" s="21">
        <v>150.0</v>
      </c>
      <c r="J64" s="21">
        <v>15000.0</v>
      </c>
      <c r="K64" s="21">
        <v>18000.0</v>
      </c>
      <c r="L64" s="22"/>
      <c r="M64" s="22"/>
      <c r="N64" s="22"/>
      <c r="O64" s="22"/>
      <c r="P64" s="22"/>
      <c r="Q64" s="22"/>
      <c r="R64" s="22"/>
    </row>
    <row r="65">
      <c r="A65" s="20">
        <v>42967.80314236111</v>
      </c>
      <c r="B65" s="21" t="s">
        <v>45</v>
      </c>
      <c r="C65" s="21" t="s">
        <v>98</v>
      </c>
      <c r="D65" s="21" t="s">
        <v>31</v>
      </c>
      <c r="E65" s="21">
        <v>160.0</v>
      </c>
      <c r="F65" s="21" t="s">
        <v>104</v>
      </c>
      <c r="G65" s="21">
        <v>0.0</v>
      </c>
      <c r="H65" s="21">
        <v>0.0</v>
      </c>
      <c r="I65" s="21">
        <v>105000.0</v>
      </c>
      <c r="J65" s="22"/>
      <c r="K65" s="22"/>
      <c r="L65" s="22"/>
      <c r="M65" s="22"/>
      <c r="N65" s="22"/>
      <c r="O65" s="22"/>
      <c r="P65" s="22"/>
      <c r="Q65" s="22"/>
      <c r="R65" s="22"/>
    </row>
    <row r="66">
      <c r="A66" s="20">
        <v>42968.55493266204</v>
      </c>
      <c r="B66" s="21" t="s">
        <v>105</v>
      </c>
      <c r="C66" s="21" t="s">
        <v>106</v>
      </c>
      <c r="D66" s="21" t="s">
        <v>31</v>
      </c>
      <c r="E66" s="21">
        <v>165.0</v>
      </c>
      <c r="F66" s="21" t="s">
        <v>63</v>
      </c>
      <c r="G66" s="21">
        <v>8.0</v>
      </c>
      <c r="H66" s="21">
        <v>3.0</v>
      </c>
      <c r="I66" s="21">
        <v>127000.0</v>
      </c>
      <c r="J66" s="21">
        <v>20000.0</v>
      </c>
      <c r="K66" s="21">
        <v>15000.0</v>
      </c>
      <c r="L66" s="22"/>
      <c r="M66" s="22"/>
      <c r="N66" s="22"/>
      <c r="O66" s="22"/>
      <c r="P66" s="22"/>
      <c r="Q66" s="22"/>
      <c r="R66" s="22"/>
    </row>
    <row r="67">
      <c r="A67" s="20">
        <v>42969.77958649305</v>
      </c>
      <c r="B67" s="21" t="s">
        <v>40</v>
      </c>
      <c r="C67" s="21">
        <v>66.0</v>
      </c>
      <c r="D67" s="21" t="s">
        <v>27</v>
      </c>
      <c r="E67" s="21">
        <v>325.0</v>
      </c>
      <c r="F67" s="21" t="s">
        <v>107</v>
      </c>
      <c r="G67" s="21">
        <v>20.0</v>
      </c>
      <c r="H67" s="21">
        <v>9.0</v>
      </c>
      <c r="I67" s="21">
        <v>191.0</v>
      </c>
      <c r="J67" s="21">
        <v>90.0</v>
      </c>
      <c r="K67" s="21">
        <v>43.0</v>
      </c>
      <c r="L67" s="22"/>
      <c r="M67" s="22"/>
      <c r="N67" s="22"/>
      <c r="O67" s="22"/>
      <c r="P67" s="22"/>
      <c r="Q67" s="22"/>
      <c r="R67" s="22"/>
    </row>
    <row r="68">
      <c r="A68" s="20">
        <v>42970.701116412034</v>
      </c>
      <c r="B68" s="21" t="s">
        <v>40</v>
      </c>
      <c r="C68" s="21">
        <v>69.0</v>
      </c>
      <c r="D68" s="21" t="s">
        <v>31</v>
      </c>
      <c r="E68" s="21">
        <v>910.0</v>
      </c>
      <c r="F68" s="21" t="s">
        <v>84</v>
      </c>
      <c r="G68" s="21">
        <v>28.0</v>
      </c>
      <c r="H68" s="21">
        <v>17.0</v>
      </c>
      <c r="I68" s="21">
        <v>270.0</v>
      </c>
      <c r="J68" s="21">
        <v>500.0</v>
      </c>
      <c r="K68" s="21">
        <v>140.0</v>
      </c>
      <c r="L68" s="22"/>
      <c r="M68" s="22"/>
      <c r="N68" s="22"/>
      <c r="O68" s="22"/>
      <c r="P68" s="22"/>
      <c r="Q68" s="22"/>
      <c r="R68" s="22"/>
    </row>
    <row r="69">
      <c r="A69" s="20">
        <v>42970.99591238426</v>
      </c>
      <c r="B69" s="21" t="s">
        <v>33</v>
      </c>
      <c r="C69" s="21" t="s">
        <v>43</v>
      </c>
      <c r="D69" s="21" t="s">
        <v>31</v>
      </c>
      <c r="E69" s="21">
        <v>230.0</v>
      </c>
      <c r="F69" s="21" t="s">
        <v>108</v>
      </c>
      <c r="G69" s="21">
        <v>5.0</v>
      </c>
      <c r="H69" s="21">
        <v>5.0</v>
      </c>
      <c r="I69" s="21">
        <v>122000.0</v>
      </c>
      <c r="J69" s="22"/>
      <c r="K69" s="22"/>
      <c r="L69" s="22"/>
      <c r="M69" s="22"/>
      <c r="N69" s="22"/>
      <c r="O69" s="22"/>
      <c r="P69" s="22"/>
      <c r="Q69" s="22"/>
      <c r="R69" s="22"/>
    </row>
    <row r="70">
      <c r="A70" s="20">
        <v>42971.30744517361</v>
      </c>
      <c r="B70" s="21" t="s">
        <v>33</v>
      </c>
      <c r="C70" s="21" t="s">
        <v>43</v>
      </c>
      <c r="D70" s="21" t="s">
        <v>31</v>
      </c>
      <c r="E70" s="21">
        <v>250.0</v>
      </c>
      <c r="F70" s="21" t="s">
        <v>58</v>
      </c>
      <c r="G70" s="21">
        <v>12.0</v>
      </c>
      <c r="H70" s="21">
        <v>1.0</v>
      </c>
      <c r="I70" s="21">
        <v>160.0</v>
      </c>
      <c r="J70" s="21">
        <v>225.0</v>
      </c>
      <c r="K70" s="21">
        <v>150.0</v>
      </c>
      <c r="L70" s="22"/>
      <c r="M70" s="22"/>
      <c r="N70" s="22"/>
      <c r="O70" s="22"/>
      <c r="P70" s="22"/>
      <c r="Q70" s="22"/>
      <c r="R70" s="22"/>
    </row>
    <row r="71">
      <c r="A71" s="20">
        <v>42971.471040868055</v>
      </c>
      <c r="B71" s="21" t="s">
        <v>109</v>
      </c>
      <c r="C71" s="21" t="s">
        <v>110</v>
      </c>
      <c r="D71" s="21" t="s">
        <v>31</v>
      </c>
      <c r="E71" s="21">
        <v>166.0</v>
      </c>
      <c r="F71" s="21" t="s">
        <v>111</v>
      </c>
      <c r="G71" s="21">
        <v>1.0</v>
      </c>
      <c r="H71" s="21">
        <v>1.0</v>
      </c>
      <c r="I71" s="21">
        <v>130.0</v>
      </c>
      <c r="J71" s="21">
        <v>36000.0</v>
      </c>
      <c r="K71" s="22"/>
      <c r="L71" s="22"/>
      <c r="M71" s="22"/>
      <c r="N71" s="22"/>
      <c r="O71" s="22"/>
      <c r="P71" s="22"/>
      <c r="Q71" s="22"/>
      <c r="R71" s="22"/>
    </row>
    <row r="72">
      <c r="A72" s="20">
        <v>42971.751340069444</v>
      </c>
      <c r="B72" s="21" t="s">
        <v>36</v>
      </c>
      <c r="C72" s="21" t="s">
        <v>112</v>
      </c>
      <c r="D72" s="21" t="s">
        <v>31</v>
      </c>
      <c r="E72" s="21">
        <v>520.0</v>
      </c>
      <c r="F72" s="21" t="s">
        <v>32</v>
      </c>
      <c r="G72" s="21">
        <v>13.0</v>
      </c>
      <c r="H72" s="21">
        <v>2.0</v>
      </c>
      <c r="I72" s="21">
        <v>200.0</v>
      </c>
      <c r="J72" s="21">
        <v>300.0</v>
      </c>
      <c r="K72" s="21">
        <v>20.0</v>
      </c>
      <c r="L72" s="22"/>
      <c r="M72" s="22"/>
      <c r="N72" s="22"/>
      <c r="O72" s="22"/>
      <c r="P72" s="22"/>
      <c r="Q72" s="22"/>
      <c r="R72" s="22"/>
    </row>
    <row r="73">
      <c r="A73" s="20">
        <v>42971.96794340278</v>
      </c>
      <c r="B73" s="21" t="s">
        <v>33</v>
      </c>
      <c r="C73" s="21" t="s">
        <v>62</v>
      </c>
      <c r="D73" s="21" t="s">
        <v>41</v>
      </c>
      <c r="E73" s="21">
        <v>298.0</v>
      </c>
      <c r="F73" s="21" t="s">
        <v>35</v>
      </c>
      <c r="G73" s="21">
        <v>12.0</v>
      </c>
      <c r="H73" s="21">
        <v>1.25</v>
      </c>
      <c r="I73" s="21">
        <v>160.0</v>
      </c>
      <c r="J73" s="22"/>
      <c r="K73" s="22"/>
      <c r="L73" s="22"/>
      <c r="M73" s="22"/>
      <c r="N73" s="22"/>
      <c r="O73" s="22"/>
      <c r="P73" s="22"/>
      <c r="Q73" s="22"/>
      <c r="R73" s="22"/>
    </row>
    <row r="74">
      <c r="A74" s="20">
        <v>42971.99348319444</v>
      </c>
      <c r="B74" s="21" t="s">
        <v>25</v>
      </c>
      <c r="C74" s="21" t="s">
        <v>113</v>
      </c>
      <c r="D74" s="21" t="s">
        <v>31</v>
      </c>
      <c r="E74" s="21">
        <v>800.0</v>
      </c>
      <c r="F74" s="21" t="s">
        <v>63</v>
      </c>
      <c r="G74" s="21">
        <v>12.0</v>
      </c>
      <c r="H74" s="21">
        <v>0.0</v>
      </c>
      <c r="I74" s="21">
        <v>300.0</v>
      </c>
      <c r="J74" s="21">
        <v>1100.0</v>
      </c>
      <c r="K74" s="22"/>
      <c r="L74" s="22"/>
      <c r="M74" s="22"/>
      <c r="N74" s="22"/>
      <c r="O74" s="22"/>
      <c r="P74" s="22"/>
      <c r="Q74" s="22"/>
      <c r="R74" s="22"/>
    </row>
    <row r="75">
      <c r="A75" s="20">
        <v>42971.99686565972</v>
      </c>
      <c r="B75" s="21" t="s">
        <v>29</v>
      </c>
      <c r="C75" s="21" t="s">
        <v>114</v>
      </c>
      <c r="D75" s="21" t="s">
        <v>31</v>
      </c>
      <c r="E75" s="21">
        <v>450.0</v>
      </c>
      <c r="F75" s="21" t="s">
        <v>35</v>
      </c>
      <c r="G75" s="21">
        <v>12.0</v>
      </c>
      <c r="H75" s="21">
        <v>3.0</v>
      </c>
      <c r="I75" s="21">
        <v>215.0</v>
      </c>
      <c r="J75" s="21">
        <v>90.0</v>
      </c>
      <c r="K75" s="21">
        <v>45.0</v>
      </c>
      <c r="L75" s="22"/>
      <c r="M75" s="22"/>
      <c r="N75" s="22"/>
      <c r="O75" s="22"/>
      <c r="P75" s="22"/>
      <c r="Q75" s="22"/>
      <c r="R75" s="22"/>
    </row>
    <row r="76">
      <c r="A76" s="20">
        <v>42976.92616592592</v>
      </c>
      <c r="B76" s="21" t="s">
        <v>77</v>
      </c>
      <c r="C76" s="21" t="s">
        <v>78</v>
      </c>
      <c r="D76" s="21" t="s">
        <v>31</v>
      </c>
      <c r="E76" s="21">
        <v>200.0</v>
      </c>
      <c r="F76" s="21" t="s">
        <v>115</v>
      </c>
      <c r="G76" s="21">
        <v>5.0</v>
      </c>
      <c r="H76" s="21">
        <v>1.0</v>
      </c>
      <c r="I76" s="22"/>
      <c r="J76" s="22"/>
      <c r="K76" s="22"/>
      <c r="L76" s="22"/>
      <c r="M76" s="22"/>
      <c r="N76" s="22"/>
      <c r="O76" s="22"/>
      <c r="P76" s="22"/>
      <c r="Q76" s="22"/>
      <c r="R76" s="22"/>
    </row>
    <row r="77">
      <c r="A77" s="20">
        <v>42977.35481884259</v>
      </c>
      <c r="B77" s="21" t="s">
        <v>45</v>
      </c>
      <c r="C77" s="21" t="s">
        <v>116</v>
      </c>
      <c r="D77" s="21" t="s">
        <v>31</v>
      </c>
      <c r="E77" s="21">
        <v>360.0</v>
      </c>
      <c r="F77" s="21" t="s">
        <v>104</v>
      </c>
      <c r="G77" s="21">
        <v>10.0</v>
      </c>
      <c r="H77" s="21">
        <v>4.0</v>
      </c>
      <c r="I77" s="21">
        <v>165000.0</v>
      </c>
      <c r="J77" s="21">
        <v>179000.0</v>
      </c>
      <c r="K77" s="21">
        <v>16000.0</v>
      </c>
      <c r="L77" s="22"/>
      <c r="M77" s="22"/>
      <c r="N77" s="22"/>
      <c r="O77" s="22"/>
      <c r="P77" s="22"/>
      <c r="Q77" s="22"/>
      <c r="R77" s="22"/>
    </row>
    <row r="78">
      <c r="A78" s="20">
        <v>42978.363835219905</v>
      </c>
      <c r="B78" s="21" t="s">
        <v>77</v>
      </c>
      <c r="C78" s="21" t="s">
        <v>117</v>
      </c>
      <c r="D78" s="21" t="s">
        <v>31</v>
      </c>
      <c r="E78" s="21">
        <v>88.0</v>
      </c>
      <c r="F78" s="21" t="s">
        <v>118</v>
      </c>
      <c r="G78" s="21">
        <v>5.0</v>
      </c>
      <c r="H78" s="21">
        <v>1.0</v>
      </c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>
      <c r="A79" s="20">
        <v>42979.0677924537</v>
      </c>
      <c r="B79" s="21" t="s">
        <v>40</v>
      </c>
      <c r="C79" s="21">
        <v>61.0</v>
      </c>
      <c r="D79" s="21" t="s">
        <v>31</v>
      </c>
      <c r="E79" s="21">
        <v>176.0</v>
      </c>
      <c r="F79" s="21" t="s">
        <v>63</v>
      </c>
      <c r="G79" s="21">
        <v>2.0</v>
      </c>
      <c r="H79" s="21">
        <v>2.0</v>
      </c>
      <c r="I79" s="21">
        <v>131000.0</v>
      </c>
      <c r="J79" s="21">
        <v>24000.0</v>
      </c>
      <c r="K79" s="21">
        <v>21000.0</v>
      </c>
      <c r="L79" s="22"/>
      <c r="M79" s="22"/>
      <c r="N79" s="22"/>
      <c r="O79" s="22"/>
      <c r="P79" s="22"/>
      <c r="Q79" s="22"/>
      <c r="R79" s="22"/>
    </row>
    <row r="80">
      <c r="A80" s="20">
        <v>42979.50659506944</v>
      </c>
      <c r="B80" s="21" t="s">
        <v>119</v>
      </c>
      <c r="C80" s="21" t="s">
        <v>120</v>
      </c>
      <c r="D80" s="21" t="s">
        <v>31</v>
      </c>
      <c r="E80" s="21">
        <v>320.0</v>
      </c>
      <c r="F80" s="21" t="s">
        <v>32</v>
      </c>
      <c r="G80" s="21">
        <v>4.0</v>
      </c>
      <c r="H80" s="21">
        <v>1.0</v>
      </c>
      <c r="I80" s="21">
        <v>210.0</v>
      </c>
      <c r="J80" s="21">
        <v>80.0</v>
      </c>
      <c r="K80" s="21">
        <v>30.0</v>
      </c>
      <c r="L80" s="21" t="s">
        <v>121</v>
      </c>
      <c r="M80" s="23"/>
      <c r="N80" s="23"/>
      <c r="O80" s="23"/>
      <c r="P80" s="23"/>
      <c r="Q80" s="23"/>
      <c r="R80" s="23"/>
    </row>
    <row r="81">
      <c r="A81" s="20">
        <v>42979.970421481485</v>
      </c>
      <c r="B81" s="21" t="s">
        <v>122</v>
      </c>
      <c r="C81" s="21" t="s">
        <v>43</v>
      </c>
      <c r="D81" s="21" t="s">
        <v>31</v>
      </c>
      <c r="E81" s="21">
        <v>410.0</v>
      </c>
      <c r="F81" s="21" t="s">
        <v>58</v>
      </c>
      <c r="G81" s="21">
        <v>10.0</v>
      </c>
      <c r="H81" s="21">
        <v>1.0</v>
      </c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>
      <c r="A82" s="20">
        <v>42982.595219282404</v>
      </c>
      <c r="B82" s="21" t="s">
        <v>48</v>
      </c>
      <c r="C82" s="21" t="s">
        <v>49</v>
      </c>
      <c r="D82" s="21" t="s">
        <v>31</v>
      </c>
      <c r="E82" s="21">
        <v>190.0</v>
      </c>
      <c r="F82" s="21" t="s">
        <v>50</v>
      </c>
      <c r="G82" s="21">
        <v>1.0</v>
      </c>
      <c r="H82" s="21">
        <v>1.0</v>
      </c>
      <c r="I82" s="21">
        <v>140.0</v>
      </c>
      <c r="J82" s="21">
        <v>150.0</v>
      </c>
      <c r="K82" s="21">
        <v>14.0</v>
      </c>
      <c r="L82" s="22"/>
      <c r="M82" s="22"/>
      <c r="N82" s="22"/>
      <c r="O82" s="22"/>
      <c r="P82" s="22"/>
      <c r="Q82" s="22"/>
      <c r="R82" s="22"/>
    </row>
    <row r="83">
      <c r="A83" s="20">
        <v>42982.77920077546</v>
      </c>
      <c r="B83" s="21" t="s">
        <v>33</v>
      </c>
      <c r="C83" s="21" t="s">
        <v>62</v>
      </c>
      <c r="D83" s="21" t="s">
        <v>27</v>
      </c>
      <c r="E83" s="21">
        <v>170.0</v>
      </c>
      <c r="F83" s="21" t="s">
        <v>63</v>
      </c>
      <c r="G83" s="21">
        <v>9.0</v>
      </c>
      <c r="H83" s="21">
        <v>2.0</v>
      </c>
      <c r="I83" s="21">
        <v>123.0</v>
      </c>
      <c r="J83" s="21">
        <v>37.0</v>
      </c>
      <c r="K83" s="21">
        <v>1.0</v>
      </c>
      <c r="L83" s="22"/>
      <c r="M83" s="22"/>
      <c r="N83" s="22"/>
      <c r="O83" s="22"/>
      <c r="P83" s="22"/>
      <c r="Q83" s="22"/>
      <c r="R83" s="22"/>
    </row>
    <row r="84">
      <c r="A84" s="20">
        <v>42984.65158524306</v>
      </c>
      <c r="B84" s="21" t="s">
        <v>33</v>
      </c>
      <c r="C84" s="21" t="s">
        <v>62</v>
      </c>
      <c r="D84" s="21" t="s">
        <v>27</v>
      </c>
      <c r="E84" s="21">
        <v>270.0</v>
      </c>
      <c r="F84" s="21" t="s">
        <v>63</v>
      </c>
      <c r="G84" s="21">
        <v>19.0</v>
      </c>
      <c r="H84" s="21">
        <v>3.0</v>
      </c>
      <c r="I84" s="21">
        <v>150.0</v>
      </c>
      <c r="J84" s="21">
        <v>120.0</v>
      </c>
      <c r="K84" s="22"/>
      <c r="L84" s="22"/>
      <c r="M84" s="22"/>
      <c r="N84" s="22"/>
      <c r="O84" s="22"/>
      <c r="P84" s="22"/>
      <c r="Q84" s="22"/>
      <c r="R84" s="22"/>
    </row>
    <row r="85">
      <c r="A85" s="20">
        <v>42985.66358983796</v>
      </c>
      <c r="B85" s="21" t="s">
        <v>45</v>
      </c>
      <c r="C85" s="21" t="s">
        <v>102</v>
      </c>
      <c r="D85" s="21" t="s">
        <v>31</v>
      </c>
      <c r="E85" s="21">
        <v>150.0</v>
      </c>
      <c r="F85" s="21" t="s">
        <v>79</v>
      </c>
      <c r="G85" s="21">
        <v>3.0</v>
      </c>
      <c r="H85" s="21">
        <v>3.0</v>
      </c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>
      <c r="A86" s="20">
        <v>42986.58014164351</v>
      </c>
      <c r="B86" s="21" t="s">
        <v>33</v>
      </c>
      <c r="C86" s="21" t="s">
        <v>62</v>
      </c>
      <c r="D86" s="21" t="s">
        <v>27</v>
      </c>
      <c r="E86" s="21">
        <v>195.0</v>
      </c>
      <c r="F86" s="21" t="s">
        <v>63</v>
      </c>
      <c r="G86" s="21">
        <v>9.0</v>
      </c>
      <c r="H86" s="21">
        <v>2.0</v>
      </c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>
      <c r="A87" s="20">
        <v>42986.58155920139</v>
      </c>
      <c r="B87" s="21" t="s">
        <v>123</v>
      </c>
      <c r="C87" s="21" t="s">
        <v>31</v>
      </c>
      <c r="D87" s="21" t="s">
        <v>31</v>
      </c>
      <c r="E87" s="21">
        <v>184.0</v>
      </c>
      <c r="F87" s="21" t="s">
        <v>58</v>
      </c>
      <c r="G87" s="21">
        <v>5.0</v>
      </c>
      <c r="H87" s="21">
        <v>2.0</v>
      </c>
      <c r="I87" s="21">
        <v>124.0</v>
      </c>
      <c r="J87" s="21">
        <v>200.0</v>
      </c>
      <c r="K87" s="21">
        <v>10.0</v>
      </c>
      <c r="L87" s="22"/>
      <c r="M87" s="22"/>
      <c r="N87" s="22"/>
      <c r="O87" s="22"/>
      <c r="P87" s="22"/>
      <c r="Q87" s="22"/>
      <c r="R87" s="22"/>
    </row>
    <row r="88">
      <c r="A88" s="20">
        <v>42986.613806863425</v>
      </c>
      <c r="B88" s="21" t="s">
        <v>124</v>
      </c>
      <c r="C88" s="21" t="s">
        <v>125</v>
      </c>
      <c r="D88" s="21" t="s">
        <v>31</v>
      </c>
      <c r="E88" s="21">
        <v>295.0</v>
      </c>
      <c r="F88" s="21" t="s">
        <v>51</v>
      </c>
      <c r="G88" s="21">
        <v>15.0</v>
      </c>
      <c r="H88" s="21">
        <v>4.0</v>
      </c>
      <c r="I88" s="21">
        <v>160000.0</v>
      </c>
      <c r="J88" s="21">
        <v>100000.0</v>
      </c>
      <c r="K88" s="21">
        <v>35000.0</v>
      </c>
      <c r="L88" s="21" t="s">
        <v>126</v>
      </c>
      <c r="M88" s="23"/>
      <c r="N88" s="23"/>
      <c r="O88" s="23"/>
      <c r="P88" s="23"/>
      <c r="Q88" s="23"/>
      <c r="R88" s="23"/>
    </row>
    <row r="89">
      <c r="A89" s="20">
        <v>42986.695358310186</v>
      </c>
      <c r="B89" s="21" t="s">
        <v>33</v>
      </c>
      <c r="C89" s="21" t="s">
        <v>62</v>
      </c>
      <c r="D89" s="21" t="s">
        <v>27</v>
      </c>
      <c r="E89" s="21">
        <v>270.0</v>
      </c>
      <c r="F89" s="21" t="s">
        <v>35</v>
      </c>
      <c r="G89" s="21">
        <v>6.0</v>
      </c>
      <c r="H89" s="21">
        <v>2.0</v>
      </c>
      <c r="I89" s="21">
        <v>160.0</v>
      </c>
      <c r="J89" s="21">
        <v>110.0</v>
      </c>
      <c r="K89" s="22"/>
      <c r="L89" s="22"/>
      <c r="M89" s="22"/>
      <c r="N89" s="22"/>
      <c r="O89" s="22"/>
      <c r="P89" s="22"/>
      <c r="Q89" s="22"/>
      <c r="R89" s="22"/>
    </row>
    <row r="90">
      <c r="A90" s="20">
        <v>42986.75640109954</v>
      </c>
      <c r="B90" s="21" t="s">
        <v>127</v>
      </c>
      <c r="C90" s="21" t="s">
        <v>34</v>
      </c>
      <c r="D90" s="21" t="s">
        <v>31</v>
      </c>
      <c r="E90" s="21">
        <v>270.0</v>
      </c>
      <c r="F90" s="21" t="s">
        <v>128</v>
      </c>
      <c r="G90" s="21">
        <v>15.0</v>
      </c>
      <c r="H90" s="21">
        <v>3.0</v>
      </c>
      <c r="I90" s="21">
        <v>160000.0</v>
      </c>
      <c r="J90" s="21">
        <v>110000.0</v>
      </c>
      <c r="K90" s="22"/>
      <c r="L90" s="22"/>
      <c r="M90" s="22"/>
      <c r="N90" s="22"/>
      <c r="O90" s="22"/>
      <c r="P90" s="22"/>
      <c r="Q90" s="22"/>
      <c r="R90" s="22"/>
    </row>
    <row r="91">
      <c r="A91" s="20">
        <v>42986.75823100694</v>
      </c>
      <c r="B91" s="21" t="s">
        <v>33</v>
      </c>
      <c r="C91" s="21" t="s">
        <v>73</v>
      </c>
      <c r="D91" s="21" t="s">
        <v>31</v>
      </c>
      <c r="E91" s="21">
        <v>132.0</v>
      </c>
      <c r="F91" s="21" t="s">
        <v>35</v>
      </c>
      <c r="G91" s="21">
        <v>0.5</v>
      </c>
      <c r="H91" s="21">
        <v>0.5</v>
      </c>
      <c r="I91" s="22"/>
      <c r="J91" s="22"/>
      <c r="K91" s="22"/>
      <c r="L91" s="22"/>
      <c r="M91" s="22"/>
      <c r="N91" s="22"/>
      <c r="O91" s="22"/>
      <c r="P91" s="22"/>
      <c r="Q91" s="22"/>
      <c r="R91" s="22"/>
    </row>
    <row r="92">
      <c r="A92" s="20">
        <v>42986.84371851852</v>
      </c>
      <c r="B92" s="21" t="s">
        <v>33</v>
      </c>
      <c r="C92" s="21" t="s">
        <v>73</v>
      </c>
      <c r="D92" s="21" t="s">
        <v>31</v>
      </c>
      <c r="E92" s="21">
        <v>105.0</v>
      </c>
      <c r="F92" s="21" t="s">
        <v>129</v>
      </c>
      <c r="G92" s="21">
        <v>0.0</v>
      </c>
      <c r="H92" s="21">
        <v>0.5</v>
      </c>
      <c r="I92" s="21">
        <v>105000.0</v>
      </c>
      <c r="J92" s="21">
        <v>90000.0</v>
      </c>
      <c r="K92" s="22"/>
      <c r="L92" s="22"/>
      <c r="M92" s="22"/>
      <c r="N92" s="22"/>
      <c r="O92" s="22"/>
      <c r="P92" s="22"/>
      <c r="Q92" s="22"/>
      <c r="R92" s="22"/>
    </row>
    <row r="93">
      <c r="A93" s="20">
        <v>42986.85583854167</v>
      </c>
      <c r="B93" s="21" t="s">
        <v>33</v>
      </c>
      <c r="C93" s="21">
        <v>5.0</v>
      </c>
      <c r="D93" s="21" t="s">
        <v>27</v>
      </c>
      <c r="E93" s="21">
        <v>120.0</v>
      </c>
      <c r="F93" s="21" t="s">
        <v>63</v>
      </c>
      <c r="G93" s="21">
        <v>3.0</v>
      </c>
      <c r="H93" s="21">
        <v>3.0</v>
      </c>
      <c r="I93" s="21">
        <v>72.0</v>
      </c>
      <c r="J93" s="21">
        <v>48.0</v>
      </c>
      <c r="K93" s="22"/>
      <c r="L93" s="22"/>
      <c r="M93" s="22"/>
      <c r="N93" s="22"/>
      <c r="O93" s="22"/>
      <c r="P93" s="22"/>
      <c r="Q93" s="22"/>
      <c r="R93" s="22"/>
    </row>
    <row r="94">
      <c r="A94" s="20">
        <v>42986.92031134259</v>
      </c>
      <c r="B94" s="21" t="s">
        <v>130</v>
      </c>
      <c r="C94" s="21" t="s">
        <v>62</v>
      </c>
      <c r="D94" s="21" t="s">
        <v>41</v>
      </c>
      <c r="E94" s="21">
        <v>325.0</v>
      </c>
      <c r="F94" s="21" t="s">
        <v>131</v>
      </c>
      <c r="G94" s="21">
        <v>6.0</v>
      </c>
      <c r="H94" s="21">
        <v>4.0</v>
      </c>
      <c r="I94" s="21">
        <v>160.0</v>
      </c>
      <c r="J94" s="22"/>
      <c r="K94" s="22"/>
      <c r="L94" s="22"/>
      <c r="M94" s="22"/>
      <c r="N94" s="22"/>
      <c r="O94" s="22"/>
      <c r="P94" s="22"/>
      <c r="Q94" s="22"/>
      <c r="R94" s="22"/>
    </row>
    <row r="95">
      <c r="A95" s="20">
        <v>42986.94644530093</v>
      </c>
      <c r="B95" s="21" t="s">
        <v>33</v>
      </c>
      <c r="C95" s="21" t="s">
        <v>43</v>
      </c>
      <c r="D95" s="21" t="s">
        <v>31</v>
      </c>
      <c r="E95" s="21">
        <v>188.0</v>
      </c>
      <c r="F95" s="21" t="s">
        <v>35</v>
      </c>
      <c r="G95" s="21">
        <v>4.0</v>
      </c>
      <c r="H95" s="21">
        <v>4.0</v>
      </c>
      <c r="I95" s="21">
        <v>124.0</v>
      </c>
      <c r="J95" s="21">
        <v>64.0</v>
      </c>
      <c r="K95" s="22"/>
      <c r="L95" s="21" t="s">
        <v>132</v>
      </c>
      <c r="M95" s="23"/>
      <c r="N95" s="23"/>
      <c r="O95" s="23"/>
      <c r="P95" s="23"/>
      <c r="Q95" s="23"/>
      <c r="R95" s="23"/>
    </row>
    <row r="96">
      <c r="A96" s="20">
        <v>42986.98627789352</v>
      </c>
      <c r="B96" s="21" t="s">
        <v>33</v>
      </c>
      <c r="C96" s="21">
        <v>5.0</v>
      </c>
      <c r="D96" s="21" t="s">
        <v>31</v>
      </c>
      <c r="E96" s="21">
        <v>172.0</v>
      </c>
      <c r="F96" s="21" t="s">
        <v>35</v>
      </c>
      <c r="G96" s="21">
        <v>2.0</v>
      </c>
      <c r="H96" s="21">
        <v>2.0</v>
      </c>
      <c r="I96" s="21">
        <v>132.0</v>
      </c>
      <c r="J96" s="21">
        <v>40.0</v>
      </c>
      <c r="K96" s="22"/>
      <c r="L96" s="22"/>
      <c r="M96" s="22"/>
      <c r="N96" s="22"/>
      <c r="O96" s="22"/>
      <c r="P96" s="22"/>
      <c r="Q96" s="22"/>
      <c r="R96" s="22"/>
    </row>
    <row r="97">
      <c r="A97" s="20">
        <v>42987.26396430556</v>
      </c>
      <c r="B97" s="21" t="s">
        <v>33</v>
      </c>
      <c r="C97" s="21" t="s">
        <v>62</v>
      </c>
      <c r="D97" s="21" t="s">
        <v>41</v>
      </c>
      <c r="E97" s="21">
        <v>290.0</v>
      </c>
      <c r="F97" s="21" t="s">
        <v>133</v>
      </c>
      <c r="G97" s="21">
        <v>13.0</v>
      </c>
      <c r="H97" s="21">
        <v>2.5</v>
      </c>
      <c r="I97" s="21">
        <v>151750.0</v>
      </c>
      <c r="J97" s="21">
        <v>140000.0</v>
      </c>
      <c r="K97" s="22"/>
      <c r="L97" s="22"/>
      <c r="M97" s="22"/>
      <c r="N97" s="22"/>
      <c r="O97" s="22"/>
      <c r="P97" s="22"/>
      <c r="Q97" s="22"/>
      <c r="R97" s="22"/>
    </row>
    <row r="98">
      <c r="A98" s="20">
        <v>42987.372350578706</v>
      </c>
      <c r="B98" s="21" t="s">
        <v>33</v>
      </c>
      <c r="C98" s="21" t="s">
        <v>73</v>
      </c>
      <c r="D98" s="21" t="s">
        <v>31</v>
      </c>
      <c r="E98" s="21">
        <v>140.0</v>
      </c>
      <c r="F98" s="21" t="s">
        <v>134</v>
      </c>
      <c r="G98" s="21">
        <v>1.0</v>
      </c>
      <c r="H98" s="21">
        <v>1.0</v>
      </c>
      <c r="I98" s="21">
        <v>101.0</v>
      </c>
      <c r="J98" s="21">
        <v>90.0</v>
      </c>
      <c r="K98" s="21">
        <v>33.0</v>
      </c>
      <c r="L98" s="21" t="s">
        <v>135</v>
      </c>
      <c r="M98" s="23"/>
      <c r="N98" s="23"/>
      <c r="O98" s="23"/>
      <c r="P98" s="23"/>
      <c r="Q98" s="23"/>
      <c r="R98" s="23"/>
    </row>
    <row r="99">
      <c r="A99" s="20">
        <v>42987.67767359954</v>
      </c>
      <c r="B99" s="21" t="s">
        <v>33</v>
      </c>
      <c r="C99" s="21" t="s">
        <v>43</v>
      </c>
      <c r="D99" s="21" t="s">
        <v>31</v>
      </c>
      <c r="E99" s="21">
        <v>200.0</v>
      </c>
      <c r="F99" s="21" t="s">
        <v>63</v>
      </c>
      <c r="G99" s="21">
        <v>9.0</v>
      </c>
      <c r="H99" s="21">
        <v>1.0</v>
      </c>
      <c r="I99" s="21">
        <v>150.0</v>
      </c>
      <c r="J99" s="21">
        <v>120.0</v>
      </c>
      <c r="K99" s="21">
        <v>40.0</v>
      </c>
      <c r="L99" s="22"/>
      <c r="M99" s="22"/>
      <c r="N99" s="22"/>
      <c r="O99" s="22"/>
      <c r="P99" s="22"/>
      <c r="Q99" s="22"/>
      <c r="R99" s="22"/>
    </row>
    <row r="100">
      <c r="A100" s="20">
        <v>42988.434361631946</v>
      </c>
      <c r="B100" s="21" t="s">
        <v>33</v>
      </c>
      <c r="C100" s="21">
        <v>6.0</v>
      </c>
      <c r="D100" s="21" t="s">
        <v>31</v>
      </c>
      <c r="E100" s="21">
        <v>300.0</v>
      </c>
      <c r="F100" s="21" t="s">
        <v>63</v>
      </c>
      <c r="G100" s="21">
        <v>10.0</v>
      </c>
      <c r="H100" s="21">
        <v>6.0</v>
      </c>
      <c r="I100" s="21">
        <v>145000.0</v>
      </c>
      <c r="J100" s="21">
        <v>150000.0</v>
      </c>
      <c r="K100" s="22"/>
      <c r="L100" s="22"/>
      <c r="M100" s="22"/>
      <c r="N100" s="22"/>
      <c r="O100" s="22"/>
      <c r="P100" s="22"/>
      <c r="Q100" s="22"/>
      <c r="R100" s="22"/>
    </row>
    <row r="101">
      <c r="A101" s="20">
        <v>42988.81144464121</v>
      </c>
      <c r="B101" s="21" t="s">
        <v>33</v>
      </c>
      <c r="C101" s="21" t="s">
        <v>43</v>
      </c>
      <c r="D101" s="21" t="s">
        <v>31</v>
      </c>
      <c r="E101" s="21">
        <v>183.0</v>
      </c>
      <c r="F101" s="21" t="s">
        <v>108</v>
      </c>
      <c r="G101" s="21">
        <v>11.0</v>
      </c>
      <c r="H101" s="21">
        <v>6.5</v>
      </c>
      <c r="I101" s="21">
        <v>137.5</v>
      </c>
      <c r="J101" s="21">
        <v>46.0</v>
      </c>
      <c r="K101" s="22"/>
      <c r="L101" s="22"/>
      <c r="M101" s="22"/>
      <c r="N101" s="22"/>
      <c r="O101" s="22"/>
      <c r="P101" s="22"/>
      <c r="Q101" s="22"/>
      <c r="R101" s="22"/>
    </row>
    <row r="102">
      <c r="A102" s="20">
        <v>42989.0420659375</v>
      </c>
      <c r="B102" s="21" t="s">
        <v>40</v>
      </c>
      <c r="C102" s="21">
        <v>64.0</v>
      </c>
      <c r="D102" s="21" t="s">
        <v>31</v>
      </c>
      <c r="E102" s="21">
        <v>230.0</v>
      </c>
      <c r="F102" s="21" t="s">
        <v>136</v>
      </c>
      <c r="G102" s="21">
        <v>14.0</v>
      </c>
      <c r="H102" s="21">
        <v>9.0</v>
      </c>
      <c r="I102" s="21">
        <v>165.0</v>
      </c>
      <c r="J102" s="22"/>
      <c r="K102" s="21">
        <v>30.0</v>
      </c>
      <c r="L102" s="22"/>
      <c r="M102" s="22"/>
      <c r="N102" s="22"/>
      <c r="O102" s="22"/>
      <c r="P102" s="22"/>
      <c r="Q102" s="22"/>
      <c r="R102" s="22"/>
    </row>
    <row r="103">
      <c r="A103" s="20">
        <v>42989.57766928241</v>
      </c>
      <c r="B103" s="21" t="s">
        <v>45</v>
      </c>
      <c r="C103" s="21" t="s">
        <v>102</v>
      </c>
      <c r="D103" s="21" t="s">
        <v>31</v>
      </c>
      <c r="E103" s="21">
        <v>210.0</v>
      </c>
      <c r="F103" s="21" t="s">
        <v>104</v>
      </c>
      <c r="G103" s="21">
        <v>3.0</v>
      </c>
      <c r="H103" s="21">
        <v>2.0</v>
      </c>
      <c r="I103" s="21">
        <v>130.0</v>
      </c>
      <c r="J103" s="21">
        <v>50.0</v>
      </c>
      <c r="K103" s="21">
        <v>30.0</v>
      </c>
      <c r="L103" s="22"/>
      <c r="M103" s="22"/>
      <c r="N103" s="22"/>
      <c r="O103" s="22"/>
      <c r="P103" s="22"/>
      <c r="Q103" s="22"/>
      <c r="R103" s="22"/>
    </row>
    <row r="104">
      <c r="A104" s="20">
        <v>42990.87858127315</v>
      </c>
      <c r="B104" s="21" t="s">
        <v>123</v>
      </c>
      <c r="C104" s="21" t="s">
        <v>37</v>
      </c>
      <c r="D104" s="21" t="s">
        <v>31</v>
      </c>
      <c r="E104" s="21">
        <v>240.0</v>
      </c>
      <c r="F104" s="21" t="s">
        <v>137</v>
      </c>
      <c r="G104" s="21">
        <v>5.0</v>
      </c>
      <c r="H104" s="21">
        <v>2.0</v>
      </c>
      <c r="I104" s="21">
        <v>162.0</v>
      </c>
      <c r="J104" s="21">
        <v>300.0</v>
      </c>
      <c r="K104" s="21">
        <v>16.2</v>
      </c>
      <c r="L104" s="21" t="s">
        <v>138</v>
      </c>
      <c r="M104" s="23"/>
      <c r="N104" s="23"/>
      <c r="O104" s="23"/>
      <c r="P104" s="23"/>
      <c r="Q104" s="23"/>
      <c r="R104" s="23"/>
    </row>
    <row r="105">
      <c r="A105" s="20">
        <v>42991.631289108795</v>
      </c>
      <c r="B105" s="21" t="s">
        <v>123</v>
      </c>
      <c r="C105" s="21" t="s">
        <v>31</v>
      </c>
      <c r="D105" s="21" t="s">
        <v>31</v>
      </c>
      <c r="E105" s="21">
        <v>153.0</v>
      </c>
      <c r="F105" s="21" t="s">
        <v>32</v>
      </c>
      <c r="G105" s="21">
        <v>2.0</v>
      </c>
      <c r="H105" s="21">
        <v>2.0</v>
      </c>
      <c r="I105" s="21">
        <v>134400.0</v>
      </c>
      <c r="J105" s="21">
        <v>25000.0</v>
      </c>
      <c r="K105" s="22"/>
      <c r="L105" s="22"/>
      <c r="M105" s="22"/>
      <c r="N105" s="22"/>
      <c r="O105" s="22"/>
      <c r="P105" s="22"/>
      <c r="Q105" s="22"/>
      <c r="R105" s="22"/>
    </row>
    <row r="106">
      <c r="A106" s="20">
        <v>42992.840373032406</v>
      </c>
      <c r="B106" s="21" t="s">
        <v>139</v>
      </c>
      <c r="C106" s="21" t="s">
        <v>78</v>
      </c>
      <c r="D106" s="21" t="s">
        <v>31</v>
      </c>
      <c r="E106" s="21">
        <v>170.0</v>
      </c>
      <c r="F106" s="21" t="s">
        <v>140</v>
      </c>
      <c r="G106" s="21">
        <v>15.0</v>
      </c>
      <c r="H106" s="21">
        <v>4.0</v>
      </c>
      <c r="I106" s="21">
        <v>155.0</v>
      </c>
      <c r="J106" s="21">
        <v>25000.0</v>
      </c>
      <c r="K106" s="21">
        <v>15.0</v>
      </c>
      <c r="L106" s="22"/>
      <c r="M106" s="22"/>
      <c r="N106" s="22"/>
      <c r="O106" s="22"/>
      <c r="P106" s="22"/>
      <c r="Q106" s="22"/>
      <c r="R106" s="22"/>
    </row>
    <row r="107">
      <c r="A107" s="20">
        <v>42997.96142685185</v>
      </c>
      <c r="B107" s="21" t="s">
        <v>122</v>
      </c>
      <c r="C107" s="21" t="s">
        <v>43</v>
      </c>
      <c r="D107" s="21" t="s">
        <v>31</v>
      </c>
      <c r="E107" s="21">
        <v>320.0</v>
      </c>
      <c r="F107" s="21" t="s">
        <v>137</v>
      </c>
      <c r="G107" s="21">
        <v>6.0</v>
      </c>
      <c r="H107" s="21">
        <v>3.0</v>
      </c>
      <c r="I107" s="21">
        <v>170000.0</v>
      </c>
      <c r="J107" s="21">
        <v>600000.0</v>
      </c>
      <c r="K107" s="22"/>
      <c r="L107" s="22"/>
      <c r="M107" s="22"/>
      <c r="N107" s="22"/>
      <c r="O107" s="22"/>
      <c r="P107" s="22"/>
      <c r="Q107" s="22"/>
      <c r="R107" s="22"/>
    </row>
    <row r="108">
      <c r="A108" s="20">
        <v>43004.02139797454</v>
      </c>
      <c r="B108" s="21" t="s">
        <v>33</v>
      </c>
      <c r="C108" s="21" t="s">
        <v>141</v>
      </c>
      <c r="D108" s="21" t="s">
        <v>31</v>
      </c>
      <c r="E108" s="21">
        <v>285.0</v>
      </c>
      <c r="F108" s="21" t="s">
        <v>35</v>
      </c>
      <c r="G108" s="21">
        <v>5.0</v>
      </c>
      <c r="H108" s="21">
        <v>5.0</v>
      </c>
      <c r="I108" s="21">
        <v>145.0</v>
      </c>
      <c r="J108" s="21">
        <v>140.0</v>
      </c>
      <c r="K108" s="22"/>
      <c r="L108" s="22"/>
      <c r="M108" s="22"/>
      <c r="N108" s="22"/>
      <c r="O108" s="22"/>
      <c r="P108" s="22"/>
      <c r="Q108" s="22"/>
      <c r="R108" s="22"/>
    </row>
    <row r="109">
      <c r="A109" s="20">
        <v>43006.94809644676</v>
      </c>
      <c r="B109" s="21" t="s">
        <v>40</v>
      </c>
      <c r="C109" s="21">
        <v>63.0</v>
      </c>
      <c r="D109" s="21" t="s">
        <v>31</v>
      </c>
      <c r="E109" s="21">
        <v>210.0</v>
      </c>
      <c r="F109" s="21" t="s">
        <v>35</v>
      </c>
      <c r="G109" s="21">
        <v>5.0</v>
      </c>
      <c r="H109" s="21">
        <v>5.0</v>
      </c>
      <c r="I109" s="21">
        <v>165.0</v>
      </c>
      <c r="J109" s="21">
        <v>175.0</v>
      </c>
      <c r="K109" s="21">
        <v>25.0</v>
      </c>
      <c r="L109" s="22"/>
      <c r="M109" s="22"/>
      <c r="N109" s="22"/>
      <c r="O109" s="22"/>
      <c r="P109" s="22"/>
      <c r="Q109" s="22"/>
      <c r="R109" s="22"/>
    </row>
    <row r="110">
      <c r="A110" s="20">
        <v>43010.42910511574</v>
      </c>
      <c r="B110" s="21" t="s">
        <v>142</v>
      </c>
      <c r="C110" s="21" t="s">
        <v>143</v>
      </c>
      <c r="D110" s="21" t="s">
        <v>27</v>
      </c>
      <c r="E110" s="21">
        <v>470.0</v>
      </c>
      <c r="F110" s="21" t="s">
        <v>32</v>
      </c>
      <c r="G110" s="21">
        <v>15.0</v>
      </c>
      <c r="H110" s="21">
        <v>6.0</v>
      </c>
      <c r="I110" s="21">
        <v>230.0</v>
      </c>
      <c r="J110" s="21">
        <v>170.0</v>
      </c>
      <c r="K110" s="21">
        <v>65.0</v>
      </c>
      <c r="L110" s="21" t="s">
        <v>144</v>
      </c>
      <c r="M110" s="23"/>
      <c r="N110" s="23"/>
      <c r="O110" s="23"/>
      <c r="P110" s="23"/>
      <c r="Q110" s="23"/>
      <c r="R110" s="23"/>
    </row>
    <row r="111">
      <c r="A111" s="20">
        <v>43011.46906069445</v>
      </c>
      <c r="B111" s="21" t="s">
        <v>40</v>
      </c>
      <c r="C111" s="21">
        <v>64.0</v>
      </c>
      <c r="D111" s="21" t="s">
        <v>31</v>
      </c>
      <c r="E111" s="21">
        <v>260.0</v>
      </c>
      <c r="F111" s="21" t="s">
        <v>75</v>
      </c>
      <c r="G111" s="21">
        <v>14.0</v>
      </c>
      <c r="H111" s="21">
        <v>4.0</v>
      </c>
      <c r="I111" s="21">
        <v>165.0</v>
      </c>
      <c r="J111" s="21">
        <v>29.0</v>
      </c>
      <c r="K111" s="21">
        <v>28.0</v>
      </c>
      <c r="L111" s="21" t="s">
        <v>145</v>
      </c>
      <c r="M111" s="23"/>
      <c r="N111" s="23"/>
      <c r="O111" s="23"/>
      <c r="P111" s="23"/>
      <c r="Q111" s="23"/>
      <c r="R111" s="23"/>
    </row>
    <row r="112">
      <c r="A112" s="20">
        <v>43011.53932768518</v>
      </c>
      <c r="B112" s="21" t="s">
        <v>146</v>
      </c>
      <c r="C112" s="21" t="s">
        <v>125</v>
      </c>
      <c r="D112" s="21" t="s">
        <v>31</v>
      </c>
      <c r="E112" s="21">
        <v>430.0</v>
      </c>
      <c r="F112" s="21" t="s">
        <v>51</v>
      </c>
      <c r="G112" s="21">
        <v>10.0</v>
      </c>
      <c r="H112" s="21">
        <v>3.0</v>
      </c>
      <c r="I112" s="21">
        <v>200.0</v>
      </c>
      <c r="J112" s="22"/>
      <c r="K112" s="21">
        <v>30.0</v>
      </c>
      <c r="L112" s="22"/>
      <c r="M112" s="22"/>
      <c r="N112" s="22"/>
      <c r="O112" s="22"/>
      <c r="P112" s="22"/>
      <c r="Q112" s="22"/>
      <c r="R112" s="22"/>
    </row>
    <row r="113">
      <c r="A113" s="20">
        <v>43012.756847129625</v>
      </c>
      <c r="B113" s="21" t="s">
        <v>40</v>
      </c>
      <c r="C113" s="21">
        <v>64.0</v>
      </c>
      <c r="D113" s="21" t="s">
        <v>147</v>
      </c>
      <c r="E113" s="21">
        <v>330.0</v>
      </c>
      <c r="F113" s="21" t="s">
        <v>148</v>
      </c>
      <c r="G113" s="21">
        <v>10.0</v>
      </c>
      <c r="H113" s="21">
        <v>1.0</v>
      </c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4">
      <c r="A114" s="20">
        <v>43014.48980084491</v>
      </c>
      <c r="B114" s="21" t="s">
        <v>146</v>
      </c>
      <c r="C114" s="21" t="s">
        <v>125</v>
      </c>
      <c r="D114" s="21" t="s">
        <v>31</v>
      </c>
      <c r="E114" s="21">
        <v>350.0</v>
      </c>
      <c r="F114" s="21" t="s">
        <v>47</v>
      </c>
      <c r="G114" s="21">
        <v>10.0</v>
      </c>
      <c r="H114" s="21">
        <v>3.0</v>
      </c>
      <c r="I114" s="21">
        <v>180.0</v>
      </c>
      <c r="J114" s="21">
        <v>143.0</v>
      </c>
      <c r="K114" s="21">
        <v>27.0</v>
      </c>
      <c r="L114" s="22"/>
      <c r="M114" s="22"/>
      <c r="N114" s="22"/>
      <c r="O114" s="22"/>
      <c r="P114" s="22"/>
      <c r="Q114" s="22"/>
      <c r="R114" s="22"/>
    </row>
    <row r="115">
      <c r="A115" s="20">
        <v>43014.73117918981</v>
      </c>
      <c r="B115" s="21" t="s">
        <v>45</v>
      </c>
      <c r="C115" s="21" t="s">
        <v>149</v>
      </c>
      <c r="D115" s="21" t="s">
        <v>31</v>
      </c>
      <c r="E115" s="21">
        <v>430.0</v>
      </c>
      <c r="F115" s="21" t="s">
        <v>92</v>
      </c>
      <c r="G115" s="21">
        <v>8.0</v>
      </c>
      <c r="H115" s="21">
        <v>2.0</v>
      </c>
      <c r="I115" s="22"/>
      <c r="J115" s="22"/>
      <c r="K115" s="22"/>
      <c r="L115" s="22"/>
      <c r="M115" s="22"/>
      <c r="N115" s="22"/>
      <c r="O115" s="22"/>
      <c r="P115" s="22"/>
      <c r="Q115" s="22"/>
      <c r="R115" s="22"/>
    </row>
    <row r="116">
      <c r="A116" s="20">
        <v>43014.732501516206</v>
      </c>
      <c r="B116" s="21" t="s">
        <v>45</v>
      </c>
      <c r="C116" s="21" t="s">
        <v>150</v>
      </c>
      <c r="D116" s="21" t="s">
        <v>31</v>
      </c>
      <c r="E116" s="21">
        <v>560.0</v>
      </c>
      <c r="F116" s="21" t="s">
        <v>92</v>
      </c>
      <c r="G116" s="21">
        <v>8.0</v>
      </c>
      <c r="H116" s="21">
        <v>5.0</v>
      </c>
      <c r="I116" s="22"/>
      <c r="J116" s="22"/>
      <c r="K116" s="22"/>
      <c r="L116" s="22"/>
      <c r="M116" s="22"/>
      <c r="N116" s="22"/>
      <c r="O116" s="22"/>
      <c r="P116" s="22"/>
      <c r="Q116" s="22"/>
      <c r="R116" s="22"/>
    </row>
    <row r="117">
      <c r="A117" s="20">
        <v>43014.92305030093</v>
      </c>
      <c r="B117" s="21" t="s">
        <v>33</v>
      </c>
      <c r="C117" s="21">
        <v>6.0</v>
      </c>
      <c r="D117" s="21" t="s">
        <v>41</v>
      </c>
      <c r="E117" s="21">
        <v>342.0</v>
      </c>
      <c r="F117" s="21" t="s">
        <v>151</v>
      </c>
      <c r="G117" s="21">
        <v>14.0</v>
      </c>
      <c r="H117" s="21">
        <v>7.0</v>
      </c>
      <c r="I117" s="22"/>
      <c r="J117" s="22"/>
      <c r="K117" s="22"/>
      <c r="L117" s="22"/>
      <c r="M117" s="22"/>
      <c r="N117" s="22"/>
      <c r="O117" s="22"/>
      <c r="P117" s="22"/>
      <c r="Q117" s="22"/>
      <c r="R117" s="22"/>
    </row>
    <row r="118">
      <c r="A118" s="20">
        <v>43014.96441731481</v>
      </c>
      <c r="B118" s="21" t="s">
        <v>33</v>
      </c>
      <c r="C118" s="21" t="s">
        <v>152</v>
      </c>
      <c r="D118" s="21" t="s">
        <v>27</v>
      </c>
      <c r="E118" s="21">
        <v>625.0</v>
      </c>
      <c r="F118" s="21" t="s">
        <v>108</v>
      </c>
      <c r="G118" s="21">
        <v>13.0</v>
      </c>
      <c r="H118" s="21">
        <v>2.0</v>
      </c>
      <c r="I118" s="21">
        <v>160.0</v>
      </c>
      <c r="J118" s="21">
        <v>460.0</v>
      </c>
      <c r="K118" s="22"/>
      <c r="L118" s="22"/>
      <c r="M118" s="22"/>
      <c r="N118" s="22"/>
      <c r="O118" s="22"/>
      <c r="P118" s="22"/>
      <c r="Q118" s="22"/>
      <c r="R118" s="22"/>
    </row>
    <row r="119">
      <c r="A119" s="20">
        <v>43016.99962449074</v>
      </c>
      <c r="B119" s="21" t="s">
        <v>127</v>
      </c>
      <c r="C119" s="21" t="s">
        <v>43</v>
      </c>
      <c r="D119" s="21" t="s">
        <v>31</v>
      </c>
      <c r="E119" s="21">
        <v>196.0</v>
      </c>
      <c r="F119" s="21" t="s">
        <v>136</v>
      </c>
      <c r="G119" s="21">
        <v>5.0</v>
      </c>
      <c r="H119" s="21">
        <v>0.0</v>
      </c>
      <c r="I119" s="21">
        <v>147.0</v>
      </c>
      <c r="J119" s="21">
        <v>120.0</v>
      </c>
      <c r="K119" s="22"/>
      <c r="L119" s="22"/>
      <c r="M119" s="22"/>
      <c r="N119" s="22"/>
      <c r="O119" s="22"/>
      <c r="P119" s="22"/>
      <c r="Q119" s="22"/>
      <c r="R119" s="22"/>
    </row>
    <row r="120">
      <c r="A120" s="20">
        <v>43018.83123833333</v>
      </c>
      <c r="B120" s="21" t="s">
        <v>119</v>
      </c>
      <c r="C120" s="21" t="s">
        <v>153</v>
      </c>
      <c r="D120" s="21" t="s">
        <v>31</v>
      </c>
      <c r="E120" s="21">
        <v>250.0</v>
      </c>
      <c r="F120" s="21" t="s">
        <v>63</v>
      </c>
      <c r="G120" s="21">
        <v>15.0</v>
      </c>
      <c r="H120" s="21">
        <v>3.0</v>
      </c>
      <c r="I120" s="21">
        <v>196.0</v>
      </c>
      <c r="J120" s="21">
        <v>80000.0</v>
      </c>
      <c r="K120" s="21">
        <v>29.5</v>
      </c>
      <c r="L120" s="22"/>
      <c r="M120" s="22"/>
      <c r="N120" s="22"/>
      <c r="O120" s="22"/>
      <c r="P120" s="22"/>
      <c r="Q120" s="22"/>
      <c r="R120" s="22"/>
    </row>
    <row r="121">
      <c r="A121" s="20">
        <v>43019.26726729167</v>
      </c>
      <c r="B121" s="21" t="s">
        <v>154</v>
      </c>
      <c r="C121" s="21" t="s">
        <v>155</v>
      </c>
      <c r="D121" s="21" t="s">
        <v>31</v>
      </c>
      <c r="E121" s="21">
        <v>245.0</v>
      </c>
      <c r="F121" s="21" t="s">
        <v>51</v>
      </c>
      <c r="G121" s="21">
        <v>23.0</v>
      </c>
      <c r="H121" s="21">
        <v>13.0</v>
      </c>
      <c r="I121" s="21">
        <v>180.25</v>
      </c>
      <c r="J121" s="21">
        <v>27.7</v>
      </c>
      <c r="K121" s="21">
        <v>26.25</v>
      </c>
      <c r="L121" s="21" t="s">
        <v>156</v>
      </c>
      <c r="M121" s="23"/>
      <c r="N121" s="23"/>
      <c r="O121" s="23"/>
      <c r="P121" s="23"/>
      <c r="Q121" s="23"/>
      <c r="R121" s="23"/>
    </row>
    <row r="122">
      <c r="A122" s="20">
        <v>43019.60233364583</v>
      </c>
      <c r="B122" s="21" t="s">
        <v>157</v>
      </c>
      <c r="C122" s="21" t="s">
        <v>152</v>
      </c>
      <c r="D122" s="21" t="s">
        <v>31</v>
      </c>
      <c r="E122" s="21">
        <v>115.0</v>
      </c>
      <c r="F122" s="21" t="s">
        <v>158</v>
      </c>
      <c r="G122" s="21">
        <v>10.0</v>
      </c>
      <c r="H122" s="21">
        <v>2.0</v>
      </c>
      <c r="I122" s="21">
        <v>106000.0</v>
      </c>
      <c r="J122" s="22"/>
      <c r="K122" s="21">
        <v>8000.0</v>
      </c>
      <c r="L122" s="22"/>
      <c r="M122" s="22"/>
      <c r="N122" s="22"/>
      <c r="O122" s="22"/>
      <c r="P122" s="22"/>
      <c r="Q122" s="22"/>
      <c r="R122" s="22"/>
    </row>
    <row r="123">
      <c r="A123" s="20">
        <v>43020.831140532406</v>
      </c>
      <c r="B123" s="21" t="s">
        <v>33</v>
      </c>
      <c r="C123" s="21" t="s">
        <v>62</v>
      </c>
      <c r="D123" s="21" t="s">
        <v>27</v>
      </c>
      <c r="E123" s="21">
        <v>201.0</v>
      </c>
      <c r="F123" s="21" t="s">
        <v>35</v>
      </c>
      <c r="G123" s="21">
        <v>6.0</v>
      </c>
      <c r="H123" s="21">
        <v>1.0</v>
      </c>
      <c r="I123" s="21">
        <v>140000.0</v>
      </c>
      <c r="J123" s="21">
        <v>29000.0</v>
      </c>
      <c r="K123" s="21">
        <v>32000.0</v>
      </c>
      <c r="L123" s="22"/>
      <c r="M123" s="22"/>
      <c r="N123" s="22"/>
      <c r="O123" s="22"/>
      <c r="P123" s="22"/>
      <c r="Q123" s="22"/>
      <c r="R123" s="22"/>
    </row>
    <row r="124">
      <c r="A124" s="20">
        <v>43021.481865925925</v>
      </c>
      <c r="B124" s="21" t="s">
        <v>40</v>
      </c>
      <c r="C124" s="21">
        <v>63.0</v>
      </c>
      <c r="D124" s="21" t="s">
        <v>27</v>
      </c>
      <c r="E124" s="21">
        <v>195.0</v>
      </c>
      <c r="F124" s="21" t="s">
        <v>52</v>
      </c>
      <c r="G124" s="21">
        <v>9.0</v>
      </c>
      <c r="H124" s="21">
        <v>2.5</v>
      </c>
      <c r="I124" s="21">
        <v>157622.0</v>
      </c>
      <c r="J124" s="21">
        <v>20400.0</v>
      </c>
      <c r="K124" s="21">
        <v>17800.0</v>
      </c>
      <c r="L124" s="22"/>
      <c r="M124" s="22"/>
      <c r="N124" s="22"/>
      <c r="O124" s="22"/>
      <c r="P124" s="22"/>
      <c r="Q124" s="22"/>
      <c r="R124" s="22"/>
    </row>
    <row r="125">
      <c r="A125" s="20">
        <v>43023.50599232639</v>
      </c>
      <c r="B125" s="21" t="s">
        <v>45</v>
      </c>
      <c r="C125" s="21" t="s">
        <v>116</v>
      </c>
      <c r="D125" s="21" t="s">
        <v>27</v>
      </c>
      <c r="E125" s="21">
        <v>305.0</v>
      </c>
      <c r="F125" s="21" t="s">
        <v>58</v>
      </c>
      <c r="G125" s="21">
        <v>7.0</v>
      </c>
      <c r="H125" s="21">
        <v>1.0</v>
      </c>
      <c r="I125" s="21">
        <v>180.0</v>
      </c>
      <c r="J125" s="21">
        <v>60.0</v>
      </c>
      <c r="K125" s="21">
        <v>65.0</v>
      </c>
      <c r="L125" s="22"/>
      <c r="M125" s="22"/>
      <c r="N125" s="22"/>
      <c r="O125" s="22"/>
      <c r="P125" s="22"/>
      <c r="Q125" s="22"/>
      <c r="R125" s="22"/>
    </row>
    <row r="126">
      <c r="A126" s="20">
        <v>43023.99813862269</v>
      </c>
      <c r="B126" s="21" t="s">
        <v>40</v>
      </c>
      <c r="C126" s="21">
        <v>63.0</v>
      </c>
      <c r="D126" s="21" t="s">
        <v>31</v>
      </c>
      <c r="E126" s="21">
        <v>310.0</v>
      </c>
      <c r="F126" s="21" t="s">
        <v>159</v>
      </c>
      <c r="G126" s="21">
        <v>8.0</v>
      </c>
      <c r="H126" s="21">
        <v>5.0</v>
      </c>
      <c r="I126" s="21">
        <v>200.0</v>
      </c>
      <c r="J126" s="21">
        <v>35.0</v>
      </c>
      <c r="K126" s="21">
        <v>75.0</v>
      </c>
      <c r="L126" s="22"/>
      <c r="M126" s="22"/>
      <c r="N126" s="22"/>
      <c r="O126" s="22"/>
      <c r="P126" s="22"/>
      <c r="Q126" s="22"/>
      <c r="R126" s="22"/>
    </row>
    <row r="127">
      <c r="A127" s="20">
        <v>43025.94492109954</v>
      </c>
      <c r="B127" s="21" t="s">
        <v>64</v>
      </c>
      <c r="C127" s="21" t="s">
        <v>160</v>
      </c>
      <c r="D127" s="21" t="s">
        <v>31</v>
      </c>
      <c r="E127" s="21">
        <v>120.0</v>
      </c>
      <c r="F127" s="21" t="s">
        <v>161</v>
      </c>
      <c r="G127" s="21">
        <v>0.0</v>
      </c>
      <c r="H127" s="21">
        <v>0.0</v>
      </c>
      <c r="I127" s="21">
        <v>95000.0</v>
      </c>
      <c r="J127" s="21">
        <v>10000.0</v>
      </c>
      <c r="K127" s="21">
        <v>14250.0</v>
      </c>
      <c r="L127" s="22"/>
      <c r="M127" s="22"/>
      <c r="N127" s="22"/>
      <c r="O127" s="22"/>
      <c r="P127" s="22"/>
      <c r="Q127" s="22"/>
      <c r="R127" s="22"/>
    </row>
    <row r="128">
      <c r="A128" s="20">
        <v>43025.95669958333</v>
      </c>
      <c r="B128" s="21" t="s">
        <v>48</v>
      </c>
      <c r="C128" s="21" t="s">
        <v>70</v>
      </c>
      <c r="D128" s="21" t="s">
        <v>31</v>
      </c>
      <c r="E128" s="21">
        <v>718.0</v>
      </c>
      <c r="F128" s="21" t="s">
        <v>63</v>
      </c>
      <c r="G128" s="21">
        <v>8.0</v>
      </c>
      <c r="H128" s="21">
        <v>4.5</v>
      </c>
      <c r="I128" s="21">
        <v>205000.0</v>
      </c>
      <c r="J128" s="21">
        <v>2800000.0</v>
      </c>
      <c r="K128" s="21">
        <v>41000.0</v>
      </c>
      <c r="L128" s="21" t="s">
        <v>162</v>
      </c>
      <c r="M128" s="23"/>
      <c r="N128" s="23"/>
      <c r="O128" s="23"/>
      <c r="P128" s="23"/>
      <c r="Q128" s="23"/>
      <c r="R128" s="23"/>
    </row>
    <row r="129">
      <c r="A129" s="20">
        <v>43027.063604826384</v>
      </c>
      <c r="B129" s="21" t="s">
        <v>48</v>
      </c>
      <c r="C129" s="21" t="s">
        <v>70</v>
      </c>
      <c r="D129" s="21" t="s">
        <v>31</v>
      </c>
      <c r="E129" s="21">
        <v>600.0</v>
      </c>
      <c r="F129" s="21" t="s">
        <v>50</v>
      </c>
      <c r="G129" s="21">
        <v>10.0</v>
      </c>
      <c r="H129" s="21">
        <v>1.0</v>
      </c>
      <c r="I129" s="21">
        <v>215.0</v>
      </c>
      <c r="J129" s="21">
        <v>1000.0</v>
      </c>
      <c r="K129" s="21">
        <v>40.0</v>
      </c>
      <c r="L129" s="22"/>
      <c r="M129" s="22"/>
      <c r="N129" s="22"/>
      <c r="O129" s="22"/>
      <c r="P129" s="22"/>
      <c r="Q129" s="22"/>
      <c r="R129" s="22"/>
    </row>
    <row r="130">
      <c r="A130" s="20">
        <v>43027.5999478125</v>
      </c>
      <c r="B130" s="21" t="s">
        <v>163</v>
      </c>
      <c r="C130" s="21" t="s">
        <v>34</v>
      </c>
      <c r="D130" s="21" t="s">
        <v>31</v>
      </c>
      <c r="E130" s="21">
        <v>110.0</v>
      </c>
      <c r="F130" s="21" t="s">
        <v>164</v>
      </c>
      <c r="G130" s="21">
        <v>6.0</v>
      </c>
      <c r="H130" s="21">
        <v>5.0</v>
      </c>
      <c r="I130" s="21">
        <v>96.0</v>
      </c>
      <c r="J130" s="21">
        <v>4.0</v>
      </c>
      <c r="K130" s="21">
        <v>10.0</v>
      </c>
      <c r="L130" s="22"/>
      <c r="M130" s="22"/>
      <c r="N130" s="22"/>
      <c r="O130" s="22"/>
      <c r="P130" s="22"/>
      <c r="Q130" s="22"/>
      <c r="R130" s="22"/>
    </row>
    <row r="131">
      <c r="A131" s="20">
        <v>43027.648965960645</v>
      </c>
      <c r="B131" s="21" t="s">
        <v>36</v>
      </c>
      <c r="C131" s="21" t="s">
        <v>165</v>
      </c>
      <c r="D131" s="21" t="s">
        <v>31</v>
      </c>
      <c r="E131" s="21">
        <v>365.0</v>
      </c>
      <c r="F131" s="21" t="s">
        <v>58</v>
      </c>
      <c r="G131" s="21">
        <v>9.0</v>
      </c>
      <c r="H131" s="21">
        <v>1.0</v>
      </c>
      <c r="I131" s="21">
        <v>178.0</v>
      </c>
      <c r="J131" s="21">
        <v>175.0</v>
      </c>
      <c r="K131" s="21">
        <v>55.0</v>
      </c>
      <c r="L131" s="22"/>
      <c r="M131" s="22"/>
      <c r="N131" s="22"/>
      <c r="O131" s="22"/>
      <c r="P131" s="22"/>
      <c r="Q131" s="22"/>
      <c r="R131" s="22"/>
    </row>
    <row r="132">
      <c r="A132" s="20">
        <v>43028.313401747684</v>
      </c>
      <c r="B132" s="21" t="s">
        <v>33</v>
      </c>
      <c r="C132" s="21" t="s">
        <v>73</v>
      </c>
      <c r="D132" s="21" t="s">
        <v>31</v>
      </c>
      <c r="E132" s="21">
        <v>150.0</v>
      </c>
      <c r="F132" s="21" t="s">
        <v>35</v>
      </c>
      <c r="G132" s="21">
        <v>0.0</v>
      </c>
      <c r="H132" s="21">
        <v>0.0</v>
      </c>
      <c r="I132" s="21">
        <v>106.0</v>
      </c>
      <c r="J132" s="21">
        <v>65.0</v>
      </c>
      <c r="K132" s="21">
        <v>46.0</v>
      </c>
      <c r="L132" s="22"/>
      <c r="M132" s="22"/>
      <c r="N132" s="22"/>
      <c r="O132" s="22"/>
      <c r="P132" s="22"/>
      <c r="Q132" s="22"/>
      <c r="R132" s="22"/>
    </row>
    <row r="133">
      <c r="A133" s="20">
        <v>43029.550874374996</v>
      </c>
      <c r="B133" s="21" t="s">
        <v>48</v>
      </c>
      <c r="C133" s="21" t="s">
        <v>69</v>
      </c>
      <c r="D133" s="21" t="s">
        <v>31</v>
      </c>
      <c r="E133" s="21">
        <v>168.0</v>
      </c>
      <c r="F133" s="21" t="s">
        <v>58</v>
      </c>
      <c r="G133" s="21">
        <v>0.0</v>
      </c>
      <c r="H133" s="21">
        <v>0.0</v>
      </c>
      <c r="I133" s="21">
        <v>110000.0</v>
      </c>
      <c r="J133" s="21">
        <v>37500.0</v>
      </c>
      <c r="K133" s="21">
        <v>20000.0</v>
      </c>
      <c r="L133" s="22"/>
      <c r="M133" s="22"/>
      <c r="N133" s="22"/>
      <c r="O133" s="22"/>
      <c r="P133" s="22"/>
      <c r="Q133" s="22"/>
      <c r="R133" s="22"/>
    </row>
    <row r="134">
      <c r="A134" s="20">
        <v>43030.48804899305</v>
      </c>
      <c r="B134" s="21" t="s">
        <v>48</v>
      </c>
      <c r="C134" s="21" t="s">
        <v>166</v>
      </c>
      <c r="D134" s="21" t="s">
        <v>31</v>
      </c>
      <c r="E134" s="21">
        <v>690.0</v>
      </c>
      <c r="F134" s="21" t="s">
        <v>63</v>
      </c>
      <c r="G134" s="21">
        <v>11.5</v>
      </c>
      <c r="H134" s="21">
        <v>4.0</v>
      </c>
      <c r="I134" s="21">
        <v>200.0</v>
      </c>
      <c r="J134" s="21">
        <v>450.0</v>
      </c>
      <c r="K134" s="21">
        <v>40.0</v>
      </c>
      <c r="L134" s="22"/>
      <c r="M134" s="22"/>
      <c r="N134" s="22"/>
      <c r="O134" s="22"/>
      <c r="P134" s="22"/>
      <c r="Q134" s="22"/>
      <c r="R134" s="22"/>
    </row>
    <row r="135">
      <c r="A135" s="20">
        <v>43030.99488416666</v>
      </c>
      <c r="B135" s="21" t="s">
        <v>33</v>
      </c>
      <c r="C135" s="21" t="s">
        <v>37</v>
      </c>
      <c r="D135" s="21" t="s">
        <v>31</v>
      </c>
      <c r="E135" s="21">
        <v>200.0</v>
      </c>
      <c r="F135" s="21" t="s">
        <v>63</v>
      </c>
      <c r="G135" s="21">
        <v>14.0</v>
      </c>
      <c r="H135" s="21">
        <v>9.0</v>
      </c>
      <c r="I135" s="22"/>
      <c r="J135" s="22"/>
      <c r="K135" s="22"/>
      <c r="L135" s="22"/>
      <c r="M135" s="22"/>
      <c r="N135" s="22"/>
      <c r="O135" s="22"/>
      <c r="P135" s="22"/>
      <c r="Q135" s="22"/>
      <c r="R135" s="22"/>
    </row>
    <row r="136">
      <c r="A136" s="20">
        <v>43033.43812931713</v>
      </c>
      <c r="B136" s="21" t="s">
        <v>80</v>
      </c>
      <c r="C136" s="21" t="s">
        <v>73</v>
      </c>
      <c r="D136" s="21" t="s">
        <v>31</v>
      </c>
      <c r="E136" s="21">
        <v>275.0</v>
      </c>
      <c r="F136" s="21" t="s">
        <v>51</v>
      </c>
      <c r="G136" s="21">
        <v>4.0</v>
      </c>
      <c r="H136" s="21">
        <v>0.0</v>
      </c>
      <c r="I136" s="21">
        <v>160.0</v>
      </c>
      <c r="J136" s="21">
        <v>91.0</v>
      </c>
      <c r="K136" s="21">
        <v>24.0</v>
      </c>
      <c r="L136" s="22"/>
      <c r="M136" s="22"/>
      <c r="N136" s="22"/>
      <c r="O136" s="22"/>
      <c r="P136" s="22"/>
      <c r="Q136" s="22"/>
      <c r="R136" s="22"/>
    </row>
    <row r="137">
      <c r="A137" s="20">
        <v>43034.49438263889</v>
      </c>
      <c r="B137" s="21" t="s">
        <v>167</v>
      </c>
      <c r="C137" s="21" t="s">
        <v>143</v>
      </c>
      <c r="D137" s="21" t="s">
        <v>27</v>
      </c>
      <c r="E137" s="21">
        <v>350.0</v>
      </c>
      <c r="F137" s="21" t="s">
        <v>32</v>
      </c>
      <c r="G137" s="21">
        <v>10.0</v>
      </c>
      <c r="H137" s="21">
        <v>0.0</v>
      </c>
      <c r="I137" s="21">
        <v>260000.0</v>
      </c>
      <c r="J137" s="21">
        <v>37500.0</v>
      </c>
      <c r="K137" s="21">
        <v>52000.0</v>
      </c>
      <c r="L137" s="22"/>
      <c r="M137" s="22"/>
      <c r="N137" s="22"/>
      <c r="O137" s="22"/>
      <c r="P137" s="22"/>
      <c r="Q137" s="22"/>
      <c r="R137" s="22"/>
    </row>
    <row r="138">
      <c r="A138" s="20">
        <v>43036.04344760417</v>
      </c>
      <c r="B138" s="21" t="s">
        <v>168</v>
      </c>
      <c r="C138" s="21">
        <v>63.0</v>
      </c>
      <c r="D138" s="21" t="s">
        <v>31</v>
      </c>
      <c r="E138" s="21">
        <v>210.0</v>
      </c>
      <c r="F138" s="21" t="s">
        <v>35</v>
      </c>
      <c r="G138" s="21">
        <v>7.0</v>
      </c>
      <c r="H138" s="21">
        <v>4.0</v>
      </c>
      <c r="I138" s="21">
        <v>160500.0</v>
      </c>
      <c r="J138" s="21">
        <v>17500.0</v>
      </c>
      <c r="K138" s="21">
        <v>32000.0</v>
      </c>
      <c r="L138" s="22"/>
      <c r="M138" s="22"/>
      <c r="N138" s="22"/>
      <c r="O138" s="22"/>
      <c r="P138" s="22"/>
      <c r="Q138" s="22"/>
      <c r="R138" s="22"/>
    </row>
    <row r="139">
      <c r="A139" s="20">
        <v>43037.465139328706</v>
      </c>
      <c r="B139" s="21" t="s">
        <v>33</v>
      </c>
      <c r="C139" s="21" t="s">
        <v>43</v>
      </c>
      <c r="D139" s="21" t="s">
        <v>31</v>
      </c>
      <c r="E139" s="21">
        <v>245.0</v>
      </c>
      <c r="F139" s="21" t="s">
        <v>35</v>
      </c>
      <c r="G139" s="21">
        <v>10.0</v>
      </c>
      <c r="H139" s="21">
        <v>0.0</v>
      </c>
      <c r="I139" s="21">
        <v>155.0</v>
      </c>
      <c r="J139" s="21">
        <v>185.0</v>
      </c>
      <c r="K139" s="21">
        <v>80.0</v>
      </c>
      <c r="L139" s="22"/>
      <c r="M139" s="22"/>
      <c r="N139" s="22"/>
      <c r="O139" s="22"/>
      <c r="P139" s="22"/>
      <c r="Q139" s="22"/>
      <c r="R139" s="22"/>
    </row>
    <row r="140">
      <c r="A140" s="20">
        <v>43039.391993831014</v>
      </c>
      <c r="B140" s="21" t="s">
        <v>33</v>
      </c>
      <c r="C140" s="21" t="s">
        <v>73</v>
      </c>
      <c r="D140" s="21" t="s">
        <v>31</v>
      </c>
      <c r="E140" s="21">
        <v>115.0</v>
      </c>
      <c r="F140" s="21" t="s">
        <v>35</v>
      </c>
      <c r="G140" s="21">
        <v>2.0</v>
      </c>
      <c r="H140" s="21">
        <v>2.0</v>
      </c>
      <c r="I140" s="21">
        <v>90000.0</v>
      </c>
      <c r="J140" s="21">
        <v>43000.0</v>
      </c>
      <c r="K140" s="21">
        <v>52000.0</v>
      </c>
      <c r="L140" s="21" t="s">
        <v>169</v>
      </c>
      <c r="M140" s="23"/>
      <c r="N140" s="23"/>
      <c r="O140" s="23"/>
      <c r="P140" s="23"/>
      <c r="Q140" s="23"/>
      <c r="R140" s="23"/>
    </row>
    <row r="141">
      <c r="A141" s="20">
        <v>43039.96224230324</v>
      </c>
      <c r="B141" s="21" t="s">
        <v>170</v>
      </c>
      <c r="C141" s="21" t="s">
        <v>171</v>
      </c>
      <c r="D141" s="21" t="s">
        <v>41</v>
      </c>
      <c r="E141" s="21">
        <v>125.0</v>
      </c>
      <c r="F141" s="21" t="s">
        <v>172</v>
      </c>
      <c r="G141" s="21">
        <v>7.0</v>
      </c>
      <c r="H141" s="21">
        <v>6.0</v>
      </c>
      <c r="I141" s="21">
        <v>100.0</v>
      </c>
      <c r="J141" s="21">
        <v>10.0</v>
      </c>
      <c r="K141" s="21">
        <v>15.0</v>
      </c>
      <c r="L141" s="22"/>
      <c r="M141" s="22"/>
      <c r="N141" s="22"/>
      <c r="O141" s="22"/>
      <c r="P141" s="22"/>
      <c r="Q141" s="22"/>
      <c r="R141" s="22"/>
    </row>
    <row r="142">
      <c r="A142" s="20">
        <v>43040.93014837963</v>
      </c>
      <c r="B142" s="21" t="s">
        <v>130</v>
      </c>
      <c r="C142" s="21" t="s">
        <v>62</v>
      </c>
      <c r="D142" s="21" t="s">
        <v>27</v>
      </c>
      <c r="E142" s="21">
        <v>205.0</v>
      </c>
      <c r="F142" s="21" t="s">
        <v>133</v>
      </c>
      <c r="G142" s="21">
        <v>10.0</v>
      </c>
      <c r="H142" s="21">
        <v>1.0</v>
      </c>
      <c r="I142" s="21">
        <v>140000.0</v>
      </c>
      <c r="J142" s="21">
        <v>135000.0</v>
      </c>
      <c r="K142" s="21">
        <v>90000.0</v>
      </c>
      <c r="L142" s="22"/>
      <c r="M142" s="22"/>
      <c r="N142" s="22"/>
      <c r="O142" s="22"/>
      <c r="P142" s="22"/>
      <c r="Q142" s="22"/>
      <c r="R142" s="22"/>
    </row>
    <row r="143">
      <c r="A143" s="20">
        <v>43042.81444747685</v>
      </c>
      <c r="B143" s="21" t="s">
        <v>40</v>
      </c>
      <c r="C143" s="21">
        <v>61.0</v>
      </c>
      <c r="D143" s="21" t="s">
        <v>31</v>
      </c>
      <c r="E143" s="21">
        <v>150.0</v>
      </c>
      <c r="F143" s="21" t="s">
        <v>75</v>
      </c>
      <c r="G143" s="21">
        <v>4.0</v>
      </c>
      <c r="H143" s="21">
        <v>2.0</v>
      </c>
      <c r="I143" s="22"/>
      <c r="J143" s="22"/>
      <c r="K143" s="22"/>
      <c r="L143" s="22"/>
      <c r="M143" s="22"/>
      <c r="N143" s="22"/>
      <c r="O143" s="22"/>
      <c r="P143" s="22"/>
      <c r="Q143" s="22"/>
      <c r="R143" s="22"/>
    </row>
    <row r="144">
      <c r="A144" s="20">
        <v>43042.96269263889</v>
      </c>
      <c r="B144" s="21" t="s">
        <v>173</v>
      </c>
      <c r="C144" s="21" t="s">
        <v>174</v>
      </c>
      <c r="D144" s="21" t="s">
        <v>31</v>
      </c>
      <c r="E144" s="21">
        <v>180.0</v>
      </c>
      <c r="F144" s="21" t="s">
        <v>175</v>
      </c>
      <c r="G144" s="21">
        <v>4.0</v>
      </c>
      <c r="H144" s="21">
        <v>4.0</v>
      </c>
      <c r="I144" s="21">
        <v>155000.0</v>
      </c>
      <c r="J144" s="21">
        <v>1.0</v>
      </c>
      <c r="K144" s="21">
        <v>25000.0</v>
      </c>
      <c r="L144" s="22"/>
      <c r="M144" s="22"/>
      <c r="N144" s="22"/>
      <c r="O144" s="22"/>
      <c r="P144" s="22"/>
      <c r="Q144" s="22"/>
      <c r="R144" s="22"/>
    </row>
    <row r="145">
      <c r="A145" s="20">
        <v>43044.05994821759</v>
      </c>
      <c r="B145" s="21" t="s">
        <v>36</v>
      </c>
      <c r="C145" s="21" t="s">
        <v>73</v>
      </c>
      <c r="D145" s="21" t="s">
        <v>27</v>
      </c>
      <c r="E145" s="21">
        <v>330.0</v>
      </c>
      <c r="F145" s="21" t="s">
        <v>63</v>
      </c>
      <c r="G145" s="21">
        <v>4.0</v>
      </c>
      <c r="H145" s="21">
        <v>4.0</v>
      </c>
      <c r="I145" s="21">
        <v>150.0</v>
      </c>
      <c r="J145" s="21">
        <v>600.0</v>
      </c>
      <c r="K145" s="21">
        <v>40.0</v>
      </c>
      <c r="L145" s="22"/>
      <c r="M145" s="22"/>
      <c r="N145" s="22"/>
      <c r="O145" s="22"/>
      <c r="P145" s="22"/>
      <c r="Q145" s="22"/>
      <c r="R145" s="22"/>
    </row>
    <row r="146">
      <c r="A146" s="20">
        <v>43046.943082997685</v>
      </c>
      <c r="B146" s="21" t="s">
        <v>80</v>
      </c>
      <c r="C146" s="21" t="s">
        <v>176</v>
      </c>
      <c r="D146" s="21" t="s">
        <v>31</v>
      </c>
      <c r="E146" s="21">
        <v>324.0</v>
      </c>
      <c r="F146" s="21" t="s">
        <v>94</v>
      </c>
      <c r="G146" s="21">
        <v>6.0</v>
      </c>
      <c r="H146" s="21">
        <v>2.0</v>
      </c>
      <c r="I146" s="21">
        <v>160950.0</v>
      </c>
      <c r="J146" s="21">
        <v>130290.0</v>
      </c>
      <c r="K146" s="21">
        <v>33200.0</v>
      </c>
      <c r="L146" s="22"/>
      <c r="M146" s="22"/>
      <c r="N146" s="22"/>
      <c r="O146" s="22"/>
      <c r="P146" s="22"/>
      <c r="Q146" s="22"/>
      <c r="R146" s="22"/>
    </row>
    <row r="147">
      <c r="A147" s="20">
        <v>43047.88240209491</v>
      </c>
      <c r="B147" s="21" t="s">
        <v>40</v>
      </c>
      <c r="C147" s="21">
        <v>67.0</v>
      </c>
      <c r="D147" s="21" t="s">
        <v>27</v>
      </c>
      <c r="E147" s="21">
        <v>500.0</v>
      </c>
      <c r="F147" s="21" t="s">
        <v>177</v>
      </c>
      <c r="G147" s="21">
        <v>20.0</v>
      </c>
      <c r="H147" s="21">
        <v>20.0</v>
      </c>
      <c r="I147" s="21">
        <v>225000.0</v>
      </c>
      <c r="J147" s="21">
        <v>200000.0</v>
      </c>
      <c r="K147" s="21">
        <v>80000.0</v>
      </c>
      <c r="L147" s="22"/>
      <c r="M147" s="22"/>
      <c r="N147" s="22"/>
      <c r="O147" s="22"/>
      <c r="P147" s="22"/>
      <c r="Q147" s="22"/>
      <c r="R147" s="22"/>
    </row>
    <row r="148">
      <c r="A148" s="20">
        <v>43048.550215752315</v>
      </c>
      <c r="B148" s="21" t="s">
        <v>33</v>
      </c>
      <c r="C148" s="21" t="s">
        <v>43</v>
      </c>
      <c r="D148" s="21" t="s">
        <v>31</v>
      </c>
      <c r="E148" s="21">
        <v>212.0</v>
      </c>
      <c r="F148" s="21" t="s">
        <v>178</v>
      </c>
      <c r="G148" s="21">
        <v>11.0</v>
      </c>
      <c r="H148" s="21">
        <v>3.0</v>
      </c>
      <c r="I148" s="21">
        <v>132.0</v>
      </c>
      <c r="J148" s="21">
        <v>80.0</v>
      </c>
      <c r="K148" s="22"/>
      <c r="L148" s="22"/>
      <c r="M148" s="22"/>
      <c r="N148" s="22"/>
      <c r="O148" s="22"/>
      <c r="P148" s="22"/>
      <c r="Q148" s="22"/>
      <c r="R148" s="22"/>
    </row>
    <row r="149">
      <c r="A149" s="20">
        <v>43048.793699131944</v>
      </c>
      <c r="B149" s="21" t="s">
        <v>33</v>
      </c>
      <c r="C149" s="21" t="s">
        <v>73</v>
      </c>
      <c r="D149" s="21" t="s">
        <v>31</v>
      </c>
      <c r="E149" s="21">
        <v>156.0</v>
      </c>
      <c r="F149" s="21" t="s">
        <v>35</v>
      </c>
      <c r="G149" s="21">
        <v>0.0</v>
      </c>
      <c r="H149" s="21">
        <v>0.0</v>
      </c>
      <c r="I149" s="21">
        <v>112.0</v>
      </c>
      <c r="J149" s="21">
        <v>3.0</v>
      </c>
      <c r="K149" s="21">
        <v>41.0</v>
      </c>
      <c r="L149" s="22"/>
      <c r="M149" s="22"/>
      <c r="N149" s="22"/>
      <c r="O149" s="22"/>
      <c r="P149" s="22"/>
      <c r="Q149" s="22"/>
      <c r="R149" s="22"/>
    </row>
    <row r="150">
      <c r="A150" s="20">
        <v>43053.24858144676</v>
      </c>
      <c r="B150" s="21" t="s">
        <v>45</v>
      </c>
      <c r="C150" s="21" t="s">
        <v>46</v>
      </c>
      <c r="D150" s="21" t="s">
        <v>41</v>
      </c>
      <c r="E150" s="21">
        <v>385.0</v>
      </c>
      <c r="F150" s="21" t="s">
        <v>58</v>
      </c>
      <c r="G150" s="21">
        <v>7.0</v>
      </c>
      <c r="H150" s="21">
        <v>1.0</v>
      </c>
      <c r="I150" s="21">
        <v>215.0</v>
      </c>
      <c r="J150" s="21">
        <v>120.0</v>
      </c>
      <c r="K150" s="21">
        <v>50.0</v>
      </c>
      <c r="L150" s="22"/>
      <c r="M150" s="22"/>
      <c r="N150" s="22"/>
      <c r="O150" s="22"/>
      <c r="P150" s="22"/>
      <c r="Q150" s="22"/>
      <c r="R150" s="22"/>
    </row>
    <row r="151">
      <c r="A151" s="20">
        <v>43053.860918402774</v>
      </c>
      <c r="B151" s="21" t="s">
        <v>80</v>
      </c>
      <c r="C151" s="21" t="s">
        <v>179</v>
      </c>
      <c r="D151" s="21" t="s">
        <v>31</v>
      </c>
      <c r="E151" s="21">
        <v>158.0</v>
      </c>
      <c r="F151" s="21" t="s">
        <v>51</v>
      </c>
      <c r="G151" s="21">
        <v>0.0</v>
      </c>
      <c r="H151" s="21">
        <v>0.0</v>
      </c>
      <c r="I151" s="21">
        <v>116.0</v>
      </c>
      <c r="J151" s="21">
        <v>25.0</v>
      </c>
      <c r="K151" s="21">
        <v>17.0</v>
      </c>
      <c r="L151" s="22"/>
      <c r="M151" s="22"/>
      <c r="N151" s="22"/>
      <c r="O151" s="22"/>
      <c r="P151" s="22"/>
      <c r="Q151" s="22"/>
      <c r="R151" s="22"/>
    </row>
    <row r="152">
      <c r="A152" s="20">
        <v>43054.43454141203</v>
      </c>
      <c r="B152" s="21" t="s">
        <v>33</v>
      </c>
      <c r="C152" s="21" t="s">
        <v>73</v>
      </c>
      <c r="D152" s="21" t="s">
        <v>31</v>
      </c>
      <c r="E152" s="21">
        <v>148.0</v>
      </c>
      <c r="F152" s="21" t="s">
        <v>47</v>
      </c>
      <c r="G152" s="21">
        <v>1.0</v>
      </c>
      <c r="H152" s="21">
        <v>1.0</v>
      </c>
      <c r="I152" s="22"/>
      <c r="J152" s="22"/>
      <c r="K152" s="22"/>
      <c r="L152" s="22"/>
      <c r="M152" s="22"/>
      <c r="N152" s="22"/>
      <c r="O152" s="22"/>
      <c r="P152" s="22"/>
      <c r="Q152" s="22"/>
      <c r="R152" s="22"/>
    </row>
    <row r="153">
      <c r="A153" s="20">
        <v>43055.234066689816</v>
      </c>
      <c r="B153" s="21" t="s">
        <v>168</v>
      </c>
      <c r="C153" s="21" t="s">
        <v>180</v>
      </c>
      <c r="D153" s="21" t="s">
        <v>31</v>
      </c>
      <c r="E153" s="21">
        <v>145.0</v>
      </c>
      <c r="F153" s="21" t="s">
        <v>75</v>
      </c>
      <c r="G153" s="21">
        <v>5.0</v>
      </c>
      <c r="H153" s="21">
        <v>0.0</v>
      </c>
      <c r="I153" s="21">
        <v>125500.0</v>
      </c>
      <c r="J153" s="21">
        <v>30.0</v>
      </c>
      <c r="K153" s="21">
        <v>12550.0</v>
      </c>
      <c r="L153" s="21" t="s">
        <v>181</v>
      </c>
      <c r="M153" s="23"/>
      <c r="N153" s="23"/>
      <c r="O153" s="23"/>
      <c r="P153" s="23"/>
      <c r="Q153" s="23"/>
      <c r="R153" s="23"/>
    </row>
    <row r="154">
      <c r="A154" s="20">
        <v>43055.77819423611</v>
      </c>
      <c r="B154" s="21" t="s">
        <v>182</v>
      </c>
      <c r="C154" s="21" t="s">
        <v>73</v>
      </c>
      <c r="D154" s="21" t="s">
        <v>31</v>
      </c>
      <c r="E154" s="21">
        <v>273.0</v>
      </c>
      <c r="F154" s="21" t="s">
        <v>134</v>
      </c>
      <c r="G154" s="21">
        <v>1.0</v>
      </c>
      <c r="H154" s="21">
        <v>1.0</v>
      </c>
      <c r="I154" s="21">
        <v>131.0</v>
      </c>
      <c r="J154" s="21">
        <v>112.0</v>
      </c>
      <c r="K154" s="21">
        <v>30.0</v>
      </c>
      <c r="L154" s="21" t="s">
        <v>183</v>
      </c>
      <c r="M154" s="23"/>
      <c r="N154" s="23"/>
      <c r="O154" s="23"/>
      <c r="P154" s="23"/>
      <c r="Q154" s="23"/>
      <c r="R154" s="23"/>
    </row>
    <row r="155">
      <c r="A155" s="20">
        <v>43055.97876799769</v>
      </c>
      <c r="B155" s="21" t="s">
        <v>40</v>
      </c>
      <c r="C155" s="21">
        <v>63.0</v>
      </c>
      <c r="D155" s="21" t="s">
        <v>31</v>
      </c>
      <c r="E155" s="21">
        <v>189.0</v>
      </c>
      <c r="F155" s="21" t="s">
        <v>52</v>
      </c>
      <c r="G155" s="21">
        <v>9.0</v>
      </c>
      <c r="H155" s="21">
        <v>5.0</v>
      </c>
      <c r="I155" s="21">
        <v>151000.0</v>
      </c>
      <c r="J155" s="21">
        <v>20000.0</v>
      </c>
      <c r="K155" s="21">
        <v>17000.0</v>
      </c>
      <c r="L155" s="22"/>
      <c r="M155" s="22"/>
      <c r="N155" s="22"/>
      <c r="O155" s="22"/>
      <c r="P155" s="22"/>
      <c r="Q155" s="22"/>
      <c r="R155" s="22"/>
    </row>
    <row r="156">
      <c r="A156" s="20">
        <v>43056.487247199075</v>
      </c>
      <c r="B156" s="21" t="s">
        <v>25</v>
      </c>
      <c r="C156" s="21" t="s">
        <v>184</v>
      </c>
      <c r="D156" s="21" t="s">
        <v>27</v>
      </c>
      <c r="E156" s="21">
        <v>125.0</v>
      </c>
      <c r="F156" s="21" t="s">
        <v>35</v>
      </c>
      <c r="G156" s="21">
        <v>10.0</v>
      </c>
      <c r="H156" s="21">
        <v>1.0</v>
      </c>
      <c r="I156" s="21">
        <v>125.0</v>
      </c>
      <c r="J156" s="21">
        <v>20000.0</v>
      </c>
      <c r="K156" s="22"/>
      <c r="L156" s="21" t="s">
        <v>185</v>
      </c>
      <c r="M156" s="23"/>
      <c r="N156" s="23"/>
      <c r="O156" s="23"/>
      <c r="P156" s="23"/>
      <c r="Q156" s="23"/>
      <c r="R156" s="23"/>
    </row>
    <row r="157">
      <c r="A157" s="20">
        <v>43057.532015358796</v>
      </c>
      <c r="B157" s="21" t="s">
        <v>40</v>
      </c>
      <c r="C157" s="21">
        <v>63.0</v>
      </c>
      <c r="D157" s="21" t="s">
        <v>31</v>
      </c>
      <c r="E157" s="21">
        <v>240.0</v>
      </c>
      <c r="F157" s="21" t="s">
        <v>75</v>
      </c>
      <c r="G157" s="21">
        <v>6.0</v>
      </c>
      <c r="H157" s="21">
        <v>1.0</v>
      </c>
      <c r="I157" s="21">
        <v>150.7</v>
      </c>
      <c r="J157" s="21">
        <v>120.0</v>
      </c>
      <c r="K157" s="21">
        <v>40.0</v>
      </c>
      <c r="L157" s="21" t="s">
        <v>186</v>
      </c>
      <c r="M157" s="23"/>
      <c r="N157" s="23"/>
      <c r="O157" s="23"/>
      <c r="P157" s="23"/>
      <c r="Q157" s="23"/>
      <c r="R157" s="23"/>
    </row>
    <row r="158">
      <c r="A158" s="20">
        <v>43058.94166851851</v>
      </c>
      <c r="B158" s="21" t="s">
        <v>45</v>
      </c>
      <c r="C158" s="21" t="s">
        <v>102</v>
      </c>
      <c r="D158" s="21" t="s">
        <v>31</v>
      </c>
      <c r="E158" s="21">
        <v>221.0</v>
      </c>
      <c r="F158" s="21" t="s">
        <v>104</v>
      </c>
      <c r="G158" s="21">
        <v>5.0</v>
      </c>
      <c r="H158" s="21">
        <v>2.0</v>
      </c>
      <c r="I158" s="21">
        <v>140000.0</v>
      </c>
      <c r="J158" s="21">
        <v>65000.0</v>
      </c>
      <c r="K158" s="21">
        <v>16000.0</v>
      </c>
      <c r="L158" s="22"/>
      <c r="M158" s="22"/>
      <c r="N158" s="22"/>
      <c r="O158" s="22"/>
      <c r="P158" s="22"/>
      <c r="Q158" s="22"/>
      <c r="R158" s="22"/>
    </row>
    <row r="159">
      <c r="A159" s="20">
        <v>43058.955279444446</v>
      </c>
      <c r="B159" s="21" t="s">
        <v>187</v>
      </c>
      <c r="C159" s="21" t="s">
        <v>176</v>
      </c>
      <c r="D159" s="21" t="s">
        <v>31</v>
      </c>
      <c r="E159" s="21">
        <v>180.0</v>
      </c>
      <c r="F159" s="21" t="s">
        <v>58</v>
      </c>
      <c r="G159" s="21">
        <v>7.0</v>
      </c>
      <c r="H159" s="21">
        <v>2.0</v>
      </c>
      <c r="I159" s="21">
        <v>185.0</v>
      </c>
      <c r="J159" s="21">
        <v>1000.0</v>
      </c>
      <c r="K159" s="22"/>
      <c r="L159" s="22"/>
      <c r="M159" s="22"/>
      <c r="N159" s="22"/>
      <c r="O159" s="22"/>
      <c r="P159" s="22"/>
      <c r="Q159" s="22"/>
      <c r="R159" s="22"/>
    </row>
    <row r="160">
      <c r="A160" s="20">
        <v>43059.6155324537</v>
      </c>
      <c r="B160" s="21" t="s">
        <v>80</v>
      </c>
      <c r="C160" s="21" t="s">
        <v>73</v>
      </c>
      <c r="D160" s="21" t="s">
        <v>31</v>
      </c>
      <c r="E160" s="21">
        <v>268.0</v>
      </c>
      <c r="F160" s="21" t="s">
        <v>51</v>
      </c>
      <c r="G160" s="21">
        <v>5.0</v>
      </c>
      <c r="H160" s="21">
        <v>3.5</v>
      </c>
      <c r="I160" s="21">
        <v>142.0</v>
      </c>
      <c r="J160" s="21">
        <v>100.0</v>
      </c>
      <c r="K160" s="21">
        <v>26.0</v>
      </c>
      <c r="L160" s="22"/>
      <c r="M160" s="22"/>
      <c r="N160" s="22"/>
      <c r="O160" s="22"/>
      <c r="P160" s="22"/>
      <c r="Q160" s="22"/>
      <c r="R160" s="22"/>
    </row>
    <row r="161">
      <c r="A161" s="20">
        <v>43059.61977634259</v>
      </c>
      <c r="B161" s="21" t="s">
        <v>188</v>
      </c>
      <c r="C161" s="21" t="s">
        <v>26</v>
      </c>
      <c r="D161" s="21" t="s">
        <v>31</v>
      </c>
      <c r="E161" s="21">
        <v>188.0</v>
      </c>
      <c r="F161" s="21" t="s">
        <v>189</v>
      </c>
      <c r="G161" s="21">
        <v>8.0</v>
      </c>
      <c r="H161" s="21">
        <v>0.0</v>
      </c>
      <c r="I161" s="21">
        <v>140000.0</v>
      </c>
      <c r="J161" s="21">
        <v>480000.0</v>
      </c>
      <c r="K161" s="22"/>
      <c r="L161" s="22"/>
      <c r="M161" s="22"/>
      <c r="N161" s="22"/>
      <c r="O161" s="22"/>
      <c r="P161" s="22"/>
      <c r="Q161" s="22"/>
      <c r="R161" s="22"/>
    </row>
    <row r="162">
      <c r="A162" s="20">
        <v>43063.009147372686</v>
      </c>
      <c r="B162" s="21" t="s">
        <v>80</v>
      </c>
      <c r="C162" s="21" t="s">
        <v>34</v>
      </c>
      <c r="D162" s="21" t="s">
        <v>27</v>
      </c>
      <c r="E162" s="21">
        <v>570.0</v>
      </c>
      <c r="F162" s="21" t="s">
        <v>35</v>
      </c>
      <c r="G162" s="21">
        <v>11.0</v>
      </c>
      <c r="H162" s="21">
        <v>6.0</v>
      </c>
      <c r="I162" s="21">
        <v>210000.0</v>
      </c>
      <c r="J162" s="21">
        <v>250000.0</v>
      </c>
      <c r="K162" s="21">
        <v>70000.0</v>
      </c>
      <c r="L162" s="22"/>
      <c r="M162" s="22"/>
      <c r="N162" s="22"/>
      <c r="O162" s="22"/>
      <c r="P162" s="22"/>
      <c r="Q162" s="22"/>
      <c r="R162" s="22"/>
    </row>
    <row r="163">
      <c r="A163" s="20">
        <v>43063.57847678241</v>
      </c>
      <c r="B163" s="21" t="s">
        <v>33</v>
      </c>
      <c r="C163" s="21" t="s">
        <v>62</v>
      </c>
      <c r="D163" s="21" t="s">
        <v>41</v>
      </c>
      <c r="E163" s="21">
        <v>290.0</v>
      </c>
      <c r="F163" s="21" t="s">
        <v>35</v>
      </c>
      <c r="G163" s="21">
        <v>10.0</v>
      </c>
      <c r="H163" s="21">
        <v>4.0</v>
      </c>
      <c r="I163" s="21">
        <v>160.0</v>
      </c>
      <c r="J163" s="21">
        <v>130.0</v>
      </c>
      <c r="K163" s="22"/>
      <c r="L163" s="22"/>
      <c r="M163" s="22"/>
      <c r="N163" s="22"/>
      <c r="O163" s="22"/>
      <c r="P163" s="22"/>
      <c r="Q163" s="22"/>
      <c r="R163" s="22"/>
    </row>
    <row r="164">
      <c r="A164" s="20">
        <v>43064.940997233796</v>
      </c>
      <c r="B164" s="21" t="s">
        <v>40</v>
      </c>
      <c r="C164" s="21">
        <v>61.0</v>
      </c>
      <c r="D164" s="21" t="s">
        <v>31</v>
      </c>
      <c r="E164" s="21">
        <v>155.0</v>
      </c>
      <c r="F164" s="21" t="s">
        <v>75</v>
      </c>
      <c r="G164" s="21">
        <v>3.0</v>
      </c>
      <c r="H164" s="21">
        <v>3.0</v>
      </c>
      <c r="I164" s="21">
        <v>129000.0</v>
      </c>
      <c r="J164" s="21">
        <v>9000.0</v>
      </c>
      <c r="K164" s="21">
        <v>17000.0</v>
      </c>
      <c r="L164" s="22"/>
      <c r="M164" s="22"/>
      <c r="N164" s="22"/>
      <c r="O164" s="22"/>
      <c r="P164" s="22"/>
      <c r="Q164" s="22"/>
      <c r="R164" s="22"/>
    </row>
    <row r="165">
      <c r="A165" s="20">
        <v>43065.433532152776</v>
      </c>
      <c r="B165" s="21" t="s">
        <v>187</v>
      </c>
      <c r="C165" s="21" t="s">
        <v>176</v>
      </c>
      <c r="D165" s="21" t="s">
        <v>31</v>
      </c>
      <c r="E165" s="21">
        <v>400.0</v>
      </c>
      <c r="F165" s="21" t="s">
        <v>63</v>
      </c>
      <c r="G165" s="21">
        <v>5.0</v>
      </c>
      <c r="H165" s="21">
        <v>1.0</v>
      </c>
      <c r="I165" s="21">
        <v>190.0</v>
      </c>
      <c r="J165" s="21">
        <v>800.0</v>
      </c>
      <c r="K165" s="22"/>
      <c r="L165" s="22"/>
      <c r="M165" s="22"/>
      <c r="N165" s="22"/>
      <c r="O165" s="22"/>
      <c r="P165" s="22"/>
      <c r="Q165" s="22"/>
      <c r="R165" s="22"/>
    </row>
    <row r="166">
      <c r="A166" s="20">
        <v>43068.44206614583</v>
      </c>
      <c r="B166" s="21" t="s">
        <v>190</v>
      </c>
      <c r="C166" s="21" t="s">
        <v>191</v>
      </c>
      <c r="D166" s="21" t="s">
        <v>31</v>
      </c>
      <c r="E166" s="21">
        <v>125.0</v>
      </c>
      <c r="F166" s="21" t="s">
        <v>192</v>
      </c>
      <c r="G166" s="21">
        <v>5.0</v>
      </c>
      <c r="H166" s="21">
        <v>1.0</v>
      </c>
      <c r="I166" s="21">
        <v>120.0</v>
      </c>
      <c r="J166" s="22"/>
      <c r="K166" s="21">
        <v>5.0</v>
      </c>
      <c r="L166" s="22"/>
      <c r="M166" s="22"/>
      <c r="N166" s="22"/>
      <c r="O166" s="22"/>
      <c r="P166" s="22"/>
      <c r="Q166" s="22"/>
      <c r="R166" s="22"/>
    </row>
    <row r="167">
      <c r="A167" s="20">
        <v>43068.55515295139</v>
      </c>
      <c r="B167" s="21" t="s">
        <v>40</v>
      </c>
      <c r="C167" s="21">
        <v>61.0</v>
      </c>
      <c r="D167" s="21" t="s">
        <v>31</v>
      </c>
      <c r="E167" s="21">
        <v>184.0</v>
      </c>
      <c r="F167" s="21" t="s">
        <v>75</v>
      </c>
      <c r="G167" s="21">
        <v>3.0</v>
      </c>
      <c r="H167" s="21">
        <v>3.0</v>
      </c>
      <c r="I167" s="21">
        <v>128000.0</v>
      </c>
      <c r="J167" s="21">
        <v>30000.0</v>
      </c>
      <c r="K167" s="21">
        <v>25600.0</v>
      </c>
      <c r="L167" s="22"/>
      <c r="M167" s="22"/>
      <c r="N167" s="22"/>
      <c r="O167" s="22"/>
      <c r="P167" s="22"/>
      <c r="Q167" s="22"/>
      <c r="R167" s="22"/>
    </row>
    <row r="168">
      <c r="A168" s="20">
        <v>43068.70243474537</v>
      </c>
      <c r="B168" s="21" t="s">
        <v>40</v>
      </c>
      <c r="C168" s="21">
        <v>59.0</v>
      </c>
      <c r="D168" s="21" t="s">
        <v>31</v>
      </c>
      <c r="E168" s="21">
        <v>138.0</v>
      </c>
      <c r="F168" s="21" t="s">
        <v>84</v>
      </c>
      <c r="G168" s="21">
        <v>2.0</v>
      </c>
      <c r="H168" s="21">
        <v>0.0</v>
      </c>
      <c r="I168" s="21">
        <v>108000.0</v>
      </c>
      <c r="J168" s="21">
        <v>70000.0</v>
      </c>
      <c r="K168" s="21">
        <v>10000.0</v>
      </c>
      <c r="L168" s="22"/>
      <c r="M168" s="22"/>
      <c r="N168" s="22"/>
      <c r="O168" s="22"/>
      <c r="P168" s="22"/>
      <c r="Q168" s="22"/>
      <c r="R168" s="22"/>
    </row>
    <row r="169">
      <c r="A169" s="20">
        <v>43069.23273336806</v>
      </c>
      <c r="B169" s="21" t="s">
        <v>40</v>
      </c>
      <c r="C169" s="21">
        <v>62.0</v>
      </c>
      <c r="D169" s="21" t="s">
        <v>31</v>
      </c>
      <c r="E169" s="21">
        <v>118.0</v>
      </c>
      <c r="F169" s="21" t="s">
        <v>100</v>
      </c>
      <c r="G169" s="21">
        <v>15.0</v>
      </c>
      <c r="H169" s="21">
        <v>4.0</v>
      </c>
      <c r="I169" s="21">
        <v>105000.0</v>
      </c>
      <c r="J169" s="21">
        <v>6000.0</v>
      </c>
      <c r="K169" s="21">
        <v>7000.0</v>
      </c>
      <c r="L169" s="22"/>
      <c r="M169" s="22"/>
      <c r="N169" s="22"/>
      <c r="O169" s="22"/>
      <c r="P169" s="22"/>
      <c r="Q169" s="22"/>
      <c r="R169" s="22"/>
    </row>
    <row r="170">
      <c r="A170" s="20">
        <v>43069.79824802083</v>
      </c>
      <c r="B170" s="21" t="s">
        <v>40</v>
      </c>
      <c r="C170" s="21">
        <v>67.0</v>
      </c>
      <c r="D170" s="21" t="s">
        <v>31</v>
      </c>
      <c r="E170" s="21">
        <v>510.0</v>
      </c>
      <c r="F170" s="21" t="s">
        <v>107</v>
      </c>
      <c r="G170" s="21">
        <v>20.0</v>
      </c>
      <c r="H170" s="21">
        <v>10.0</v>
      </c>
      <c r="I170" s="21">
        <v>220000.0</v>
      </c>
      <c r="J170" s="21">
        <v>300000.0</v>
      </c>
      <c r="K170" s="21">
        <v>95000.0</v>
      </c>
      <c r="L170" s="22"/>
      <c r="M170" s="22"/>
      <c r="N170" s="22"/>
      <c r="O170" s="22"/>
      <c r="P170" s="22"/>
      <c r="Q170" s="22"/>
      <c r="R170" s="22"/>
    </row>
    <row r="171">
      <c r="A171" s="20">
        <v>43069.94977601852</v>
      </c>
      <c r="B171" s="21" t="s">
        <v>33</v>
      </c>
      <c r="C171" s="21" t="s">
        <v>43</v>
      </c>
      <c r="D171" s="21" t="s">
        <v>31</v>
      </c>
      <c r="E171" s="21">
        <v>178.0</v>
      </c>
      <c r="F171" s="21" t="s">
        <v>63</v>
      </c>
      <c r="G171" s="21">
        <v>10.0</v>
      </c>
      <c r="H171" s="21">
        <v>5.5</v>
      </c>
      <c r="I171" s="21">
        <v>132.0</v>
      </c>
      <c r="J171" s="21">
        <v>48.0</v>
      </c>
      <c r="K171" s="22"/>
      <c r="L171" s="22"/>
      <c r="M171" s="22"/>
      <c r="N171" s="22"/>
      <c r="O171" s="22"/>
      <c r="P171" s="22"/>
      <c r="Q171" s="22"/>
      <c r="R171" s="22"/>
    </row>
    <row r="172">
      <c r="A172" s="20">
        <v>43072.56748484954</v>
      </c>
      <c r="B172" s="21" t="s">
        <v>36</v>
      </c>
      <c r="C172" s="21" t="s">
        <v>37</v>
      </c>
      <c r="D172" s="21" t="s">
        <v>31</v>
      </c>
      <c r="E172" s="21">
        <v>377.0</v>
      </c>
      <c r="F172" s="21" t="s">
        <v>32</v>
      </c>
      <c r="G172" s="21">
        <v>8.0</v>
      </c>
      <c r="H172" s="21">
        <v>1.0</v>
      </c>
      <c r="I172" s="21">
        <v>185.0</v>
      </c>
      <c r="J172" s="21">
        <v>173.0</v>
      </c>
      <c r="K172" s="21">
        <v>19.0</v>
      </c>
      <c r="L172" s="22"/>
      <c r="M172" s="22"/>
      <c r="N172" s="22"/>
      <c r="O172" s="22"/>
      <c r="P172" s="22"/>
      <c r="Q172" s="22"/>
      <c r="R172" s="22"/>
    </row>
    <row r="173">
      <c r="A173" s="20">
        <v>43072.981708935185</v>
      </c>
      <c r="B173" s="21" t="s">
        <v>80</v>
      </c>
      <c r="C173" s="21">
        <v>7.0</v>
      </c>
      <c r="D173" s="21" t="s">
        <v>27</v>
      </c>
      <c r="E173" s="21">
        <v>530.0</v>
      </c>
      <c r="F173" s="21" t="s">
        <v>58</v>
      </c>
      <c r="G173" s="21">
        <v>15.0</v>
      </c>
      <c r="H173" s="21">
        <v>4.0</v>
      </c>
      <c r="I173" s="21">
        <v>212000.0</v>
      </c>
      <c r="J173" s="21">
        <v>250000.0</v>
      </c>
      <c r="K173" s="21">
        <v>50000.0</v>
      </c>
      <c r="L173" s="22"/>
      <c r="M173" s="22"/>
      <c r="N173" s="22"/>
      <c r="O173" s="22"/>
      <c r="P173" s="22"/>
      <c r="Q173" s="22"/>
      <c r="R173" s="22"/>
    </row>
    <row r="174">
      <c r="A174" s="20">
        <v>43074.74402302083</v>
      </c>
      <c r="B174" s="21" t="s">
        <v>123</v>
      </c>
      <c r="C174" s="21" t="s">
        <v>27</v>
      </c>
      <c r="D174" s="21" t="s">
        <v>27</v>
      </c>
      <c r="E174" s="21">
        <v>250.0</v>
      </c>
      <c r="F174" s="21" t="s">
        <v>193</v>
      </c>
      <c r="G174" s="21">
        <v>3.0</v>
      </c>
      <c r="H174" s="21">
        <v>1.0</v>
      </c>
      <c r="I174" s="21">
        <v>160.0</v>
      </c>
      <c r="J174" s="21">
        <v>70.0</v>
      </c>
      <c r="K174" s="21">
        <v>16.0</v>
      </c>
      <c r="L174" s="22"/>
      <c r="M174" s="22"/>
      <c r="N174" s="22"/>
      <c r="O174" s="22"/>
      <c r="P174" s="22"/>
      <c r="Q174" s="22"/>
      <c r="R174" s="22"/>
    </row>
    <row r="175">
      <c r="A175" s="20">
        <v>43075.43049010416</v>
      </c>
      <c r="B175" s="21" t="s">
        <v>142</v>
      </c>
      <c r="C175" s="21" t="s">
        <v>194</v>
      </c>
      <c r="D175" s="21" t="s">
        <v>31</v>
      </c>
      <c r="E175" s="21">
        <v>165.0</v>
      </c>
      <c r="F175" s="21" t="s">
        <v>195</v>
      </c>
      <c r="G175" s="21">
        <v>4.0</v>
      </c>
      <c r="H175" s="21">
        <v>1.0</v>
      </c>
      <c r="I175" s="21">
        <v>135.0</v>
      </c>
      <c r="J175" s="21">
        <v>25.0</v>
      </c>
      <c r="K175" s="21">
        <v>5.0</v>
      </c>
      <c r="L175" s="22"/>
      <c r="M175" s="22"/>
      <c r="N175" s="22"/>
      <c r="O175" s="22"/>
      <c r="P175" s="22"/>
      <c r="Q175" s="22"/>
      <c r="R175" s="22"/>
    </row>
    <row r="176">
      <c r="A176" s="20">
        <v>43075.63148931713</v>
      </c>
      <c r="B176" s="21" t="s">
        <v>48</v>
      </c>
      <c r="C176" s="21" t="s">
        <v>49</v>
      </c>
      <c r="D176" s="21" t="s">
        <v>31</v>
      </c>
      <c r="E176" s="21">
        <v>238.0</v>
      </c>
      <c r="F176" s="21" t="s">
        <v>35</v>
      </c>
      <c r="G176" s="21">
        <v>4.0</v>
      </c>
      <c r="H176" s="21">
        <v>1.0</v>
      </c>
      <c r="I176" s="21">
        <v>153500.0</v>
      </c>
      <c r="J176" s="21">
        <v>74500.0</v>
      </c>
      <c r="K176" s="21">
        <v>10000.0</v>
      </c>
      <c r="L176" s="22"/>
      <c r="M176" s="22"/>
      <c r="N176" s="22"/>
      <c r="O176" s="22"/>
      <c r="P176" s="22"/>
      <c r="Q176" s="22"/>
      <c r="R176" s="22"/>
    </row>
    <row r="177">
      <c r="A177" s="20">
        <v>43075.901206828705</v>
      </c>
      <c r="B177" s="21" t="s">
        <v>196</v>
      </c>
      <c r="C177" s="21" t="s">
        <v>117</v>
      </c>
      <c r="D177" s="21" t="s">
        <v>31</v>
      </c>
      <c r="E177" s="21">
        <v>199.5</v>
      </c>
      <c r="F177" s="21" t="s">
        <v>32</v>
      </c>
      <c r="G177" s="21">
        <v>2.0</v>
      </c>
      <c r="H177" s="21">
        <v>0.0</v>
      </c>
      <c r="I177" s="21">
        <v>132000.0</v>
      </c>
      <c r="J177" s="21">
        <v>230000.0</v>
      </c>
      <c r="K177" s="21">
        <v>10000.0</v>
      </c>
      <c r="L177" s="21" t="s">
        <v>197</v>
      </c>
      <c r="M177" s="23"/>
      <c r="N177" s="23"/>
      <c r="O177" s="23"/>
      <c r="P177" s="23"/>
      <c r="Q177" s="23"/>
      <c r="R177" s="23"/>
    </row>
    <row r="178">
      <c r="A178" s="20">
        <v>43076.164795185185</v>
      </c>
      <c r="B178" s="21" t="s">
        <v>33</v>
      </c>
      <c r="C178" s="21" t="s">
        <v>62</v>
      </c>
      <c r="D178" s="21" t="s">
        <v>31</v>
      </c>
      <c r="E178" s="21">
        <v>90.0</v>
      </c>
      <c r="F178" s="21" t="s">
        <v>198</v>
      </c>
      <c r="G178" s="21">
        <v>8.0</v>
      </c>
      <c r="H178" s="21">
        <v>8.0</v>
      </c>
      <c r="I178" s="22"/>
      <c r="J178" s="22"/>
      <c r="K178" s="22"/>
      <c r="L178" s="22"/>
      <c r="M178" s="22"/>
      <c r="N178" s="22"/>
      <c r="O178" s="22"/>
      <c r="P178" s="22"/>
      <c r="Q178" s="22"/>
      <c r="R178" s="22"/>
    </row>
    <row r="179">
      <c r="A179" s="20">
        <v>43077.70033320602</v>
      </c>
      <c r="B179" s="21" t="s">
        <v>48</v>
      </c>
      <c r="C179" s="21" t="s">
        <v>49</v>
      </c>
      <c r="D179" s="21" t="s">
        <v>31</v>
      </c>
      <c r="E179" s="21">
        <v>251.0</v>
      </c>
      <c r="F179" s="21" t="s">
        <v>50</v>
      </c>
      <c r="G179" s="21">
        <v>2.0</v>
      </c>
      <c r="H179" s="21">
        <v>0.0</v>
      </c>
      <c r="I179" s="21">
        <v>160000.0</v>
      </c>
      <c r="J179" s="21">
        <v>75000.0</v>
      </c>
      <c r="K179" s="21">
        <v>16000.0</v>
      </c>
      <c r="L179" s="22"/>
      <c r="M179" s="22"/>
      <c r="N179" s="22"/>
      <c r="O179" s="22"/>
      <c r="P179" s="22"/>
      <c r="Q179" s="22"/>
      <c r="R179" s="22"/>
    </row>
    <row r="180">
      <c r="A180" s="20">
        <v>43083.93472538194</v>
      </c>
      <c r="B180" s="21" t="s">
        <v>33</v>
      </c>
      <c r="C180" s="21" t="s">
        <v>43</v>
      </c>
      <c r="D180" s="21" t="s">
        <v>31</v>
      </c>
      <c r="E180" s="21">
        <v>250.0</v>
      </c>
      <c r="F180" s="21" t="s">
        <v>32</v>
      </c>
      <c r="G180" s="21">
        <v>10.0</v>
      </c>
      <c r="H180" s="21">
        <v>1.0</v>
      </c>
      <c r="I180" s="21">
        <v>160.0</v>
      </c>
      <c r="J180" s="21">
        <v>55.0</v>
      </c>
      <c r="K180" s="21">
        <v>35.0</v>
      </c>
      <c r="L180" s="22"/>
      <c r="M180" s="22"/>
      <c r="N180" s="22"/>
      <c r="O180" s="22"/>
      <c r="P180" s="22"/>
      <c r="Q180" s="22"/>
      <c r="R180" s="22"/>
    </row>
    <row r="181">
      <c r="A181" s="20">
        <v>43084.65036393519</v>
      </c>
      <c r="B181" s="21" t="s">
        <v>80</v>
      </c>
      <c r="C181" s="21" t="s">
        <v>179</v>
      </c>
      <c r="D181" s="21" t="s">
        <v>31</v>
      </c>
      <c r="E181" s="21">
        <v>166.0</v>
      </c>
      <c r="F181" s="21" t="s">
        <v>199</v>
      </c>
      <c r="G181" s="21">
        <v>0.0</v>
      </c>
      <c r="H181" s="21">
        <v>0.0</v>
      </c>
      <c r="I181" s="21">
        <v>116.0</v>
      </c>
      <c r="J181" s="21">
        <v>32.5</v>
      </c>
      <c r="K181" s="21">
        <v>17.5</v>
      </c>
      <c r="L181" s="22"/>
      <c r="M181" s="22"/>
      <c r="N181" s="22"/>
      <c r="O181" s="22"/>
      <c r="P181" s="22"/>
      <c r="Q181" s="22"/>
      <c r="R181" s="22"/>
    </row>
    <row r="182">
      <c r="A182" s="20">
        <v>43087.70252167824</v>
      </c>
      <c r="B182" s="21" t="s">
        <v>200</v>
      </c>
      <c r="C182" s="21" t="s">
        <v>201</v>
      </c>
      <c r="D182" s="21" t="s">
        <v>31</v>
      </c>
      <c r="E182" s="21">
        <v>150.0</v>
      </c>
      <c r="F182" s="21" t="s">
        <v>32</v>
      </c>
      <c r="G182" s="21">
        <v>1.0</v>
      </c>
      <c r="H182" s="21">
        <v>0.0</v>
      </c>
      <c r="I182" s="21">
        <v>12.5</v>
      </c>
      <c r="J182" s="21">
        <v>25.0</v>
      </c>
      <c r="K182" s="21">
        <v>10.0</v>
      </c>
      <c r="L182" s="22"/>
      <c r="M182" s="22"/>
      <c r="N182" s="22"/>
      <c r="O182" s="22"/>
      <c r="P182" s="22"/>
      <c r="Q182" s="22"/>
      <c r="R182" s="22"/>
    </row>
    <row r="183">
      <c r="A183" s="20">
        <v>43087.90948030092</v>
      </c>
      <c r="B183" s="21" t="s">
        <v>40</v>
      </c>
      <c r="C183" s="21">
        <v>63.0</v>
      </c>
      <c r="D183" s="21" t="s">
        <v>27</v>
      </c>
      <c r="E183" s="21">
        <v>164.0</v>
      </c>
      <c r="F183" s="21" t="s">
        <v>52</v>
      </c>
      <c r="G183" s="21">
        <v>10.0</v>
      </c>
      <c r="H183" s="21">
        <v>3.0</v>
      </c>
      <c r="I183" s="21">
        <v>134.0</v>
      </c>
      <c r="J183" s="21">
        <v>15.0</v>
      </c>
      <c r="K183" s="21">
        <v>15.0</v>
      </c>
      <c r="L183" s="22"/>
      <c r="M183" s="22"/>
      <c r="N183" s="22"/>
      <c r="O183" s="22"/>
      <c r="P183" s="22"/>
      <c r="Q183" s="22"/>
      <c r="R183" s="22"/>
    </row>
    <row r="184">
      <c r="A184" s="20">
        <v>43089.782896550925</v>
      </c>
      <c r="B184" s="21" t="s">
        <v>80</v>
      </c>
      <c r="C184" s="21" t="s">
        <v>43</v>
      </c>
      <c r="D184" s="21" t="s">
        <v>31</v>
      </c>
      <c r="E184" s="21">
        <v>303.0</v>
      </c>
      <c r="F184" s="21" t="s">
        <v>94</v>
      </c>
      <c r="G184" s="21">
        <v>7.0</v>
      </c>
      <c r="H184" s="21">
        <v>0.0</v>
      </c>
      <c r="I184" s="21">
        <v>175.0</v>
      </c>
      <c r="J184" s="21">
        <v>405.0</v>
      </c>
      <c r="K184" s="21">
        <v>0.15</v>
      </c>
      <c r="L184" s="22"/>
      <c r="M184" s="22"/>
      <c r="N184" s="22"/>
      <c r="O184" s="22"/>
      <c r="P184" s="22"/>
      <c r="Q184" s="22"/>
      <c r="R184" s="22"/>
    </row>
    <row r="185">
      <c r="A185" s="20">
        <v>43091.72765774306</v>
      </c>
      <c r="B185" s="21" t="s">
        <v>40</v>
      </c>
      <c r="C185" s="21">
        <v>64.0</v>
      </c>
      <c r="D185" s="21" t="s">
        <v>31</v>
      </c>
      <c r="E185" s="21">
        <v>220.0</v>
      </c>
      <c r="F185" s="21" t="s">
        <v>75</v>
      </c>
      <c r="G185" s="21">
        <v>10.0</v>
      </c>
      <c r="H185" s="21">
        <v>10.0</v>
      </c>
      <c r="I185" s="21">
        <v>164.0</v>
      </c>
      <c r="J185" s="21">
        <v>28.0</v>
      </c>
      <c r="K185" s="21">
        <v>28.0</v>
      </c>
      <c r="L185" s="22"/>
      <c r="M185" s="22"/>
      <c r="N185" s="22"/>
      <c r="O185" s="22"/>
      <c r="P185" s="22"/>
      <c r="Q185" s="22"/>
      <c r="R185" s="22"/>
    </row>
    <row r="186">
      <c r="A186" s="20">
        <v>43092.44686818287</v>
      </c>
      <c r="B186" s="21" t="s">
        <v>202</v>
      </c>
      <c r="C186" s="21">
        <v>64.0</v>
      </c>
      <c r="D186" s="21" t="s">
        <v>27</v>
      </c>
      <c r="E186" s="21">
        <v>80.0</v>
      </c>
      <c r="F186" s="21" t="s">
        <v>203</v>
      </c>
      <c r="G186" s="21">
        <v>10.0</v>
      </c>
      <c r="H186" s="21">
        <v>1.0</v>
      </c>
      <c r="I186" s="22"/>
      <c r="J186" s="22"/>
      <c r="K186" s="22"/>
      <c r="L186" s="22"/>
      <c r="M186" s="22"/>
      <c r="N186" s="22"/>
      <c r="O186" s="22"/>
      <c r="P186" s="22"/>
      <c r="Q186" s="22"/>
      <c r="R186" s="22"/>
    </row>
    <row r="187">
      <c r="A187" s="20">
        <v>43092.48078219907</v>
      </c>
      <c r="B187" s="21" t="s">
        <v>40</v>
      </c>
      <c r="C187" s="21">
        <v>10.0</v>
      </c>
      <c r="D187" s="21" t="s">
        <v>31</v>
      </c>
      <c r="E187" s="21">
        <v>208.0</v>
      </c>
      <c r="F187" s="21" t="s">
        <v>52</v>
      </c>
      <c r="G187" s="21">
        <v>10.0</v>
      </c>
      <c r="H187" s="21">
        <v>0.6</v>
      </c>
      <c r="I187" s="21">
        <v>135.0</v>
      </c>
      <c r="J187" s="21">
        <v>50000.0</v>
      </c>
      <c r="K187" s="21">
        <v>23.0</v>
      </c>
      <c r="L187" s="22"/>
      <c r="M187" s="22"/>
      <c r="N187" s="22"/>
      <c r="O187" s="22"/>
      <c r="P187" s="22"/>
      <c r="Q187" s="22"/>
      <c r="R187" s="22"/>
    </row>
    <row r="188">
      <c r="A188" s="20">
        <v>43092.75617165509</v>
      </c>
      <c r="B188" s="21" t="s">
        <v>33</v>
      </c>
      <c r="C188" s="21" t="s">
        <v>43</v>
      </c>
      <c r="D188" s="21" t="s">
        <v>31</v>
      </c>
      <c r="E188" s="21">
        <v>182.0</v>
      </c>
      <c r="F188" s="21" t="s">
        <v>63</v>
      </c>
      <c r="G188" s="21">
        <v>3.0</v>
      </c>
      <c r="H188" s="21">
        <v>3.0</v>
      </c>
      <c r="I188" s="21">
        <v>131000.0</v>
      </c>
      <c r="J188" s="21">
        <v>51000.0</v>
      </c>
      <c r="K188" s="22"/>
      <c r="L188" s="22"/>
      <c r="M188" s="22"/>
      <c r="N188" s="22"/>
      <c r="O188" s="22"/>
      <c r="P188" s="22"/>
      <c r="Q188" s="22"/>
      <c r="R188" s="22"/>
    </row>
    <row r="189">
      <c r="A189" s="20">
        <v>43092.9663719213</v>
      </c>
      <c r="B189" s="21" t="s">
        <v>204</v>
      </c>
      <c r="C189" s="21" t="s">
        <v>43</v>
      </c>
      <c r="D189" s="21" t="s">
        <v>31</v>
      </c>
      <c r="E189" s="21">
        <v>345.0</v>
      </c>
      <c r="F189" s="21" t="s">
        <v>205</v>
      </c>
      <c r="G189" s="21">
        <v>9.0</v>
      </c>
      <c r="H189" s="21">
        <v>0.0</v>
      </c>
      <c r="I189" s="22"/>
      <c r="J189" s="22"/>
      <c r="K189" s="22"/>
      <c r="L189" s="22"/>
      <c r="M189" s="22"/>
      <c r="N189" s="22"/>
      <c r="O189" s="22"/>
      <c r="P189" s="22"/>
      <c r="Q189" s="22"/>
      <c r="R189" s="22"/>
    </row>
    <row r="190">
      <c r="A190" s="20">
        <v>43095.90098561342</v>
      </c>
      <c r="B190" s="21" t="s">
        <v>64</v>
      </c>
      <c r="C190" s="21" t="s">
        <v>206</v>
      </c>
      <c r="D190" s="21" t="s">
        <v>31</v>
      </c>
      <c r="E190" s="21">
        <v>185.0</v>
      </c>
      <c r="F190" s="21" t="s">
        <v>175</v>
      </c>
      <c r="G190" s="21">
        <v>5.0</v>
      </c>
      <c r="H190" s="21">
        <v>2.0</v>
      </c>
      <c r="I190" s="21">
        <v>132000.0</v>
      </c>
      <c r="J190" s="21">
        <v>37000.0</v>
      </c>
      <c r="K190" s="21">
        <v>16000.0</v>
      </c>
      <c r="L190" s="22"/>
      <c r="M190" s="22"/>
      <c r="N190" s="22"/>
      <c r="O190" s="22"/>
      <c r="P190" s="22"/>
      <c r="Q190" s="22"/>
      <c r="R190" s="22"/>
    </row>
    <row r="191">
      <c r="A191" s="20">
        <v>43096.502675717595</v>
      </c>
      <c r="B191" s="21" t="s">
        <v>33</v>
      </c>
      <c r="C191" s="21" t="s">
        <v>43</v>
      </c>
      <c r="D191" s="21" t="s">
        <v>31</v>
      </c>
      <c r="E191" s="21">
        <v>196.0</v>
      </c>
      <c r="F191" s="21" t="s">
        <v>35</v>
      </c>
      <c r="G191" s="21">
        <v>3.0</v>
      </c>
      <c r="H191" s="21">
        <v>3.0</v>
      </c>
      <c r="I191" s="21">
        <v>135000.0</v>
      </c>
      <c r="J191" s="21">
        <v>65000.0</v>
      </c>
      <c r="K191" s="22"/>
      <c r="L191" s="22"/>
      <c r="M191" s="22"/>
      <c r="N191" s="22"/>
      <c r="O191" s="22"/>
      <c r="P191" s="22"/>
      <c r="Q191" s="22"/>
      <c r="R191" s="22"/>
    </row>
    <row r="192">
      <c r="A192" s="20">
        <v>43096.50495876158</v>
      </c>
      <c r="B192" s="21" t="s">
        <v>80</v>
      </c>
      <c r="C192" s="21" t="s">
        <v>73</v>
      </c>
      <c r="D192" s="21" t="s">
        <v>31</v>
      </c>
      <c r="E192" s="21">
        <v>320.0</v>
      </c>
      <c r="F192" s="21" t="s">
        <v>159</v>
      </c>
      <c r="G192" s="21">
        <v>5.0</v>
      </c>
      <c r="H192" s="21">
        <v>2.0</v>
      </c>
      <c r="I192" s="21">
        <v>150000.0</v>
      </c>
      <c r="J192" s="21">
        <v>150000.0</v>
      </c>
      <c r="K192" s="21">
        <v>20000.0</v>
      </c>
      <c r="L192" s="22"/>
      <c r="M192" s="22"/>
      <c r="N192" s="22"/>
      <c r="O192" s="22"/>
      <c r="P192" s="22"/>
      <c r="Q192" s="22"/>
      <c r="R192" s="22"/>
    </row>
    <row r="193">
      <c r="A193" s="20">
        <v>43096.71354239583</v>
      </c>
      <c r="B193" s="21" t="s">
        <v>48</v>
      </c>
      <c r="C193" s="21" t="s">
        <v>49</v>
      </c>
      <c r="D193" s="21" t="s">
        <v>31</v>
      </c>
      <c r="E193" s="21">
        <v>220.0</v>
      </c>
      <c r="F193" s="21" t="s">
        <v>207</v>
      </c>
      <c r="G193" s="21">
        <v>2.0</v>
      </c>
      <c r="H193" s="21">
        <v>2.0</v>
      </c>
      <c r="I193" s="21">
        <v>145.0</v>
      </c>
      <c r="J193" s="21">
        <v>58968.0</v>
      </c>
      <c r="K193" s="21">
        <v>14.0</v>
      </c>
      <c r="L193" s="22"/>
      <c r="M193" s="22"/>
      <c r="N193" s="22"/>
      <c r="O193" s="22"/>
      <c r="P193" s="22"/>
      <c r="Q193" s="22"/>
      <c r="R193" s="22"/>
    </row>
    <row r="194">
      <c r="A194" s="20">
        <v>43096.86100104167</v>
      </c>
      <c r="B194" s="21" t="s">
        <v>33</v>
      </c>
      <c r="C194" s="21" t="s">
        <v>62</v>
      </c>
      <c r="D194" s="21" t="s">
        <v>41</v>
      </c>
      <c r="E194" s="21">
        <v>500.0</v>
      </c>
      <c r="F194" s="21" t="s">
        <v>32</v>
      </c>
      <c r="G194" s="21">
        <v>15.0</v>
      </c>
      <c r="H194" s="21">
        <v>2.0</v>
      </c>
      <c r="I194" s="21">
        <v>170.0</v>
      </c>
      <c r="J194" s="21">
        <v>110.0</v>
      </c>
      <c r="K194" s="21">
        <v>220.0</v>
      </c>
      <c r="L194" s="22"/>
      <c r="M194" s="22"/>
      <c r="N194" s="22"/>
      <c r="O194" s="22"/>
      <c r="P194" s="22"/>
      <c r="Q194" s="22"/>
      <c r="R194" s="22"/>
    </row>
    <row r="195">
      <c r="A195" s="20">
        <v>43096.95935160879</v>
      </c>
      <c r="B195" s="21" t="s">
        <v>208</v>
      </c>
      <c r="C195" s="21" t="s">
        <v>209</v>
      </c>
      <c r="D195" s="21" t="s">
        <v>31</v>
      </c>
      <c r="E195" s="21">
        <v>94.0</v>
      </c>
      <c r="F195" s="21" t="s">
        <v>210</v>
      </c>
      <c r="G195" s="21">
        <v>3.0</v>
      </c>
      <c r="H195" s="21">
        <v>3.0</v>
      </c>
      <c r="I195" s="21">
        <v>87000.0</v>
      </c>
      <c r="J195" s="22"/>
      <c r="K195" s="21">
        <v>7000.0</v>
      </c>
      <c r="L195" s="22"/>
      <c r="M195" s="22"/>
      <c r="N195" s="22"/>
      <c r="O195" s="22"/>
      <c r="P195" s="22"/>
      <c r="Q195" s="22"/>
      <c r="R195" s="22"/>
    </row>
    <row r="196">
      <c r="A196" s="20">
        <v>43097.07208912037</v>
      </c>
      <c r="B196" s="21" t="s">
        <v>40</v>
      </c>
      <c r="C196" s="21">
        <v>64.0</v>
      </c>
      <c r="D196" s="21" t="s">
        <v>27</v>
      </c>
      <c r="E196" s="21">
        <v>120.0</v>
      </c>
      <c r="F196" s="21" t="s">
        <v>211</v>
      </c>
      <c r="G196" s="21">
        <v>10.0</v>
      </c>
      <c r="H196" s="21">
        <v>6.0</v>
      </c>
      <c r="I196" s="21">
        <v>78.0</v>
      </c>
      <c r="J196" s="21">
        <v>40.0</v>
      </c>
      <c r="K196" s="21">
        <v>2.0</v>
      </c>
      <c r="L196" s="22"/>
      <c r="M196" s="22"/>
      <c r="N196" s="22"/>
      <c r="O196" s="22"/>
      <c r="P196" s="22"/>
      <c r="Q196" s="22"/>
      <c r="R196" s="22"/>
    </row>
    <row r="197">
      <c r="A197" s="20">
        <v>43097.54339103009</v>
      </c>
      <c r="B197" s="21" t="s">
        <v>33</v>
      </c>
      <c r="C197" s="21" t="s">
        <v>62</v>
      </c>
      <c r="D197" s="21" t="s">
        <v>31</v>
      </c>
      <c r="E197" s="21">
        <v>295.0</v>
      </c>
      <c r="F197" s="21" t="s">
        <v>212</v>
      </c>
      <c r="G197" s="21">
        <v>12.0</v>
      </c>
      <c r="H197" s="21">
        <v>4.0</v>
      </c>
      <c r="I197" s="21">
        <v>160.0</v>
      </c>
      <c r="J197" s="21">
        <v>135.0</v>
      </c>
      <c r="K197" s="22"/>
      <c r="L197" s="22"/>
      <c r="M197" s="22"/>
      <c r="N197" s="22"/>
      <c r="O197" s="22"/>
      <c r="P197" s="22"/>
      <c r="Q197" s="22"/>
      <c r="R197" s="22"/>
    </row>
    <row r="198">
      <c r="A198" s="20">
        <v>43097.56373353009</v>
      </c>
      <c r="B198" s="21" t="s">
        <v>48</v>
      </c>
      <c r="C198" s="21" t="s">
        <v>69</v>
      </c>
      <c r="D198" s="21" t="s">
        <v>31</v>
      </c>
      <c r="E198" s="21">
        <v>160.0</v>
      </c>
      <c r="F198" s="21" t="s">
        <v>35</v>
      </c>
      <c r="G198" s="21">
        <v>0.0</v>
      </c>
      <c r="H198" s="21">
        <v>0.0</v>
      </c>
      <c r="I198" s="21">
        <v>107000.0</v>
      </c>
      <c r="J198" s="21">
        <v>110000.0</v>
      </c>
      <c r="K198" s="21">
        <v>10700.0</v>
      </c>
      <c r="L198" s="22"/>
      <c r="M198" s="22"/>
      <c r="N198" s="22"/>
      <c r="O198" s="22"/>
      <c r="P198" s="22"/>
      <c r="Q198" s="22"/>
      <c r="R198" s="22"/>
    </row>
    <row r="199">
      <c r="A199" s="20">
        <v>43098.60962391204</v>
      </c>
      <c r="B199" s="21" t="s">
        <v>213</v>
      </c>
      <c r="C199" s="21" t="s">
        <v>37</v>
      </c>
      <c r="D199" s="21" t="s">
        <v>31</v>
      </c>
      <c r="E199" s="21">
        <v>30.0</v>
      </c>
      <c r="F199" s="21" t="s">
        <v>214</v>
      </c>
      <c r="G199" s="21">
        <v>10.0</v>
      </c>
      <c r="H199" s="21">
        <v>5.0</v>
      </c>
      <c r="I199" s="22"/>
      <c r="J199" s="22"/>
      <c r="K199" s="22"/>
      <c r="L199" s="21" t="s">
        <v>215</v>
      </c>
      <c r="M199" s="23"/>
      <c r="N199" s="23"/>
      <c r="O199" s="23"/>
      <c r="P199" s="23"/>
      <c r="Q199" s="23"/>
      <c r="R199" s="23"/>
    </row>
    <row r="200">
      <c r="A200" s="20">
        <v>43099.55528140046</v>
      </c>
      <c r="B200" s="21" t="s">
        <v>80</v>
      </c>
      <c r="C200" s="21" t="s">
        <v>176</v>
      </c>
      <c r="D200" s="21" t="s">
        <v>31</v>
      </c>
      <c r="E200" s="21">
        <v>384.0</v>
      </c>
      <c r="F200" s="21" t="s">
        <v>134</v>
      </c>
      <c r="G200" s="21">
        <v>9.0</v>
      </c>
      <c r="H200" s="21">
        <v>8.0</v>
      </c>
      <c r="I200" s="21">
        <v>184000.0</v>
      </c>
      <c r="J200" s="21">
        <v>160000.0</v>
      </c>
      <c r="K200" s="21">
        <v>40000.0</v>
      </c>
      <c r="L200" s="22"/>
      <c r="M200" s="22"/>
      <c r="N200" s="22"/>
      <c r="O200" s="22"/>
      <c r="P200" s="22"/>
      <c r="Q200" s="22"/>
      <c r="R200" s="22"/>
    </row>
    <row r="201">
      <c r="A201" s="20">
        <v>43102.468030613425</v>
      </c>
      <c r="B201" s="21" t="s">
        <v>204</v>
      </c>
      <c r="C201" s="21" t="s">
        <v>73</v>
      </c>
      <c r="D201" s="21" t="s">
        <v>31</v>
      </c>
      <c r="E201" s="21">
        <v>274.0</v>
      </c>
      <c r="F201" s="21" t="s">
        <v>35</v>
      </c>
      <c r="G201" s="21">
        <v>2.5</v>
      </c>
      <c r="H201" s="21">
        <v>0.0</v>
      </c>
      <c r="I201" s="21">
        <v>160000.0</v>
      </c>
      <c r="J201" s="21">
        <v>367500.0</v>
      </c>
      <c r="K201" s="21">
        <v>91875.0</v>
      </c>
      <c r="L201" s="21" t="s">
        <v>216</v>
      </c>
      <c r="M201" s="23"/>
      <c r="N201" s="23"/>
      <c r="O201" s="23"/>
      <c r="P201" s="23"/>
      <c r="Q201" s="23"/>
      <c r="R201" s="23"/>
    </row>
    <row r="202">
      <c r="A202" s="20">
        <v>43102.469318738425</v>
      </c>
      <c r="B202" s="21" t="s">
        <v>40</v>
      </c>
      <c r="C202" s="21">
        <v>61.0</v>
      </c>
      <c r="D202" s="21" t="s">
        <v>31</v>
      </c>
      <c r="E202" s="21">
        <v>164.0</v>
      </c>
      <c r="F202" s="21" t="s">
        <v>35</v>
      </c>
      <c r="G202" s="21">
        <v>2.5</v>
      </c>
      <c r="H202" s="21">
        <v>0.0</v>
      </c>
      <c r="I202" s="21">
        <v>132000.0</v>
      </c>
      <c r="J202" s="21">
        <v>75000.0</v>
      </c>
      <c r="K202" s="21">
        <v>13200.0</v>
      </c>
      <c r="L202" s="21" t="s">
        <v>217</v>
      </c>
      <c r="M202" s="23"/>
      <c r="N202" s="23"/>
      <c r="O202" s="23"/>
      <c r="P202" s="23"/>
      <c r="Q202" s="23"/>
      <c r="R202" s="23"/>
    </row>
    <row r="203">
      <c r="A203" s="20">
        <v>43102.862644444445</v>
      </c>
      <c r="B203" s="21" t="s">
        <v>48</v>
      </c>
      <c r="C203" s="21">
        <v>6.0</v>
      </c>
      <c r="D203" s="21" t="s">
        <v>31</v>
      </c>
      <c r="E203" s="21">
        <v>525.0</v>
      </c>
      <c r="F203" s="21" t="s">
        <v>35</v>
      </c>
      <c r="G203" s="21">
        <v>11.5</v>
      </c>
      <c r="H203" s="21">
        <v>1.0</v>
      </c>
      <c r="I203" s="21">
        <v>220000.0</v>
      </c>
      <c r="J203" s="21">
        <v>1000000.0</v>
      </c>
      <c r="K203" s="21">
        <v>55000.0</v>
      </c>
      <c r="L203" s="22"/>
      <c r="M203" s="22"/>
      <c r="N203" s="22"/>
      <c r="O203" s="22"/>
      <c r="P203" s="22"/>
      <c r="Q203" s="22"/>
      <c r="R203" s="22"/>
    </row>
    <row r="204">
      <c r="A204" s="20">
        <v>43102.976851053245</v>
      </c>
      <c r="B204" s="21" t="s">
        <v>80</v>
      </c>
      <c r="C204" s="21" t="s">
        <v>218</v>
      </c>
      <c r="D204" s="21" t="s">
        <v>31</v>
      </c>
      <c r="E204" s="21">
        <v>110.0</v>
      </c>
      <c r="F204" s="21" t="s">
        <v>94</v>
      </c>
      <c r="G204" s="21">
        <v>0.0</v>
      </c>
      <c r="H204" s="21">
        <v>0.0</v>
      </c>
      <c r="I204" s="21">
        <v>95.0</v>
      </c>
      <c r="J204" s="22"/>
      <c r="K204" s="21">
        <v>5.0</v>
      </c>
      <c r="L204" s="21" t="s">
        <v>219</v>
      </c>
      <c r="M204" s="23"/>
      <c r="N204" s="23"/>
      <c r="O204" s="23"/>
      <c r="P204" s="23"/>
      <c r="Q204" s="23"/>
      <c r="R204" s="23"/>
    </row>
    <row r="205">
      <c r="A205" s="20">
        <v>43103.363057002316</v>
      </c>
      <c r="B205" s="21" t="s">
        <v>33</v>
      </c>
      <c r="C205" s="21" t="s">
        <v>62</v>
      </c>
      <c r="D205" s="21" t="s">
        <v>41</v>
      </c>
      <c r="E205" s="21">
        <v>500.0</v>
      </c>
      <c r="F205" s="21" t="s">
        <v>220</v>
      </c>
      <c r="G205" s="21">
        <v>11.0</v>
      </c>
      <c r="H205" s="21">
        <v>5.0</v>
      </c>
      <c r="I205" s="21">
        <v>183.0</v>
      </c>
      <c r="J205" s="21">
        <v>317.0</v>
      </c>
      <c r="K205" s="22"/>
      <c r="L205" s="22"/>
      <c r="M205" s="22"/>
      <c r="N205" s="22"/>
      <c r="O205" s="22"/>
      <c r="P205" s="22"/>
      <c r="Q205" s="22"/>
      <c r="R205" s="22"/>
    </row>
    <row r="206">
      <c r="A206" s="20">
        <v>43103.86150625</v>
      </c>
      <c r="B206" s="21" t="s">
        <v>33</v>
      </c>
      <c r="C206" s="21" t="s">
        <v>73</v>
      </c>
      <c r="D206" s="21" t="s">
        <v>31</v>
      </c>
      <c r="E206" s="21">
        <v>151.0</v>
      </c>
      <c r="F206" s="21" t="s">
        <v>35</v>
      </c>
      <c r="G206" s="21">
        <v>1.4</v>
      </c>
      <c r="H206" s="21">
        <v>1.4</v>
      </c>
      <c r="I206" s="21">
        <v>107000.0</v>
      </c>
      <c r="J206" s="21">
        <v>33712.0</v>
      </c>
      <c r="K206" s="21">
        <v>12000.0</v>
      </c>
      <c r="L206" s="22"/>
      <c r="M206" s="22"/>
      <c r="N206" s="22"/>
      <c r="O206" s="22"/>
      <c r="P206" s="22"/>
      <c r="Q206" s="22"/>
      <c r="R206" s="22"/>
    </row>
    <row r="207">
      <c r="A207" s="20">
        <v>43103.86279798611</v>
      </c>
      <c r="B207" s="21" t="s">
        <v>48</v>
      </c>
      <c r="C207" s="21" t="s">
        <v>166</v>
      </c>
      <c r="D207" s="21" t="s">
        <v>31</v>
      </c>
      <c r="E207" s="21">
        <v>428.0</v>
      </c>
      <c r="F207" s="21" t="s">
        <v>221</v>
      </c>
      <c r="G207" s="21">
        <v>10.0</v>
      </c>
      <c r="H207" s="21">
        <v>8.0</v>
      </c>
      <c r="I207" s="21">
        <v>175000.0</v>
      </c>
      <c r="J207" s="22"/>
      <c r="K207" s="22"/>
      <c r="L207" s="22"/>
      <c r="M207" s="22"/>
      <c r="N207" s="22"/>
      <c r="O207" s="22"/>
      <c r="P207" s="22"/>
      <c r="Q207" s="22"/>
      <c r="R207" s="22"/>
    </row>
    <row r="208">
      <c r="A208" s="20">
        <v>43104.02883753472</v>
      </c>
      <c r="B208" s="21" t="s">
        <v>48</v>
      </c>
      <c r="C208" s="21" t="s">
        <v>222</v>
      </c>
      <c r="D208" s="21" t="s">
        <v>31</v>
      </c>
      <c r="E208" s="21">
        <v>1500.0</v>
      </c>
      <c r="F208" s="21" t="s">
        <v>58</v>
      </c>
      <c r="G208" s="21">
        <v>7.0</v>
      </c>
      <c r="H208" s="21">
        <v>7.0</v>
      </c>
      <c r="I208" s="22"/>
      <c r="J208" s="22"/>
      <c r="K208" s="22"/>
      <c r="L208" s="22"/>
      <c r="M208" s="22"/>
      <c r="N208" s="22"/>
      <c r="O208" s="22"/>
      <c r="P208" s="22"/>
      <c r="Q208" s="22"/>
      <c r="R208" s="22"/>
    </row>
    <row r="209">
      <c r="A209" s="20">
        <v>43104.33350982639</v>
      </c>
      <c r="B209" s="21" t="s">
        <v>223</v>
      </c>
      <c r="C209" s="21" t="s">
        <v>224</v>
      </c>
      <c r="D209" s="21" t="s">
        <v>31</v>
      </c>
      <c r="E209" s="21">
        <v>2800.0</v>
      </c>
      <c r="F209" s="21" t="s">
        <v>225</v>
      </c>
      <c r="G209" s="21">
        <v>4.0</v>
      </c>
      <c r="H209" s="21">
        <v>4.0</v>
      </c>
      <c r="I209" s="21">
        <v>120.0</v>
      </c>
      <c r="J209" s="22"/>
      <c r="K209" s="21">
        <v>2700.0</v>
      </c>
      <c r="L209" s="22"/>
      <c r="M209" s="22"/>
      <c r="N209" s="22"/>
      <c r="O209" s="22"/>
      <c r="P209" s="22"/>
      <c r="Q209" s="22"/>
      <c r="R209" s="22"/>
    </row>
    <row r="210">
      <c r="A210" s="20">
        <v>43104.41388721065</v>
      </c>
      <c r="B210" s="21" t="s">
        <v>80</v>
      </c>
      <c r="C210" s="21" t="s">
        <v>73</v>
      </c>
      <c r="D210" s="21" t="s">
        <v>31</v>
      </c>
      <c r="E210" s="21">
        <v>284.0</v>
      </c>
      <c r="F210" s="21" t="s">
        <v>94</v>
      </c>
      <c r="G210" s="21">
        <v>4.0</v>
      </c>
      <c r="H210" s="21">
        <v>2.0</v>
      </c>
      <c r="I210" s="21">
        <v>146.0</v>
      </c>
      <c r="J210" s="21">
        <v>76675.0</v>
      </c>
      <c r="K210" s="21">
        <v>26000.0</v>
      </c>
      <c r="L210" s="21" t="s">
        <v>226</v>
      </c>
      <c r="M210" s="23"/>
      <c r="N210" s="23"/>
      <c r="O210" s="23"/>
      <c r="P210" s="23"/>
      <c r="Q210" s="23"/>
      <c r="R210" s="23"/>
    </row>
    <row r="211">
      <c r="A211" s="20">
        <v>43104.5097709838</v>
      </c>
      <c r="B211" s="21" t="s">
        <v>80</v>
      </c>
      <c r="C211" s="21" t="s">
        <v>26</v>
      </c>
      <c r="D211" s="21" t="s">
        <v>31</v>
      </c>
      <c r="E211" s="21">
        <v>179.0</v>
      </c>
      <c r="F211" s="21" t="s">
        <v>199</v>
      </c>
      <c r="G211" s="21">
        <v>2.0</v>
      </c>
      <c r="H211" s="21">
        <v>2.0</v>
      </c>
      <c r="I211" s="21">
        <v>125.0</v>
      </c>
      <c r="J211" s="21">
        <v>140.0</v>
      </c>
      <c r="K211" s="21">
        <v>25.0</v>
      </c>
      <c r="L211" s="22"/>
      <c r="M211" s="22"/>
      <c r="N211" s="22"/>
      <c r="O211" s="22"/>
      <c r="P211" s="22"/>
      <c r="Q211" s="22"/>
      <c r="R211" s="22"/>
    </row>
    <row r="212">
      <c r="A212" s="20">
        <v>43104.76172388889</v>
      </c>
      <c r="B212" s="21" t="s">
        <v>40</v>
      </c>
      <c r="C212" s="21">
        <v>61.0</v>
      </c>
      <c r="D212" s="21" t="s">
        <v>31</v>
      </c>
      <c r="E212" s="21">
        <v>150.0</v>
      </c>
      <c r="F212" s="21" t="s">
        <v>52</v>
      </c>
      <c r="G212" s="21">
        <v>3.5</v>
      </c>
      <c r="H212" s="21">
        <v>3.0</v>
      </c>
      <c r="I212" s="22"/>
      <c r="J212" s="22"/>
      <c r="K212" s="22"/>
      <c r="L212" s="22"/>
      <c r="M212" s="22"/>
      <c r="N212" s="22"/>
      <c r="O212" s="22"/>
      <c r="P212" s="22"/>
      <c r="Q212" s="22"/>
      <c r="R212" s="22"/>
    </row>
    <row r="213">
      <c r="A213" s="20">
        <v>43104.78967219907</v>
      </c>
      <c r="B213" s="21" t="s">
        <v>33</v>
      </c>
      <c r="C213" s="21" t="s">
        <v>73</v>
      </c>
      <c r="D213" s="21" t="s">
        <v>31</v>
      </c>
      <c r="E213" s="21">
        <v>144.0</v>
      </c>
      <c r="F213" s="21" t="s">
        <v>35</v>
      </c>
      <c r="G213" s="21">
        <v>1.0</v>
      </c>
      <c r="H213" s="21">
        <v>0.0</v>
      </c>
      <c r="I213" s="21">
        <v>106.0</v>
      </c>
      <c r="J213" s="21">
        <v>3.0</v>
      </c>
      <c r="K213" s="21">
        <v>35.0</v>
      </c>
      <c r="L213" s="22"/>
      <c r="M213" s="22"/>
      <c r="N213" s="22"/>
      <c r="O213" s="22"/>
      <c r="P213" s="22"/>
      <c r="Q213" s="22"/>
      <c r="R213" s="22"/>
    </row>
    <row r="214">
      <c r="A214" s="20">
        <v>43104.95128405093</v>
      </c>
      <c r="B214" s="21" t="s">
        <v>80</v>
      </c>
      <c r="C214" s="21" t="s">
        <v>176</v>
      </c>
      <c r="D214" s="21" t="s">
        <v>31</v>
      </c>
      <c r="E214" s="21">
        <v>530.0</v>
      </c>
      <c r="F214" s="21" t="s">
        <v>227</v>
      </c>
      <c r="G214" s="21">
        <v>11.0</v>
      </c>
      <c r="H214" s="21">
        <v>2.0</v>
      </c>
      <c r="I214" s="21">
        <v>190000.0</v>
      </c>
      <c r="J214" s="21">
        <v>300000.0</v>
      </c>
      <c r="K214" s="21">
        <v>41500.0</v>
      </c>
      <c r="L214" s="22"/>
      <c r="M214" s="22"/>
      <c r="N214" s="22"/>
      <c r="O214" s="22"/>
      <c r="P214" s="22"/>
      <c r="Q214" s="22"/>
      <c r="R214" s="22"/>
    </row>
    <row r="215">
      <c r="A215" s="20">
        <v>43105.38184444445</v>
      </c>
      <c r="B215" s="21" t="s">
        <v>40</v>
      </c>
      <c r="C215" s="21">
        <v>59.0</v>
      </c>
      <c r="D215" s="21" t="s">
        <v>31</v>
      </c>
      <c r="E215" s="21">
        <v>154.0</v>
      </c>
      <c r="F215" s="21" t="s">
        <v>75</v>
      </c>
      <c r="G215" s="21">
        <v>0.0</v>
      </c>
      <c r="H215" s="21">
        <v>0.0</v>
      </c>
      <c r="I215" s="21">
        <v>108.0</v>
      </c>
      <c r="J215" s="21">
        <v>35.0</v>
      </c>
      <c r="K215" s="21">
        <v>11.0</v>
      </c>
      <c r="L215" s="22"/>
      <c r="M215" s="22"/>
      <c r="N215" s="22"/>
      <c r="O215" s="22"/>
      <c r="P215" s="22"/>
      <c r="Q215" s="22"/>
      <c r="R215" s="22"/>
    </row>
    <row r="216">
      <c r="A216" s="20">
        <v>43105.56374994213</v>
      </c>
      <c r="B216" s="21" t="s">
        <v>139</v>
      </c>
      <c r="C216" s="21" t="s">
        <v>113</v>
      </c>
      <c r="D216" s="21" t="s">
        <v>31</v>
      </c>
      <c r="E216" s="21">
        <v>282.0</v>
      </c>
      <c r="F216" s="21" t="s">
        <v>32</v>
      </c>
      <c r="G216" s="21">
        <v>18.0</v>
      </c>
      <c r="H216" s="21">
        <v>6.0</v>
      </c>
      <c r="I216" s="21">
        <v>210000.0</v>
      </c>
      <c r="J216" s="21">
        <v>30000.0</v>
      </c>
      <c r="K216" s="21">
        <v>42000.0</v>
      </c>
      <c r="L216" s="21" t="s">
        <v>228</v>
      </c>
      <c r="M216" s="23"/>
      <c r="N216" s="23"/>
      <c r="O216" s="23"/>
      <c r="P216" s="23"/>
      <c r="Q216" s="23"/>
      <c r="R216" s="23"/>
    </row>
    <row r="217">
      <c r="A217" s="20">
        <v>43105.567176261575</v>
      </c>
      <c r="B217" s="21" t="s">
        <v>48</v>
      </c>
      <c r="C217" s="21" t="s">
        <v>70</v>
      </c>
      <c r="D217" s="21" t="s">
        <v>31</v>
      </c>
      <c r="E217" s="21">
        <v>477.0</v>
      </c>
      <c r="F217" s="21" t="s">
        <v>50</v>
      </c>
      <c r="G217" s="21">
        <v>20.0</v>
      </c>
      <c r="H217" s="21">
        <v>0.0</v>
      </c>
      <c r="I217" s="21">
        <v>210000.0</v>
      </c>
      <c r="J217" s="21">
        <v>225000.0</v>
      </c>
      <c r="K217" s="21">
        <v>42000.0</v>
      </c>
      <c r="L217" s="21" t="s">
        <v>229</v>
      </c>
      <c r="M217" s="23"/>
      <c r="N217" s="23"/>
      <c r="O217" s="23"/>
      <c r="P217" s="23"/>
      <c r="Q217" s="23"/>
      <c r="R217" s="23"/>
    </row>
    <row r="218">
      <c r="A218" s="20">
        <v>43105.583314143514</v>
      </c>
      <c r="B218" s="21" t="s">
        <v>40</v>
      </c>
      <c r="C218" s="21">
        <v>64.0</v>
      </c>
      <c r="D218" s="21" t="s">
        <v>27</v>
      </c>
      <c r="E218" s="21">
        <v>250.0</v>
      </c>
      <c r="F218" s="21" t="s">
        <v>230</v>
      </c>
      <c r="G218" s="21">
        <v>13.0</v>
      </c>
      <c r="H218" s="21">
        <v>13.0</v>
      </c>
      <c r="I218" s="21">
        <v>1659870.0</v>
      </c>
      <c r="J218" s="21">
        <v>49850.0</v>
      </c>
      <c r="K218" s="21">
        <v>31500.0</v>
      </c>
      <c r="L218" s="22"/>
      <c r="M218" s="22"/>
      <c r="N218" s="22"/>
      <c r="O218" s="22"/>
      <c r="P218" s="22"/>
      <c r="Q218" s="22"/>
      <c r="R218" s="22"/>
    </row>
    <row r="219">
      <c r="A219" s="20">
        <v>43106.99436913195</v>
      </c>
      <c r="B219" s="21" t="s">
        <v>139</v>
      </c>
      <c r="C219" s="21" t="s">
        <v>78</v>
      </c>
      <c r="D219" s="21" t="s">
        <v>31</v>
      </c>
      <c r="E219" s="21">
        <v>255.0</v>
      </c>
      <c r="F219" s="21" t="s">
        <v>47</v>
      </c>
      <c r="G219" s="21">
        <v>5.0</v>
      </c>
      <c r="H219" s="21">
        <v>5.0</v>
      </c>
      <c r="I219" s="21">
        <v>170000.0</v>
      </c>
      <c r="J219" s="21">
        <v>45000.0</v>
      </c>
      <c r="K219" s="21">
        <v>40000.0</v>
      </c>
      <c r="L219" s="21" t="s">
        <v>231</v>
      </c>
      <c r="M219" s="23"/>
      <c r="N219" s="23"/>
      <c r="O219" s="23"/>
      <c r="P219" s="23"/>
      <c r="Q219" s="23"/>
      <c r="R219" s="23"/>
    </row>
    <row r="220">
      <c r="A220" s="20">
        <v>43108.58051020833</v>
      </c>
      <c r="B220" s="21">
        <v>188000.0</v>
      </c>
      <c r="C220" s="21" t="s">
        <v>73</v>
      </c>
      <c r="D220" s="21" t="s">
        <v>31</v>
      </c>
      <c r="E220" s="21">
        <v>210.0</v>
      </c>
      <c r="F220" s="21" t="s">
        <v>232</v>
      </c>
      <c r="G220" s="21">
        <v>8.0</v>
      </c>
      <c r="H220" s="21">
        <v>1.0</v>
      </c>
      <c r="I220" s="21">
        <v>188000.0</v>
      </c>
      <c r="J220" s="21">
        <v>22000.0</v>
      </c>
      <c r="K220" s="22"/>
      <c r="L220" s="22"/>
      <c r="M220" s="22"/>
      <c r="N220" s="22"/>
      <c r="O220" s="22"/>
      <c r="P220" s="22"/>
      <c r="Q220" s="22"/>
      <c r="R220" s="22"/>
    </row>
    <row r="221">
      <c r="A221" s="20">
        <v>43108.582175567135</v>
      </c>
      <c r="B221" s="21" t="s">
        <v>233</v>
      </c>
      <c r="C221" s="21" t="s">
        <v>73</v>
      </c>
      <c r="D221" s="21" t="s">
        <v>31</v>
      </c>
      <c r="E221" s="21">
        <v>210.0</v>
      </c>
      <c r="F221" s="21" t="s">
        <v>232</v>
      </c>
      <c r="G221" s="21">
        <v>8.0</v>
      </c>
      <c r="H221" s="21">
        <v>1.0</v>
      </c>
      <c r="I221" s="21">
        <v>188000.0</v>
      </c>
      <c r="J221" s="21">
        <v>22000.0</v>
      </c>
      <c r="K221" s="22"/>
      <c r="L221" s="22"/>
      <c r="M221" s="22"/>
      <c r="N221" s="22"/>
      <c r="O221" s="22"/>
      <c r="P221" s="22"/>
      <c r="Q221" s="22"/>
      <c r="R221" s="22"/>
    </row>
    <row r="222">
      <c r="A222" s="20">
        <v>43109.972905902774</v>
      </c>
      <c r="B222" s="21" t="s">
        <v>234</v>
      </c>
      <c r="C222" s="21" t="s">
        <v>235</v>
      </c>
      <c r="D222" s="21" t="s">
        <v>27</v>
      </c>
      <c r="E222" s="21">
        <v>276.0</v>
      </c>
      <c r="F222" s="21" t="s">
        <v>236</v>
      </c>
      <c r="G222" s="21">
        <v>22.0</v>
      </c>
      <c r="H222" s="21">
        <v>19.0</v>
      </c>
      <c r="I222" s="21">
        <v>180.0</v>
      </c>
      <c r="J222" s="21">
        <v>20.0</v>
      </c>
      <c r="K222" s="21">
        <v>66.0</v>
      </c>
      <c r="L222" s="22"/>
      <c r="M222" s="22"/>
      <c r="N222" s="22"/>
      <c r="O222" s="22"/>
      <c r="P222" s="22"/>
      <c r="Q222" s="22"/>
      <c r="R222" s="22"/>
    </row>
    <row r="223">
      <c r="A223" s="20">
        <v>43111.000469652776</v>
      </c>
      <c r="B223" s="21" t="s">
        <v>48</v>
      </c>
      <c r="C223" s="21" t="s">
        <v>70</v>
      </c>
      <c r="D223" s="21" t="s">
        <v>31</v>
      </c>
      <c r="E223" s="21">
        <v>220.0</v>
      </c>
      <c r="F223" s="21" t="s">
        <v>237</v>
      </c>
      <c r="G223" s="21">
        <v>20.0</v>
      </c>
      <c r="H223" s="21">
        <v>1.0</v>
      </c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>
      <c r="A224" s="20">
        <v>43111.65579991898</v>
      </c>
      <c r="B224" s="21" t="s">
        <v>33</v>
      </c>
      <c r="C224" s="21" t="s">
        <v>62</v>
      </c>
      <c r="D224" s="21" t="s">
        <v>27</v>
      </c>
      <c r="E224" s="21">
        <v>225.0</v>
      </c>
      <c r="F224" s="21" t="s">
        <v>35</v>
      </c>
      <c r="G224" s="21">
        <v>6.5</v>
      </c>
      <c r="H224" s="21">
        <v>3.5</v>
      </c>
      <c r="I224" s="22"/>
      <c r="J224" s="22"/>
      <c r="K224" s="22"/>
      <c r="L224" s="22"/>
      <c r="M224" s="22"/>
      <c r="N224" s="22"/>
      <c r="O224" s="22"/>
      <c r="P224" s="22"/>
      <c r="Q224" s="22"/>
      <c r="R224" s="22"/>
    </row>
    <row r="225">
      <c r="A225" s="20">
        <v>43112.03631753472</v>
      </c>
      <c r="B225" s="21" t="s">
        <v>33</v>
      </c>
      <c r="C225" s="21">
        <v>6.0</v>
      </c>
      <c r="D225" s="21" t="s">
        <v>41</v>
      </c>
      <c r="E225" s="21">
        <v>320.0</v>
      </c>
      <c r="F225" s="21" t="s">
        <v>63</v>
      </c>
      <c r="G225" s="21">
        <v>7.0</v>
      </c>
      <c r="H225" s="21">
        <v>7.0</v>
      </c>
      <c r="I225" s="21">
        <v>160.0</v>
      </c>
      <c r="J225" s="21">
        <v>160.0</v>
      </c>
      <c r="K225" s="22"/>
      <c r="L225" s="22"/>
      <c r="M225" s="22"/>
      <c r="N225" s="22"/>
      <c r="O225" s="22"/>
      <c r="P225" s="22"/>
      <c r="Q225" s="22"/>
      <c r="R225" s="22"/>
    </row>
    <row r="226">
      <c r="A226" s="20">
        <v>43112.70704418981</v>
      </c>
      <c r="B226" s="21" t="s">
        <v>80</v>
      </c>
      <c r="C226" s="21" t="s">
        <v>176</v>
      </c>
      <c r="D226" s="21" t="s">
        <v>31</v>
      </c>
      <c r="E226" s="21">
        <v>354.0</v>
      </c>
      <c r="F226" s="21" t="s">
        <v>47</v>
      </c>
      <c r="G226" s="21">
        <v>16.0</v>
      </c>
      <c r="H226" s="21">
        <v>3.0</v>
      </c>
      <c r="I226" s="21">
        <v>180.0</v>
      </c>
      <c r="J226" s="21">
        <v>139.0</v>
      </c>
      <c r="K226" s="21">
        <v>35.0</v>
      </c>
      <c r="L226" s="22"/>
      <c r="M226" s="22"/>
      <c r="N226" s="22"/>
      <c r="O226" s="22"/>
      <c r="P226" s="22"/>
      <c r="Q226" s="22"/>
      <c r="R226" s="22"/>
    </row>
    <row r="227">
      <c r="A227" s="20">
        <v>43112.87909916667</v>
      </c>
      <c r="B227" s="21" t="s">
        <v>80</v>
      </c>
      <c r="C227" s="21" t="s">
        <v>34</v>
      </c>
      <c r="D227" s="21" t="s">
        <v>41</v>
      </c>
      <c r="E227" s="21">
        <v>640.0</v>
      </c>
      <c r="F227" s="21" t="s">
        <v>238</v>
      </c>
      <c r="G227" s="21">
        <v>18.0</v>
      </c>
      <c r="H227" s="21">
        <v>4.0</v>
      </c>
      <c r="I227" s="21">
        <v>250.0</v>
      </c>
      <c r="J227" s="21">
        <v>300.0</v>
      </c>
      <c r="K227" s="21">
        <v>90.0</v>
      </c>
      <c r="L227" s="22"/>
      <c r="M227" s="22"/>
      <c r="N227" s="22"/>
      <c r="O227" s="22"/>
      <c r="P227" s="22"/>
      <c r="Q227" s="22"/>
      <c r="R227" s="22"/>
    </row>
    <row r="228">
      <c r="A228" s="20">
        <v>43113.74659427084</v>
      </c>
      <c r="B228" s="21" t="s">
        <v>45</v>
      </c>
      <c r="C228" s="21">
        <v>4.0</v>
      </c>
      <c r="D228" s="21" t="s">
        <v>31</v>
      </c>
      <c r="E228" s="21">
        <v>350.0</v>
      </c>
      <c r="F228" s="21" t="s">
        <v>239</v>
      </c>
      <c r="G228" s="21">
        <v>5.0</v>
      </c>
      <c r="H228" s="21">
        <v>2.0</v>
      </c>
      <c r="I228" s="22"/>
      <c r="J228" s="22"/>
      <c r="K228" s="22"/>
      <c r="L228" s="22"/>
      <c r="M228" s="22"/>
      <c r="N228" s="22"/>
      <c r="O228" s="22"/>
      <c r="P228" s="22"/>
      <c r="Q228" s="22"/>
      <c r="R228" s="22"/>
    </row>
    <row r="229">
      <c r="A229" s="20">
        <v>43113.747241018515</v>
      </c>
      <c r="B229" s="21" t="s">
        <v>45</v>
      </c>
      <c r="C229" s="21" t="s">
        <v>149</v>
      </c>
      <c r="D229" s="21" t="s">
        <v>31</v>
      </c>
      <c r="E229" s="21">
        <v>500.0</v>
      </c>
      <c r="F229" s="21" t="s">
        <v>239</v>
      </c>
      <c r="G229" s="21">
        <v>6.0</v>
      </c>
      <c r="H229" s="21">
        <v>3.0</v>
      </c>
      <c r="I229" s="22"/>
      <c r="J229" s="22"/>
      <c r="K229" s="22"/>
      <c r="L229" s="22"/>
      <c r="M229" s="22"/>
      <c r="N229" s="22"/>
      <c r="O229" s="22"/>
      <c r="P229" s="22"/>
      <c r="Q229" s="22"/>
      <c r="R229" s="22"/>
    </row>
    <row r="230">
      <c r="A230" s="20">
        <v>43113.77641063658</v>
      </c>
      <c r="B230" s="21" t="s">
        <v>33</v>
      </c>
      <c r="C230" s="21" t="s">
        <v>43</v>
      </c>
      <c r="D230" s="21" t="s">
        <v>31</v>
      </c>
      <c r="E230" s="21">
        <v>180.0</v>
      </c>
      <c r="F230" s="21" t="s">
        <v>35</v>
      </c>
      <c r="G230" s="21">
        <v>3.0</v>
      </c>
      <c r="H230" s="21">
        <v>1.0</v>
      </c>
      <c r="I230" s="21">
        <v>140000.0</v>
      </c>
      <c r="J230" s="21">
        <v>180000.0</v>
      </c>
      <c r="K230" s="21">
        <v>64000.0</v>
      </c>
      <c r="L230" s="22"/>
      <c r="M230" s="22"/>
      <c r="N230" s="22"/>
      <c r="O230" s="22"/>
      <c r="P230" s="22"/>
      <c r="Q230" s="22"/>
      <c r="R230" s="22"/>
    </row>
    <row r="231">
      <c r="A231" s="20">
        <v>43114.93290506944</v>
      </c>
      <c r="B231" s="21" t="s">
        <v>80</v>
      </c>
      <c r="C231" s="21" t="s">
        <v>176</v>
      </c>
      <c r="D231" s="21" t="s">
        <v>31</v>
      </c>
      <c r="E231" s="21">
        <v>390.0</v>
      </c>
      <c r="F231" s="21" t="s">
        <v>227</v>
      </c>
      <c r="G231" s="21">
        <v>7.0</v>
      </c>
      <c r="H231" s="21">
        <v>3.0</v>
      </c>
      <c r="I231" s="21">
        <v>162000.0</v>
      </c>
      <c r="J231" s="21">
        <v>200000.0</v>
      </c>
      <c r="K231" s="21">
        <v>27000.0</v>
      </c>
      <c r="L231" s="21" t="s">
        <v>240</v>
      </c>
      <c r="M231" s="23"/>
      <c r="N231" s="23"/>
      <c r="O231" s="23"/>
      <c r="P231" s="23"/>
      <c r="Q231" s="23"/>
      <c r="R231" s="23"/>
    </row>
    <row r="232">
      <c r="A232" s="20">
        <v>43115.86112241898</v>
      </c>
      <c r="B232" s="21" t="s">
        <v>241</v>
      </c>
      <c r="C232" s="21" t="s">
        <v>242</v>
      </c>
      <c r="D232" s="21" t="s">
        <v>31</v>
      </c>
      <c r="E232" s="21">
        <v>150.0</v>
      </c>
      <c r="F232" s="21" t="s">
        <v>32</v>
      </c>
      <c r="G232" s="21">
        <v>1.0</v>
      </c>
      <c r="H232" s="21">
        <v>1.0</v>
      </c>
      <c r="I232" s="21">
        <v>110000.0</v>
      </c>
      <c r="J232" s="21">
        <v>100000.0</v>
      </c>
      <c r="K232" s="21">
        <v>5000.0</v>
      </c>
      <c r="L232" s="22"/>
      <c r="M232" s="22"/>
      <c r="N232" s="22"/>
      <c r="O232" s="22"/>
      <c r="P232" s="22"/>
      <c r="Q232" s="22"/>
      <c r="R232" s="22"/>
    </row>
    <row r="233">
      <c r="A233" s="20">
        <v>43117.592726296294</v>
      </c>
      <c r="B233" s="21" t="s">
        <v>40</v>
      </c>
      <c r="C233" s="21">
        <v>61.0</v>
      </c>
      <c r="D233" s="21" t="s">
        <v>31</v>
      </c>
      <c r="E233" s="21">
        <v>149.0</v>
      </c>
      <c r="F233" s="21" t="s">
        <v>75</v>
      </c>
      <c r="G233" s="21">
        <v>3.0</v>
      </c>
      <c r="H233" s="21">
        <v>3.0</v>
      </c>
      <c r="I233" s="21">
        <v>129.0</v>
      </c>
      <c r="J233" s="21">
        <v>10.0</v>
      </c>
      <c r="K233" s="21">
        <v>10.0</v>
      </c>
      <c r="L233" s="22"/>
      <c r="M233" s="22"/>
      <c r="N233" s="22"/>
      <c r="O233" s="22"/>
      <c r="P233" s="22"/>
      <c r="Q233" s="22"/>
      <c r="R233" s="22"/>
    </row>
    <row r="234">
      <c r="A234" s="20">
        <v>43117.76628207176</v>
      </c>
      <c r="B234" s="21" t="s">
        <v>80</v>
      </c>
      <c r="C234" s="21" t="s">
        <v>69</v>
      </c>
      <c r="D234" s="21" t="s">
        <v>31</v>
      </c>
      <c r="E234" s="21">
        <v>190.0</v>
      </c>
      <c r="F234" s="21" t="s">
        <v>51</v>
      </c>
      <c r="G234" s="21">
        <v>2.5</v>
      </c>
      <c r="H234" s="21">
        <v>0.0</v>
      </c>
      <c r="I234" s="21">
        <v>130000.0</v>
      </c>
      <c r="J234" s="21">
        <v>41000.0</v>
      </c>
      <c r="K234" s="21">
        <v>19500.0</v>
      </c>
      <c r="L234" s="21" t="s">
        <v>243</v>
      </c>
      <c r="M234" s="23"/>
      <c r="N234" s="23"/>
      <c r="O234" s="23"/>
      <c r="P234" s="23"/>
      <c r="Q234" s="23"/>
      <c r="R234" s="23"/>
    </row>
    <row r="235">
      <c r="A235" s="20">
        <v>43117.77830276621</v>
      </c>
      <c r="B235" s="21" t="s">
        <v>33</v>
      </c>
      <c r="C235" s="21" t="s">
        <v>73</v>
      </c>
      <c r="D235" s="21" t="s">
        <v>31</v>
      </c>
      <c r="E235" s="21">
        <v>145.0</v>
      </c>
      <c r="F235" s="21" t="s">
        <v>35</v>
      </c>
      <c r="G235" s="21">
        <v>1.0</v>
      </c>
      <c r="H235" s="21">
        <v>0.25</v>
      </c>
      <c r="I235" s="21">
        <v>106.0</v>
      </c>
      <c r="J235" s="21">
        <v>3.25</v>
      </c>
      <c r="K235" s="21">
        <v>35.5</v>
      </c>
      <c r="L235" s="21" t="s">
        <v>244</v>
      </c>
      <c r="M235" s="23"/>
      <c r="N235" s="23"/>
      <c r="O235" s="23"/>
      <c r="P235" s="23"/>
      <c r="Q235" s="23"/>
      <c r="R235" s="23"/>
    </row>
    <row r="236">
      <c r="A236" s="20">
        <v>43117.88669834491</v>
      </c>
      <c r="B236" s="21" t="s">
        <v>45</v>
      </c>
      <c r="C236" s="21" t="s">
        <v>98</v>
      </c>
      <c r="D236" s="21" t="s">
        <v>31</v>
      </c>
      <c r="E236" s="21">
        <v>267.0</v>
      </c>
      <c r="F236" s="21" t="s">
        <v>104</v>
      </c>
      <c r="G236" s="21">
        <v>2.0</v>
      </c>
      <c r="H236" s="21">
        <v>2.0</v>
      </c>
      <c r="I236" s="21">
        <v>155000.0</v>
      </c>
      <c r="J236" s="21">
        <v>350000.0</v>
      </c>
      <c r="K236" s="21">
        <v>25000.0</v>
      </c>
      <c r="L236" s="22"/>
      <c r="M236" s="22"/>
      <c r="N236" s="22"/>
      <c r="O236" s="22"/>
      <c r="P236" s="22"/>
      <c r="Q236" s="22"/>
      <c r="R236" s="22"/>
    </row>
    <row r="237">
      <c r="A237" s="20">
        <v>43118.03359068287</v>
      </c>
      <c r="B237" s="21" t="s">
        <v>200</v>
      </c>
      <c r="C237" s="21" t="s">
        <v>37</v>
      </c>
      <c r="D237" s="21" t="s">
        <v>31</v>
      </c>
      <c r="E237" s="21">
        <v>280.0</v>
      </c>
      <c r="F237" s="21" t="s">
        <v>32</v>
      </c>
      <c r="G237" s="21">
        <v>3.0</v>
      </c>
      <c r="H237" s="21">
        <v>2.0</v>
      </c>
      <c r="I237" s="21">
        <v>150.0</v>
      </c>
      <c r="J237" s="21">
        <v>300.0</v>
      </c>
      <c r="K237" s="21">
        <v>100.0</v>
      </c>
      <c r="L237" s="22"/>
      <c r="M237" s="22"/>
      <c r="N237" s="22"/>
      <c r="O237" s="22"/>
      <c r="P237" s="22"/>
      <c r="Q237" s="22"/>
      <c r="R237" s="22"/>
    </row>
    <row r="238">
      <c r="A238" s="20">
        <v>43118.98824805555</v>
      </c>
      <c r="B238" s="21" t="s">
        <v>33</v>
      </c>
      <c r="C238" s="21" t="s">
        <v>245</v>
      </c>
      <c r="D238" s="21" t="s">
        <v>31</v>
      </c>
      <c r="E238" s="21">
        <v>187.0</v>
      </c>
      <c r="F238" s="21" t="s">
        <v>35</v>
      </c>
      <c r="G238" s="21">
        <v>2.0</v>
      </c>
      <c r="H238" s="21">
        <v>2.0</v>
      </c>
      <c r="I238" s="21">
        <v>131580.0</v>
      </c>
      <c r="J238" s="21">
        <v>46.0</v>
      </c>
      <c r="K238" s="21">
        <v>10.0</v>
      </c>
      <c r="L238" s="21" t="s">
        <v>246</v>
      </c>
      <c r="M238" s="23"/>
      <c r="N238" s="23"/>
      <c r="O238" s="23"/>
      <c r="P238" s="23"/>
      <c r="Q238" s="23"/>
      <c r="R238" s="23"/>
    </row>
    <row r="239">
      <c r="A239" s="20">
        <v>43120.94116253473</v>
      </c>
      <c r="B239" s="21" t="s">
        <v>33</v>
      </c>
      <c r="C239" s="21" t="s">
        <v>73</v>
      </c>
      <c r="D239" s="21" t="s">
        <v>31</v>
      </c>
      <c r="E239" s="21">
        <v>170.0</v>
      </c>
      <c r="F239" s="21" t="s">
        <v>247</v>
      </c>
      <c r="G239" s="21">
        <v>0.0</v>
      </c>
      <c r="H239" s="21">
        <v>0.0</v>
      </c>
      <c r="I239" s="21">
        <v>125.0</v>
      </c>
      <c r="J239" s="21">
        <v>5.0</v>
      </c>
      <c r="K239" s="21">
        <v>39.0</v>
      </c>
      <c r="L239" s="21" t="s">
        <v>248</v>
      </c>
      <c r="M239" s="23"/>
      <c r="N239" s="23"/>
      <c r="O239" s="23"/>
      <c r="P239" s="23"/>
      <c r="Q239" s="23"/>
      <c r="R239" s="23"/>
    </row>
    <row r="240">
      <c r="A240" s="20">
        <v>43122.658320057875</v>
      </c>
      <c r="B240" s="21" t="s">
        <v>249</v>
      </c>
      <c r="C240" s="21" t="s">
        <v>43</v>
      </c>
      <c r="D240" s="21" t="s">
        <v>27</v>
      </c>
      <c r="E240" s="21">
        <v>246.0</v>
      </c>
      <c r="F240" s="21" t="s">
        <v>47</v>
      </c>
      <c r="G240" s="21">
        <v>15.0</v>
      </c>
      <c r="H240" s="21">
        <v>1.0</v>
      </c>
      <c r="I240" s="21">
        <v>172000.0</v>
      </c>
      <c r="J240" s="21">
        <v>160000.0</v>
      </c>
      <c r="K240" s="21">
        <v>34400.0</v>
      </c>
      <c r="L240" s="21" t="s">
        <v>250</v>
      </c>
      <c r="M240" s="23"/>
      <c r="N240" s="23"/>
      <c r="O240" s="23"/>
      <c r="P240" s="23"/>
      <c r="Q240" s="23"/>
      <c r="R240" s="23"/>
    </row>
    <row r="241">
      <c r="A241" s="20">
        <v>43122.99894076389</v>
      </c>
      <c r="B241" s="21" t="s">
        <v>25</v>
      </c>
      <c r="C241" s="21" t="s">
        <v>113</v>
      </c>
      <c r="D241" s="21" t="s">
        <v>31</v>
      </c>
      <c r="E241" s="21">
        <v>1050.0</v>
      </c>
      <c r="F241" s="21" t="s">
        <v>251</v>
      </c>
      <c r="G241" s="21">
        <v>27.0</v>
      </c>
      <c r="H241" s="21">
        <v>17.0</v>
      </c>
      <c r="I241" s="22"/>
      <c r="J241" s="22"/>
      <c r="K241" s="22"/>
      <c r="L241" s="22"/>
      <c r="M241" s="22"/>
      <c r="N241" s="22"/>
      <c r="O241" s="22"/>
      <c r="P241" s="22"/>
      <c r="Q241" s="22"/>
      <c r="R241" s="22"/>
    </row>
    <row r="242">
      <c r="A242" s="20">
        <v>43123.4522205324</v>
      </c>
      <c r="B242" s="21" t="s">
        <v>48</v>
      </c>
      <c r="C242" s="21" t="s">
        <v>166</v>
      </c>
      <c r="D242" s="21" t="s">
        <v>31</v>
      </c>
      <c r="E242" s="21">
        <v>360.0</v>
      </c>
      <c r="F242" s="21" t="s">
        <v>50</v>
      </c>
      <c r="G242" s="21">
        <v>2.5</v>
      </c>
      <c r="H242" s="21">
        <v>2.5</v>
      </c>
      <c r="I242" s="21">
        <v>175.0</v>
      </c>
      <c r="J242" s="21">
        <v>160.0</v>
      </c>
      <c r="K242" s="21">
        <v>30.0</v>
      </c>
      <c r="L242" s="22"/>
      <c r="M242" s="22"/>
      <c r="N242" s="22"/>
      <c r="O242" s="22"/>
      <c r="P242" s="22"/>
      <c r="Q242" s="22"/>
      <c r="R242" s="22"/>
    </row>
    <row r="243">
      <c r="A243" s="20">
        <v>43123.516065034724</v>
      </c>
      <c r="B243" s="21" t="s">
        <v>252</v>
      </c>
      <c r="C243" s="21" t="s">
        <v>206</v>
      </c>
      <c r="D243" s="21" t="s">
        <v>31</v>
      </c>
      <c r="E243" s="21">
        <v>180.0</v>
      </c>
      <c r="F243" s="21" t="s">
        <v>175</v>
      </c>
      <c r="G243" s="21">
        <v>4.0</v>
      </c>
      <c r="H243" s="21">
        <v>1.0</v>
      </c>
      <c r="I243" s="21">
        <v>140.0</v>
      </c>
      <c r="J243" s="21">
        <v>20.0</v>
      </c>
      <c r="K243" s="21">
        <v>20.0</v>
      </c>
      <c r="L243" s="22"/>
      <c r="M243" s="22"/>
      <c r="N243" s="22"/>
      <c r="O243" s="22"/>
      <c r="P243" s="22"/>
      <c r="Q243" s="22"/>
      <c r="R243" s="22"/>
    </row>
    <row r="244">
      <c r="A244" s="20">
        <v>43123.551076840275</v>
      </c>
      <c r="B244" s="21" t="s">
        <v>146</v>
      </c>
      <c r="C244" s="21" t="s">
        <v>253</v>
      </c>
      <c r="D244" s="21" t="s">
        <v>31</v>
      </c>
      <c r="E244" s="21">
        <v>230.0</v>
      </c>
      <c r="F244" s="21" t="s">
        <v>47</v>
      </c>
      <c r="G244" s="21">
        <v>4.0</v>
      </c>
      <c r="H244" s="21">
        <v>1.0</v>
      </c>
      <c r="I244" s="21">
        <v>145.0</v>
      </c>
      <c r="J244" s="21">
        <v>70.0</v>
      </c>
      <c r="K244" s="21">
        <v>15.0</v>
      </c>
      <c r="L244" s="22"/>
      <c r="M244" s="22"/>
      <c r="N244" s="22"/>
      <c r="O244" s="22"/>
      <c r="P244" s="22"/>
      <c r="Q244" s="22"/>
      <c r="R244" s="22"/>
    </row>
    <row r="245">
      <c r="A245" s="20">
        <v>43123.61279825232</v>
      </c>
      <c r="B245" s="21" t="s">
        <v>254</v>
      </c>
      <c r="C245" s="21" t="s">
        <v>73</v>
      </c>
      <c r="D245" s="21" t="s">
        <v>31</v>
      </c>
      <c r="E245" s="21">
        <v>183.0</v>
      </c>
      <c r="F245" s="21" t="s">
        <v>58</v>
      </c>
      <c r="G245" s="21">
        <v>25.0</v>
      </c>
      <c r="H245" s="21">
        <v>3.0</v>
      </c>
      <c r="I245" s="22"/>
      <c r="J245" s="22"/>
      <c r="K245" s="22"/>
      <c r="L245" s="22"/>
      <c r="M245" s="22"/>
      <c r="N245" s="22"/>
      <c r="O245" s="22"/>
      <c r="P245" s="22"/>
      <c r="Q245" s="22"/>
      <c r="R245" s="22"/>
    </row>
    <row r="246">
      <c r="A246" s="20">
        <v>43123.815598877314</v>
      </c>
      <c r="B246" s="21" t="s">
        <v>45</v>
      </c>
      <c r="C246" s="21" t="s">
        <v>116</v>
      </c>
      <c r="D246" s="21" t="s">
        <v>31</v>
      </c>
      <c r="E246" s="21">
        <v>290.0</v>
      </c>
      <c r="F246" s="21" t="s">
        <v>104</v>
      </c>
      <c r="G246" s="21">
        <v>14.0</v>
      </c>
      <c r="H246" s="21">
        <v>3.0</v>
      </c>
      <c r="I246" s="21">
        <v>170.0</v>
      </c>
      <c r="J246" s="21">
        <v>90.0</v>
      </c>
      <c r="K246" s="21">
        <v>30.0</v>
      </c>
      <c r="L246" s="22"/>
      <c r="M246" s="22"/>
      <c r="N246" s="22"/>
      <c r="O246" s="22"/>
      <c r="P246" s="22"/>
      <c r="Q246" s="22"/>
      <c r="R246" s="22"/>
    </row>
    <row r="247">
      <c r="A247" s="20">
        <v>43124.20249390046</v>
      </c>
      <c r="B247" s="21" t="s">
        <v>80</v>
      </c>
      <c r="C247" s="21" t="s">
        <v>255</v>
      </c>
      <c r="D247" s="21" t="s">
        <v>31</v>
      </c>
      <c r="E247" s="21">
        <v>1120.0</v>
      </c>
      <c r="F247" s="21" t="s">
        <v>94</v>
      </c>
      <c r="G247" s="21">
        <v>10.0</v>
      </c>
      <c r="H247" s="21">
        <v>7.0</v>
      </c>
      <c r="I247" s="21">
        <v>252.0</v>
      </c>
      <c r="J247" s="21">
        <v>790.0</v>
      </c>
      <c r="K247" s="21">
        <v>78.0</v>
      </c>
      <c r="L247" s="22"/>
      <c r="M247" s="22"/>
      <c r="N247" s="22"/>
      <c r="O247" s="22"/>
      <c r="P247" s="22"/>
      <c r="Q247" s="22"/>
      <c r="R247" s="22"/>
    </row>
    <row r="248">
      <c r="A248" s="20">
        <v>43124.77688123843</v>
      </c>
      <c r="B248" s="21" t="s">
        <v>256</v>
      </c>
      <c r="C248" s="21" t="s">
        <v>184</v>
      </c>
      <c r="D248" s="21" t="s">
        <v>31</v>
      </c>
      <c r="E248" s="21">
        <v>290.0</v>
      </c>
      <c r="F248" s="21" t="s">
        <v>257</v>
      </c>
      <c r="G248" s="21">
        <v>12.0</v>
      </c>
      <c r="H248" s="21">
        <v>3.0</v>
      </c>
      <c r="I248" s="21">
        <v>196.0</v>
      </c>
      <c r="J248" s="21">
        <v>80.0</v>
      </c>
      <c r="K248" s="21">
        <v>29.0</v>
      </c>
      <c r="L248" s="22"/>
      <c r="M248" s="22"/>
      <c r="N248" s="22"/>
      <c r="O248" s="22"/>
      <c r="P248" s="22"/>
      <c r="Q248" s="22"/>
      <c r="R248" s="22"/>
    </row>
    <row r="249">
      <c r="A249" s="20">
        <v>43124.96727835648</v>
      </c>
      <c r="B249" s="21" t="s">
        <v>48</v>
      </c>
      <c r="C249" s="21">
        <v>5.0</v>
      </c>
      <c r="D249" s="21" t="s">
        <v>31</v>
      </c>
      <c r="E249" s="21">
        <v>450.0</v>
      </c>
      <c r="F249" s="21" t="s">
        <v>50</v>
      </c>
      <c r="G249" s="21">
        <v>7.0</v>
      </c>
      <c r="H249" s="21">
        <v>3.0</v>
      </c>
      <c r="I249" s="21">
        <v>190.0</v>
      </c>
      <c r="J249" s="21">
        <v>260.0</v>
      </c>
      <c r="K249" s="21">
        <v>30.0</v>
      </c>
      <c r="L249" s="22"/>
      <c r="M249" s="22"/>
      <c r="N249" s="22"/>
      <c r="O249" s="22"/>
      <c r="P249" s="22"/>
      <c r="Q249" s="22"/>
      <c r="R249" s="22"/>
    </row>
    <row r="250">
      <c r="A250" s="20">
        <v>43125.38576041667</v>
      </c>
      <c r="B250" s="21" t="s">
        <v>187</v>
      </c>
      <c r="C250" s="21" t="s">
        <v>176</v>
      </c>
      <c r="D250" s="21" t="s">
        <v>31</v>
      </c>
      <c r="E250" s="21">
        <v>165.0</v>
      </c>
      <c r="F250" s="21" t="s">
        <v>63</v>
      </c>
      <c r="G250" s="21">
        <v>4.0</v>
      </c>
      <c r="H250" s="21">
        <v>2.0</v>
      </c>
      <c r="I250" s="21">
        <v>165000.0</v>
      </c>
      <c r="J250" s="21">
        <v>975000.0</v>
      </c>
      <c r="K250" s="22"/>
      <c r="L250" s="22"/>
      <c r="M250" s="22"/>
      <c r="N250" s="22"/>
      <c r="O250" s="22"/>
      <c r="P250" s="22"/>
      <c r="Q250" s="22"/>
      <c r="R250" s="22"/>
    </row>
    <row r="251">
      <c r="A251" s="20">
        <v>43125.44332385417</v>
      </c>
      <c r="B251" s="21" t="s">
        <v>48</v>
      </c>
      <c r="C251" s="21" t="s">
        <v>166</v>
      </c>
      <c r="D251" s="21" t="s">
        <v>31</v>
      </c>
      <c r="E251" s="21">
        <v>315.0</v>
      </c>
      <c r="F251" s="21" t="s">
        <v>50</v>
      </c>
      <c r="G251" s="21">
        <v>8.0</v>
      </c>
      <c r="H251" s="21">
        <v>1.0</v>
      </c>
      <c r="I251" s="21">
        <v>185000.0</v>
      </c>
      <c r="J251" s="21">
        <v>400000.0</v>
      </c>
      <c r="K251" s="21">
        <v>30000.0</v>
      </c>
      <c r="L251" s="22"/>
      <c r="M251" s="22"/>
      <c r="N251" s="22"/>
      <c r="O251" s="22"/>
      <c r="P251" s="22"/>
      <c r="Q251" s="22"/>
      <c r="R251" s="22"/>
    </row>
    <row r="252">
      <c r="A252" s="20">
        <v>43125.74702951389</v>
      </c>
      <c r="B252" s="21" t="s">
        <v>33</v>
      </c>
      <c r="C252" s="21" t="s">
        <v>62</v>
      </c>
      <c r="D252" s="21" t="s">
        <v>31</v>
      </c>
      <c r="E252" s="21">
        <v>311.0</v>
      </c>
      <c r="F252" s="21" t="s">
        <v>35</v>
      </c>
      <c r="G252" s="21">
        <v>20.0</v>
      </c>
      <c r="H252" s="21">
        <v>1.0</v>
      </c>
      <c r="I252" s="21">
        <v>160000.0</v>
      </c>
      <c r="J252" s="21">
        <v>80000.0</v>
      </c>
      <c r="K252" s="21">
        <v>71000.0</v>
      </c>
      <c r="L252" s="22"/>
      <c r="M252" s="22"/>
      <c r="N252" s="22"/>
      <c r="O252" s="22"/>
      <c r="P252" s="22"/>
      <c r="Q252" s="22"/>
      <c r="R252" s="22"/>
    </row>
    <row r="253">
      <c r="A253" s="20">
        <v>43127.31214903935</v>
      </c>
      <c r="B253" s="21" t="s">
        <v>36</v>
      </c>
      <c r="C253" s="21" t="s">
        <v>62</v>
      </c>
      <c r="D253" s="21" t="s">
        <v>31</v>
      </c>
      <c r="E253" s="21">
        <v>1500.0</v>
      </c>
      <c r="F253" s="21" t="s">
        <v>58</v>
      </c>
      <c r="G253" s="21">
        <v>15.0</v>
      </c>
      <c r="H253" s="21">
        <v>3.0</v>
      </c>
      <c r="I253" s="21">
        <v>300.0</v>
      </c>
      <c r="J253" s="21">
        <v>5000.0</v>
      </c>
      <c r="K253" s="21">
        <v>50.0</v>
      </c>
      <c r="L253" s="22"/>
      <c r="M253" s="22"/>
      <c r="N253" s="22"/>
      <c r="O253" s="22"/>
      <c r="P253" s="22"/>
      <c r="Q253" s="22"/>
      <c r="R253" s="22"/>
    </row>
    <row r="254">
      <c r="A254" s="20">
        <v>43127.38520481481</v>
      </c>
      <c r="B254" s="21" t="s">
        <v>258</v>
      </c>
      <c r="C254" s="21" t="s">
        <v>37</v>
      </c>
      <c r="D254" s="21" t="s">
        <v>31</v>
      </c>
      <c r="E254" s="21">
        <v>240.0</v>
      </c>
      <c r="F254" s="21" t="s">
        <v>58</v>
      </c>
      <c r="G254" s="21">
        <v>5.0</v>
      </c>
      <c r="H254" s="21">
        <v>5.0</v>
      </c>
      <c r="I254" s="21">
        <v>170.0</v>
      </c>
      <c r="J254" s="21">
        <v>70.0</v>
      </c>
      <c r="K254" s="22"/>
      <c r="L254" s="22"/>
      <c r="M254" s="22"/>
      <c r="N254" s="22"/>
      <c r="O254" s="22"/>
      <c r="P254" s="22"/>
      <c r="Q254" s="22"/>
      <c r="R254" s="22"/>
    </row>
    <row r="255">
      <c r="A255" s="20">
        <v>43127.39167950231</v>
      </c>
      <c r="B255" s="21" t="s">
        <v>122</v>
      </c>
      <c r="C255" s="21" t="s">
        <v>62</v>
      </c>
      <c r="D255" s="21" t="s">
        <v>27</v>
      </c>
      <c r="E255" s="21">
        <v>725.0</v>
      </c>
      <c r="F255" s="21" t="s">
        <v>72</v>
      </c>
      <c r="G255" s="21">
        <v>10.0</v>
      </c>
      <c r="H255" s="21">
        <v>2.0</v>
      </c>
      <c r="I255" s="21">
        <v>225.0</v>
      </c>
      <c r="J255" s="21">
        <v>2000.0</v>
      </c>
      <c r="K255" s="22"/>
      <c r="L255" s="22"/>
      <c r="M255" s="22"/>
      <c r="N255" s="22"/>
      <c r="O255" s="22"/>
      <c r="P255" s="22"/>
      <c r="Q255" s="22"/>
      <c r="R255" s="22"/>
    </row>
    <row r="256">
      <c r="A256" s="20">
        <v>43128.830144155094</v>
      </c>
      <c r="B256" s="21" t="s">
        <v>259</v>
      </c>
      <c r="C256" s="21" t="s">
        <v>201</v>
      </c>
      <c r="D256" s="21" t="s">
        <v>31</v>
      </c>
      <c r="E256" s="21">
        <v>171.5</v>
      </c>
      <c r="F256" s="21" t="s">
        <v>32</v>
      </c>
      <c r="G256" s="21">
        <v>1.0</v>
      </c>
      <c r="H256" s="21">
        <v>0.0</v>
      </c>
      <c r="I256" s="21">
        <v>125.0</v>
      </c>
      <c r="J256" s="21">
        <v>36.5</v>
      </c>
      <c r="K256" s="21">
        <v>10.0</v>
      </c>
      <c r="L256" s="22"/>
      <c r="M256" s="22"/>
      <c r="N256" s="22"/>
      <c r="O256" s="22"/>
      <c r="P256" s="22"/>
      <c r="Q256" s="22"/>
      <c r="R256" s="22"/>
    </row>
    <row r="257">
      <c r="A257" s="20">
        <v>43128.896059328705</v>
      </c>
      <c r="B257" s="21" t="s">
        <v>95</v>
      </c>
      <c r="C257" s="21" t="s">
        <v>37</v>
      </c>
      <c r="D257" s="21" t="s">
        <v>31</v>
      </c>
      <c r="E257" s="21">
        <v>450.0</v>
      </c>
      <c r="F257" s="21" t="s">
        <v>97</v>
      </c>
      <c r="G257" s="21">
        <v>13.0</v>
      </c>
      <c r="H257" s="21">
        <v>3.0</v>
      </c>
      <c r="I257" s="22"/>
      <c r="J257" s="22"/>
      <c r="K257" s="22"/>
      <c r="L257" s="22"/>
      <c r="M257" s="22"/>
      <c r="N257" s="22"/>
      <c r="O257" s="22"/>
      <c r="P257" s="22"/>
      <c r="Q257" s="22"/>
      <c r="R257" s="22"/>
    </row>
    <row r="258">
      <c r="A258" s="20">
        <v>43129.36962162037</v>
      </c>
      <c r="B258" s="21" t="s">
        <v>80</v>
      </c>
      <c r="C258" s="21" t="s">
        <v>260</v>
      </c>
      <c r="D258" s="21" t="s">
        <v>27</v>
      </c>
      <c r="E258" s="21">
        <v>800.0</v>
      </c>
      <c r="F258" s="21" t="s">
        <v>51</v>
      </c>
      <c r="G258" s="21">
        <v>15.0</v>
      </c>
      <c r="H258" s="21">
        <v>1.0</v>
      </c>
      <c r="I258" s="21">
        <v>250000.0</v>
      </c>
      <c r="J258" s="21">
        <v>1700000.0</v>
      </c>
      <c r="K258" s="21">
        <v>65000.0</v>
      </c>
      <c r="L258" s="22"/>
      <c r="M258" s="22"/>
      <c r="N258" s="22"/>
      <c r="O258" s="22"/>
      <c r="P258" s="22"/>
      <c r="Q258" s="22"/>
      <c r="R258" s="22"/>
    </row>
    <row r="259">
      <c r="A259" s="20">
        <v>43129.643938124995</v>
      </c>
      <c r="B259" s="21" t="s">
        <v>204</v>
      </c>
      <c r="C259" s="21" t="s">
        <v>34</v>
      </c>
      <c r="D259" s="21" t="s">
        <v>27</v>
      </c>
      <c r="E259" s="21">
        <v>675.0</v>
      </c>
      <c r="F259" s="21" t="s">
        <v>58</v>
      </c>
      <c r="G259" s="21">
        <v>15.0</v>
      </c>
      <c r="H259" s="21">
        <v>1.5</v>
      </c>
      <c r="I259" s="21">
        <v>260000.0</v>
      </c>
      <c r="J259" s="21">
        <v>1660000.0</v>
      </c>
      <c r="K259" s="22"/>
      <c r="L259" s="22"/>
      <c r="M259" s="22"/>
      <c r="N259" s="22"/>
      <c r="O259" s="22"/>
      <c r="P259" s="22"/>
      <c r="Q259" s="22"/>
      <c r="R259" s="22"/>
    </row>
    <row r="260">
      <c r="A260" s="20">
        <v>43130.60671071759</v>
      </c>
      <c r="B260" s="21" t="s">
        <v>261</v>
      </c>
      <c r="C260" s="21" t="s">
        <v>125</v>
      </c>
      <c r="D260" s="21" t="s">
        <v>31</v>
      </c>
      <c r="E260" s="21">
        <v>245.0</v>
      </c>
      <c r="F260" s="21" t="s">
        <v>236</v>
      </c>
      <c r="G260" s="21">
        <v>14.0</v>
      </c>
      <c r="H260" s="21">
        <v>2.5</v>
      </c>
      <c r="I260" s="21">
        <v>190.0</v>
      </c>
      <c r="J260" s="21">
        <v>15000.0</v>
      </c>
      <c r="K260" s="21">
        <v>36000.0</v>
      </c>
      <c r="L260" s="22"/>
      <c r="M260" s="22"/>
      <c r="N260" s="22"/>
      <c r="O260" s="22"/>
      <c r="P260" s="22"/>
      <c r="Q260" s="22"/>
      <c r="R260" s="22"/>
    </row>
    <row r="261">
      <c r="A261" s="20">
        <v>43130.873176284724</v>
      </c>
      <c r="B261" s="21" t="s">
        <v>80</v>
      </c>
      <c r="C261" s="21" t="s">
        <v>26</v>
      </c>
      <c r="D261" s="21" t="s">
        <v>31</v>
      </c>
      <c r="E261" s="21">
        <v>209.0</v>
      </c>
      <c r="F261" s="21" t="s">
        <v>63</v>
      </c>
      <c r="G261" s="21">
        <v>2.0</v>
      </c>
      <c r="H261" s="21">
        <v>1.5</v>
      </c>
      <c r="I261" s="21">
        <v>120000.0</v>
      </c>
      <c r="J261" s="21">
        <v>66000.0</v>
      </c>
      <c r="K261" s="21">
        <v>23000.0</v>
      </c>
      <c r="L261" s="22"/>
      <c r="M261" s="22"/>
      <c r="N261" s="22"/>
      <c r="O261" s="22"/>
      <c r="P261" s="22"/>
      <c r="Q261" s="22"/>
      <c r="R261" s="22"/>
    </row>
    <row r="262">
      <c r="A262" s="20">
        <v>43131.254048738425</v>
      </c>
      <c r="B262" s="21" t="s">
        <v>57</v>
      </c>
      <c r="C262" s="21" t="s">
        <v>262</v>
      </c>
      <c r="D262" s="21" t="s">
        <v>31</v>
      </c>
      <c r="E262" s="21">
        <v>240.0</v>
      </c>
      <c r="F262" s="21" t="s">
        <v>58</v>
      </c>
      <c r="G262" s="21">
        <v>8.0</v>
      </c>
      <c r="H262" s="21">
        <v>2.0</v>
      </c>
      <c r="I262" s="21">
        <v>180.0</v>
      </c>
      <c r="J262" s="21">
        <v>30.0</v>
      </c>
      <c r="K262" s="21">
        <v>300.0</v>
      </c>
      <c r="L262" s="22"/>
      <c r="M262" s="22"/>
      <c r="N262" s="22"/>
      <c r="O262" s="22"/>
      <c r="P262" s="22"/>
      <c r="Q262" s="22"/>
      <c r="R262" s="22"/>
    </row>
    <row r="263">
      <c r="A263" s="20">
        <v>43131.41398570602</v>
      </c>
      <c r="B263" s="21" t="s">
        <v>80</v>
      </c>
      <c r="C263" s="21" t="s">
        <v>26</v>
      </c>
      <c r="D263" s="21" t="s">
        <v>31</v>
      </c>
      <c r="E263" s="21">
        <v>271.0</v>
      </c>
      <c r="F263" s="21" t="s">
        <v>51</v>
      </c>
      <c r="G263" s="21">
        <v>0.0</v>
      </c>
      <c r="H263" s="21">
        <v>1.0</v>
      </c>
      <c r="I263" s="22"/>
      <c r="J263" s="22"/>
      <c r="K263" s="22"/>
      <c r="L263" s="22"/>
      <c r="M263" s="22"/>
      <c r="N263" s="22"/>
      <c r="O263" s="22"/>
      <c r="P263" s="22"/>
      <c r="Q263" s="22"/>
      <c r="R263" s="22"/>
    </row>
    <row r="264">
      <c r="A264" s="20">
        <v>43131.48161635417</v>
      </c>
      <c r="B264" s="21" t="s">
        <v>263</v>
      </c>
      <c r="C264" s="21" t="s">
        <v>37</v>
      </c>
      <c r="D264" s="21" t="s">
        <v>31</v>
      </c>
      <c r="E264" s="21">
        <v>324.0</v>
      </c>
      <c r="F264" s="21" t="s">
        <v>264</v>
      </c>
      <c r="G264" s="21">
        <v>10.0</v>
      </c>
      <c r="H264" s="21">
        <v>6.0</v>
      </c>
      <c r="I264" s="21">
        <v>170.0</v>
      </c>
      <c r="J264" s="21">
        <v>113.0</v>
      </c>
      <c r="K264" s="21">
        <v>17.0</v>
      </c>
      <c r="L264" s="22"/>
      <c r="M264" s="22"/>
      <c r="N264" s="22"/>
      <c r="O264" s="22"/>
      <c r="P264" s="22"/>
      <c r="Q264" s="22"/>
      <c r="R264" s="22"/>
    </row>
    <row r="265">
      <c r="A265" s="20">
        <v>43131.589555011575</v>
      </c>
      <c r="B265" s="21" t="s">
        <v>45</v>
      </c>
      <c r="C265" s="21" t="s">
        <v>102</v>
      </c>
      <c r="D265" s="21" t="s">
        <v>31</v>
      </c>
      <c r="E265" s="21">
        <v>215.0</v>
      </c>
      <c r="F265" s="21" t="s">
        <v>104</v>
      </c>
      <c r="G265" s="21">
        <v>5.0</v>
      </c>
      <c r="H265" s="21">
        <v>0.0</v>
      </c>
      <c r="I265" s="21">
        <v>150.0</v>
      </c>
      <c r="J265" s="21">
        <v>450000.0</v>
      </c>
      <c r="K265" s="21">
        <v>15.0</v>
      </c>
      <c r="L265" s="22"/>
      <c r="M265" s="22"/>
      <c r="N265" s="22"/>
      <c r="O265" s="22"/>
      <c r="P265" s="22"/>
      <c r="Q265" s="22"/>
      <c r="R265" s="22"/>
    </row>
    <row r="266">
      <c r="A266" s="20">
        <v>43131.69008195602</v>
      </c>
      <c r="B266" s="21" t="s">
        <v>139</v>
      </c>
      <c r="C266" s="21" t="s">
        <v>117</v>
      </c>
      <c r="D266" s="21" t="s">
        <v>31</v>
      </c>
      <c r="E266" s="21">
        <v>135.0</v>
      </c>
      <c r="F266" s="21" t="s">
        <v>47</v>
      </c>
      <c r="G266" s="21">
        <v>2.0</v>
      </c>
      <c r="H266" s="21">
        <v>0.0</v>
      </c>
      <c r="I266" s="21">
        <v>115000.0</v>
      </c>
      <c r="J266" s="21">
        <v>30000.0</v>
      </c>
      <c r="K266" s="21">
        <v>10000.0</v>
      </c>
      <c r="L266" s="22"/>
      <c r="M266" s="22"/>
      <c r="N266" s="22"/>
      <c r="O266" s="22"/>
      <c r="P266" s="22"/>
      <c r="Q266" s="22"/>
      <c r="R266" s="22"/>
    </row>
    <row r="267">
      <c r="A267" s="20">
        <v>43132.38299454861</v>
      </c>
      <c r="B267" s="21" t="s">
        <v>48</v>
      </c>
      <c r="C267" s="21" t="s">
        <v>166</v>
      </c>
      <c r="D267" s="21" t="s">
        <v>31</v>
      </c>
      <c r="E267" s="21">
        <v>380.0</v>
      </c>
      <c r="F267" s="21" t="s">
        <v>265</v>
      </c>
      <c r="G267" s="21">
        <v>5.0</v>
      </c>
      <c r="H267" s="21">
        <v>0.0</v>
      </c>
      <c r="I267" s="21">
        <v>180000.0</v>
      </c>
      <c r="J267" s="21">
        <v>150000.0</v>
      </c>
      <c r="K267" s="21">
        <v>25000.0</v>
      </c>
      <c r="L267" s="22"/>
      <c r="M267" s="22"/>
      <c r="N267" s="22"/>
      <c r="O267" s="22"/>
      <c r="P267" s="22"/>
      <c r="Q267" s="22"/>
      <c r="R267" s="22"/>
    </row>
    <row r="268">
      <c r="A268" s="20">
        <v>43132.48646476852</v>
      </c>
      <c r="B268" s="21" t="s">
        <v>33</v>
      </c>
      <c r="C268" s="21" t="s">
        <v>73</v>
      </c>
      <c r="D268" s="21" t="s">
        <v>31</v>
      </c>
      <c r="E268" s="21">
        <v>150.0</v>
      </c>
      <c r="F268" s="21" t="s">
        <v>63</v>
      </c>
      <c r="G268" s="21">
        <v>0.5</v>
      </c>
      <c r="H268" s="21">
        <v>0.5</v>
      </c>
      <c r="I268" s="21">
        <v>110000.0</v>
      </c>
      <c r="J268" s="21">
        <v>65000.0</v>
      </c>
      <c r="K268" s="21">
        <v>35000.0</v>
      </c>
      <c r="L268" s="21" t="s">
        <v>266</v>
      </c>
      <c r="M268" s="23"/>
      <c r="N268" s="23"/>
      <c r="O268" s="23"/>
      <c r="P268" s="23"/>
      <c r="Q268" s="23"/>
      <c r="R268" s="23"/>
    </row>
    <row r="269">
      <c r="A269" s="20">
        <v>43132.550154675926</v>
      </c>
      <c r="B269" s="21" t="s">
        <v>25</v>
      </c>
      <c r="C269" s="21" t="s">
        <v>184</v>
      </c>
      <c r="D269" s="21" t="s">
        <v>27</v>
      </c>
      <c r="E269" s="21">
        <v>150.0</v>
      </c>
      <c r="F269" s="21" t="s">
        <v>267</v>
      </c>
      <c r="G269" s="21">
        <v>3.0</v>
      </c>
      <c r="H269" s="21">
        <v>3.0</v>
      </c>
      <c r="I269" s="21">
        <v>107.0</v>
      </c>
      <c r="J269" s="21">
        <v>33.0</v>
      </c>
      <c r="K269" s="21">
        <v>10.0</v>
      </c>
      <c r="L269" s="22"/>
      <c r="M269" s="22"/>
      <c r="N269" s="22"/>
      <c r="O269" s="22"/>
      <c r="P269" s="22"/>
      <c r="Q269" s="22"/>
      <c r="R269" s="22"/>
    </row>
    <row r="270">
      <c r="A270" s="20">
        <v>43132.56703711806</v>
      </c>
      <c r="B270" s="21" t="s">
        <v>33</v>
      </c>
      <c r="C270" s="21" t="s">
        <v>62</v>
      </c>
      <c r="D270" s="21" t="s">
        <v>31</v>
      </c>
      <c r="E270" s="21">
        <v>350.0</v>
      </c>
      <c r="F270" s="21" t="s">
        <v>134</v>
      </c>
      <c r="G270" s="21">
        <v>20.0</v>
      </c>
      <c r="H270" s="21">
        <v>5.0</v>
      </c>
      <c r="I270" s="21">
        <v>185.0</v>
      </c>
      <c r="J270" s="21">
        <v>165.0</v>
      </c>
      <c r="K270" s="22"/>
      <c r="L270" s="22"/>
      <c r="M270" s="22"/>
      <c r="N270" s="22"/>
      <c r="O270" s="22"/>
      <c r="P270" s="22"/>
      <c r="Q270" s="22"/>
      <c r="R270" s="22"/>
    </row>
    <row r="271">
      <c r="A271" s="20">
        <v>43132.8846408449</v>
      </c>
      <c r="B271" s="21" t="s">
        <v>40</v>
      </c>
      <c r="C271" s="21">
        <v>64.0</v>
      </c>
      <c r="D271" s="21" t="s">
        <v>27</v>
      </c>
      <c r="E271" s="21">
        <v>202.0</v>
      </c>
      <c r="F271" s="21" t="s">
        <v>75</v>
      </c>
      <c r="G271" s="21">
        <v>8.0</v>
      </c>
      <c r="H271" s="21">
        <v>2.0</v>
      </c>
      <c r="I271" s="21">
        <v>149.0</v>
      </c>
      <c r="J271" s="21">
        <v>25.0</v>
      </c>
      <c r="K271" s="21">
        <v>28.0</v>
      </c>
      <c r="L271" s="22"/>
      <c r="M271" s="22"/>
      <c r="N271" s="22"/>
      <c r="O271" s="22"/>
      <c r="P271" s="22"/>
      <c r="Q271" s="22"/>
      <c r="R271" s="22"/>
    </row>
    <row r="272">
      <c r="A272" s="20">
        <v>43133.73334224537</v>
      </c>
      <c r="B272" s="21" t="s">
        <v>268</v>
      </c>
      <c r="C272" s="21" t="s">
        <v>171</v>
      </c>
      <c r="D272" s="21" t="s">
        <v>31</v>
      </c>
      <c r="E272" s="21">
        <v>138.0</v>
      </c>
      <c r="F272" s="21" t="s">
        <v>238</v>
      </c>
      <c r="G272" s="21">
        <v>4.0</v>
      </c>
      <c r="H272" s="21">
        <v>4.0</v>
      </c>
      <c r="I272" s="21">
        <v>130.0</v>
      </c>
      <c r="J272" s="22"/>
      <c r="K272" s="21">
        <v>8.0</v>
      </c>
      <c r="L272" s="22"/>
      <c r="M272" s="22"/>
      <c r="N272" s="22"/>
      <c r="O272" s="22"/>
      <c r="P272" s="22"/>
      <c r="Q272" s="22"/>
      <c r="R272" s="22"/>
    </row>
    <row r="273">
      <c r="A273" s="20">
        <v>43133.880478125</v>
      </c>
      <c r="B273" s="21" t="s">
        <v>80</v>
      </c>
      <c r="C273" s="21" t="s">
        <v>26</v>
      </c>
      <c r="D273" s="21" t="s">
        <v>31</v>
      </c>
      <c r="E273" s="21">
        <v>250.0</v>
      </c>
      <c r="F273" s="21" t="s">
        <v>51</v>
      </c>
      <c r="G273" s="21">
        <v>3.0</v>
      </c>
      <c r="H273" s="21">
        <v>3.0</v>
      </c>
      <c r="I273" s="21">
        <v>130000.0</v>
      </c>
      <c r="J273" s="21">
        <v>200000.0</v>
      </c>
      <c r="K273" s="21">
        <v>50000.0</v>
      </c>
      <c r="L273" s="21" t="s">
        <v>269</v>
      </c>
      <c r="M273" s="23"/>
      <c r="N273" s="23"/>
      <c r="O273" s="23"/>
      <c r="P273" s="23"/>
      <c r="Q273" s="23"/>
      <c r="R273" s="23"/>
    </row>
    <row r="274">
      <c r="A274" s="20">
        <v>43134.348510185184</v>
      </c>
      <c r="B274" s="21" t="s">
        <v>270</v>
      </c>
      <c r="C274" s="21" t="s">
        <v>271</v>
      </c>
      <c r="D274" s="21" t="s">
        <v>31</v>
      </c>
      <c r="E274" s="21">
        <v>310.0</v>
      </c>
      <c r="F274" s="21" t="s">
        <v>272</v>
      </c>
      <c r="G274" s="21">
        <v>5.0</v>
      </c>
      <c r="H274" s="21">
        <v>0.1</v>
      </c>
      <c r="I274" s="21">
        <v>210000.0</v>
      </c>
      <c r="J274" s="21">
        <v>92.0</v>
      </c>
      <c r="K274" s="21">
        <v>31000.0</v>
      </c>
      <c r="L274" s="22"/>
      <c r="M274" s="22"/>
      <c r="N274" s="22"/>
      <c r="O274" s="22"/>
      <c r="P274" s="22"/>
      <c r="Q274" s="22"/>
      <c r="R274" s="22"/>
    </row>
    <row r="275">
      <c r="A275" s="20">
        <v>43134.65426523148</v>
      </c>
      <c r="B275" s="21" t="s">
        <v>80</v>
      </c>
      <c r="C275" s="21" t="s">
        <v>73</v>
      </c>
      <c r="D275" s="21" t="s">
        <v>31</v>
      </c>
      <c r="E275" s="21">
        <v>320.0</v>
      </c>
      <c r="F275" s="21" t="s">
        <v>273</v>
      </c>
      <c r="G275" s="21">
        <v>3.0</v>
      </c>
      <c r="H275" s="21">
        <v>3.0</v>
      </c>
      <c r="I275" s="21">
        <v>150.0</v>
      </c>
      <c r="J275" s="21">
        <v>140.0</v>
      </c>
      <c r="K275" s="21">
        <v>30.0</v>
      </c>
      <c r="L275" s="22"/>
      <c r="M275" s="22"/>
      <c r="N275" s="22"/>
      <c r="O275" s="22"/>
      <c r="P275" s="22"/>
      <c r="Q275" s="22"/>
      <c r="R275" s="22"/>
    </row>
    <row r="276">
      <c r="A276" s="20">
        <v>43134.920467233795</v>
      </c>
      <c r="B276" s="21" t="s">
        <v>33</v>
      </c>
      <c r="C276" s="21" t="s">
        <v>62</v>
      </c>
      <c r="D276" s="21" t="s">
        <v>27</v>
      </c>
      <c r="E276" s="21">
        <v>190.0</v>
      </c>
      <c r="F276" s="21" t="s">
        <v>63</v>
      </c>
      <c r="G276" s="21">
        <v>10.0</v>
      </c>
      <c r="H276" s="21">
        <v>1.0</v>
      </c>
      <c r="I276" s="21">
        <v>143000.0</v>
      </c>
      <c r="J276" s="21">
        <v>160000.0</v>
      </c>
      <c r="K276" s="21">
        <v>70.0</v>
      </c>
      <c r="L276" s="22"/>
      <c r="M276" s="22"/>
      <c r="N276" s="22"/>
      <c r="O276" s="22"/>
      <c r="P276" s="22"/>
      <c r="Q276" s="22"/>
      <c r="R276" s="22"/>
    </row>
    <row r="277">
      <c r="A277" s="20">
        <v>43135.50359659722</v>
      </c>
      <c r="B277" s="21" t="s">
        <v>40</v>
      </c>
      <c r="C277" s="21">
        <v>65.0</v>
      </c>
      <c r="D277" s="21" t="s">
        <v>31</v>
      </c>
      <c r="E277" s="21">
        <v>350.0</v>
      </c>
      <c r="F277" s="21" t="s">
        <v>247</v>
      </c>
      <c r="G277" s="21">
        <v>12.0</v>
      </c>
      <c r="H277" s="21">
        <v>2.0</v>
      </c>
      <c r="I277" s="21">
        <v>200.0</v>
      </c>
      <c r="J277" s="21">
        <v>75.0</v>
      </c>
      <c r="K277" s="21">
        <v>110.0</v>
      </c>
      <c r="L277" s="22"/>
      <c r="M277" s="22"/>
      <c r="N277" s="22"/>
      <c r="O277" s="22"/>
      <c r="P277" s="22"/>
      <c r="Q277" s="22"/>
      <c r="R277" s="22"/>
    </row>
    <row r="278">
      <c r="A278" s="20">
        <v>43135.545533530094</v>
      </c>
      <c r="B278" s="21" t="s">
        <v>80</v>
      </c>
      <c r="C278" s="21" t="s">
        <v>179</v>
      </c>
      <c r="D278" s="21" t="s">
        <v>31</v>
      </c>
      <c r="E278" s="21">
        <v>210.0</v>
      </c>
      <c r="F278" s="21" t="s">
        <v>274</v>
      </c>
      <c r="G278" s="21">
        <v>2.0</v>
      </c>
      <c r="H278" s="21">
        <v>0.0</v>
      </c>
      <c r="I278" s="21">
        <v>130000.0</v>
      </c>
      <c r="J278" s="21">
        <v>240000.0</v>
      </c>
      <c r="K278" s="21">
        <v>19500.0</v>
      </c>
      <c r="L278" s="22"/>
      <c r="M278" s="22"/>
      <c r="N278" s="22"/>
      <c r="O278" s="22"/>
      <c r="P278" s="22"/>
      <c r="Q278" s="22"/>
      <c r="R278" s="22"/>
    </row>
    <row r="279">
      <c r="A279" s="20">
        <v>43135.65700331019</v>
      </c>
      <c r="B279" s="21" t="s">
        <v>33</v>
      </c>
      <c r="C279" s="21" t="s">
        <v>275</v>
      </c>
      <c r="D279" s="21" t="s">
        <v>31</v>
      </c>
      <c r="E279" s="21">
        <v>158.0</v>
      </c>
      <c r="F279" s="21" t="s">
        <v>63</v>
      </c>
      <c r="G279" s="21">
        <v>0.0</v>
      </c>
      <c r="H279" s="21">
        <v>0.0</v>
      </c>
      <c r="I279" s="21">
        <v>106000.0</v>
      </c>
      <c r="J279" s="21">
        <v>16250.0</v>
      </c>
      <c r="K279" s="21">
        <v>35500.0</v>
      </c>
      <c r="L279" s="22"/>
      <c r="M279" s="22"/>
      <c r="N279" s="22"/>
      <c r="O279" s="22"/>
      <c r="P279" s="22"/>
      <c r="Q279" s="22"/>
      <c r="R279" s="22"/>
    </row>
    <row r="280">
      <c r="A280" s="20">
        <v>43135.66181576389</v>
      </c>
      <c r="B280" s="21" t="s">
        <v>40</v>
      </c>
      <c r="C280" s="21">
        <v>64.0</v>
      </c>
      <c r="D280" s="21" t="s">
        <v>31</v>
      </c>
      <c r="E280" s="21">
        <v>194.0</v>
      </c>
      <c r="F280" s="21" t="s">
        <v>276</v>
      </c>
      <c r="G280" s="21">
        <v>11.0</v>
      </c>
      <c r="H280" s="21">
        <v>7.0</v>
      </c>
      <c r="I280" s="21">
        <v>157000.0</v>
      </c>
      <c r="J280" s="21">
        <v>24000.0</v>
      </c>
      <c r="K280" s="21">
        <v>24000.0</v>
      </c>
      <c r="L280" s="22"/>
      <c r="M280" s="22"/>
      <c r="N280" s="22"/>
      <c r="O280" s="22"/>
      <c r="P280" s="22"/>
      <c r="Q280" s="22"/>
      <c r="R280" s="22"/>
    </row>
    <row r="281">
      <c r="A281" s="20">
        <v>43136.54883083333</v>
      </c>
      <c r="B281" s="21" t="s">
        <v>36</v>
      </c>
      <c r="C281" s="21" t="s">
        <v>26</v>
      </c>
      <c r="D281" s="21" t="s">
        <v>27</v>
      </c>
      <c r="E281" s="21">
        <v>160.0</v>
      </c>
      <c r="F281" s="21" t="s">
        <v>58</v>
      </c>
      <c r="G281" s="21">
        <v>3.0</v>
      </c>
      <c r="H281" s="21">
        <v>1.5</v>
      </c>
      <c r="I281" s="21">
        <v>105000.0</v>
      </c>
      <c r="J281" s="21">
        <v>25000.0</v>
      </c>
      <c r="K281" s="21">
        <v>30000.0</v>
      </c>
      <c r="L281" s="21" t="s">
        <v>277</v>
      </c>
      <c r="M281" s="23"/>
      <c r="N281" s="23"/>
      <c r="O281" s="23"/>
      <c r="P281" s="23"/>
      <c r="Q281" s="23"/>
      <c r="R281" s="23"/>
    </row>
    <row r="282">
      <c r="A282" s="20">
        <v>43136.79496046296</v>
      </c>
      <c r="B282" s="21" t="s">
        <v>270</v>
      </c>
      <c r="C282" s="21">
        <v>5.0</v>
      </c>
      <c r="D282" s="21" t="s">
        <v>31</v>
      </c>
      <c r="E282" s="21">
        <v>475.0</v>
      </c>
      <c r="F282" s="21" t="s">
        <v>72</v>
      </c>
      <c r="G282" s="21">
        <v>10.0</v>
      </c>
      <c r="H282" s="21">
        <v>5.0</v>
      </c>
      <c r="I282" s="21">
        <v>190000.0</v>
      </c>
      <c r="J282" s="22"/>
      <c r="K282" s="22"/>
      <c r="L282" s="22"/>
      <c r="M282" s="22"/>
      <c r="N282" s="22"/>
      <c r="O282" s="22"/>
      <c r="P282" s="22"/>
      <c r="Q282" s="22"/>
      <c r="R282" s="22"/>
    </row>
    <row r="283">
      <c r="A283" s="20">
        <v>43137.610902789354</v>
      </c>
      <c r="B283" s="21" t="s">
        <v>33</v>
      </c>
      <c r="C283" s="21" t="s">
        <v>73</v>
      </c>
      <c r="D283" s="21" t="s">
        <v>31</v>
      </c>
      <c r="E283" s="21">
        <v>130.0</v>
      </c>
      <c r="F283" s="21" t="s">
        <v>35</v>
      </c>
      <c r="G283" s="21">
        <v>3.0</v>
      </c>
      <c r="H283" s="21">
        <v>2.0</v>
      </c>
      <c r="I283" s="21">
        <v>107.0</v>
      </c>
      <c r="J283" s="21">
        <v>88400.0</v>
      </c>
      <c r="K283" s="22"/>
      <c r="L283" s="22"/>
      <c r="M283" s="22"/>
      <c r="N283" s="22"/>
      <c r="O283" s="22"/>
      <c r="P283" s="22"/>
      <c r="Q283" s="22"/>
      <c r="R283" s="22"/>
    </row>
    <row r="284">
      <c r="A284" s="20">
        <v>43137.70893005787</v>
      </c>
      <c r="B284" s="21" t="s">
        <v>204</v>
      </c>
      <c r="C284" s="21" t="s">
        <v>43</v>
      </c>
      <c r="D284" s="21" t="s">
        <v>31</v>
      </c>
      <c r="E284" s="21">
        <v>412.0</v>
      </c>
      <c r="F284" s="21" t="s">
        <v>58</v>
      </c>
      <c r="G284" s="21">
        <v>10.0</v>
      </c>
      <c r="H284" s="21">
        <v>0.0</v>
      </c>
      <c r="I284" s="21">
        <v>215000.0</v>
      </c>
      <c r="J284" s="21">
        <v>630000.0</v>
      </c>
      <c r="K284" s="22"/>
      <c r="L284" s="21" t="s">
        <v>278</v>
      </c>
      <c r="M284" s="23"/>
      <c r="N284" s="23"/>
      <c r="O284" s="23"/>
      <c r="P284" s="23"/>
      <c r="Q284" s="23"/>
      <c r="R284" s="23"/>
    </row>
    <row r="285">
      <c r="A285" s="20">
        <v>43137.77547729167</v>
      </c>
      <c r="B285" s="21" t="s">
        <v>33</v>
      </c>
      <c r="C285" s="21" t="s">
        <v>76</v>
      </c>
      <c r="D285" s="21" t="s">
        <v>31</v>
      </c>
      <c r="E285" s="21">
        <v>230.0</v>
      </c>
      <c r="F285" s="21" t="s">
        <v>35</v>
      </c>
      <c r="G285" s="21">
        <v>4.0</v>
      </c>
      <c r="H285" s="21">
        <v>4.0</v>
      </c>
      <c r="I285" s="21">
        <v>131.0</v>
      </c>
      <c r="J285" s="21">
        <v>100.0</v>
      </c>
      <c r="K285" s="22"/>
      <c r="L285" s="22"/>
      <c r="M285" s="22"/>
      <c r="N285" s="22"/>
      <c r="O285" s="22"/>
      <c r="P285" s="22"/>
      <c r="Q285" s="22"/>
      <c r="R285" s="22"/>
    </row>
    <row r="286">
      <c r="A286" s="20">
        <v>43137.82100236111</v>
      </c>
      <c r="B286" s="21" t="s">
        <v>33</v>
      </c>
      <c r="C286" s="21" t="s">
        <v>62</v>
      </c>
      <c r="D286" s="21" t="s">
        <v>27</v>
      </c>
      <c r="E286" s="21">
        <v>245.0</v>
      </c>
      <c r="F286" s="21" t="s">
        <v>35</v>
      </c>
      <c r="G286" s="21">
        <v>8.0</v>
      </c>
      <c r="H286" s="21">
        <v>1.5</v>
      </c>
      <c r="I286" s="21">
        <v>140.0</v>
      </c>
      <c r="J286" s="21">
        <v>88.0</v>
      </c>
      <c r="K286" s="21">
        <v>17.0</v>
      </c>
      <c r="L286" s="22"/>
      <c r="M286" s="22"/>
      <c r="N286" s="22"/>
      <c r="O286" s="22"/>
      <c r="P286" s="22"/>
      <c r="Q286" s="22"/>
      <c r="R286" s="22"/>
    </row>
    <row r="287">
      <c r="A287" s="20">
        <v>43137.950805127315</v>
      </c>
      <c r="B287" s="21" t="s">
        <v>279</v>
      </c>
      <c r="C287" s="21" t="s">
        <v>280</v>
      </c>
      <c r="D287" s="21" t="s">
        <v>31</v>
      </c>
      <c r="E287" s="21">
        <v>127.0</v>
      </c>
      <c r="F287" s="21" t="s">
        <v>32</v>
      </c>
      <c r="G287" s="21">
        <v>0.0</v>
      </c>
      <c r="H287" s="21">
        <v>0.0</v>
      </c>
      <c r="I287" s="21">
        <v>127.0</v>
      </c>
      <c r="J287" s="22"/>
      <c r="K287" s="22"/>
      <c r="L287" s="21" t="s">
        <v>281</v>
      </c>
      <c r="M287" s="23"/>
      <c r="N287" s="23"/>
      <c r="O287" s="23"/>
      <c r="P287" s="23"/>
      <c r="Q287" s="23"/>
      <c r="R287" s="23"/>
    </row>
    <row r="288">
      <c r="A288" s="20">
        <v>43138.32600313658</v>
      </c>
      <c r="B288" s="21" t="s">
        <v>282</v>
      </c>
      <c r="C288" s="21" t="s">
        <v>283</v>
      </c>
      <c r="D288" s="21" t="s">
        <v>31</v>
      </c>
      <c r="E288" s="21">
        <v>320.0</v>
      </c>
      <c r="F288" s="21" t="s">
        <v>272</v>
      </c>
      <c r="G288" s="21">
        <v>13.0</v>
      </c>
      <c r="H288" s="21">
        <v>1.0</v>
      </c>
      <c r="I288" s="21">
        <v>190.0</v>
      </c>
      <c r="J288" s="21">
        <v>90000.0</v>
      </c>
      <c r="K288" s="21">
        <v>28000.0</v>
      </c>
      <c r="L288" s="22"/>
      <c r="M288" s="22"/>
      <c r="N288" s="22"/>
      <c r="O288" s="22"/>
      <c r="P288" s="22"/>
      <c r="Q288" s="22"/>
      <c r="R288" s="22"/>
    </row>
    <row r="289">
      <c r="A289" s="20">
        <v>43138.64764252315</v>
      </c>
      <c r="B289" s="21" t="s">
        <v>252</v>
      </c>
      <c r="C289" s="21" t="s">
        <v>284</v>
      </c>
      <c r="D289" s="21" t="s">
        <v>31</v>
      </c>
      <c r="E289" s="21">
        <v>386.0</v>
      </c>
      <c r="F289" s="21" t="s">
        <v>175</v>
      </c>
      <c r="G289" s="21">
        <v>15.0</v>
      </c>
      <c r="H289" s="21">
        <v>6.0</v>
      </c>
      <c r="I289" s="21">
        <v>210.0</v>
      </c>
      <c r="J289" s="21">
        <v>100.0</v>
      </c>
      <c r="K289" s="21">
        <v>50.0</v>
      </c>
      <c r="L289" s="22"/>
      <c r="M289" s="22"/>
      <c r="N289" s="22"/>
      <c r="O289" s="22"/>
      <c r="P289" s="22"/>
      <c r="Q289" s="22"/>
      <c r="R289" s="22"/>
    </row>
    <row r="290">
      <c r="A290" s="20">
        <v>43138.74034704861</v>
      </c>
      <c r="B290" s="21" t="s">
        <v>33</v>
      </c>
      <c r="C290" s="21" t="s">
        <v>43</v>
      </c>
      <c r="D290" s="21" t="s">
        <v>31</v>
      </c>
      <c r="E290" s="21">
        <v>175.0</v>
      </c>
      <c r="F290" s="21" t="s">
        <v>35</v>
      </c>
      <c r="G290" s="21">
        <v>3.0</v>
      </c>
      <c r="H290" s="21">
        <v>3.0</v>
      </c>
      <c r="I290" s="21">
        <v>133.0</v>
      </c>
      <c r="J290" s="21">
        <v>50000.0</v>
      </c>
      <c r="K290" s="22"/>
      <c r="L290" s="21" t="s">
        <v>285</v>
      </c>
      <c r="M290" s="23"/>
      <c r="N290" s="23"/>
      <c r="O290" s="23"/>
      <c r="P290" s="23"/>
      <c r="Q290" s="23"/>
      <c r="R290" s="23"/>
    </row>
    <row r="291">
      <c r="A291" s="20">
        <v>43138.90154799768</v>
      </c>
      <c r="B291" s="21" t="s">
        <v>286</v>
      </c>
      <c r="C291" s="21" t="s">
        <v>287</v>
      </c>
      <c r="D291" s="21" t="s">
        <v>31</v>
      </c>
      <c r="E291" s="21">
        <v>184.0</v>
      </c>
      <c r="F291" s="21" t="s">
        <v>272</v>
      </c>
      <c r="G291" s="21">
        <v>12.0</v>
      </c>
      <c r="H291" s="21">
        <v>2.0</v>
      </c>
      <c r="I291" s="21">
        <v>163.0</v>
      </c>
      <c r="J291" s="22"/>
      <c r="K291" s="21">
        <v>21000.0</v>
      </c>
      <c r="L291" s="21" t="s">
        <v>288</v>
      </c>
      <c r="M291" s="23"/>
      <c r="N291" s="23"/>
      <c r="O291" s="23"/>
      <c r="P291" s="23"/>
      <c r="Q291" s="23"/>
      <c r="R291" s="23"/>
    </row>
    <row r="292">
      <c r="A292" s="20">
        <v>43139.323853298614</v>
      </c>
      <c r="B292" s="21" t="s">
        <v>80</v>
      </c>
      <c r="C292" s="21" t="s">
        <v>43</v>
      </c>
      <c r="D292" s="21" t="s">
        <v>27</v>
      </c>
      <c r="E292" s="21">
        <v>350.0</v>
      </c>
      <c r="F292" s="21" t="s">
        <v>32</v>
      </c>
      <c r="G292" s="21">
        <v>5.0</v>
      </c>
      <c r="H292" s="21">
        <v>2.0</v>
      </c>
      <c r="I292" s="21">
        <v>177.0</v>
      </c>
      <c r="J292" s="21">
        <v>110.0</v>
      </c>
      <c r="K292" s="21">
        <v>26.0</v>
      </c>
      <c r="L292" s="22"/>
      <c r="M292" s="22"/>
      <c r="N292" s="22"/>
      <c r="O292" s="22"/>
      <c r="P292" s="22"/>
      <c r="Q292" s="22"/>
      <c r="R292" s="22"/>
    </row>
    <row r="293">
      <c r="A293" s="20">
        <v>43139.4307083912</v>
      </c>
      <c r="B293" s="21" t="s">
        <v>95</v>
      </c>
      <c r="C293" s="21" t="s">
        <v>37</v>
      </c>
      <c r="D293" s="21" t="s">
        <v>31</v>
      </c>
      <c r="E293" s="21">
        <v>567.0</v>
      </c>
      <c r="F293" s="21" t="s">
        <v>97</v>
      </c>
      <c r="G293" s="21">
        <v>5.5</v>
      </c>
      <c r="H293" s="21">
        <v>3.5</v>
      </c>
      <c r="I293" s="21">
        <v>540.0</v>
      </c>
      <c r="J293" s="21">
        <v>27.0</v>
      </c>
      <c r="K293" s="22"/>
      <c r="L293" s="21" t="s">
        <v>289</v>
      </c>
      <c r="M293" s="23"/>
      <c r="N293" s="23"/>
      <c r="O293" s="23"/>
      <c r="P293" s="23"/>
      <c r="Q293" s="23"/>
      <c r="R293" s="23"/>
    </row>
    <row r="294">
      <c r="A294" s="20">
        <v>43139.65272438657</v>
      </c>
      <c r="B294" s="21" t="s">
        <v>40</v>
      </c>
      <c r="C294" s="21">
        <v>59.0</v>
      </c>
      <c r="D294" s="21" t="s">
        <v>31</v>
      </c>
      <c r="E294" s="21">
        <v>163.0</v>
      </c>
      <c r="F294" s="21" t="s">
        <v>52</v>
      </c>
      <c r="G294" s="21">
        <v>0.0</v>
      </c>
      <c r="H294" s="21">
        <v>0.0</v>
      </c>
      <c r="I294" s="21">
        <v>108.0</v>
      </c>
      <c r="J294" s="21">
        <v>30.0</v>
      </c>
      <c r="K294" s="21">
        <v>25.0</v>
      </c>
      <c r="L294" s="22"/>
      <c r="M294" s="22"/>
      <c r="N294" s="22"/>
      <c r="O294" s="22"/>
      <c r="P294" s="22"/>
      <c r="Q294" s="22"/>
      <c r="R294" s="22"/>
    </row>
    <row r="295">
      <c r="A295" s="20">
        <v>43140.0369283912</v>
      </c>
      <c r="B295" s="21" t="s">
        <v>25</v>
      </c>
      <c r="C295" s="21" t="s">
        <v>290</v>
      </c>
      <c r="D295" s="21" t="s">
        <v>31</v>
      </c>
      <c r="E295" s="21">
        <v>320.0</v>
      </c>
      <c r="F295" s="21" t="s">
        <v>35</v>
      </c>
      <c r="G295" s="21">
        <v>10.0</v>
      </c>
      <c r="H295" s="21">
        <v>2.0</v>
      </c>
      <c r="I295" s="22"/>
      <c r="J295" s="22"/>
      <c r="K295" s="22"/>
      <c r="L295" s="22"/>
      <c r="M295" s="22"/>
      <c r="N295" s="22"/>
      <c r="O295" s="22"/>
      <c r="P295" s="22"/>
      <c r="Q295" s="22"/>
      <c r="R295" s="22"/>
    </row>
    <row r="296">
      <c r="A296" s="20">
        <v>43140.629392013885</v>
      </c>
      <c r="B296" s="21" t="s">
        <v>291</v>
      </c>
      <c r="C296" s="21" t="s">
        <v>143</v>
      </c>
      <c r="D296" s="21" t="s">
        <v>27</v>
      </c>
      <c r="E296" s="21">
        <v>460.0</v>
      </c>
      <c r="F296" s="21" t="s">
        <v>58</v>
      </c>
      <c r="G296" s="21">
        <v>8.0</v>
      </c>
      <c r="H296" s="21">
        <v>3.5</v>
      </c>
      <c r="I296" s="22"/>
      <c r="J296" s="22"/>
      <c r="K296" s="22"/>
      <c r="L296" s="22"/>
      <c r="M296" s="22"/>
      <c r="N296" s="22"/>
      <c r="O296" s="22"/>
      <c r="P296" s="22"/>
      <c r="Q296" s="22"/>
      <c r="R296" s="22"/>
    </row>
    <row r="297">
      <c r="A297" s="20">
        <v>43140.67123866898</v>
      </c>
      <c r="B297" s="21" t="s">
        <v>45</v>
      </c>
      <c r="C297" s="21" t="s">
        <v>98</v>
      </c>
      <c r="D297" s="21" t="s">
        <v>31</v>
      </c>
      <c r="E297" s="21">
        <v>167.5</v>
      </c>
      <c r="F297" s="21" t="s">
        <v>292</v>
      </c>
      <c r="G297" s="21">
        <v>0.0</v>
      </c>
      <c r="H297" s="21">
        <v>0.0</v>
      </c>
      <c r="I297" s="21">
        <v>120000.0</v>
      </c>
      <c r="J297" s="21">
        <v>90000.0</v>
      </c>
      <c r="K297" s="21">
        <v>25000.0</v>
      </c>
      <c r="L297" s="22"/>
      <c r="M297" s="22"/>
      <c r="N297" s="22"/>
      <c r="O297" s="22"/>
      <c r="P297" s="22"/>
      <c r="Q297" s="22"/>
      <c r="R297" s="22"/>
    </row>
    <row r="298">
      <c r="A298" s="20">
        <v>43141.248037847225</v>
      </c>
      <c r="B298" s="21" t="s">
        <v>293</v>
      </c>
      <c r="C298" s="21" t="s">
        <v>294</v>
      </c>
      <c r="D298" s="21" t="s">
        <v>31</v>
      </c>
      <c r="E298" s="21">
        <v>4200.0</v>
      </c>
      <c r="F298" s="21" t="s">
        <v>247</v>
      </c>
      <c r="G298" s="21">
        <v>8.0</v>
      </c>
      <c r="H298" s="21">
        <v>5.0</v>
      </c>
      <c r="I298" s="21">
        <v>150.0</v>
      </c>
      <c r="J298" s="22"/>
      <c r="K298" s="21">
        <v>4050.0</v>
      </c>
      <c r="L298" s="21" t="s">
        <v>295</v>
      </c>
      <c r="M298" s="23"/>
      <c r="N298" s="23"/>
      <c r="O298" s="23"/>
      <c r="P298" s="23"/>
      <c r="Q298" s="23"/>
      <c r="R298" s="23"/>
    </row>
    <row r="299">
      <c r="A299" s="20">
        <v>43141.55819885417</v>
      </c>
      <c r="B299" s="21" t="s">
        <v>45</v>
      </c>
      <c r="C299" s="21" t="s">
        <v>149</v>
      </c>
      <c r="D299" s="21" t="s">
        <v>31</v>
      </c>
      <c r="E299" s="21">
        <v>560.0</v>
      </c>
      <c r="F299" s="21" t="s">
        <v>47</v>
      </c>
      <c r="G299" s="21">
        <v>10.0</v>
      </c>
      <c r="H299" s="21">
        <v>5.0</v>
      </c>
      <c r="I299" s="22"/>
      <c r="J299" s="22"/>
      <c r="K299" s="22"/>
      <c r="L299" s="22"/>
      <c r="M299" s="22"/>
      <c r="N299" s="22"/>
      <c r="O299" s="22"/>
      <c r="P299" s="22"/>
      <c r="Q299" s="22"/>
      <c r="R299" s="22"/>
    </row>
    <row r="300">
      <c r="A300" s="20">
        <v>43141.711631921295</v>
      </c>
      <c r="B300" s="21" t="s">
        <v>40</v>
      </c>
      <c r="C300" s="21">
        <v>62.0</v>
      </c>
      <c r="D300" s="21" t="s">
        <v>31</v>
      </c>
      <c r="E300" s="21">
        <v>160.0</v>
      </c>
      <c r="F300" s="21" t="s">
        <v>296</v>
      </c>
      <c r="G300" s="21">
        <v>6.5</v>
      </c>
      <c r="H300" s="21">
        <v>2.0</v>
      </c>
      <c r="I300" s="21">
        <v>140.0</v>
      </c>
      <c r="J300" s="21">
        <v>10.0</v>
      </c>
      <c r="K300" s="21">
        <v>10.0</v>
      </c>
      <c r="L300" s="22"/>
      <c r="M300" s="22"/>
      <c r="N300" s="22"/>
      <c r="O300" s="22"/>
      <c r="P300" s="22"/>
      <c r="Q300" s="22"/>
      <c r="R300" s="22"/>
    </row>
    <row r="301">
      <c r="A301" s="20">
        <v>43141.72325833333</v>
      </c>
      <c r="B301" s="21" t="s">
        <v>36</v>
      </c>
      <c r="C301" s="21" t="s">
        <v>37</v>
      </c>
      <c r="D301" s="21" t="s">
        <v>31</v>
      </c>
      <c r="E301" s="21">
        <v>150.0</v>
      </c>
      <c r="F301" s="21" t="s">
        <v>297</v>
      </c>
      <c r="G301" s="21">
        <v>4.0</v>
      </c>
      <c r="H301" s="21">
        <v>1.0</v>
      </c>
      <c r="I301" s="21">
        <v>144000.0</v>
      </c>
      <c r="J301" s="21">
        <v>600000.0</v>
      </c>
      <c r="K301" s="21">
        <v>15000.0</v>
      </c>
      <c r="L301" s="22"/>
      <c r="M301" s="22"/>
      <c r="N301" s="22"/>
      <c r="O301" s="22"/>
      <c r="P301" s="22"/>
      <c r="Q301" s="22"/>
      <c r="R301" s="22"/>
    </row>
    <row r="302">
      <c r="A302" s="20">
        <v>43141.92841709491</v>
      </c>
      <c r="B302" s="21" t="s">
        <v>298</v>
      </c>
      <c r="C302" s="21" t="s">
        <v>93</v>
      </c>
      <c r="D302" s="21" t="s">
        <v>31</v>
      </c>
      <c r="E302" s="21">
        <v>592.0</v>
      </c>
      <c r="F302" s="21" t="s">
        <v>199</v>
      </c>
      <c r="G302" s="21">
        <v>13.0</v>
      </c>
      <c r="H302" s="21">
        <v>3.0</v>
      </c>
      <c r="I302" s="21">
        <v>162000.0</v>
      </c>
      <c r="J302" s="21">
        <v>270000.0</v>
      </c>
      <c r="K302" s="21">
        <v>160000.0</v>
      </c>
      <c r="L302" s="22"/>
      <c r="M302" s="22"/>
      <c r="N302" s="22"/>
      <c r="O302" s="22"/>
      <c r="P302" s="22"/>
      <c r="Q302" s="22"/>
      <c r="R302" s="22"/>
    </row>
    <row r="303">
      <c r="A303" s="20">
        <v>43141.93495138889</v>
      </c>
      <c r="B303" s="21" t="s">
        <v>80</v>
      </c>
      <c r="C303" s="21" t="s">
        <v>93</v>
      </c>
      <c r="D303" s="21" t="s">
        <v>31</v>
      </c>
      <c r="E303" s="21">
        <v>545.0</v>
      </c>
      <c r="F303" s="21" t="s">
        <v>47</v>
      </c>
      <c r="G303" s="21">
        <v>15.0</v>
      </c>
      <c r="H303" s="21">
        <v>5.0</v>
      </c>
      <c r="I303" s="21">
        <v>170000.0</v>
      </c>
      <c r="J303" s="21">
        <v>200000.0</v>
      </c>
      <c r="K303" s="21">
        <v>75000.0</v>
      </c>
      <c r="L303" s="21" t="s">
        <v>299</v>
      </c>
      <c r="M303" s="23"/>
      <c r="N303" s="23"/>
      <c r="O303" s="23"/>
      <c r="P303" s="23"/>
      <c r="Q303" s="23"/>
      <c r="R303" s="23"/>
    </row>
    <row r="304">
      <c r="A304" s="20">
        <v>43141.95754480324</v>
      </c>
      <c r="B304" s="21" t="s">
        <v>263</v>
      </c>
      <c r="C304" s="21" t="s">
        <v>300</v>
      </c>
      <c r="D304" s="21" t="s">
        <v>31</v>
      </c>
      <c r="E304" s="21">
        <v>213.0</v>
      </c>
      <c r="F304" s="21" t="s">
        <v>175</v>
      </c>
      <c r="G304" s="21">
        <v>0.0</v>
      </c>
      <c r="H304" s="21">
        <v>0.0</v>
      </c>
      <c r="I304" s="22"/>
      <c r="J304" s="22"/>
      <c r="K304" s="22"/>
      <c r="L304" s="22"/>
      <c r="M304" s="22"/>
      <c r="N304" s="22"/>
      <c r="O304" s="22"/>
      <c r="P304" s="22"/>
      <c r="Q304" s="22"/>
      <c r="R304" s="22"/>
    </row>
    <row r="305">
      <c r="A305" s="20">
        <v>43141.96516229167</v>
      </c>
      <c r="B305" s="21" t="s">
        <v>29</v>
      </c>
      <c r="C305" s="21" t="s">
        <v>65</v>
      </c>
      <c r="D305" s="21" t="s">
        <v>31</v>
      </c>
      <c r="E305" s="21">
        <v>220.0</v>
      </c>
      <c r="F305" s="21" t="s">
        <v>301</v>
      </c>
      <c r="G305" s="21">
        <v>8.0</v>
      </c>
      <c r="H305" s="21">
        <v>5.0</v>
      </c>
      <c r="I305" s="21">
        <v>160.0</v>
      </c>
      <c r="J305" s="21">
        <v>40.0</v>
      </c>
      <c r="K305" s="21">
        <v>20.0</v>
      </c>
      <c r="L305" s="22"/>
      <c r="M305" s="22"/>
      <c r="N305" s="22"/>
      <c r="O305" s="22"/>
      <c r="P305" s="22"/>
      <c r="Q305" s="22"/>
      <c r="R305" s="22"/>
    </row>
    <row r="306">
      <c r="A306" s="20">
        <v>43143.84374115741</v>
      </c>
      <c r="B306" s="21" t="s">
        <v>40</v>
      </c>
      <c r="C306" s="21">
        <v>64.0</v>
      </c>
      <c r="D306" s="21" t="s">
        <v>31</v>
      </c>
      <c r="E306" s="21">
        <v>295.0</v>
      </c>
      <c r="F306" s="21" t="s">
        <v>302</v>
      </c>
      <c r="G306" s="21">
        <v>8.0</v>
      </c>
      <c r="H306" s="21">
        <v>8.0</v>
      </c>
      <c r="I306" s="21">
        <v>175.0</v>
      </c>
      <c r="J306" s="21">
        <v>33.0</v>
      </c>
      <c r="K306" s="21">
        <v>63.0</v>
      </c>
      <c r="L306" s="21" t="s">
        <v>303</v>
      </c>
      <c r="M306" s="23"/>
      <c r="N306" s="23"/>
      <c r="O306" s="23"/>
      <c r="P306" s="23"/>
      <c r="Q306" s="23"/>
      <c r="R306" s="23"/>
    </row>
    <row r="307">
      <c r="A307" s="20">
        <v>43143.944307708334</v>
      </c>
      <c r="B307" s="21" t="s">
        <v>304</v>
      </c>
      <c r="C307" s="21">
        <v>64.0</v>
      </c>
      <c r="D307" s="21" t="s">
        <v>27</v>
      </c>
      <c r="E307" s="21">
        <v>295.0</v>
      </c>
      <c r="F307" s="21" t="s">
        <v>52</v>
      </c>
      <c r="G307" s="21">
        <v>9.0</v>
      </c>
      <c r="H307" s="21">
        <v>9.0</v>
      </c>
      <c r="I307" s="21">
        <v>175.0</v>
      </c>
      <c r="J307" s="21">
        <v>72.0</v>
      </c>
      <c r="K307" s="21">
        <v>48.0</v>
      </c>
      <c r="L307" s="22"/>
      <c r="M307" s="22"/>
      <c r="N307" s="22"/>
      <c r="O307" s="22"/>
      <c r="P307" s="22"/>
      <c r="Q307" s="22"/>
      <c r="R307" s="22"/>
    </row>
    <row r="308">
      <c r="A308" s="20">
        <v>43144.2868753125</v>
      </c>
      <c r="B308" s="21" t="s">
        <v>305</v>
      </c>
      <c r="C308" s="21" t="s">
        <v>306</v>
      </c>
      <c r="D308" s="21" t="s">
        <v>27</v>
      </c>
      <c r="E308" s="21">
        <v>140.0</v>
      </c>
      <c r="F308" s="21" t="s">
        <v>307</v>
      </c>
      <c r="G308" s="21">
        <v>15.0</v>
      </c>
      <c r="H308" s="21">
        <v>2.0</v>
      </c>
      <c r="I308" s="21">
        <v>125000.0</v>
      </c>
      <c r="J308" s="22"/>
      <c r="K308" s="21">
        <v>15000.0</v>
      </c>
      <c r="L308" s="21" t="s">
        <v>308</v>
      </c>
      <c r="M308" s="23"/>
      <c r="N308" s="23"/>
      <c r="O308" s="23"/>
      <c r="P308" s="23"/>
      <c r="Q308" s="23"/>
      <c r="R308" s="23"/>
    </row>
    <row r="309">
      <c r="A309" s="20">
        <v>43144.40808299769</v>
      </c>
      <c r="B309" s="21" t="s">
        <v>33</v>
      </c>
      <c r="C309" s="21">
        <v>7.0</v>
      </c>
      <c r="D309" s="21" t="s">
        <v>27</v>
      </c>
      <c r="E309" s="21">
        <v>190.0</v>
      </c>
      <c r="F309" s="21" t="s">
        <v>136</v>
      </c>
      <c r="G309" s="21">
        <v>10.0</v>
      </c>
      <c r="H309" s="21">
        <v>0.0</v>
      </c>
      <c r="I309" s="21">
        <v>155.0</v>
      </c>
      <c r="J309" s="21">
        <v>140.0</v>
      </c>
      <c r="K309" s="21">
        <v>73.0</v>
      </c>
      <c r="L309" s="21" t="s">
        <v>309</v>
      </c>
      <c r="M309" s="23"/>
      <c r="N309" s="23"/>
      <c r="O309" s="23"/>
      <c r="P309" s="23"/>
      <c r="Q309" s="23"/>
      <c r="R309" s="23"/>
    </row>
    <row r="310">
      <c r="A310" s="20">
        <v>43144.55395615741</v>
      </c>
      <c r="B310" s="21" t="s">
        <v>80</v>
      </c>
      <c r="C310" s="21" t="s">
        <v>43</v>
      </c>
      <c r="D310" s="21" t="s">
        <v>31</v>
      </c>
      <c r="E310" s="21">
        <v>270.0</v>
      </c>
      <c r="F310" s="21" t="s">
        <v>310</v>
      </c>
      <c r="G310" s="21">
        <v>15.0</v>
      </c>
      <c r="H310" s="21">
        <v>1.0</v>
      </c>
      <c r="I310" s="21">
        <v>160000.0</v>
      </c>
      <c r="J310" s="21">
        <v>400000.0</v>
      </c>
      <c r="K310" s="21">
        <v>24000.0</v>
      </c>
      <c r="L310" s="22"/>
      <c r="M310" s="22"/>
      <c r="N310" s="22"/>
      <c r="O310" s="22"/>
      <c r="P310" s="22"/>
      <c r="Q310" s="22"/>
      <c r="R310" s="22"/>
    </row>
    <row r="311">
      <c r="A311" s="20">
        <v>43144.65954728009</v>
      </c>
      <c r="B311" s="21" t="s">
        <v>127</v>
      </c>
      <c r="C311" s="21" t="s">
        <v>43</v>
      </c>
      <c r="D311" s="21" t="s">
        <v>31</v>
      </c>
      <c r="E311" s="21">
        <v>235.0</v>
      </c>
      <c r="F311" s="21" t="s">
        <v>311</v>
      </c>
      <c r="G311" s="21">
        <v>3.0</v>
      </c>
      <c r="H311" s="21">
        <v>0.0</v>
      </c>
      <c r="I311" s="21">
        <v>160.0</v>
      </c>
      <c r="J311" s="21">
        <v>180.0</v>
      </c>
      <c r="K311" s="21">
        <v>120.0</v>
      </c>
      <c r="L311" s="22"/>
      <c r="M311" s="22"/>
      <c r="N311" s="22"/>
      <c r="O311" s="22"/>
      <c r="P311" s="22"/>
      <c r="Q311" s="22"/>
      <c r="R311" s="22"/>
    </row>
    <row r="312">
      <c r="A312" s="20">
        <v>43144.841144375</v>
      </c>
      <c r="B312" s="21" t="s">
        <v>77</v>
      </c>
      <c r="C312" s="21" t="s">
        <v>78</v>
      </c>
      <c r="D312" s="21" t="s">
        <v>31</v>
      </c>
      <c r="E312" s="21">
        <v>210.0</v>
      </c>
      <c r="F312" s="21" t="s">
        <v>134</v>
      </c>
      <c r="G312" s="21">
        <v>8.0</v>
      </c>
      <c r="H312" s="21">
        <v>3.0</v>
      </c>
      <c r="I312" s="21">
        <v>168.0</v>
      </c>
      <c r="J312" s="22"/>
      <c r="K312" s="22"/>
      <c r="L312" s="22"/>
      <c r="M312" s="22"/>
      <c r="N312" s="22"/>
      <c r="O312" s="22"/>
      <c r="P312" s="22"/>
      <c r="Q312" s="22"/>
      <c r="R312" s="22"/>
    </row>
    <row r="313">
      <c r="A313" s="20">
        <v>43145.581320717596</v>
      </c>
      <c r="B313" s="21" t="s">
        <v>33</v>
      </c>
      <c r="C313" s="21" t="s">
        <v>62</v>
      </c>
      <c r="D313" s="21" t="s">
        <v>31</v>
      </c>
      <c r="E313" s="21">
        <v>334.0</v>
      </c>
      <c r="F313" s="21" t="s">
        <v>312</v>
      </c>
      <c r="G313" s="21">
        <v>21.0</v>
      </c>
      <c r="H313" s="21">
        <v>6.0</v>
      </c>
      <c r="I313" s="21">
        <v>160.0</v>
      </c>
      <c r="J313" s="21">
        <v>174.0</v>
      </c>
      <c r="K313" s="21">
        <v>1.0</v>
      </c>
      <c r="L313" s="22"/>
      <c r="M313" s="22"/>
      <c r="N313" s="22"/>
      <c r="O313" s="22"/>
      <c r="P313" s="22"/>
      <c r="Q313" s="22"/>
      <c r="R313" s="22"/>
    </row>
    <row r="314">
      <c r="A314" s="20">
        <v>43145.78642364583</v>
      </c>
      <c r="B314" s="21" t="s">
        <v>313</v>
      </c>
      <c r="C314" s="21" t="s">
        <v>314</v>
      </c>
      <c r="D314" s="21" t="s">
        <v>41</v>
      </c>
      <c r="E314" s="21">
        <v>293.0</v>
      </c>
      <c r="F314" s="21" t="s">
        <v>315</v>
      </c>
      <c r="G314" s="21">
        <v>13.0</v>
      </c>
      <c r="H314" s="21">
        <v>5.5</v>
      </c>
      <c r="I314" s="22"/>
      <c r="J314" s="22"/>
      <c r="K314" s="22"/>
      <c r="L314" s="22"/>
      <c r="M314" s="22"/>
      <c r="N314" s="22"/>
      <c r="O314" s="22"/>
      <c r="P314" s="22"/>
      <c r="Q314" s="22"/>
      <c r="R314" s="22"/>
    </row>
    <row r="315">
      <c r="A315" s="20">
        <v>43145.85908549769</v>
      </c>
      <c r="B315" s="21" t="s">
        <v>204</v>
      </c>
      <c r="C315" s="21" t="s">
        <v>73</v>
      </c>
      <c r="D315" s="21" t="s">
        <v>31</v>
      </c>
      <c r="E315" s="21">
        <v>275.0</v>
      </c>
      <c r="F315" s="21" t="s">
        <v>32</v>
      </c>
      <c r="G315" s="21">
        <v>3.0</v>
      </c>
      <c r="H315" s="21">
        <v>1.0</v>
      </c>
      <c r="I315" s="21">
        <v>170.0</v>
      </c>
      <c r="J315" s="21">
        <v>105.0</v>
      </c>
      <c r="K315" s="22"/>
      <c r="L315" s="22"/>
      <c r="M315" s="22"/>
      <c r="N315" s="22"/>
      <c r="O315" s="22"/>
      <c r="P315" s="22"/>
      <c r="Q315" s="22"/>
      <c r="R315" s="22"/>
    </row>
    <row r="316">
      <c r="A316" s="20">
        <v>43146.10409518519</v>
      </c>
      <c r="B316" s="21" t="s">
        <v>256</v>
      </c>
      <c r="C316" s="21" t="s">
        <v>113</v>
      </c>
      <c r="D316" s="21" t="s">
        <v>31</v>
      </c>
      <c r="E316" s="21">
        <v>750.0</v>
      </c>
      <c r="F316" s="21" t="s">
        <v>32</v>
      </c>
      <c r="G316" s="21">
        <v>25.0</v>
      </c>
      <c r="H316" s="21">
        <v>3.0</v>
      </c>
      <c r="I316" s="21">
        <v>250000.0</v>
      </c>
      <c r="J316" s="21">
        <v>1450000.0</v>
      </c>
      <c r="K316" s="21">
        <v>62500.0</v>
      </c>
      <c r="L316" s="21" t="s">
        <v>316</v>
      </c>
      <c r="M316" s="23"/>
      <c r="N316" s="23"/>
      <c r="O316" s="23"/>
      <c r="P316" s="23"/>
      <c r="Q316" s="23"/>
      <c r="R316" s="23"/>
    </row>
    <row r="317">
      <c r="A317" s="20">
        <v>43146.383875659725</v>
      </c>
      <c r="B317" s="21" t="s">
        <v>80</v>
      </c>
      <c r="C317" s="21" t="s">
        <v>26</v>
      </c>
      <c r="D317" s="21" t="s">
        <v>31</v>
      </c>
      <c r="E317" s="21">
        <v>217.0</v>
      </c>
      <c r="F317" s="21" t="s">
        <v>94</v>
      </c>
      <c r="G317" s="21">
        <v>3.0</v>
      </c>
      <c r="H317" s="21">
        <v>0.0</v>
      </c>
      <c r="I317" s="21">
        <v>140.0</v>
      </c>
      <c r="J317" s="21">
        <v>56.0</v>
      </c>
      <c r="K317" s="21">
        <v>21.0</v>
      </c>
      <c r="L317" s="21" t="s">
        <v>317</v>
      </c>
      <c r="M317" s="23"/>
      <c r="N317" s="23"/>
      <c r="O317" s="23"/>
      <c r="P317" s="23"/>
      <c r="Q317" s="23"/>
      <c r="R317" s="23"/>
    </row>
    <row r="318">
      <c r="A318" s="20">
        <v>43146.75192202546</v>
      </c>
      <c r="B318" s="21" t="s">
        <v>48</v>
      </c>
      <c r="C318" s="21" t="s">
        <v>69</v>
      </c>
      <c r="D318" s="21" t="s">
        <v>31</v>
      </c>
      <c r="E318" s="21">
        <v>155.0</v>
      </c>
      <c r="F318" s="21" t="s">
        <v>50</v>
      </c>
      <c r="G318" s="21">
        <v>0.0</v>
      </c>
      <c r="H318" s="21">
        <v>0.0</v>
      </c>
      <c r="I318" s="21">
        <v>107.0</v>
      </c>
      <c r="J318" s="21">
        <v>38.0</v>
      </c>
      <c r="K318" s="21">
        <v>11.0</v>
      </c>
      <c r="L318" s="22"/>
      <c r="M318" s="22"/>
      <c r="N318" s="22"/>
      <c r="O318" s="22"/>
      <c r="P318" s="22"/>
      <c r="Q318" s="22"/>
      <c r="R318" s="22"/>
    </row>
    <row r="319">
      <c r="A319" s="20">
        <v>43146.97452884259</v>
      </c>
      <c r="B319" s="21" t="s">
        <v>48</v>
      </c>
      <c r="C319" s="21" t="s">
        <v>166</v>
      </c>
      <c r="D319" s="21" t="s">
        <v>31</v>
      </c>
      <c r="E319" s="21">
        <v>430.0</v>
      </c>
      <c r="F319" s="21" t="s">
        <v>50</v>
      </c>
      <c r="G319" s="21">
        <v>6.0</v>
      </c>
      <c r="H319" s="21">
        <v>1.0</v>
      </c>
      <c r="I319" s="22"/>
      <c r="J319" s="22"/>
      <c r="K319" s="22"/>
      <c r="L319" s="22"/>
      <c r="M319" s="22"/>
      <c r="N319" s="22"/>
      <c r="O319" s="22"/>
      <c r="P319" s="22"/>
      <c r="Q319" s="22"/>
      <c r="R319" s="22"/>
    </row>
    <row r="320">
      <c r="A320" s="20">
        <v>43147.411205324075</v>
      </c>
      <c r="B320" s="21" t="s">
        <v>33</v>
      </c>
      <c r="C320" s="21" t="s">
        <v>318</v>
      </c>
      <c r="D320" s="21" t="s">
        <v>31</v>
      </c>
      <c r="E320" s="21">
        <v>250.0</v>
      </c>
      <c r="F320" s="21" t="s">
        <v>247</v>
      </c>
      <c r="G320" s="21">
        <v>2.0</v>
      </c>
      <c r="H320" s="21">
        <v>2.0</v>
      </c>
      <c r="I320" s="21">
        <v>180.0</v>
      </c>
      <c r="J320" s="21">
        <v>150.0</v>
      </c>
      <c r="K320" s="21">
        <v>90.0</v>
      </c>
      <c r="L320" s="22"/>
      <c r="M320" s="22"/>
      <c r="N320" s="22"/>
      <c r="O320" s="22"/>
      <c r="P320" s="22"/>
      <c r="Q320" s="22"/>
      <c r="R320" s="22"/>
    </row>
    <row r="321">
      <c r="A321" s="20">
        <v>43147.451068379625</v>
      </c>
      <c r="B321" s="21" t="s">
        <v>319</v>
      </c>
      <c r="C321" s="21">
        <v>7.0</v>
      </c>
      <c r="D321" s="21" t="s">
        <v>31</v>
      </c>
      <c r="E321" s="21">
        <v>84.0</v>
      </c>
      <c r="F321" s="21" t="s">
        <v>320</v>
      </c>
      <c r="G321" s="21">
        <v>3.0</v>
      </c>
      <c r="H321" s="21">
        <v>3.0</v>
      </c>
      <c r="I321" s="21">
        <v>80.0</v>
      </c>
      <c r="J321" s="21">
        <v>0.1</v>
      </c>
      <c r="K321" s="21">
        <v>4.0</v>
      </c>
      <c r="L321" s="22"/>
      <c r="M321" s="22"/>
      <c r="N321" s="22"/>
      <c r="O321" s="22"/>
      <c r="P321" s="22"/>
      <c r="Q321" s="22"/>
      <c r="R321" s="22"/>
    </row>
    <row r="322">
      <c r="A322" s="20">
        <v>43147.47213796296</v>
      </c>
      <c r="B322" s="21" t="s">
        <v>29</v>
      </c>
      <c r="C322" s="21">
        <v>27.0</v>
      </c>
      <c r="D322" s="21" t="s">
        <v>41</v>
      </c>
      <c r="E322" s="21">
        <v>323.0</v>
      </c>
      <c r="F322" s="21" t="s">
        <v>272</v>
      </c>
      <c r="G322" s="21">
        <v>14.0</v>
      </c>
      <c r="H322" s="21">
        <v>2.0</v>
      </c>
      <c r="I322" s="22"/>
      <c r="J322" s="22"/>
      <c r="K322" s="22"/>
      <c r="L322" s="22"/>
      <c r="M322" s="22"/>
      <c r="N322" s="22"/>
      <c r="O322" s="22"/>
      <c r="P322" s="22"/>
      <c r="Q322" s="22"/>
      <c r="R322" s="22"/>
    </row>
    <row r="323">
      <c r="A323" s="20">
        <v>43149.469858958335</v>
      </c>
      <c r="B323" s="21" t="s">
        <v>33</v>
      </c>
      <c r="C323" s="21" t="s">
        <v>62</v>
      </c>
      <c r="D323" s="21" t="s">
        <v>27</v>
      </c>
      <c r="E323" s="21">
        <v>244.0</v>
      </c>
      <c r="F323" s="21" t="s">
        <v>63</v>
      </c>
      <c r="G323" s="21">
        <v>9.0</v>
      </c>
      <c r="H323" s="21">
        <v>2.5</v>
      </c>
      <c r="I323" s="21">
        <v>145.0</v>
      </c>
      <c r="J323" s="21">
        <v>99.0</v>
      </c>
      <c r="K323" s="22"/>
      <c r="L323" s="22"/>
      <c r="M323" s="22"/>
      <c r="N323" s="22"/>
      <c r="O323" s="22"/>
      <c r="P323" s="22"/>
      <c r="Q323" s="22"/>
      <c r="R323" s="22"/>
    </row>
    <row r="324">
      <c r="A324" s="20">
        <v>43149.8964274537</v>
      </c>
      <c r="B324" s="21" t="s">
        <v>33</v>
      </c>
      <c r="C324" s="21" t="s">
        <v>34</v>
      </c>
      <c r="D324" s="21" t="s">
        <v>27</v>
      </c>
      <c r="E324" s="21">
        <v>400.0</v>
      </c>
      <c r="F324" s="21" t="s">
        <v>63</v>
      </c>
      <c r="G324" s="21">
        <v>15.0</v>
      </c>
      <c r="H324" s="21">
        <v>1.5</v>
      </c>
      <c r="I324" s="21">
        <v>155.0</v>
      </c>
      <c r="J324" s="21">
        <v>145.0</v>
      </c>
      <c r="K324" s="21">
        <v>100.0</v>
      </c>
      <c r="L324" s="22"/>
      <c r="M324" s="22"/>
      <c r="N324" s="22"/>
      <c r="O324" s="22"/>
      <c r="P324" s="22"/>
      <c r="Q324" s="22"/>
      <c r="R324" s="22"/>
    </row>
    <row r="325">
      <c r="A325" s="20">
        <v>43150.774111238425</v>
      </c>
      <c r="B325" s="21" t="s">
        <v>319</v>
      </c>
      <c r="C325" s="21">
        <v>6.0</v>
      </c>
      <c r="D325" s="21" t="s">
        <v>31</v>
      </c>
      <c r="E325" s="21">
        <v>108.0</v>
      </c>
      <c r="F325" s="21" t="s">
        <v>238</v>
      </c>
      <c r="G325" s="21">
        <v>0.0</v>
      </c>
      <c r="H325" s="21">
        <v>0.0</v>
      </c>
      <c r="I325" s="21">
        <v>100.0</v>
      </c>
      <c r="J325" s="22"/>
      <c r="K325" s="21">
        <v>8.0</v>
      </c>
      <c r="L325" s="22"/>
      <c r="M325" s="22"/>
      <c r="N325" s="22"/>
      <c r="O325" s="22"/>
      <c r="P325" s="22"/>
      <c r="Q325" s="22"/>
      <c r="R325" s="22"/>
    </row>
    <row r="326">
      <c r="A326" s="20">
        <v>43150.77459568287</v>
      </c>
      <c r="B326" s="21" t="s">
        <v>319</v>
      </c>
      <c r="C326" s="21">
        <v>7.0</v>
      </c>
      <c r="D326" s="21" t="s">
        <v>31</v>
      </c>
      <c r="E326" s="21">
        <v>124.0</v>
      </c>
      <c r="F326" s="21" t="s">
        <v>238</v>
      </c>
      <c r="G326" s="21">
        <v>1.0</v>
      </c>
      <c r="H326" s="21">
        <v>1.0</v>
      </c>
      <c r="I326" s="21">
        <v>124.0</v>
      </c>
      <c r="J326" s="22"/>
      <c r="K326" s="22"/>
      <c r="L326" s="22"/>
      <c r="M326" s="22"/>
      <c r="N326" s="22"/>
      <c r="O326" s="22"/>
      <c r="P326" s="22"/>
      <c r="Q326" s="22"/>
      <c r="R326" s="22"/>
    </row>
    <row r="327">
      <c r="A327" s="20">
        <v>43150.801719270836</v>
      </c>
      <c r="B327" s="21" t="s">
        <v>170</v>
      </c>
      <c r="C327" s="21" t="s">
        <v>321</v>
      </c>
      <c r="D327" s="21" t="s">
        <v>31</v>
      </c>
      <c r="E327" s="21">
        <v>300.0</v>
      </c>
      <c r="F327" s="21" t="s">
        <v>322</v>
      </c>
      <c r="G327" s="21">
        <v>22.0</v>
      </c>
      <c r="H327" s="21">
        <v>20.0</v>
      </c>
      <c r="I327" s="21">
        <v>2000000.0</v>
      </c>
      <c r="J327" s="21">
        <v>45000.0</v>
      </c>
      <c r="K327" s="21">
        <v>55000.0</v>
      </c>
      <c r="L327" s="22"/>
      <c r="M327" s="22"/>
      <c r="N327" s="22"/>
      <c r="O327" s="22"/>
      <c r="P327" s="22"/>
      <c r="Q327" s="22"/>
      <c r="R327" s="22"/>
    </row>
    <row r="328">
      <c r="A328" s="20">
        <v>43151.22682267361</v>
      </c>
      <c r="B328" s="21" t="s">
        <v>323</v>
      </c>
      <c r="C328" s="21" t="s">
        <v>37</v>
      </c>
      <c r="D328" s="21" t="s">
        <v>31</v>
      </c>
      <c r="E328" s="21">
        <v>225.0</v>
      </c>
      <c r="F328" s="21" t="s">
        <v>94</v>
      </c>
      <c r="G328" s="21">
        <v>10.0</v>
      </c>
      <c r="H328" s="21">
        <v>1.0</v>
      </c>
      <c r="I328" s="22"/>
      <c r="J328" s="22"/>
      <c r="K328" s="22"/>
      <c r="L328" s="22"/>
      <c r="M328" s="22"/>
      <c r="N328" s="22"/>
      <c r="O328" s="22"/>
      <c r="P328" s="22"/>
      <c r="Q328" s="22"/>
      <c r="R328" s="22"/>
    </row>
    <row r="329">
      <c r="A329" s="20">
        <v>43151.45018486111</v>
      </c>
      <c r="B329" s="21" t="s">
        <v>45</v>
      </c>
      <c r="C329" s="21" t="s">
        <v>102</v>
      </c>
      <c r="D329" s="21" t="s">
        <v>27</v>
      </c>
      <c r="E329" s="21">
        <v>210.0</v>
      </c>
      <c r="F329" s="21" t="s">
        <v>92</v>
      </c>
      <c r="G329" s="21">
        <v>6.5</v>
      </c>
      <c r="H329" s="21">
        <v>0.0</v>
      </c>
      <c r="I329" s="21">
        <v>145000.0</v>
      </c>
      <c r="J329" s="21">
        <v>105000.0</v>
      </c>
      <c r="K329" s="21">
        <v>30000.0</v>
      </c>
      <c r="L329" s="22"/>
      <c r="M329" s="22"/>
      <c r="N329" s="22"/>
      <c r="O329" s="22"/>
      <c r="P329" s="22"/>
      <c r="Q329" s="22"/>
      <c r="R329" s="22"/>
    </row>
    <row r="330">
      <c r="A330" s="20">
        <v>43151.45738836806</v>
      </c>
      <c r="B330" s="21" t="s">
        <v>48</v>
      </c>
      <c r="C330" s="21" t="s">
        <v>69</v>
      </c>
      <c r="D330" s="21" t="s">
        <v>31</v>
      </c>
      <c r="E330" s="21">
        <v>200.0</v>
      </c>
      <c r="F330" s="21" t="s">
        <v>50</v>
      </c>
      <c r="G330" s="21">
        <v>1.0</v>
      </c>
      <c r="H330" s="21">
        <v>0.0</v>
      </c>
      <c r="I330" s="22"/>
      <c r="J330" s="22"/>
      <c r="K330" s="22"/>
      <c r="L330" s="22"/>
      <c r="M330" s="22"/>
      <c r="N330" s="22"/>
      <c r="O330" s="22"/>
      <c r="P330" s="22"/>
      <c r="Q330" s="22"/>
      <c r="R330" s="22"/>
    </row>
    <row r="331">
      <c r="A331" s="20">
        <v>43151.87748232639</v>
      </c>
      <c r="B331" s="21" t="s">
        <v>80</v>
      </c>
      <c r="C331" s="21" t="s">
        <v>73</v>
      </c>
      <c r="D331" s="21" t="s">
        <v>31</v>
      </c>
      <c r="E331" s="21">
        <v>290.0</v>
      </c>
      <c r="F331" s="21" t="s">
        <v>63</v>
      </c>
      <c r="G331" s="21">
        <v>5.0</v>
      </c>
      <c r="H331" s="21">
        <v>3.0</v>
      </c>
      <c r="I331" s="22"/>
      <c r="J331" s="22"/>
      <c r="K331" s="22"/>
      <c r="L331" s="22"/>
      <c r="M331" s="22"/>
      <c r="N331" s="22"/>
      <c r="O331" s="22"/>
      <c r="P331" s="22"/>
      <c r="Q331" s="22"/>
      <c r="R331" s="22"/>
    </row>
    <row r="332">
      <c r="A332" s="20">
        <v>43151.95661480324</v>
      </c>
      <c r="B332" s="21" t="s">
        <v>33</v>
      </c>
      <c r="C332" s="21" t="s">
        <v>73</v>
      </c>
      <c r="D332" s="21" t="s">
        <v>31</v>
      </c>
      <c r="E332" s="21">
        <v>147.0</v>
      </c>
      <c r="F332" s="21" t="s">
        <v>35</v>
      </c>
      <c r="G332" s="21">
        <v>0.0</v>
      </c>
      <c r="H332" s="21">
        <v>0.0</v>
      </c>
      <c r="I332" s="21">
        <v>125000.0</v>
      </c>
      <c r="J332" s="21">
        <v>75000.0</v>
      </c>
      <c r="K332" s="21">
        <v>22000.0</v>
      </c>
      <c r="L332" s="22"/>
      <c r="M332" s="22"/>
      <c r="N332" s="22"/>
      <c r="O332" s="22"/>
      <c r="P332" s="22"/>
      <c r="Q332" s="22"/>
      <c r="R332" s="22"/>
    </row>
    <row r="333">
      <c r="A333" s="20">
        <v>43152.980659953704</v>
      </c>
      <c r="B333" s="21" t="s">
        <v>249</v>
      </c>
      <c r="C333" s="21" t="s">
        <v>125</v>
      </c>
      <c r="D333" s="21" t="s">
        <v>31</v>
      </c>
      <c r="E333" s="21">
        <v>270.0</v>
      </c>
      <c r="F333" s="21" t="s">
        <v>47</v>
      </c>
      <c r="G333" s="21">
        <v>11.0</v>
      </c>
      <c r="H333" s="21">
        <v>3.0</v>
      </c>
      <c r="I333" s="21">
        <v>175000.0</v>
      </c>
      <c r="J333" s="21">
        <v>60000.0</v>
      </c>
      <c r="K333" s="21">
        <v>35000.0</v>
      </c>
      <c r="L333" s="21" t="s">
        <v>324</v>
      </c>
      <c r="M333" s="23"/>
      <c r="N333" s="23"/>
      <c r="O333" s="23"/>
      <c r="P333" s="23"/>
      <c r="Q333" s="23"/>
      <c r="R333" s="23"/>
    </row>
    <row r="334">
      <c r="A334" s="20">
        <v>43154.31744222222</v>
      </c>
      <c r="B334" s="21" t="s">
        <v>146</v>
      </c>
      <c r="C334" s="21" t="s">
        <v>31</v>
      </c>
      <c r="D334" s="21" t="s">
        <v>31</v>
      </c>
      <c r="E334" s="21">
        <v>199.0</v>
      </c>
      <c r="F334" s="21" t="s">
        <v>134</v>
      </c>
      <c r="G334" s="21">
        <v>3.0</v>
      </c>
      <c r="H334" s="21">
        <v>1.0</v>
      </c>
      <c r="I334" s="21">
        <v>140.0</v>
      </c>
      <c r="J334" s="21">
        <v>45.0</v>
      </c>
      <c r="K334" s="21">
        <v>14.0</v>
      </c>
      <c r="L334" s="22"/>
      <c r="M334" s="22"/>
      <c r="N334" s="22"/>
      <c r="O334" s="22"/>
      <c r="P334" s="22"/>
      <c r="Q334" s="22"/>
      <c r="R334" s="22"/>
    </row>
    <row r="335">
      <c r="A335" s="20">
        <v>43154.533975196755</v>
      </c>
      <c r="B335" s="21" t="s">
        <v>325</v>
      </c>
      <c r="C335" s="21" t="s">
        <v>78</v>
      </c>
      <c r="D335" s="21" t="s">
        <v>31</v>
      </c>
      <c r="E335" s="21">
        <v>517.0</v>
      </c>
      <c r="F335" s="21" t="s">
        <v>326</v>
      </c>
      <c r="G335" s="21">
        <v>11.0</v>
      </c>
      <c r="H335" s="21">
        <v>3.0</v>
      </c>
      <c r="I335" s="21">
        <v>207.0</v>
      </c>
      <c r="J335" s="21">
        <v>260.0</v>
      </c>
      <c r="K335" s="21">
        <v>41.0</v>
      </c>
      <c r="L335" s="22"/>
      <c r="M335" s="22"/>
      <c r="N335" s="22"/>
      <c r="O335" s="22"/>
      <c r="P335" s="22"/>
      <c r="Q335" s="22"/>
      <c r="R335" s="22"/>
    </row>
    <row r="336">
      <c r="A336" s="20">
        <v>43154.82886840278</v>
      </c>
      <c r="B336" s="21" t="s">
        <v>124</v>
      </c>
      <c r="C336" s="21" t="s">
        <v>37</v>
      </c>
      <c r="D336" s="21" t="s">
        <v>27</v>
      </c>
      <c r="E336" s="21">
        <v>160.0</v>
      </c>
      <c r="F336" s="21" t="s">
        <v>327</v>
      </c>
      <c r="G336" s="21">
        <v>4.0</v>
      </c>
      <c r="H336" s="21">
        <v>4.0</v>
      </c>
      <c r="I336" s="21">
        <v>132000.0</v>
      </c>
      <c r="J336" s="22"/>
      <c r="K336" s="21">
        <v>26000.0</v>
      </c>
      <c r="L336" s="22"/>
      <c r="M336" s="22"/>
      <c r="N336" s="22"/>
      <c r="O336" s="22"/>
      <c r="P336" s="22"/>
      <c r="Q336" s="22"/>
      <c r="R336" s="22"/>
    </row>
    <row r="337">
      <c r="A337" s="20">
        <v>43155.42996140046</v>
      </c>
      <c r="B337" s="21" t="s">
        <v>48</v>
      </c>
      <c r="C337" s="21" t="s">
        <v>70</v>
      </c>
      <c r="D337" s="21" t="s">
        <v>31</v>
      </c>
      <c r="E337" s="21">
        <v>490.0</v>
      </c>
      <c r="F337" s="21" t="s">
        <v>50</v>
      </c>
      <c r="G337" s="21">
        <v>5.0</v>
      </c>
      <c r="H337" s="21">
        <v>0.0</v>
      </c>
      <c r="I337" s="21">
        <v>200000.0</v>
      </c>
      <c r="J337" s="21">
        <v>150000.0</v>
      </c>
      <c r="K337" s="21">
        <v>140000.0</v>
      </c>
      <c r="L337" s="21" t="s">
        <v>328</v>
      </c>
      <c r="M337" s="23"/>
      <c r="N337" s="23"/>
      <c r="O337" s="23"/>
      <c r="P337" s="23"/>
      <c r="Q337" s="23"/>
      <c r="R337" s="23"/>
    </row>
    <row r="338">
      <c r="A338" s="20">
        <v>43156.30039366898</v>
      </c>
      <c r="B338" s="21" t="s">
        <v>33</v>
      </c>
      <c r="C338" s="21" t="s">
        <v>329</v>
      </c>
      <c r="D338" s="21" t="s">
        <v>31</v>
      </c>
      <c r="E338" s="21">
        <v>450.0</v>
      </c>
      <c r="F338" s="21" t="s">
        <v>35</v>
      </c>
      <c r="G338" s="21">
        <v>15.0</v>
      </c>
      <c r="H338" s="21">
        <v>13.0</v>
      </c>
      <c r="I338" s="21">
        <v>150.0</v>
      </c>
      <c r="J338" s="21">
        <v>300.0</v>
      </c>
      <c r="K338" s="21">
        <v>1.0</v>
      </c>
      <c r="L338" s="22"/>
      <c r="M338" s="22"/>
      <c r="N338" s="22"/>
      <c r="O338" s="22"/>
      <c r="P338" s="22"/>
      <c r="Q338" s="22"/>
      <c r="R338" s="22"/>
    </row>
    <row r="339">
      <c r="A339" s="20">
        <v>43156.5853100463</v>
      </c>
      <c r="B339" s="21" t="s">
        <v>33</v>
      </c>
      <c r="C339" s="21" t="s">
        <v>43</v>
      </c>
      <c r="D339" s="21" t="s">
        <v>31</v>
      </c>
      <c r="E339" s="21">
        <v>170.0</v>
      </c>
      <c r="F339" s="21" t="s">
        <v>63</v>
      </c>
      <c r="G339" s="21">
        <v>5.0</v>
      </c>
      <c r="H339" s="21">
        <v>2.0</v>
      </c>
      <c r="I339" s="21">
        <v>135.0</v>
      </c>
      <c r="J339" s="21">
        <v>20.0</v>
      </c>
      <c r="K339" s="21">
        <v>15.0</v>
      </c>
      <c r="L339" s="22"/>
      <c r="M339" s="22"/>
      <c r="N339" s="22"/>
      <c r="O339" s="22"/>
      <c r="P339" s="22"/>
      <c r="Q339" s="22"/>
      <c r="R339" s="22"/>
    </row>
    <row r="340">
      <c r="A340" s="20">
        <v>43156.75017832176</v>
      </c>
      <c r="B340" s="21" t="s">
        <v>29</v>
      </c>
      <c r="C340" s="21" t="s">
        <v>30</v>
      </c>
      <c r="D340" s="21" t="s">
        <v>31</v>
      </c>
      <c r="E340" s="21">
        <v>109.0</v>
      </c>
      <c r="F340" s="21" t="s">
        <v>330</v>
      </c>
      <c r="G340" s="21">
        <v>1.0</v>
      </c>
      <c r="H340" s="21">
        <v>1.0</v>
      </c>
      <c r="I340" s="21">
        <v>93420.0</v>
      </c>
      <c r="J340" s="21">
        <v>6250.0</v>
      </c>
      <c r="K340" s="21">
        <v>9342.0</v>
      </c>
      <c r="L340" s="22"/>
      <c r="M340" s="22"/>
      <c r="N340" s="22"/>
      <c r="O340" s="22"/>
      <c r="P340" s="22"/>
      <c r="Q340" s="22"/>
      <c r="R340" s="22"/>
    </row>
    <row r="341">
      <c r="A341" s="20">
        <v>43157.09752009259</v>
      </c>
      <c r="B341" s="21" t="s">
        <v>33</v>
      </c>
      <c r="C341" s="21" t="s">
        <v>43</v>
      </c>
      <c r="D341" s="21" t="s">
        <v>31</v>
      </c>
      <c r="E341" s="21">
        <v>170.0</v>
      </c>
      <c r="F341" s="21" t="s">
        <v>35</v>
      </c>
      <c r="G341" s="21">
        <v>7.0</v>
      </c>
      <c r="H341" s="21">
        <v>1.0</v>
      </c>
      <c r="I341" s="21">
        <v>120.0</v>
      </c>
      <c r="J341" s="21">
        <v>40.0</v>
      </c>
      <c r="K341" s="21">
        <v>10.0</v>
      </c>
      <c r="L341" s="22"/>
      <c r="M341" s="22"/>
      <c r="N341" s="22"/>
      <c r="O341" s="22"/>
      <c r="P341" s="22"/>
      <c r="Q341" s="22"/>
      <c r="R341" s="22"/>
    </row>
    <row r="342">
      <c r="A342" s="20">
        <v>43157.263222361114</v>
      </c>
      <c r="B342" s="21" t="s">
        <v>119</v>
      </c>
      <c r="C342" s="21" t="s">
        <v>37</v>
      </c>
      <c r="D342" s="21" t="s">
        <v>31</v>
      </c>
      <c r="E342" s="21">
        <v>157.0</v>
      </c>
      <c r="F342" s="21" t="s">
        <v>331</v>
      </c>
      <c r="G342" s="21">
        <v>10.0</v>
      </c>
      <c r="H342" s="21">
        <v>1.0</v>
      </c>
      <c r="I342" s="21">
        <v>145000.0</v>
      </c>
      <c r="J342" s="21">
        <v>50000.0</v>
      </c>
      <c r="K342" s="21">
        <v>17400.0</v>
      </c>
      <c r="L342" s="22"/>
      <c r="M342" s="22"/>
      <c r="N342" s="22"/>
      <c r="O342" s="22"/>
      <c r="P342" s="22"/>
      <c r="Q342" s="22"/>
      <c r="R342" s="22"/>
    </row>
    <row r="343">
      <c r="A343" s="20">
        <v>43157.55694115741</v>
      </c>
      <c r="B343" s="21" t="s">
        <v>332</v>
      </c>
      <c r="C343" s="21" t="s">
        <v>166</v>
      </c>
      <c r="D343" s="21" t="s">
        <v>31</v>
      </c>
      <c r="E343" s="21">
        <v>270.0</v>
      </c>
      <c r="F343" s="21" t="s">
        <v>333</v>
      </c>
      <c r="G343" s="21">
        <v>15.0</v>
      </c>
      <c r="H343" s="21">
        <v>4.0</v>
      </c>
      <c r="I343" s="21">
        <v>185.0</v>
      </c>
      <c r="J343" s="21">
        <v>60.0</v>
      </c>
      <c r="K343" s="21">
        <v>36.0</v>
      </c>
      <c r="L343" s="22"/>
      <c r="M343" s="22"/>
      <c r="N343" s="22"/>
      <c r="O343" s="22"/>
      <c r="P343" s="22"/>
      <c r="Q343" s="22"/>
      <c r="R343" s="22"/>
    </row>
    <row r="344">
      <c r="A344" s="20">
        <v>43157.58149737268</v>
      </c>
      <c r="B344" s="21" t="s">
        <v>48</v>
      </c>
      <c r="C344" s="21" t="s">
        <v>69</v>
      </c>
      <c r="D344" s="21" t="s">
        <v>31</v>
      </c>
      <c r="E344" s="21">
        <v>251.0</v>
      </c>
      <c r="F344" s="21" t="s">
        <v>50</v>
      </c>
      <c r="G344" s="21">
        <v>0.0</v>
      </c>
      <c r="H344" s="21">
        <v>0.0</v>
      </c>
      <c r="I344" s="21">
        <v>110000.0</v>
      </c>
      <c r="J344" s="21">
        <v>55000.0</v>
      </c>
      <c r="K344" s="21">
        <v>75000.0</v>
      </c>
      <c r="L344" s="22"/>
      <c r="M344" s="22"/>
      <c r="N344" s="22"/>
      <c r="O344" s="22"/>
      <c r="P344" s="22"/>
      <c r="Q344" s="22"/>
      <c r="R344" s="22"/>
    </row>
    <row r="345">
      <c r="A345" s="20">
        <v>43158.52972648148</v>
      </c>
      <c r="B345" s="21" t="s">
        <v>146</v>
      </c>
      <c r="C345" s="21" t="s">
        <v>201</v>
      </c>
      <c r="D345" s="21" t="s">
        <v>31</v>
      </c>
      <c r="E345" s="21">
        <v>170.0</v>
      </c>
      <c r="F345" s="21" t="s">
        <v>134</v>
      </c>
      <c r="G345" s="21">
        <v>0.0</v>
      </c>
      <c r="H345" s="21">
        <v>0.0</v>
      </c>
      <c r="I345" s="21">
        <v>120000.0</v>
      </c>
      <c r="J345" s="21">
        <v>37500.0</v>
      </c>
      <c r="K345" s="21">
        <v>10000.0</v>
      </c>
      <c r="L345" s="21" t="s">
        <v>334</v>
      </c>
      <c r="M345" s="23"/>
      <c r="N345" s="23"/>
      <c r="O345" s="23"/>
      <c r="P345" s="23"/>
      <c r="Q345" s="23"/>
      <c r="R345" s="23"/>
    </row>
    <row r="346">
      <c r="A346" s="20">
        <v>43158.581546030095</v>
      </c>
      <c r="B346" s="21" t="s">
        <v>33</v>
      </c>
      <c r="C346" s="21" t="s">
        <v>43</v>
      </c>
      <c r="D346" s="21" t="s">
        <v>31</v>
      </c>
      <c r="E346" s="21">
        <v>191.0</v>
      </c>
      <c r="F346" s="21" t="s">
        <v>63</v>
      </c>
      <c r="G346" s="21">
        <v>3.8</v>
      </c>
      <c r="H346" s="21">
        <v>3.8</v>
      </c>
      <c r="I346" s="21">
        <v>134.5</v>
      </c>
      <c r="J346" s="21">
        <v>56.0</v>
      </c>
      <c r="K346" s="22"/>
      <c r="L346" s="22"/>
      <c r="M346" s="22"/>
      <c r="N346" s="22"/>
      <c r="O346" s="22"/>
      <c r="P346" s="22"/>
      <c r="Q346" s="22"/>
      <c r="R346" s="22"/>
    </row>
    <row r="347">
      <c r="A347" s="20">
        <v>43159.439532476856</v>
      </c>
      <c r="B347" s="21" t="s">
        <v>40</v>
      </c>
      <c r="C347" s="21">
        <v>63.0</v>
      </c>
      <c r="D347" s="21" t="s">
        <v>31</v>
      </c>
      <c r="E347" s="21">
        <v>188.0</v>
      </c>
      <c r="F347" s="21" t="s">
        <v>335</v>
      </c>
      <c r="G347" s="21">
        <v>14.0</v>
      </c>
      <c r="H347" s="21">
        <v>4.0</v>
      </c>
      <c r="I347" s="21">
        <v>150713.0</v>
      </c>
      <c r="J347" s="21">
        <v>17000.0</v>
      </c>
      <c r="K347" s="21">
        <v>20600.0</v>
      </c>
      <c r="L347" s="22"/>
      <c r="M347" s="22"/>
      <c r="N347" s="22"/>
      <c r="O347" s="22"/>
      <c r="P347" s="22"/>
      <c r="Q347" s="22"/>
      <c r="R347" s="22"/>
    </row>
    <row r="348">
      <c r="A348" s="20">
        <v>43159.45766223379</v>
      </c>
      <c r="B348" s="21" t="s">
        <v>146</v>
      </c>
      <c r="C348" s="21" t="s">
        <v>125</v>
      </c>
      <c r="D348" s="21" t="s">
        <v>31</v>
      </c>
      <c r="E348" s="21">
        <v>550.0</v>
      </c>
      <c r="F348" s="21" t="s">
        <v>94</v>
      </c>
      <c r="G348" s="21">
        <v>8.0</v>
      </c>
      <c r="H348" s="21">
        <v>2.0</v>
      </c>
      <c r="I348" s="22"/>
      <c r="J348" s="22"/>
      <c r="K348" s="22"/>
      <c r="L348" s="22"/>
      <c r="M348" s="22"/>
      <c r="N348" s="22"/>
      <c r="O348" s="22"/>
      <c r="P348" s="22"/>
      <c r="Q348" s="22"/>
      <c r="R348" s="22"/>
    </row>
    <row r="349">
      <c r="A349" s="20">
        <v>43159.86699563658</v>
      </c>
      <c r="B349" s="21" t="s">
        <v>146</v>
      </c>
      <c r="C349" s="21" t="s">
        <v>336</v>
      </c>
      <c r="D349" s="21" t="s">
        <v>41</v>
      </c>
      <c r="E349" s="21">
        <v>430.0</v>
      </c>
      <c r="F349" s="21" t="s">
        <v>199</v>
      </c>
      <c r="G349" s="21">
        <v>9.0</v>
      </c>
      <c r="H349" s="21">
        <v>3.0</v>
      </c>
      <c r="I349" s="21">
        <v>200000.0</v>
      </c>
      <c r="J349" s="21">
        <v>200000.0</v>
      </c>
      <c r="K349" s="21">
        <v>30000.0</v>
      </c>
      <c r="L349" s="22"/>
      <c r="M349" s="22"/>
      <c r="N349" s="22"/>
      <c r="O349" s="22"/>
      <c r="P349" s="22"/>
      <c r="Q349" s="22"/>
      <c r="R349" s="22"/>
    </row>
    <row r="350">
      <c r="A350" s="20">
        <v>43159.91162704861</v>
      </c>
      <c r="B350" s="21" t="s">
        <v>40</v>
      </c>
      <c r="C350" s="21">
        <v>60.0</v>
      </c>
      <c r="D350" s="21" t="s">
        <v>31</v>
      </c>
      <c r="E350" s="21">
        <v>180.0</v>
      </c>
      <c r="F350" s="21" t="s">
        <v>337</v>
      </c>
      <c r="G350" s="21">
        <v>0.0</v>
      </c>
      <c r="H350" s="21">
        <v>1.0</v>
      </c>
      <c r="I350" s="21">
        <v>130000.0</v>
      </c>
      <c r="J350" s="21">
        <v>30.0</v>
      </c>
      <c r="K350" s="21">
        <v>20.0</v>
      </c>
      <c r="L350" s="22"/>
      <c r="M350" s="22"/>
      <c r="N350" s="22"/>
      <c r="O350" s="22"/>
      <c r="P350" s="22"/>
      <c r="Q350" s="22"/>
      <c r="R350" s="22"/>
    </row>
    <row r="351">
      <c r="A351" s="20">
        <v>43160.552778136574</v>
      </c>
      <c r="B351" s="21" t="s">
        <v>40</v>
      </c>
      <c r="C351" s="21">
        <v>64.0</v>
      </c>
      <c r="D351" s="21" t="s">
        <v>27</v>
      </c>
      <c r="E351" s="21">
        <v>225.0</v>
      </c>
      <c r="F351" s="21" t="s">
        <v>338</v>
      </c>
      <c r="G351" s="21">
        <v>10.0</v>
      </c>
      <c r="H351" s="21">
        <v>2.0</v>
      </c>
      <c r="I351" s="21">
        <v>187000.0</v>
      </c>
      <c r="J351" s="21">
        <v>24000.0</v>
      </c>
      <c r="K351" s="21">
        <v>28000.0</v>
      </c>
      <c r="L351" s="22"/>
      <c r="M351" s="22"/>
      <c r="N351" s="22"/>
      <c r="O351" s="22"/>
      <c r="P351" s="22"/>
      <c r="Q351" s="22"/>
      <c r="R351" s="22"/>
    </row>
    <row r="352">
      <c r="A352" s="20">
        <v>43160.84730101852</v>
      </c>
      <c r="B352" s="21" t="s">
        <v>339</v>
      </c>
      <c r="C352" s="21" t="s">
        <v>340</v>
      </c>
      <c r="D352" s="21" t="s">
        <v>31</v>
      </c>
      <c r="E352" s="21">
        <v>280.0</v>
      </c>
      <c r="F352" s="21" t="s">
        <v>47</v>
      </c>
      <c r="G352" s="21">
        <v>7.5</v>
      </c>
      <c r="H352" s="21">
        <v>3.5</v>
      </c>
      <c r="I352" s="21">
        <v>168.2</v>
      </c>
      <c r="J352" s="21">
        <v>95.0</v>
      </c>
      <c r="K352" s="21">
        <v>16.8</v>
      </c>
      <c r="L352" s="22"/>
      <c r="M352" s="22"/>
      <c r="N352" s="22"/>
      <c r="O352" s="22"/>
      <c r="P352" s="22"/>
      <c r="Q352" s="22"/>
      <c r="R352" s="22"/>
    </row>
    <row r="353">
      <c r="A353" s="20">
        <v>43160.88757025463</v>
      </c>
      <c r="B353" s="21" t="s">
        <v>341</v>
      </c>
      <c r="C353" s="21" t="s">
        <v>342</v>
      </c>
      <c r="D353" s="21" t="s">
        <v>31</v>
      </c>
      <c r="E353" s="21">
        <v>182.0</v>
      </c>
      <c r="F353" s="21" t="s">
        <v>272</v>
      </c>
      <c r="G353" s="21">
        <v>4.0</v>
      </c>
      <c r="H353" s="21">
        <v>0.0</v>
      </c>
      <c r="I353" s="21">
        <v>143.0</v>
      </c>
      <c r="J353" s="21">
        <v>25.0</v>
      </c>
      <c r="K353" s="21">
        <v>14000.0</v>
      </c>
      <c r="L353" s="22"/>
      <c r="M353" s="22"/>
      <c r="N353" s="22"/>
      <c r="O353" s="22"/>
      <c r="P353" s="22"/>
      <c r="Q353" s="22"/>
      <c r="R353" s="22"/>
    </row>
    <row r="354">
      <c r="A354" s="20">
        <v>43161.702577731485</v>
      </c>
      <c r="B354" s="21" t="s">
        <v>343</v>
      </c>
      <c r="C354" s="21" t="s">
        <v>344</v>
      </c>
      <c r="D354" s="21" t="s">
        <v>31</v>
      </c>
      <c r="E354" s="21">
        <v>130.0</v>
      </c>
      <c r="F354" s="21" t="s">
        <v>94</v>
      </c>
      <c r="G354" s="21">
        <v>3.0</v>
      </c>
      <c r="H354" s="21">
        <v>1.0</v>
      </c>
      <c r="I354" s="21">
        <v>130000.0</v>
      </c>
      <c r="J354" s="21">
        <v>100000.0</v>
      </c>
      <c r="K354" s="22"/>
      <c r="L354" s="22"/>
      <c r="M354" s="22"/>
      <c r="N354" s="22"/>
      <c r="O354" s="22"/>
      <c r="P354" s="22"/>
      <c r="Q354" s="22"/>
      <c r="R354" s="22"/>
    </row>
    <row r="355">
      <c r="A355" s="20">
        <v>43161.88179393519</v>
      </c>
      <c r="B355" s="21" t="s">
        <v>33</v>
      </c>
      <c r="C355" s="21" t="s">
        <v>34</v>
      </c>
      <c r="D355" s="21" t="s">
        <v>41</v>
      </c>
      <c r="E355" s="21">
        <v>740.0</v>
      </c>
      <c r="F355" s="21" t="s">
        <v>35</v>
      </c>
      <c r="G355" s="21">
        <v>19.0</v>
      </c>
      <c r="H355" s="21">
        <v>3.0</v>
      </c>
      <c r="I355" s="21">
        <v>160000.0</v>
      </c>
      <c r="J355" s="21">
        <v>580000.0</v>
      </c>
      <c r="K355" s="22"/>
      <c r="L355" s="22"/>
      <c r="M355" s="22"/>
      <c r="N355" s="22"/>
      <c r="O355" s="22"/>
      <c r="P355" s="22"/>
      <c r="Q355" s="22"/>
      <c r="R355" s="22"/>
    </row>
    <row r="356">
      <c r="A356" s="20">
        <v>43161.926904884254</v>
      </c>
      <c r="B356" s="21" t="s">
        <v>33</v>
      </c>
      <c r="C356" s="21">
        <v>5.0</v>
      </c>
      <c r="D356" s="21" t="s">
        <v>31</v>
      </c>
      <c r="E356" s="21">
        <v>180.0</v>
      </c>
      <c r="F356" s="21" t="s">
        <v>63</v>
      </c>
      <c r="G356" s="21">
        <v>5.0</v>
      </c>
      <c r="H356" s="21">
        <v>5.0</v>
      </c>
      <c r="I356" s="21">
        <v>132.0</v>
      </c>
      <c r="J356" s="21">
        <v>48.0</v>
      </c>
      <c r="K356" s="22"/>
      <c r="L356" s="22"/>
      <c r="M356" s="22"/>
      <c r="N356" s="22"/>
      <c r="O356" s="22"/>
      <c r="P356" s="22"/>
      <c r="Q356" s="22"/>
      <c r="R356" s="22"/>
    </row>
    <row r="357">
      <c r="A357" s="20">
        <v>43162.68618870371</v>
      </c>
      <c r="B357" s="21" t="s">
        <v>40</v>
      </c>
      <c r="C357" s="21">
        <v>62.0</v>
      </c>
      <c r="D357" s="21" t="s">
        <v>31</v>
      </c>
      <c r="E357" s="21">
        <v>177.0</v>
      </c>
      <c r="F357" s="21" t="s">
        <v>86</v>
      </c>
      <c r="G357" s="21">
        <v>7.0</v>
      </c>
      <c r="H357" s="21">
        <v>1.0</v>
      </c>
      <c r="I357" s="21">
        <v>135000.0</v>
      </c>
      <c r="J357" s="21">
        <v>30000.0</v>
      </c>
      <c r="K357" s="21">
        <v>12000.0</v>
      </c>
      <c r="L357" s="22"/>
      <c r="M357" s="22"/>
      <c r="N357" s="22"/>
      <c r="O357" s="22"/>
      <c r="P357" s="22"/>
      <c r="Q357" s="22"/>
      <c r="R357" s="22"/>
    </row>
    <row r="358">
      <c r="A358" s="20">
        <v>43162.95118081018</v>
      </c>
      <c r="B358" s="21" t="s">
        <v>345</v>
      </c>
      <c r="C358" s="21" t="s">
        <v>346</v>
      </c>
      <c r="D358" s="21" t="s">
        <v>31</v>
      </c>
      <c r="E358" s="21">
        <v>345.0</v>
      </c>
      <c r="F358" s="21" t="s">
        <v>347</v>
      </c>
      <c r="G358" s="21">
        <v>15.0</v>
      </c>
      <c r="H358" s="21">
        <v>1.0</v>
      </c>
      <c r="I358" s="21">
        <v>230000.0</v>
      </c>
      <c r="J358" s="21">
        <v>75000.0</v>
      </c>
      <c r="K358" s="21">
        <v>46000.0</v>
      </c>
      <c r="L358" s="22"/>
      <c r="M358" s="22"/>
      <c r="N358" s="22"/>
      <c r="O358" s="22"/>
      <c r="P358" s="22"/>
      <c r="Q358" s="22"/>
      <c r="R358" s="22"/>
    </row>
    <row r="359">
      <c r="A359" s="20">
        <v>43162.99577214121</v>
      </c>
      <c r="B359" s="21" t="s">
        <v>45</v>
      </c>
      <c r="C359" s="21" t="s">
        <v>348</v>
      </c>
      <c r="D359" s="21" t="s">
        <v>31</v>
      </c>
      <c r="E359" s="21">
        <v>190.0</v>
      </c>
      <c r="F359" s="21" t="s">
        <v>134</v>
      </c>
      <c r="G359" s="21">
        <v>0.0</v>
      </c>
      <c r="H359" s="21">
        <v>0.0</v>
      </c>
      <c r="I359" s="21">
        <v>120.0</v>
      </c>
      <c r="J359" s="21">
        <v>50.0</v>
      </c>
      <c r="K359" s="21">
        <v>20.0</v>
      </c>
      <c r="L359" s="21" t="s">
        <v>349</v>
      </c>
      <c r="M359" s="23"/>
      <c r="N359" s="23"/>
      <c r="O359" s="23"/>
      <c r="P359" s="23"/>
      <c r="Q359" s="23"/>
      <c r="R359" s="23"/>
    </row>
    <row r="360">
      <c r="A360" s="20">
        <v>43163.730592314816</v>
      </c>
      <c r="B360" s="21" t="s">
        <v>350</v>
      </c>
      <c r="C360" s="21" t="s">
        <v>351</v>
      </c>
      <c r="D360" s="21" t="s">
        <v>31</v>
      </c>
      <c r="E360" s="21">
        <v>125.0</v>
      </c>
      <c r="F360" s="21" t="s">
        <v>352</v>
      </c>
      <c r="G360" s="21">
        <v>2.0</v>
      </c>
      <c r="H360" s="21">
        <v>2.0</v>
      </c>
      <c r="I360" s="21">
        <v>116000.0</v>
      </c>
      <c r="J360" s="21">
        <v>2600.0</v>
      </c>
      <c r="K360" s="21">
        <v>6800.0</v>
      </c>
      <c r="L360" s="22"/>
      <c r="M360" s="22"/>
      <c r="N360" s="22"/>
      <c r="O360" s="22"/>
      <c r="P360" s="22"/>
      <c r="Q360" s="22"/>
      <c r="R360" s="22"/>
    </row>
    <row r="361">
      <c r="A361" s="20">
        <v>43164.43024556713</v>
      </c>
      <c r="B361" s="21" t="s">
        <v>40</v>
      </c>
      <c r="C361" s="21">
        <v>61.0</v>
      </c>
      <c r="D361" s="21" t="s">
        <v>31</v>
      </c>
      <c r="E361" s="21">
        <v>151.0</v>
      </c>
      <c r="F361" s="21" t="s">
        <v>161</v>
      </c>
      <c r="G361" s="21">
        <v>5.0</v>
      </c>
      <c r="H361" s="21">
        <v>3.0</v>
      </c>
      <c r="I361" s="21">
        <v>130.0</v>
      </c>
      <c r="J361" s="21">
        <v>9.0</v>
      </c>
      <c r="K361" s="21">
        <v>12.0</v>
      </c>
      <c r="L361" s="22"/>
      <c r="M361" s="22"/>
      <c r="N361" s="22"/>
      <c r="O361" s="22"/>
      <c r="P361" s="22"/>
      <c r="Q361" s="22"/>
      <c r="R361" s="22"/>
    </row>
    <row r="362">
      <c r="A362" s="20">
        <v>43164.50598844908</v>
      </c>
      <c r="B362" s="21" t="s">
        <v>188</v>
      </c>
      <c r="C362" s="21" t="s">
        <v>353</v>
      </c>
      <c r="D362" s="21" t="s">
        <v>31</v>
      </c>
      <c r="E362" s="21">
        <v>185.0</v>
      </c>
      <c r="F362" s="21" t="s">
        <v>354</v>
      </c>
      <c r="G362" s="21">
        <v>3.0</v>
      </c>
      <c r="H362" s="21">
        <v>1.0</v>
      </c>
      <c r="I362" s="21">
        <v>130000.0</v>
      </c>
      <c r="J362" s="21">
        <v>350000.0</v>
      </c>
      <c r="K362" s="21">
        <v>20000.0</v>
      </c>
      <c r="L362" s="21" t="s">
        <v>355</v>
      </c>
      <c r="M362" s="23"/>
      <c r="N362" s="23"/>
      <c r="O362" s="23"/>
      <c r="P362" s="23"/>
      <c r="Q362" s="23"/>
      <c r="R362" s="23"/>
    </row>
    <row r="363">
      <c r="A363" s="20">
        <v>43164.815223425925</v>
      </c>
      <c r="B363" s="21" t="s">
        <v>356</v>
      </c>
      <c r="C363" s="21" t="s">
        <v>166</v>
      </c>
      <c r="D363" s="21" t="s">
        <v>31</v>
      </c>
      <c r="E363" s="21">
        <v>410.0</v>
      </c>
      <c r="F363" s="21" t="s">
        <v>63</v>
      </c>
      <c r="G363" s="21">
        <v>8.0</v>
      </c>
      <c r="H363" s="21">
        <v>2.0</v>
      </c>
      <c r="I363" s="21">
        <v>188.0</v>
      </c>
      <c r="J363" s="21">
        <v>220.0</v>
      </c>
      <c r="K363" s="21">
        <v>30.0</v>
      </c>
      <c r="L363" s="22"/>
      <c r="M363" s="22"/>
      <c r="N363" s="22"/>
      <c r="O363" s="22"/>
      <c r="P363" s="22"/>
      <c r="Q363" s="22"/>
      <c r="R363" s="22"/>
    </row>
    <row r="364">
      <c r="A364" s="20">
        <v>43164.89184762731</v>
      </c>
      <c r="B364" s="21" t="s">
        <v>357</v>
      </c>
      <c r="C364" s="21" t="s">
        <v>31</v>
      </c>
      <c r="D364" s="21" t="s">
        <v>31</v>
      </c>
      <c r="E364" s="21">
        <v>137.33</v>
      </c>
      <c r="F364" s="21" t="s">
        <v>199</v>
      </c>
      <c r="G364" s="21">
        <v>0.0</v>
      </c>
      <c r="H364" s="21">
        <v>0.0</v>
      </c>
      <c r="I364" s="21">
        <v>120000.0</v>
      </c>
      <c r="J364" s="21">
        <v>16000.0</v>
      </c>
      <c r="K364" s="21">
        <v>12000.0</v>
      </c>
      <c r="L364" s="21" t="s">
        <v>358</v>
      </c>
      <c r="M364" s="23"/>
      <c r="N364" s="23"/>
      <c r="O364" s="23"/>
      <c r="P364" s="23"/>
      <c r="Q364" s="23"/>
      <c r="R364" s="23"/>
    </row>
    <row r="365">
      <c r="A365" s="25">
        <v>43165.41358054398</v>
      </c>
      <c r="B365" s="26" t="s">
        <v>33</v>
      </c>
      <c r="C365" s="26" t="s">
        <v>359</v>
      </c>
      <c r="D365" s="26" t="s">
        <v>31</v>
      </c>
      <c r="E365" s="26">
        <v>330.0</v>
      </c>
      <c r="F365" s="26" t="s">
        <v>104</v>
      </c>
      <c r="G365" s="26">
        <v>10.0</v>
      </c>
      <c r="H365" s="26">
        <v>5.0</v>
      </c>
      <c r="I365" s="26">
        <v>185000.0</v>
      </c>
      <c r="J365" s="26">
        <v>145000.0</v>
      </c>
      <c r="M365" s="22"/>
      <c r="N365" s="22"/>
      <c r="O365" s="22"/>
      <c r="P365" s="22"/>
      <c r="Q365" s="22"/>
      <c r="R365" s="22"/>
    </row>
    <row r="366">
      <c r="A366" s="25">
        <v>43165.71204135417</v>
      </c>
      <c r="B366" s="26" t="s">
        <v>33</v>
      </c>
      <c r="C366" s="26" t="s">
        <v>43</v>
      </c>
      <c r="D366" s="26" t="s">
        <v>31</v>
      </c>
      <c r="E366" s="26">
        <v>164.0</v>
      </c>
      <c r="F366" s="26" t="s">
        <v>360</v>
      </c>
      <c r="G366" s="26">
        <v>6.0</v>
      </c>
      <c r="H366" s="26">
        <v>1.0</v>
      </c>
      <c r="I366" s="26">
        <v>136400.0</v>
      </c>
      <c r="J366" s="26">
        <v>90000.0</v>
      </c>
      <c r="K366" s="26">
        <v>25000.0</v>
      </c>
      <c r="L366" s="26" t="s">
        <v>361</v>
      </c>
      <c r="M366" s="23"/>
      <c r="N366" s="23"/>
      <c r="O366" s="23"/>
      <c r="P366" s="23"/>
      <c r="Q366" s="23"/>
      <c r="R366" s="23"/>
    </row>
    <row r="367">
      <c r="A367" s="25">
        <v>43165.73188306713</v>
      </c>
      <c r="B367" s="26" t="s">
        <v>40</v>
      </c>
      <c r="C367" s="26">
        <v>62.0</v>
      </c>
      <c r="D367" s="26" t="s">
        <v>31</v>
      </c>
      <c r="E367" s="26">
        <v>182.0</v>
      </c>
      <c r="F367" s="26" t="s">
        <v>52</v>
      </c>
      <c r="G367" s="26">
        <v>5.0</v>
      </c>
      <c r="H367" s="26">
        <v>5.0</v>
      </c>
      <c r="I367" s="26">
        <v>136.0</v>
      </c>
      <c r="J367" s="26">
        <v>8.0</v>
      </c>
      <c r="K367" s="26">
        <v>15.0</v>
      </c>
      <c r="M367" s="22"/>
      <c r="N367" s="22"/>
      <c r="O367" s="22"/>
      <c r="P367" s="22"/>
      <c r="Q367" s="22"/>
      <c r="R367" s="22"/>
    </row>
    <row r="368">
      <c r="A368" s="25">
        <v>43165.784929201385</v>
      </c>
      <c r="B368" s="26" t="s">
        <v>33</v>
      </c>
      <c r="C368" s="26" t="s">
        <v>73</v>
      </c>
      <c r="D368" s="26" t="s">
        <v>31</v>
      </c>
      <c r="E368" s="26">
        <v>145.0</v>
      </c>
      <c r="F368" s="26" t="s">
        <v>362</v>
      </c>
      <c r="G368" s="26">
        <v>3.0</v>
      </c>
      <c r="H368" s="26">
        <v>0.6</v>
      </c>
      <c r="I368" s="26">
        <v>12000.0</v>
      </c>
      <c r="J368" s="26">
        <v>5000.0</v>
      </c>
      <c r="K368" s="26">
        <v>20000.0</v>
      </c>
      <c r="M368" s="22"/>
      <c r="N368" s="22"/>
      <c r="O368" s="22"/>
      <c r="P368" s="22"/>
      <c r="Q368" s="22"/>
      <c r="R368" s="22"/>
    </row>
    <row r="369">
      <c r="A369" s="25">
        <v>43165.83510509259</v>
      </c>
      <c r="B369" s="26" t="s">
        <v>45</v>
      </c>
      <c r="C369" s="26" t="s">
        <v>116</v>
      </c>
      <c r="D369" s="26" t="s">
        <v>31</v>
      </c>
      <c r="E369" s="26">
        <v>259.0</v>
      </c>
      <c r="F369" s="26" t="s">
        <v>104</v>
      </c>
      <c r="G369" s="26">
        <v>14.0</v>
      </c>
      <c r="H369" s="26">
        <v>1.0</v>
      </c>
      <c r="I369" s="26">
        <v>179.0</v>
      </c>
      <c r="J369" s="26">
        <v>60.0</v>
      </c>
      <c r="K369" s="26">
        <v>20.0</v>
      </c>
      <c r="M369" s="22"/>
      <c r="N369" s="22"/>
      <c r="O369" s="22"/>
      <c r="P369" s="22"/>
      <c r="Q369" s="22"/>
      <c r="R369" s="22"/>
    </row>
    <row r="370">
      <c r="A370" s="25">
        <v>43165.88311388889</v>
      </c>
      <c r="B370" s="26" t="s">
        <v>48</v>
      </c>
      <c r="C370" s="26" t="s">
        <v>166</v>
      </c>
      <c r="D370" s="26" t="s">
        <v>31</v>
      </c>
      <c r="E370" s="26">
        <v>360.0</v>
      </c>
      <c r="F370" s="26" t="s">
        <v>35</v>
      </c>
      <c r="G370" s="26">
        <v>10.0</v>
      </c>
      <c r="H370" s="26">
        <v>1.0</v>
      </c>
      <c r="I370" s="26">
        <v>190000.0</v>
      </c>
      <c r="J370" s="26">
        <v>400000.0</v>
      </c>
      <c r="M370" s="22"/>
      <c r="N370" s="22"/>
      <c r="O370" s="22"/>
      <c r="P370" s="22"/>
      <c r="Q370" s="22"/>
      <c r="R370" s="22"/>
    </row>
    <row r="371">
      <c r="A371" s="25">
        <v>43166.517434988426</v>
      </c>
      <c r="B371" s="26" t="s">
        <v>33</v>
      </c>
      <c r="C371" s="26" t="s">
        <v>43</v>
      </c>
      <c r="D371" s="26" t="s">
        <v>31</v>
      </c>
      <c r="E371" s="26">
        <v>192.0</v>
      </c>
      <c r="F371" s="26" t="s">
        <v>35</v>
      </c>
      <c r="G371" s="26">
        <v>12.0</v>
      </c>
      <c r="H371" s="26">
        <v>1.0</v>
      </c>
      <c r="I371" s="26">
        <v>145000.0</v>
      </c>
      <c r="J371" s="26">
        <v>240000.0</v>
      </c>
      <c r="K371" s="26">
        <v>80000.0</v>
      </c>
      <c r="M371" s="22"/>
      <c r="N371" s="22"/>
      <c r="O371" s="22"/>
      <c r="P371" s="22"/>
      <c r="Q371" s="22"/>
      <c r="R371" s="22"/>
    </row>
    <row r="372">
      <c r="A372" s="25">
        <v>43166.84323846065</v>
      </c>
      <c r="B372" s="26" t="s">
        <v>202</v>
      </c>
      <c r="C372" s="26">
        <v>63.0</v>
      </c>
      <c r="D372" s="26" t="s">
        <v>31</v>
      </c>
      <c r="E372" s="26">
        <v>220.0</v>
      </c>
      <c r="F372" s="26" t="s">
        <v>363</v>
      </c>
      <c r="G372" s="26">
        <v>10.0</v>
      </c>
      <c r="H372" s="26">
        <v>5.0</v>
      </c>
      <c r="M372" s="22"/>
      <c r="N372" s="22"/>
      <c r="O372" s="22"/>
      <c r="P372" s="22"/>
      <c r="Q372" s="22"/>
      <c r="R372" s="22"/>
    </row>
    <row r="373">
      <c r="A373" s="25">
        <v>43166.871845092595</v>
      </c>
      <c r="B373" s="26" t="s">
        <v>356</v>
      </c>
      <c r="C373" s="26" t="s">
        <v>364</v>
      </c>
      <c r="D373" s="26" t="s">
        <v>31</v>
      </c>
      <c r="E373" s="26">
        <v>440.0</v>
      </c>
      <c r="F373" s="26" t="s">
        <v>365</v>
      </c>
      <c r="G373" s="26">
        <v>10.0</v>
      </c>
      <c r="H373" s="26">
        <v>1.0</v>
      </c>
      <c r="I373" s="26">
        <v>200.0</v>
      </c>
      <c r="J373" s="26">
        <v>200.0</v>
      </c>
      <c r="K373" s="26">
        <v>40.0</v>
      </c>
      <c r="M373" s="22"/>
      <c r="N373" s="22"/>
      <c r="O373" s="22"/>
      <c r="P373" s="22"/>
      <c r="Q373" s="22"/>
      <c r="R373" s="22"/>
    </row>
    <row r="374">
      <c r="A374" s="25">
        <v>43166.982123483795</v>
      </c>
      <c r="B374" s="26" t="s">
        <v>268</v>
      </c>
      <c r="C374" s="26" t="s">
        <v>366</v>
      </c>
      <c r="D374" s="26" t="s">
        <v>31</v>
      </c>
      <c r="E374" s="26">
        <v>170.0</v>
      </c>
      <c r="F374" s="26" t="s">
        <v>238</v>
      </c>
      <c r="G374" s="26">
        <v>9.0</v>
      </c>
      <c r="H374" s="26">
        <v>1.0</v>
      </c>
      <c r="I374" s="26">
        <v>145.0</v>
      </c>
      <c r="K374" s="26">
        <v>30.0</v>
      </c>
      <c r="L374" s="26" t="s">
        <v>367</v>
      </c>
      <c r="M374" s="23"/>
      <c r="N374" s="23"/>
      <c r="O374" s="23"/>
      <c r="P374" s="23"/>
      <c r="Q374" s="23"/>
      <c r="R374" s="23"/>
    </row>
    <row r="375">
      <c r="A375" s="25">
        <v>43167.00340746528</v>
      </c>
      <c r="B375" s="26" t="s">
        <v>105</v>
      </c>
      <c r="C375" s="26" t="s">
        <v>106</v>
      </c>
      <c r="D375" s="26" t="s">
        <v>31</v>
      </c>
      <c r="E375" s="26">
        <v>163.0</v>
      </c>
      <c r="F375" s="26" t="s">
        <v>63</v>
      </c>
      <c r="G375" s="26">
        <v>9.0</v>
      </c>
      <c r="H375" s="26">
        <v>3.5</v>
      </c>
      <c r="I375" s="26">
        <v>130000.0</v>
      </c>
      <c r="J375" s="26">
        <v>20000.0</v>
      </c>
      <c r="K375" s="26">
        <v>15500.0</v>
      </c>
      <c r="M375" s="22"/>
      <c r="N375" s="22"/>
      <c r="O375" s="22"/>
      <c r="P375" s="22"/>
      <c r="Q375" s="22"/>
      <c r="R375" s="22"/>
    </row>
    <row r="376">
      <c r="A376" s="25">
        <v>43167.22027049768</v>
      </c>
      <c r="B376" s="26" t="s">
        <v>45</v>
      </c>
      <c r="C376" s="26" t="s">
        <v>116</v>
      </c>
      <c r="D376" s="26" t="s">
        <v>31</v>
      </c>
      <c r="E376" s="26">
        <v>280.0</v>
      </c>
      <c r="F376" s="26" t="s">
        <v>134</v>
      </c>
      <c r="G376" s="26">
        <v>11.0</v>
      </c>
      <c r="H376" s="26">
        <v>3.0</v>
      </c>
      <c r="I376" s="26">
        <v>180000.0</v>
      </c>
      <c r="J376" s="26">
        <v>80000.0</v>
      </c>
      <c r="K376" s="26">
        <v>20000.0</v>
      </c>
      <c r="M376" s="22"/>
      <c r="N376" s="22"/>
      <c r="O376" s="22"/>
      <c r="P376" s="22"/>
      <c r="Q376" s="22"/>
      <c r="R376" s="22"/>
    </row>
    <row r="377">
      <c r="A377" s="25">
        <v>43167.22153304398</v>
      </c>
      <c r="B377" s="26" t="s">
        <v>25</v>
      </c>
      <c r="C377" s="26" t="s">
        <v>78</v>
      </c>
      <c r="D377" s="26" t="s">
        <v>31</v>
      </c>
      <c r="E377" s="26">
        <v>300.0</v>
      </c>
      <c r="F377" s="26" t="s">
        <v>63</v>
      </c>
      <c r="G377" s="26">
        <v>10.0</v>
      </c>
      <c r="H377" s="26">
        <v>1.0</v>
      </c>
      <c r="M377" s="22"/>
      <c r="N377" s="22"/>
      <c r="O377" s="22"/>
      <c r="P377" s="22"/>
      <c r="Q377" s="22"/>
      <c r="R377" s="22"/>
    </row>
    <row r="378">
      <c r="A378" s="25">
        <v>43167.5209678588</v>
      </c>
      <c r="B378" s="26" t="s">
        <v>368</v>
      </c>
      <c r="C378" s="26" t="s">
        <v>369</v>
      </c>
      <c r="D378" s="26" t="s">
        <v>27</v>
      </c>
      <c r="E378" s="26">
        <v>350.0</v>
      </c>
      <c r="F378" s="26" t="s">
        <v>32</v>
      </c>
      <c r="G378" s="26">
        <v>10.0</v>
      </c>
      <c r="H378" s="26">
        <v>3.0</v>
      </c>
      <c r="I378" s="26">
        <v>160.0</v>
      </c>
      <c r="J378" s="26">
        <v>190.0</v>
      </c>
      <c r="M378" s="22"/>
      <c r="N378" s="22"/>
      <c r="O378" s="22"/>
      <c r="P378" s="22"/>
      <c r="Q378" s="22"/>
      <c r="R378" s="22"/>
    </row>
    <row r="379">
      <c r="A379" s="25">
        <v>43167.588353935185</v>
      </c>
      <c r="B379" s="26" t="s">
        <v>263</v>
      </c>
      <c r="C379" s="26" t="s">
        <v>125</v>
      </c>
      <c r="D379" s="26" t="s">
        <v>41</v>
      </c>
      <c r="E379" s="26">
        <v>320.0</v>
      </c>
      <c r="F379" s="26" t="s">
        <v>370</v>
      </c>
      <c r="G379" s="26">
        <v>9.0</v>
      </c>
      <c r="H379" s="26">
        <v>5.0</v>
      </c>
      <c r="I379" s="26">
        <v>165.0</v>
      </c>
      <c r="J379" s="26">
        <v>140.0</v>
      </c>
      <c r="K379" s="26">
        <v>16.5</v>
      </c>
      <c r="M379" s="22"/>
      <c r="N379" s="22"/>
      <c r="O379" s="22"/>
      <c r="P379" s="22"/>
      <c r="Q379" s="22"/>
      <c r="R379" s="22"/>
    </row>
    <row r="380">
      <c r="A380" s="25">
        <v>43167.6250978125</v>
      </c>
      <c r="B380" s="26" t="s">
        <v>371</v>
      </c>
      <c r="C380" s="26" t="s">
        <v>372</v>
      </c>
      <c r="D380" s="26" t="s">
        <v>31</v>
      </c>
      <c r="E380" s="26">
        <v>175.0</v>
      </c>
      <c r="F380" s="26" t="s">
        <v>373</v>
      </c>
      <c r="G380" s="26">
        <v>8.0</v>
      </c>
      <c r="H380" s="26">
        <v>8.0</v>
      </c>
      <c r="I380" s="26">
        <v>142.0</v>
      </c>
      <c r="J380" s="26">
        <v>20.0</v>
      </c>
      <c r="K380" s="26">
        <v>12.0</v>
      </c>
      <c r="M380" s="22"/>
      <c r="N380" s="22"/>
      <c r="O380" s="22"/>
      <c r="P380" s="22"/>
      <c r="Q380" s="22"/>
      <c r="R380" s="22"/>
    </row>
    <row r="381">
      <c r="A381" s="25">
        <v>43167.9452790162</v>
      </c>
      <c r="B381" s="26" t="s">
        <v>40</v>
      </c>
      <c r="C381" s="26" t="s">
        <v>374</v>
      </c>
      <c r="D381" s="26" t="s">
        <v>27</v>
      </c>
      <c r="E381" s="26">
        <v>232.0</v>
      </c>
      <c r="F381" s="26" t="s">
        <v>35</v>
      </c>
      <c r="G381" s="26">
        <v>5.0</v>
      </c>
      <c r="H381" s="26">
        <v>5.0</v>
      </c>
      <c r="I381" s="26">
        <v>161000.0</v>
      </c>
      <c r="J381" s="26">
        <v>34000.0</v>
      </c>
      <c r="K381" s="26">
        <v>36800.0</v>
      </c>
      <c r="M381" s="22"/>
      <c r="N381" s="22"/>
      <c r="O381" s="22"/>
      <c r="P381" s="22"/>
      <c r="Q381" s="22"/>
      <c r="R381" s="22"/>
    </row>
    <row r="382">
      <c r="A382" s="25">
        <v>43168.38569943287</v>
      </c>
      <c r="B382" s="26" t="s">
        <v>33</v>
      </c>
      <c r="C382" s="26" t="s">
        <v>34</v>
      </c>
      <c r="D382" s="26" t="s">
        <v>27</v>
      </c>
      <c r="E382" s="26">
        <v>430.0</v>
      </c>
      <c r="F382" s="26" t="s">
        <v>58</v>
      </c>
      <c r="G382" s="26">
        <v>20.0</v>
      </c>
      <c r="H382" s="26">
        <v>0.0</v>
      </c>
      <c r="L382" s="26" t="s">
        <v>375</v>
      </c>
      <c r="M382" s="23"/>
      <c r="N382" s="23"/>
      <c r="O382" s="23"/>
      <c r="P382" s="23"/>
      <c r="Q382" s="23"/>
      <c r="R382" s="23"/>
    </row>
    <row r="383">
      <c r="A383" s="25">
        <v>43169.37226743056</v>
      </c>
      <c r="B383" s="26" t="s">
        <v>95</v>
      </c>
      <c r="C383" s="26" t="s">
        <v>37</v>
      </c>
      <c r="D383" s="26" t="s">
        <v>41</v>
      </c>
      <c r="E383" s="26">
        <v>550.0</v>
      </c>
      <c r="F383" s="26" t="s">
        <v>376</v>
      </c>
      <c r="G383" s="26">
        <v>15.0</v>
      </c>
      <c r="H383" s="26">
        <v>7.0</v>
      </c>
      <c r="I383" s="26">
        <v>550.0</v>
      </c>
      <c r="M383" s="22"/>
      <c r="N383" s="22"/>
      <c r="O383" s="22"/>
      <c r="P383" s="22"/>
      <c r="Q383" s="22"/>
      <c r="R383" s="22"/>
    </row>
    <row r="384">
      <c r="A384" s="25">
        <v>43170.061273935185</v>
      </c>
      <c r="B384" s="26" t="s">
        <v>146</v>
      </c>
      <c r="C384" s="26" t="s">
        <v>31</v>
      </c>
      <c r="D384" s="26" t="s">
        <v>31</v>
      </c>
      <c r="E384" s="26">
        <v>246.0</v>
      </c>
      <c r="F384" s="26" t="s">
        <v>58</v>
      </c>
      <c r="G384" s="26">
        <v>2.0</v>
      </c>
      <c r="H384" s="26">
        <v>2.0</v>
      </c>
      <c r="I384" s="26">
        <v>142.0</v>
      </c>
      <c r="J384" s="26">
        <v>88.0</v>
      </c>
      <c r="K384" s="26">
        <v>14.0</v>
      </c>
      <c r="M384" s="22"/>
      <c r="N384" s="22"/>
      <c r="O384" s="22"/>
      <c r="P384" s="22"/>
      <c r="Q384" s="22"/>
      <c r="R384" s="22"/>
    </row>
    <row r="385">
      <c r="A385" s="25">
        <v>43170.51335616898</v>
      </c>
      <c r="B385" s="26" t="s">
        <v>80</v>
      </c>
      <c r="C385" s="26" t="s">
        <v>62</v>
      </c>
      <c r="D385" s="26" t="s">
        <v>41</v>
      </c>
      <c r="E385" s="26">
        <v>400.0</v>
      </c>
      <c r="F385" s="26" t="s">
        <v>100</v>
      </c>
      <c r="G385" s="26">
        <v>20.0</v>
      </c>
      <c r="H385" s="26">
        <v>11.0</v>
      </c>
      <c r="I385" s="26">
        <v>120.0</v>
      </c>
      <c r="J385" s="26">
        <v>310.0</v>
      </c>
      <c r="K385" s="26">
        <v>30.0</v>
      </c>
      <c r="M385" s="22"/>
      <c r="N385" s="22"/>
      <c r="O385" s="22"/>
      <c r="P385" s="22"/>
      <c r="Q385" s="22"/>
      <c r="R385" s="22"/>
    </row>
    <row r="386">
      <c r="A386" s="25">
        <v>43170.51400869213</v>
      </c>
      <c r="B386" s="26" t="s">
        <v>80</v>
      </c>
      <c r="C386" s="26">
        <v>5.0</v>
      </c>
      <c r="D386" s="26" t="s">
        <v>31</v>
      </c>
      <c r="E386" s="26">
        <v>260.0</v>
      </c>
      <c r="F386" s="26" t="s">
        <v>100</v>
      </c>
      <c r="G386" s="26">
        <v>17.0</v>
      </c>
      <c r="H386" s="26">
        <v>9.0</v>
      </c>
      <c r="I386" s="26">
        <v>120.0</v>
      </c>
      <c r="J386" s="26">
        <v>115.0</v>
      </c>
      <c r="K386" s="26">
        <v>25.0</v>
      </c>
      <c r="M386" s="22"/>
      <c r="N386" s="22"/>
      <c r="O386" s="22"/>
      <c r="P386" s="22"/>
      <c r="Q386" s="22"/>
      <c r="R386" s="22"/>
    </row>
    <row r="387">
      <c r="A387" s="25">
        <v>43170.51619945602</v>
      </c>
      <c r="B387" s="26" t="s">
        <v>48</v>
      </c>
      <c r="C387" s="26" t="s">
        <v>62</v>
      </c>
      <c r="D387" s="26" t="s">
        <v>41</v>
      </c>
      <c r="E387" s="26">
        <v>460.0</v>
      </c>
      <c r="F387" s="26" t="s">
        <v>100</v>
      </c>
      <c r="G387" s="26">
        <v>19.0</v>
      </c>
      <c r="H387" s="26">
        <v>1.0</v>
      </c>
      <c r="I387" s="26">
        <v>140.0</v>
      </c>
      <c r="J387" s="26">
        <v>290.0</v>
      </c>
      <c r="K387" s="26">
        <v>30.0</v>
      </c>
      <c r="L387" s="26" t="s">
        <v>377</v>
      </c>
      <c r="M387" s="23"/>
      <c r="N387" s="23"/>
      <c r="O387" s="23"/>
      <c r="P387" s="23"/>
      <c r="Q387" s="23"/>
      <c r="R387" s="23"/>
    </row>
    <row r="388">
      <c r="A388" s="25">
        <v>43170.517729722225</v>
      </c>
      <c r="B388" s="26" t="s">
        <v>378</v>
      </c>
      <c r="C388" s="26" t="s">
        <v>37</v>
      </c>
      <c r="D388" s="26" t="s">
        <v>31</v>
      </c>
      <c r="E388" s="26">
        <v>170.0</v>
      </c>
      <c r="F388" s="26" t="s">
        <v>100</v>
      </c>
      <c r="G388" s="26">
        <v>18.0</v>
      </c>
      <c r="H388" s="26">
        <v>1.0</v>
      </c>
      <c r="I388" s="26">
        <v>120.0</v>
      </c>
      <c r="J388" s="26">
        <v>50.0</v>
      </c>
      <c r="L388" s="26" t="s">
        <v>379</v>
      </c>
      <c r="M388" s="23"/>
      <c r="N388" s="23"/>
      <c r="O388" s="23"/>
      <c r="P388" s="23"/>
      <c r="Q388" s="23"/>
      <c r="R388" s="23"/>
    </row>
    <row r="389">
      <c r="A389" s="25">
        <v>43170.52246309028</v>
      </c>
      <c r="B389" s="26" t="s">
        <v>380</v>
      </c>
      <c r="C389" s="26" t="s">
        <v>381</v>
      </c>
      <c r="D389" s="26" t="s">
        <v>31</v>
      </c>
      <c r="E389" s="26">
        <v>110.0</v>
      </c>
      <c r="F389" s="26" t="s">
        <v>100</v>
      </c>
      <c r="G389" s="26">
        <v>8.0</v>
      </c>
      <c r="H389" s="26">
        <v>1.5</v>
      </c>
      <c r="I389" s="26">
        <v>75000.0</v>
      </c>
      <c r="J389" s="26">
        <v>30000.0</v>
      </c>
      <c r="K389" s="26">
        <v>5000.0</v>
      </c>
      <c r="M389" s="22"/>
      <c r="N389" s="22"/>
      <c r="O389" s="22"/>
      <c r="P389" s="22"/>
      <c r="Q389" s="22"/>
      <c r="R389" s="22"/>
    </row>
    <row r="390">
      <c r="A390" s="25">
        <v>43170.89549137732</v>
      </c>
      <c r="B390" s="26" t="s">
        <v>80</v>
      </c>
      <c r="C390" s="26" t="s">
        <v>43</v>
      </c>
      <c r="D390" s="26" t="s">
        <v>31</v>
      </c>
      <c r="E390" s="26">
        <v>380.0</v>
      </c>
      <c r="F390" s="26" t="s">
        <v>382</v>
      </c>
      <c r="G390" s="26">
        <v>9.0</v>
      </c>
      <c r="H390" s="26">
        <v>8.0</v>
      </c>
      <c r="I390" s="26">
        <v>190000.0</v>
      </c>
      <c r="J390" s="26">
        <v>160000.0</v>
      </c>
      <c r="K390" s="26">
        <v>30000.0</v>
      </c>
      <c r="M390" s="22"/>
      <c r="N390" s="22"/>
      <c r="O390" s="22"/>
      <c r="P390" s="22"/>
      <c r="Q390" s="22"/>
      <c r="R390" s="22"/>
    </row>
    <row r="391">
      <c r="A391" s="25">
        <v>43171.85372050926</v>
      </c>
      <c r="B391" s="26" t="s">
        <v>383</v>
      </c>
      <c r="C391" s="26">
        <v>2.0</v>
      </c>
      <c r="D391" s="26" t="s">
        <v>31</v>
      </c>
      <c r="E391" s="26">
        <v>94.0</v>
      </c>
      <c r="F391" s="26" t="s">
        <v>161</v>
      </c>
      <c r="G391" s="26">
        <v>1.0</v>
      </c>
      <c r="H391" s="26">
        <v>1.0</v>
      </c>
      <c r="I391" s="26">
        <v>86000.0</v>
      </c>
      <c r="K391" s="26">
        <v>7000.0</v>
      </c>
      <c r="M391" s="22"/>
      <c r="N391" s="22"/>
      <c r="O391" s="22"/>
      <c r="P391" s="22"/>
      <c r="Q391" s="22"/>
      <c r="R391" s="22"/>
    </row>
    <row r="392">
      <c r="A392" s="25">
        <v>43172.05653253473</v>
      </c>
      <c r="B392" s="26" t="s">
        <v>33</v>
      </c>
      <c r="C392" s="26" t="s">
        <v>73</v>
      </c>
      <c r="D392" s="26" t="s">
        <v>31</v>
      </c>
      <c r="E392" s="26">
        <v>140.0</v>
      </c>
      <c r="F392" s="26" t="s">
        <v>35</v>
      </c>
      <c r="G392" s="26">
        <v>5.0</v>
      </c>
      <c r="H392" s="26">
        <v>0.0</v>
      </c>
      <c r="I392" s="26">
        <v>110000.0</v>
      </c>
      <c r="K392" s="26">
        <v>27000.0</v>
      </c>
      <c r="M392" s="22"/>
      <c r="N392" s="22"/>
      <c r="O392" s="22"/>
      <c r="P392" s="22"/>
      <c r="Q392" s="22"/>
      <c r="R392" s="22"/>
    </row>
    <row r="393">
      <c r="A393" s="25">
        <v>43172.270060173614</v>
      </c>
      <c r="B393" s="26" t="s">
        <v>48</v>
      </c>
      <c r="C393" s="26" t="s">
        <v>49</v>
      </c>
      <c r="D393" s="26" t="s">
        <v>31</v>
      </c>
      <c r="E393" s="26">
        <v>320.0</v>
      </c>
      <c r="F393" s="26" t="s">
        <v>32</v>
      </c>
      <c r="G393" s="26">
        <v>1.0</v>
      </c>
      <c r="H393" s="26">
        <v>1.0</v>
      </c>
      <c r="M393" s="22"/>
      <c r="N393" s="22"/>
      <c r="O393" s="22"/>
      <c r="P393" s="22"/>
      <c r="Q393" s="22"/>
      <c r="R393" s="22"/>
    </row>
    <row r="394">
      <c r="A394" s="25">
        <v>43172.76208883102</v>
      </c>
      <c r="B394" s="26" t="s">
        <v>146</v>
      </c>
      <c r="C394" s="26" t="s">
        <v>37</v>
      </c>
      <c r="D394" s="26" t="s">
        <v>31</v>
      </c>
      <c r="E394" s="26">
        <v>314.0</v>
      </c>
      <c r="F394" s="26" t="s">
        <v>47</v>
      </c>
      <c r="G394" s="26">
        <v>8.0</v>
      </c>
      <c r="H394" s="26">
        <v>1.0</v>
      </c>
      <c r="I394" s="26">
        <v>190.0</v>
      </c>
      <c r="J394" s="26">
        <v>105.0</v>
      </c>
      <c r="K394" s="26">
        <v>19.0</v>
      </c>
      <c r="M394" s="22"/>
      <c r="N394" s="22"/>
      <c r="O394" s="22"/>
      <c r="P394" s="22"/>
      <c r="Q394" s="22"/>
      <c r="R394" s="22"/>
    </row>
    <row r="395">
      <c r="A395" s="25">
        <v>43172.86315885417</v>
      </c>
      <c r="B395" s="26" t="s">
        <v>40</v>
      </c>
      <c r="C395" s="26">
        <v>62.0</v>
      </c>
      <c r="D395" s="26" t="s">
        <v>31</v>
      </c>
      <c r="E395" s="26">
        <v>194.0</v>
      </c>
      <c r="F395" s="26" t="s">
        <v>35</v>
      </c>
      <c r="G395" s="26">
        <v>5.0</v>
      </c>
      <c r="H395" s="26">
        <v>5.0</v>
      </c>
      <c r="I395" s="26">
        <v>140405.0</v>
      </c>
      <c r="J395" s="26">
        <v>50000.0</v>
      </c>
      <c r="K395" s="26">
        <v>20000.0</v>
      </c>
      <c r="L395" s="26" t="s">
        <v>384</v>
      </c>
      <c r="M395" s="23"/>
      <c r="N395" s="23"/>
      <c r="O395" s="23"/>
      <c r="P395" s="23"/>
      <c r="Q395" s="23"/>
      <c r="R395" s="23"/>
    </row>
    <row r="396">
      <c r="A396" s="25">
        <v>43173.64098454861</v>
      </c>
      <c r="B396" s="26" t="s">
        <v>80</v>
      </c>
      <c r="C396" s="26" t="s">
        <v>43</v>
      </c>
      <c r="D396" s="26" t="s">
        <v>31</v>
      </c>
      <c r="E396" s="26">
        <v>395.0</v>
      </c>
      <c r="F396" s="26" t="s">
        <v>199</v>
      </c>
      <c r="G396" s="26">
        <v>7.0</v>
      </c>
      <c r="H396" s="26">
        <v>1.0</v>
      </c>
      <c r="I396" s="26">
        <v>190.0</v>
      </c>
      <c r="J396" s="26">
        <v>175.0</v>
      </c>
      <c r="K396" s="26">
        <v>60.0</v>
      </c>
      <c r="M396" s="22"/>
      <c r="N396" s="22"/>
      <c r="O396" s="22"/>
      <c r="P396" s="22"/>
      <c r="Q396" s="22"/>
      <c r="R396" s="22"/>
    </row>
    <row r="397">
      <c r="A397" s="25">
        <v>43173.71343321759</v>
      </c>
      <c r="B397" s="26" t="s">
        <v>256</v>
      </c>
      <c r="C397" s="26" t="s">
        <v>43</v>
      </c>
      <c r="D397" s="26" t="s">
        <v>27</v>
      </c>
      <c r="E397" s="26">
        <v>350.0</v>
      </c>
      <c r="F397" s="26" t="s">
        <v>58</v>
      </c>
      <c r="G397" s="26">
        <v>10.0</v>
      </c>
      <c r="H397" s="26">
        <v>2.0</v>
      </c>
      <c r="I397" s="26">
        <v>200.0</v>
      </c>
      <c r="J397" s="26">
        <v>100.0</v>
      </c>
      <c r="K397" s="26">
        <v>50.0</v>
      </c>
      <c r="M397" s="22"/>
      <c r="N397" s="22"/>
      <c r="O397" s="22"/>
      <c r="P397" s="22"/>
      <c r="Q397" s="22"/>
      <c r="R397" s="22"/>
    </row>
    <row r="398">
      <c r="A398" s="25">
        <v>43174.332406608795</v>
      </c>
      <c r="B398" s="26" t="s">
        <v>80</v>
      </c>
      <c r="C398" s="26" t="s">
        <v>73</v>
      </c>
      <c r="D398" s="26" t="s">
        <v>31</v>
      </c>
      <c r="E398" s="26">
        <v>230.0</v>
      </c>
      <c r="F398" s="26" t="s">
        <v>63</v>
      </c>
      <c r="G398" s="26">
        <v>4.0</v>
      </c>
      <c r="H398" s="26">
        <v>2.0</v>
      </c>
      <c r="I398" s="26">
        <v>130.0</v>
      </c>
      <c r="J398" s="26">
        <v>72.0</v>
      </c>
      <c r="K398" s="26">
        <v>28.0</v>
      </c>
      <c r="M398" s="22"/>
      <c r="N398" s="22"/>
      <c r="O398" s="22"/>
      <c r="P398" s="22"/>
      <c r="Q398" s="22"/>
      <c r="R398" s="22"/>
    </row>
    <row r="399">
      <c r="A399" s="25">
        <v>43174.55166950231</v>
      </c>
      <c r="B399" s="26" t="s">
        <v>385</v>
      </c>
      <c r="C399" s="26" t="s">
        <v>70</v>
      </c>
      <c r="D399" s="26" t="s">
        <v>31</v>
      </c>
      <c r="E399" s="26">
        <v>600.0</v>
      </c>
      <c r="F399" s="26" t="s">
        <v>137</v>
      </c>
      <c r="G399" s="26">
        <v>7.0</v>
      </c>
      <c r="H399" s="26">
        <v>7.0</v>
      </c>
      <c r="I399" s="26">
        <v>230.0</v>
      </c>
      <c r="J399" s="26">
        <v>300.0</v>
      </c>
      <c r="K399" s="26">
        <v>40.0</v>
      </c>
      <c r="M399" s="22"/>
      <c r="N399" s="22"/>
      <c r="O399" s="22"/>
      <c r="P399" s="22"/>
      <c r="Q399" s="22"/>
      <c r="R399" s="22"/>
    </row>
    <row r="400">
      <c r="A400" s="25">
        <v>43174.922084571765</v>
      </c>
      <c r="B400" s="26" t="s">
        <v>48</v>
      </c>
      <c r="C400" s="26" t="s">
        <v>46</v>
      </c>
      <c r="D400" s="26" t="s">
        <v>41</v>
      </c>
      <c r="E400" s="26">
        <v>520.0</v>
      </c>
      <c r="F400" s="26" t="s">
        <v>63</v>
      </c>
      <c r="G400" s="26">
        <v>9.0</v>
      </c>
      <c r="H400" s="26">
        <v>0.0</v>
      </c>
      <c r="I400" s="26">
        <v>210.0</v>
      </c>
      <c r="J400" s="26">
        <v>200.0</v>
      </c>
      <c r="K400" s="26">
        <v>42.0</v>
      </c>
      <c r="M400" s="22"/>
      <c r="N400" s="22"/>
      <c r="O400" s="22"/>
      <c r="P400" s="22"/>
      <c r="Q400" s="22"/>
      <c r="R400" s="22"/>
    </row>
    <row r="401">
      <c r="A401" s="25">
        <v>43175.43205752315</v>
      </c>
      <c r="B401" s="26" t="s">
        <v>332</v>
      </c>
      <c r="C401" s="26" t="s">
        <v>386</v>
      </c>
      <c r="D401" s="26" t="s">
        <v>31</v>
      </c>
      <c r="E401" s="26">
        <v>377.0</v>
      </c>
      <c r="F401" s="26" t="s">
        <v>32</v>
      </c>
      <c r="G401" s="26">
        <v>10.0</v>
      </c>
      <c r="H401" s="26">
        <v>3.0</v>
      </c>
      <c r="I401" s="26">
        <v>230000.0</v>
      </c>
      <c r="J401" s="26">
        <v>90000.0</v>
      </c>
      <c r="K401" s="26">
        <v>70000.0</v>
      </c>
      <c r="M401" s="22"/>
      <c r="N401" s="22"/>
      <c r="O401" s="22"/>
      <c r="P401" s="22"/>
      <c r="Q401" s="22"/>
      <c r="R401" s="22"/>
    </row>
    <row r="402">
      <c r="A402" s="25">
        <v>43177.07763295139</v>
      </c>
      <c r="B402" s="26" t="s">
        <v>387</v>
      </c>
      <c r="C402" s="26" t="s">
        <v>388</v>
      </c>
      <c r="D402" s="26" t="s">
        <v>31</v>
      </c>
      <c r="E402" s="26">
        <v>168.0</v>
      </c>
      <c r="F402" s="26" t="s">
        <v>389</v>
      </c>
      <c r="G402" s="26">
        <v>3.0</v>
      </c>
      <c r="H402" s="26">
        <v>1.0</v>
      </c>
      <c r="I402" s="26">
        <v>130.0</v>
      </c>
      <c r="J402" s="26">
        <v>150.0</v>
      </c>
      <c r="L402" s="26" t="s">
        <v>390</v>
      </c>
      <c r="M402" s="23"/>
      <c r="N402" s="23"/>
      <c r="O402" s="23"/>
      <c r="P402" s="23"/>
      <c r="Q402" s="23"/>
      <c r="R402" s="23"/>
    </row>
    <row r="403">
      <c r="A403" s="25">
        <v>43177.43902521991</v>
      </c>
      <c r="B403" s="26" t="s">
        <v>40</v>
      </c>
      <c r="C403" s="26">
        <v>59.0</v>
      </c>
      <c r="D403" s="26" t="s">
        <v>31</v>
      </c>
      <c r="E403" s="26">
        <v>157.0</v>
      </c>
      <c r="F403" s="26" t="s">
        <v>75</v>
      </c>
      <c r="G403" s="26">
        <v>0.5</v>
      </c>
      <c r="H403" s="26">
        <v>0.5</v>
      </c>
      <c r="I403" s="26">
        <v>107.0</v>
      </c>
      <c r="J403" s="26">
        <v>38.0</v>
      </c>
      <c r="K403" s="26">
        <v>10.0</v>
      </c>
      <c r="M403" s="22"/>
      <c r="N403" s="22"/>
      <c r="O403" s="22"/>
      <c r="P403" s="22"/>
      <c r="Q403" s="22"/>
      <c r="R403" s="22"/>
    </row>
    <row r="404">
      <c r="A404" s="25">
        <v>43177.58061142361</v>
      </c>
      <c r="B404" s="26" t="s">
        <v>391</v>
      </c>
      <c r="C404" s="26" t="s">
        <v>392</v>
      </c>
      <c r="D404" s="26" t="s">
        <v>31</v>
      </c>
      <c r="E404" s="26">
        <v>165.0</v>
      </c>
      <c r="F404" s="26" t="s">
        <v>238</v>
      </c>
      <c r="G404" s="26">
        <v>2.0</v>
      </c>
      <c r="H404" s="26">
        <v>2.0</v>
      </c>
      <c r="I404" s="26">
        <v>135000.0</v>
      </c>
      <c r="J404" s="26">
        <v>40000.0</v>
      </c>
      <c r="K404" s="26">
        <v>16200.0</v>
      </c>
      <c r="L404" s="26" t="s">
        <v>393</v>
      </c>
      <c r="M404" s="23"/>
      <c r="N404" s="23"/>
      <c r="O404" s="23"/>
      <c r="P404" s="23"/>
      <c r="Q404" s="23"/>
      <c r="R404" s="23"/>
    </row>
    <row r="405">
      <c r="A405" s="25">
        <v>43177.64214146991</v>
      </c>
      <c r="B405" s="26" t="s">
        <v>25</v>
      </c>
      <c r="C405" s="26" t="s">
        <v>78</v>
      </c>
      <c r="D405" s="26" t="s">
        <v>31</v>
      </c>
      <c r="E405" s="26">
        <v>265.0</v>
      </c>
      <c r="F405" s="26" t="s">
        <v>133</v>
      </c>
      <c r="G405" s="26">
        <v>6.0</v>
      </c>
      <c r="H405" s="26">
        <v>1.0</v>
      </c>
      <c r="I405" s="26">
        <v>165000.0</v>
      </c>
      <c r="J405" s="26">
        <v>100000.0</v>
      </c>
      <c r="M405" s="22"/>
      <c r="N405" s="22"/>
      <c r="O405" s="22"/>
      <c r="P405" s="22"/>
      <c r="Q405" s="22"/>
      <c r="R405" s="22"/>
    </row>
    <row r="406">
      <c r="A406" s="25">
        <v>43178.412731006945</v>
      </c>
      <c r="B406" s="26" t="s">
        <v>40</v>
      </c>
      <c r="C406" s="26">
        <v>61.0</v>
      </c>
      <c r="D406" s="26" t="s">
        <v>31</v>
      </c>
      <c r="E406" s="26">
        <v>150.0</v>
      </c>
      <c r="F406" s="26" t="s">
        <v>75</v>
      </c>
      <c r="G406" s="26">
        <v>3.0</v>
      </c>
      <c r="H406" s="26">
        <v>3.0</v>
      </c>
      <c r="I406" s="26">
        <v>128.0</v>
      </c>
      <c r="J406" s="26">
        <v>6.0</v>
      </c>
      <c r="K406" s="26">
        <v>16.0</v>
      </c>
      <c r="M406" s="22"/>
      <c r="N406" s="22"/>
      <c r="O406" s="22"/>
      <c r="P406" s="22"/>
      <c r="Q406" s="22"/>
      <c r="R406" s="22"/>
    </row>
    <row r="407">
      <c r="A407" s="25">
        <v>43178.45876245371</v>
      </c>
      <c r="B407" s="26" t="s">
        <v>40</v>
      </c>
      <c r="C407" s="26" t="s">
        <v>394</v>
      </c>
      <c r="D407" s="26" t="s">
        <v>31</v>
      </c>
      <c r="E407" s="26">
        <v>150.0</v>
      </c>
      <c r="F407" s="26" t="s">
        <v>52</v>
      </c>
      <c r="G407" s="26">
        <v>4.0</v>
      </c>
      <c r="H407" s="26">
        <v>2.0</v>
      </c>
      <c r="I407" s="26">
        <v>120.0</v>
      </c>
      <c r="J407" s="26">
        <v>20.0</v>
      </c>
      <c r="K407" s="26">
        <v>10.0</v>
      </c>
      <c r="M407" s="22"/>
      <c r="N407" s="22"/>
      <c r="O407" s="22"/>
      <c r="P407" s="22"/>
      <c r="Q407" s="22"/>
      <c r="R407" s="22"/>
    </row>
    <row r="408">
      <c r="A408" s="25">
        <v>43178.751179548606</v>
      </c>
      <c r="B408" s="26" t="s">
        <v>341</v>
      </c>
      <c r="C408" s="26">
        <v>24.0</v>
      </c>
      <c r="D408" s="26" t="s">
        <v>31</v>
      </c>
      <c r="E408" s="26">
        <v>174.0</v>
      </c>
      <c r="F408" s="26" t="s">
        <v>272</v>
      </c>
      <c r="G408" s="26">
        <v>6.0</v>
      </c>
      <c r="H408" s="26">
        <v>6.0</v>
      </c>
      <c r="I408" s="26">
        <v>140000.0</v>
      </c>
      <c r="J408" s="26">
        <v>20000.0</v>
      </c>
      <c r="K408" s="26">
        <v>14000.0</v>
      </c>
      <c r="M408" s="22"/>
      <c r="N408" s="22"/>
      <c r="O408" s="22"/>
      <c r="P408" s="22"/>
      <c r="Q408" s="22"/>
      <c r="R408" s="22"/>
    </row>
    <row r="409">
      <c r="A409" s="25">
        <v>43178.77515783565</v>
      </c>
      <c r="B409" s="26" t="s">
        <v>29</v>
      </c>
      <c r="C409" s="26" t="s">
        <v>160</v>
      </c>
      <c r="D409" s="26" t="s">
        <v>31</v>
      </c>
      <c r="E409" s="26">
        <v>220.0</v>
      </c>
      <c r="F409" s="26" t="s">
        <v>272</v>
      </c>
      <c r="G409" s="26">
        <v>4.0</v>
      </c>
      <c r="H409" s="26">
        <v>4.0</v>
      </c>
      <c r="M409" s="22"/>
      <c r="N409" s="22"/>
      <c r="O409" s="22"/>
      <c r="P409" s="22"/>
      <c r="Q409" s="22"/>
      <c r="R409" s="22"/>
    </row>
    <row r="410">
      <c r="A410" s="25">
        <v>43179.97472414352</v>
      </c>
      <c r="B410" s="26" t="s">
        <v>33</v>
      </c>
      <c r="C410" s="26" t="s">
        <v>62</v>
      </c>
      <c r="D410" s="26" t="s">
        <v>31</v>
      </c>
      <c r="E410" s="26">
        <v>350.0</v>
      </c>
      <c r="F410" s="26" t="s">
        <v>63</v>
      </c>
      <c r="G410" s="26">
        <v>6.0</v>
      </c>
      <c r="H410" s="26">
        <v>1.0</v>
      </c>
      <c r="M410" s="22"/>
      <c r="N410" s="22"/>
      <c r="O410" s="22"/>
      <c r="P410" s="22"/>
      <c r="Q410" s="22"/>
      <c r="R410" s="22"/>
    </row>
    <row r="411">
      <c r="A411" s="25">
        <v>43179.996540555556</v>
      </c>
      <c r="B411" s="26" t="s">
        <v>33</v>
      </c>
      <c r="C411" s="26" t="s">
        <v>43</v>
      </c>
      <c r="D411" s="26" t="s">
        <v>31</v>
      </c>
      <c r="E411" s="26">
        <v>200.0</v>
      </c>
      <c r="F411" s="26" t="s">
        <v>35</v>
      </c>
      <c r="G411" s="26">
        <v>15.0</v>
      </c>
      <c r="H411" s="26">
        <v>3.0</v>
      </c>
      <c r="I411" s="26">
        <v>125.0</v>
      </c>
      <c r="J411" s="26">
        <v>75.0</v>
      </c>
      <c r="M411" s="22"/>
      <c r="N411" s="22"/>
      <c r="O411" s="22"/>
      <c r="P411" s="22"/>
      <c r="Q411" s="22"/>
      <c r="R411" s="22"/>
    </row>
    <row r="412">
      <c r="A412" s="25">
        <v>43180.074246516204</v>
      </c>
      <c r="B412" s="26" t="s">
        <v>45</v>
      </c>
      <c r="C412" s="26" t="s">
        <v>102</v>
      </c>
      <c r="D412" s="26" t="s">
        <v>31</v>
      </c>
      <c r="E412" s="26">
        <v>200.0</v>
      </c>
      <c r="F412" s="26" t="s">
        <v>134</v>
      </c>
      <c r="G412" s="26">
        <v>1.0</v>
      </c>
      <c r="H412" s="26">
        <v>1.0</v>
      </c>
      <c r="I412" s="26">
        <v>140.0</v>
      </c>
      <c r="J412" s="26">
        <v>37.0</v>
      </c>
      <c r="K412" s="26">
        <v>20.0</v>
      </c>
      <c r="M412" s="22"/>
      <c r="N412" s="22"/>
      <c r="O412" s="22"/>
      <c r="P412" s="22"/>
      <c r="Q412" s="22"/>
      <c r="R412" s="22"/>
    </row>
    <row r="413">
      <c r="A413" s="25">
        <v>43180.32172420139</v>
      </c>
      <c r="B413" s="26" t="s">
        <v>395</v>
      </c>
      <c r="C413" s="26" t="s">
        <v>26</v>
      </c>
      <c r="D413" s="26" t="s">
        <v>31</v>
      </c>
      <c r="E413" s="26">
        <v>110.0</v>
      </c>
      <c r="F413" s="26" t="s">
        <v>396</v>
      </c>
      <c r="G413" s="26">
        <v>20.0</v>
      </c>
      <c r="H413" s="26">
        <v>14.0</v>
      </c>
      <c r="I413" s="26">
        <v>110.0</v>
      </c>
      <c r="J413" s="26">
        <v>1.0</v>
      </c>
      <c r="K413" s="26">
        <v>250.0</v>
      </c>
      <c r="M413" s="22"/>
      <c r="N413" s="22"/>
      <c r="O413" s="22"/>
      <c r="P413" s="22"/>
      <c r="Q413" s="22"/>
      <c r="R413" s="22"/>
    </row>
    <row r="414">
      <c r="A414" s="25">
        <v>43180.37013027778</v>
      </c>
      <c r="B414" s="26" t="s">
        <v>33</v>
      </c>
      <c r="C414" s="26" t="s">
        <v>73</v>
      </c>
      <c r="D414" s="26" t="s">
        <v>31</v>
      </c>
      <c r="E414" s="26">
        <v>145.0</v>
      </c>
      <c r="F414" s="26" t="s">
        <v>32</v>
      </c>
      <c r="G414" s="26">
        <v>1.0</v>
      </c>
      <c r="H414" s="26">
        <v>1.0</v>
      </c>
      <c r="I414" s="26">
        <v>101700.0</v>
      </c>
      <c r="J414" s="26">
        <v>70000.0</v>
      </c>
      <c r="K414" s="26">
        <v>30000.0</v>
      </c>
      <c r="L414" s="26" t="s">
        <v>397</v>
      </c>
      <c r="M414" s="23"/>
      <c r="N414" s="23"/>
      <c r="O414" s="23"/>
      <c r="P414" s="23"/>
      <c r="Q414" s="23"/>
      <c r="R414" s="23"/>
    </row>
    <row r="415">
      <c r="A415" s="25">
        <v>43180.59452119213</v>
      </c>
      <c r="B415" s="26" t="s">
        <v>398</v>
      </c>
      <c r="C415" s="26" t="s">
        <v>152</v>
      </c>
      <c r="D415" s="26" t="s">
        <v>31</v>
      </c>
      <c r="E415" s="26">
        <v>150.0</v>
      </c>
      <c r="F415" s="26" t="s">
        <v>272</v>
      </c>
      <c r="G415" s="26">
        <v>4.0</v>
      </c>
      <c r="H415" s="26">
        <v>4.0</v>
      </c>
      <c r="I415" s="26">
        <v>132000.0</v>
      </c>
      <c r="K415" s="26">
        <v>18000.0</v>
      </c>
      <c r="M415" s="22"/>
      <c r="N415" s="22"/>
      <c r="O415" s="22"/>
      <c r="P415" s="22"/>
      <c r="Q415" s="22"/>
      <c r="R415" s="22"/>
    </row>
    <row r="416">
      <c r="A416" s="25">
        <v>43181.658024282406</v>
      </c>
      <c r="B416" s="27" t="s">
        <v>87</v>
      </c>
      <c r="C416" s="26">
        <v>6.0</v>
      </c>
      <c r="D416" s="26" t="s">
        <v>41</v>
      </c>
      <c r="E416" s="26">
        <v>300.0</v>
      </c>
      <c r="F416" s="26" t="s">
        <v>63</v>
      </c>
      <c r="G416" s="26">
        <v>15.0</v>
      </c>
      <c r="H416" s="26">
        <v>5.0</v>
      </c>
      <c r="I416" s="26">
        <v>150000.0</v>
      </c>
      <c r="J416" s="26">
        <v>150000.0</v>
      </c>
      <c r="M416" s="22"/>
      <c r="N416" s="22"/>
      <c r="O416" s="22"/>
      <c r="P416" s="22"/>
      <c r="Q416" s="22"/>
      <c r="R416" s="22"/>
    </row>
    <row r="417">
      <c r="A417" s="25">
        <v>43182.53565096065</v>
      </c>
      <c r="B417" s="26" t="s">
        <v>80</v>
      </c>
      <c r="C417" s="26">
        <v>3.0</v>
      </c>
      <c r="D417" s="26" t="s">
        <v>31</v>
      </c>
      <c r="E417" s="26">
        <v>150.0</v>
      </c>
      <c r="F417" s="26" t="s">
        <v>247</v>
      </c>
      <c r="G417" s="26">
        <v>6.0</v>
      </c>
      <c r="H417" s="26">
        <v>0.0</v>
      </c>
      <c r="I417" s="26">
        <v>130000.0</v>
      </c>
      <c r="J417" s="26">
        <v>150000.0</v>
      </c>
      <c r="K417" s="26">
        <v>15.0</v>
      </c>
      <c r="M417" s="22"/>
      <c r="N417" s="22"/>
      <c r="O417" s="22"/>
      <c r="P417" s="22"/>
      <c r="Q417" s="22"/>
      <c r="R417" s="22"/>
    </row>
    <row r="418">
      <c r="A418" s="25">
        <v>43183.34198414352</v>
      </c>
      <c r="B418" s="26" t="s">
        <v>33</v>
      </c>
      <c r="C418" s="26" t="s">
        <v>62</v>
      </c>
      <c r="D418" s="26" t="s">
        <v>31</v>
      </c>
      <c r="E418" s="26">
        <v>246.0</v>
      </c>
      <c r="F418" s="26" t="s">
        <v>399</v>
      </c>
      <c r="G418" s="26">
        <v>13.0</v>
      </c>
      <c r="H418" s="26">
        <v>8.0</v>
      </c>
      <c r="I418" s="26">
        <v>109.0</v>
      </c>
      <c r="J418" s="26">
        <v>137.0</v>
      </c>
      <c r="M418" s="22"/>
      <c r="N418" s="22"/>
      <c r="O418" s="22"/>
      <c r="P418" s="22"/>
      <c r="Q418" s="22"/>
      <c r="R418" s="22"/>
    </row>
    <row r="419">
      <c r="A419" s="25">
        <v>43183.53269260417</v>
      </c>
      <c r="B419" s="26" t="s">
        <v>80</v>
      </c>
      <c r="C419" s="26" t="s">
        <v>43</v>
      </c>
      <c r="D419" s="26" t="s">
        <v>27</v>
      </c>
      <c r="E419" s="26">
        <v>310.0</v>
      </c>
      <c r="F419" s="26" t="s">
        <v>400</v>
      </c>
      <c r="G419" s="26">
        <v>16.0</v>
      </c>
      <c r="H419" s="26">
        <v>1.0</v>
      </c>
      <c r="I419" s="26">
        <v>155.0</v>
      </c>
      <c r="J419" s="26">
        <v>500000.0</v>
      </c>
      <c r="K419" s="26">
        <v>15.0</v>
      </c>
      <c r="M419" s="22"/>
      <c r="N419" s="22"/>
      <c r="O419" s="22"/>
      <c r="P419" s="22"/>
      <c r="Q419" s="22"/>
      <c r="R419" s="22"/>
    </row>
    <row r="420">
      <c r="A420" s="25">
        <v>43183.831183981485</v>
      </c>
      <c r="B420" s="26" t="s">
        <v>80</v>
      </c>
      <c r="C420" s="26" t="s">
        <v>34</v>
      </c>
      <c r="D420" s="26" t="s">
        <v>31</v>
      </c>
      <c r="E420" s="26">
        <v>650.0</v>
      </c>
      <c r="F420" s="26" t="s">
        <v>238</v>
      </c>
      <c r="G420" s="26">
        <v>10.0</v>
      </c>
      <c r="H420" s="26">
        <v>3.0</v>
      </c>
      <c r="M420" s="22"/>
      <c r="N420" s="22"/>
      <c r="O420" s="22"/>
      <c r="P420" s="22"/>
      <c r="Q420" s="22"/>
      <c r="R420" s="22"/>
    </row>
    <row r="421">
      <c r="A421" s="25">
        <v>43184.78144673611</v>
      </c>
      <c r="B421" s="26" t="s">
        <v>40</v>
      </c>
      <c r="C421" s="26">
        <v>65.0</v>
      </c>
      <c r="D421" s="26" t="s">
        <v>31</v>
      </c>
      <c r="E421" s="26">
        <v>300.0</v>
      </c>
      <c r="F421" s="26" t="s">
        <v>32</v>
      </c>
      <c r="G421" s="26">
        <v>10.0</v>
      </c>
      <c r="H421" s="26">
        <v>2.0</v>
      </c>
      <c r="I421" s="26">
        <v>220.0</v>
      </c>
      <c r="J421" s="26">
        <v>40.0</v>
      </c>
      <c r="K421" s="26">
        <v>40.0</v>
      </c>
      <c r="M421" s="22"/>
      <c r="N421" s="22"/>
      <c r="O421" s="22"/>
      <c r="P421" s="22"/>
      <c r="Q421" s="22"/>
      <c r="R421" s="22"/>
    </row>
    <row r="422">
      <c r="A422" s="25">
        <v>43184.80761866899</v>
      </c>
      <c r="B422" s="26" t="s">
        <v>146</v>
      </c>
      <c r="C422" s="26" t="s">
        <v>37</v>
      </c>
      <c r="D422" s="26" t="s">
        <v>31</v>
      </c>
      <c r="E422" s="26">
        <v>300.0</v>
      </c>
      <c r="F422" s="26" t="s">
        <v>134</v>
      </c>
      <c r="G422" s="26">
        <v>8.0</v>
      </c>
      <c r="H422" s="26">
        <v>4.0</v>
      </c>
      <c r="M422" s="22"/>
      <c r="N422" s="22"/>
      <c r="O422" s="22"/>
      <c r="P422" s="22"/>
      <c r="Q422" s="22"/>
      <c r="R422" s="22"/>
    </row>
    <row r="423">
      <c r="A423" s="25">
        <v>43185.91603609954</v>
      </c>
      <c r="B423" s="26" t="s">
        <v>36</v>
      </c>
      <c r="C423" s="26" t="s">
        <v>165</v>
      </c>
      <c r="D423" s="26" t="s">
        <v>31</v>
      </c>
      <c r="E423" s="26">
        <v>450.0</v>
      </c>
      <c r="F423" s="26" t="s">
        <v>94</v>
      </c>
      <c r="G423" s="26">
        <v>6.0</v>
      </c>
      <c r="H423" s="26">
        <v>4.0</v>
      </c>
      <c r="I423" s="26">
        <v>175.0</v>
      </c>
      <c r="J423" s="26">
        <v>230.0</v>
      </c>
      <c r="K423" s="26">
        <v>40.0</v>
      </c>
      <c r="M423" s="22"/>
      <c r="N423" s="22"/>
      <c r="O423" s="22"/>
      <c r="P423" s="22"/>
      <c r="Q423" s="22"/>
      <c r="R423" s="22"/>
    </row>
    <row r="424">
      <c r="A424" s="25">
        <v>43185.95439828704</v>
      </c>
      <c r="B424" s="26" t="s">
        <v>45</v>
      </c>
      <c r="C424" s="26" t="s">
        <v>98</v>
      </c>
      <c r="D424" s="26" t="s">
        <v>31</v>
      </c>
      <c r="E424" s="26">
        <v>185.0</v>
      </c>
      <c r="F424" s="26" t="s">
        <v>92</v>
      </c>
      <c r="G424" s="26">
        <v>2.0</v>
      </c>
      <c r="H424" s="26">
        <v>1.5</v>
      </c>
      <c r="I424" s="26">
        <v>120.0</v>
      </c>
      <c r="J424" s="26">
        <v>40.0</v>
      </c>
      <c r="K424" s="26">
        <v>25.0</v>
      </c>
      <c r="M424" s="22"/>
      <c r="N424" s="22"/>
      <c r="O424" s="22"/>
      <c r="P424" s="22"/>
      <c r="Q424" s="22"/>
      <c r="R424" s="22"/>
    </row>
    <row r="425">
      <c r="A425" s="25">
        <v>43186.90071349537</v>
      </c>
      <c r="B425" s="26" t="s">
        <v>33</v>
      </c>
      <c r="C425" s="26" t="s">
        <v>73</v>
      </c>
      <c r="D425" s="26" t="s">
        <v>31</v>
      </c>
      <c r="E425" s="26">
        <v>956.0</v>
      </c>
      <c r="F425" s="26" t="s">
        <v>35</v>
      </c>
      <c r="G425" s="26">
        <v>2.0</v>
      </c>
      <c r="H425" s="26">
        <v>2.0</v>
      </c>
      <c r="I425" s="26">
        <v>860.0</v>
      </c>
      <c r="J425" s="26">
        <v>120.0</v>
      </c>
      <c r="K425" s="26">
        <v>150.0</v>
      </c>
      <c r="M425" s="22"/>
      <c r="N425" s="22"/>
      <c r="O425" s="22"/>
      <c r="P425" s="22"/>
      <c r="Q425" s="22"/>
      <c r="R425" s="22"/>
    </row>
    <row r="426">
      <c r="A426" s="25">
        <v>43187.3815103588</v>
      </c>
      <c r="B426" s="26" t="s">
        <v>40</v>
      </c>
      <c r="C426" s="26">
        <v>62.0</v>
      </c>
      <c r="D426" s="26" t="s">
        <v>27</v>
      </c>
      <c r="E426" s="26">
        <v>180.0</v>
      </c>
      <c r="F426" s="26" t="s">
        <v>52</v>
      </c>
      <c r="G426" s="26">
        <v>4.0</v>
      </c>
      <c r="H426" s="26">
        <v>4.0</v>
      </c>
      <c r="I426" s="26">
        <v>145000.0</v>
      </c>
      <c r="J426" s="26">
        <v>20000.0</v>
      </c>
      <c r="K426" s="26">
        <v>20000.0</v>
      </c>
      <c r="M426" s="22"/>
      <c r="N426" s="22"/>
      <c r="O426" s="22"/>
      <c r="P426" s="22"/>
      <c r="Q426" s="22"/>
      <c r="R426" s="22"/>
    </row>
    <row r="427">
      <c r="A427" s="25">
        <v>43187.835919386576</v>
      </c>
      <c r="B427" s="26" t="s">
        <v>258</v>
      </c>
      <c r="C427" s="26" t="s">
        <v>401</v>
      </c>
      <c r="D427" s="26" t="s">
        <v>31</v>
      </c>
      <c r="E427" s="26">
        <v>750.0</v>
      </c>
      <c r="F427" s="26" t="s">
        <v>402</v>
      </c>
      <c r="G427" s="26">
        <v>15.0</v>
      </c>
      <c r="H427" s="26">
        <v>5.0</v>
      </c>
      <c r="I427" s="26">
        <v>220000.0</v>
      </c>
      <c r="J427" s="26">
        <v>400000.0</v>
      </c>
      <c r="K427" s="26">
        <v>30000.0</v>
      </c>
      <c r="M427" s="22"/>
      <c r="N427" s="22"/>
      <c r="O427" s="22"/>
      <c r="P427" s="22"/>
      <c r="Q427" s="22"/>
      <c r="R427" s="22"/>
    </row>
    <row r="428">
      <c r="A428" s="25">
        <v>43188.12560950231</v>
      </c>
      <c r="B428" s="26" t="s">
        <v>36</v>
      </c>
      <c r="C428" s="26" t="s">
        <v>73</v>
      </c>
      <c r="D428" s="26" t="s">
        <v>31</v>
      </c>
      <c r="E428" s="26">
        <v>240.0</v>
      </c>
      <c r="F428" s="26" t="s">
        <v>236</v>
      </c>
      <c r="G428" s="26">
        <v>8.0</v>
      </c>
      <c r="H428" s="26">
        <v>0.0</v>
      </c>
      <c r="I428" s="26">
        <v>150.0</v>
      </c>
      <c r="J428" s="26">
        <v>90.0</v>
      </c>
      <c r="M428" s="22"/>
      <c r="N428" s="22"/>
      <c r="O428" s="22"/>
      <c r="P428" s="22"/>
      <c r="Q428" s="22"/>
      <c r="R428" s="22"/>
    </row>
    <row r="429">
      <c r="A429" s="25">
        <v>43188.598995740744</v>
      </c>
      <c r="B429" s="26" t="s">
        <v>33</v>
      </c>
      <c r="C429" s="26" t="s">
        <v>141</v>
      </c>
      <c r="D429" s="26" t="s">
        <v>31</v>
      </c>
      <c r="E429" s="26">
        <v>315.0</v>
      </c>
      <c r="F429" s="26" t="s">
        <v>63</v>
      </c>
      <c r="G429" s="26">
        <v>22.0</v>
      </c>
      <c r="H429" s="26">
        <v>2.0</v>
      </c>
      <c r="I429" s="26">
        <v>160000.0</v>
      </c>
      <c r="J429" s="26">
        <v>75000.0</v>
      </c>
      <c r="K429" s="26">
        <v>80000.0</v>
      </c>
      <c r="M429" s="22"/>
      <c r="N429" s="22"/>
      <c r="O429" s="22"/>
      <c r="P429" s="22"/>
      <c r="Q429" s="22"/>
      <c r="R429" s="22"/>
    </row>
    <row r="430">
      <c r="A430" s="25">
        <v>43188.634787303235</v>
      </c>
      <c r="B430" s="26" t="s">
        <v>105</v>
      </c>
      <c r="C430" s="26" t="s">
        <v>37</v>
      </c>
      <c r="D430" s="26" t="s">
        <v>31</v>
      </c>
      <c r="E430" s="26">
        <v>80.0</v>
      </c>
      <c r="F430" s="26" t="s">
        <v>403</v>
      </c>
      <c r="G430" s="26">
        <v>8.0</v>
      </c>
      <c r="H430" s="26">
        <v>3.0</v>
      </c>
      <c r="I430" s="26">
        <v>75.0</v>
      </c>
      <c r="J430" s="26">
        <v>79.0</v>
      </c>
      <c r="K430" s="26">
        <v>9.0</v>
      </c>
      <c r="M430" s="22"/>
      <c r="N430" s="22"/>
      <c r="O430" s="22"/>
      <c r="P430" s="22"/>
      <c r="Q430" s="22"/>
      <c r="R430" s="22"/>
    </row>
    <row r="431">
      <c r="A431" s="25">
        <v>43188.64352175926</v>
      </c>
      <c r="B431" s="26" t="s">
        <v>33</v>
      </c>
      <c r="C431" s="26">
        <v>6.0</v>
      </c>
      <c r="D431" s="26" t="s">
        <v>41</v>
      </c>
      <c r="E431" s="26">
        <v>350.0</v>
      </c>
      <c r="F431" s="26" t="s">
        <v>63</v>
      </c>
      <c r="G431" s="26">
        <v>12.0</v>
      </c>
      <c r="H431" s="26">
        <v>1.0</v>
      </c>
      <c r="I431" s="26">
        <v>160.0</v>
      </c>
      <c r="M431" s="22"/>
      <c r="N431" s="22"/>
      <c r="O431" s="22"/>
      <c r="P431" s="22"/>
      <c r="Q431" s="22"/>
      <c r="R431" s="22"/>
    </row>
    <row r="432">
      <c r="A432" s="25">
        <v>43188.75137996528</v>
      </c>
      <c r="B432" s="27" t="s">
        <v>81</v>
      </c>
      <c r="C432" s="26" t="s">
        <v>404</v>
      </c>
      <c r="D432" s="26" t="s">
        <v>31</v>
      </c>
      <c r="E432" s="26">
        <v>340.0</v>
      </c>
      <c r="F432" s="26" t="s">
        <v>32</v>
      </c>
      <c r="G432" s="26">
        <v>18.0</v>
      </c>
      <c r="H432" s="26">
        <v>5.0</v>
      </c>
      <c r="M432" s="22"/>
      <c r="N432" s="22"/>
      <c r="O432" s="22"/>
      <c r="P432" s="22"/>
      <c r="Q432" s="22"/>
      <c r="R432" s="22"/>
    </row>
    <row r="433">
      <c r="A433" s="25">
        <v>43188.754768495375</v>
      </c>
      <c r="B433" s="26" t="s">
        <v>40</v>
      </c>
      <c r="C433" s="26">
        <v>63.0</v>
      </c>
      <c r="D433" s="26" t="s">
        <v>31</v>
      </c>
      <c r="E433" s="26">
        <v>204.0</v>
      </c>
      <c r="F433" s="26" t="s">
        <v>63</v>
      </c>
      <c r="G433" s="26">
        <v>5.0</v>
      </c>
      <c r="H433" s="26">
        <v>5.0</v>
      </c>
      <c r="I433" s="26">
        <v>157475.0</v>
      </c>
      <c r="J433" s="26">
        <v>22000.0</v>
      </c>
      <c r="K433" s="26">
        <v>25200.0</v>
      </c>
      <c r="M433" s="22"/>
      <c r="N433" s="22"/>
      <c r="O433" s="22"/>
      <c r="P433" s="22"/>
      <c r="Q433" s="22"/>
      <c r="R433" s="22"/>
    </row>
    <row r="434">
      <c r="A434" s="25">
        <v>43189.38318983796</v>
      </c>
      <c r="B434" s="26" t="s">
        <v>405</v>
      </c>
      <c r="C434" s="26" t="s">
        <v>406</v>
      </c>
      <c r="D434" s="26" t="s">
        <v>31</v>
      </c>
      <c r="E434" s="26">
        <v>225.0</v>
      </c>
      <c r="F434" s="26" t="s">
        <v>38</v>
      </c>
      <c r="G434" s="26">
        <v>5.0</v>
      </c>
      <c r="H434" s="26">
        <v>2.0</v>
      </c>
      <c r="I434" s="26">
        <v>155.0</v>
      </c>
      <c r="M434" s="22"/>
      <c r="N434" s="22"/>
      <c r="O434" s="22"/>
      <c r="P434" s="22"/>
      <c r="Q434" s="22"/>
      <c r="R434" s="22"/>
    </row>
    <row r="435">
      <c r="A435" s="25">
        <v>43189.470590868055</v>
      </c>
      <c r="B435" s="26" t="s">
        <v>256</v>
      </c>
      <c r="C435" s="26" t="s">
        <v>184</v>
      </c>
      <c r="D435" s="26" t="s">
        <v>31</v>
      </c>
      <c r="E435" s="26">
        <v>430.0</v>
      </c>
      <c r="F435" s="26" t="s">
        <v>35</v>
      </c>
      <c r="G435" s="26">
        <v>9.0</v>
      </c>
      <c r="H435" s="26">
        <v>3.0</v>
      </c>
      <c r="I435" s="26">
        <v>170.0</v>
      </c>
      <c r="J435" s="26">
        <v>230.0</v>
      </c>
      <c r="K435" s="26">
        <v>30.0</v>
      </c>
      <c r="M435" s="22"/>
      <c r="N435" s="22"/>
      <c r="O435" s="22"/>
      <c r="P435" s="22"/>
      <c r="Q435" s="22"/>
      <c r="R435" s="22"/>
    </row>
    <row r="436">
      <c r="A436" s="25">
        <v>43189.50909319444</v>
      </c>
      <c r="B436" s="26" t="s">
        <v>407</v>
      </c>
      <c r="C436" s="26" t="s">
        <v>37</v>
      </c>
      <c r="D436" s="26" t="s">
        <v>27</v>
      </c>
      <c r="E436" s="26">
        <v>221.0</v>
      </c>
      <c r="F436" s="26" t="s">
        <v>28</v>
      </c>
      <c r="G436" s="26">
        <v>6.0</v>
      </c>
      <c r="H436" s="26">
        <v>1.0</v>
      </c>
      <c r="I436" s="26">
        <v>170000.0</v>
      </c>
      <c r="J436" s="26">
        <v>47250.0</v>
      </c>
      <c r="K436" s="26">
        <v>1.0</v>
      </c>
      <c r="L436" s="26" t="s">
        <v>408</v>
      </c>
      <c r="M436" s="23"/>
      <c r="N436" s="23"/>
      <c r="O436" s="23"/>
      <c r="P436" s="23"/>
      <c r="Q436" s="23"/>
      <c r="R436" s="23"/>
    </row>
    <row r="437">
      <c r="A437" s="25">
        <v>43189.8518062963</v>
      </c>
      <c r="B437" s="26" t="s">
        <v>33</v>
      </c>
      <c r="C437" s="26" t="s">
        <v>62</v>
      </c>
      <c r="D437" s="26" t="s">
        <v>27</v>
      </c>
      <c r="E437" s="26">
        <v>190.0</v>
      </c>
      <c r="F437" s="26" t="s">
        <v>35</v>
      </c>
      <c r="G437" s="26">
        <v>8.0</v>
      </c>
      <c r="H437" s="26">
        <v>1.5</v>
      </c>
      <c r="I437" s="26">
        <v>130000.0</v>
      </c>
      <c r="J437" s="26">
        <v>60000.0</v>
      </c>
      <c r="M437" s="22"/>
      <c r="N437" s="22"/>
      <c r="O437" s="22"/>
      <c r="P437" s="22"/>
      <c r="Q437" s="22"/>
      <c r="R437" s="22"/>
    </row>
    <row r="438">
      <c r="A438" s="25">
        <v>43190.33809041667</v>
      </c>
      <c r="B438" s="26" t="s">
        <v>95</v>
      </c>
      <c r="C438" s="26" t="s">
        <v>37</v>
      </c>
      <c r="D438" s="26" t="s">
        <v>31</v>
      </c>
      <c r="E438" s="26">
        <v>325.0</v>
      </c>
      <c r="F438" s="26" t="s">
        <v>97</v>
      </c>
      <c r="G438" s="26">
        <v>1.5</v>
      </c>
      <c r="H438" s="26">
        <v>0.0</v>
      </c>
      <c r="I438" s="26">
        <v>325.0</v>
      </c>
      <c r="M438" s="22"/>
      <c r="N438" s="22"/>
      <c r="O438" s="22"/>
      <c r="P438" s="22"/>
      <c r="Q438" s="22"/>
      <c r="R438" s="22"/>
    </row>
    <row r="439">
      <c r="A439" s="25">
        <v>43190.4226193287</v>
      </c>
      <c r="B439" s="26" t="s">
        <v>33</v>
      </c>
      <c r="C439" s="26" t="s">
        <v>43</v>
      </c>
      <c r="D439" s="26" t="s">
        <v>31</v>
      </c>
      <c r="E439" s="26">
        <v>218.0</v>
      </c>
      <c r="F439" s="26" t="s">
        <v>35</v>
      </c>
      <c r="G439" s="26">
        <v>7.0</v>
      </c>
      <c r="H439" s="26">
        <v>4.0</v>
      </c>
      <c r="I439" s="26">
        <v>145.0</v>
      </c>
      <c r="M439" s="22"/>
      <c r="N439" s="22"/>
      <c r="O439" s="22"/>
      <c r="P439" s="22"/>
      <c r="Q439" s="22"/>
      <c r="R439" s="22"/>
    </row>
    <row r="440">
      <c r="A440" s="25">
        <v>43190.655506446754</v>
      </c>
      <c r="B440" s="26" t="s">
        <v>119</v>
      </c>
      <c r="C440" s="26">
        <v>9.0</v>
      </c>
      <c r="D440" s="26" t="s">
        <v>31</v>
      </c>
      <c r="E440" s="26">
        <v>350.0</v>
      </c>
      <c r="F440" s="26" t="s">
        <v>58</v>
      </c>
      <c r="G440" s="26">
        <v>10.5</v>
      </c>
      <c r="H440" s="26">
        <v>6.5</v>
      </c>
      <c r="I440" s="26">
        <v>210000.0</v>
      </c>
      <c r="J440" s="26">
        <v>100000.0</v>
      </c>
      <c r="K440" s="26">
        <v>40000.0</v>
      </c>
      <c r="M440" s="22"/>
      <c r="N440" s="22"/>
      <c r="O440" s="22"/>
      <c r="P440" s="22"/>
      <c r="Q440" s="22"/>
      <c r="R440" s="22"/>
    </row>
    <row r="441">
      <c r="A441" s="25">
        <v>43191.6232824537</v>
      </c>
      <c r="B441" s="26" t="s">
        <v>409</v>
      </c>
      <c r="C441" s="26">
        <v>6.0</v>
      </c>
      <c r="D441" s="26" t="s">
        <v>31</v>
      </c>
      <c r="E441" s="26">
        <v>180.0</v>
      </c>
      <c r="F441" s="26" t="s">
        <v>410</v>
      </c>
      <c r="G441" s="26">
        <v>3.0</v>
      </c>
      <c r="H441" s="26">
        <v>0.5</v>
      </c>
      <c r="I441" s="26">
        <v>160.0</v>
      </c>
      <c r="K441" s="26">
        <v>23000.0</v>
      </c>
      <c r="M441" s="22"/>
      <c r="N441" s="22"/>
      <c r="O441" s="22"/>
      <c r="P441" s="22"/>
      <c r="Q441" s="22"/>
      <c r="R441" s="22"/>
    </row>
    <row r="442">
      <c r="A442" s="25">
        <v>43192.32465894676</v>
      </c>
      <c r="B442" s="26" t="s">
        <v>55</v>
      </c>
      <c r="C442" s="26">
        <v>59.0</v>
      </c>
      <c r="D442" s="26" t="s">
        <v>31</v>
      </c>
      <c r="E442" s="26">
        <v>147.0</v>
      </c>
      <c r="F442" s="26" t="s">
        <v>302</v>
      </c>
      <c r="G442" s="26">
        <v>3.0</v>
      </c>
      <c r="H442" s="26">
        <v>0.5</v>
      </c>
      <c r="I442" s="26">
        <v>107.0</v>
      </c>
      <c r="J442" s="26">
        <v>30.0</v>
      </c>
      <c r="K442" s="26">
        <v>10.0</v>
      </c>
      <c r="M442" s="22"/>
      <c r="N442" s="22"/>
      <c r="O442" s="22"/>
      <c r="P442" s="22"/>
      <c r="Q442" s="22"/>
      <c r="R442" s="22"/>
    </row>
    <row r="443">
      <c r="A443" s="25">
        <v>43192.62256525463</v>
      </c>
      <c r="B443" s="26" t="s">
        <v>411</v>
      </c>
      <c r="C443" s="26" t="s">
        <v>125</v>
      </c>
      <c r="D443" s="26" t="s">
        <v>31</v>
      </c>
      <c r="E443" s="26">
        <v>124.0</v>
      </c>
      <c r="F443" s="26" t="s">
        <v>412</v>
      </c>
      <c r="G443" s="26">
        <v>12.0</v>
      </c>
      <c r="H443" s="26">
        <v>2.0</v>
      </c>
      <c r="I443" s="26">
        <v>114.0</v>
      </c>
      <c r="K443" s="26">
        <v>10.0</v>
      </c>
      <c r="M443" s="22"/>
      <c r="N443" s="22"/>
      <c r="O443" s="22"/>
      <c r="P443" s="22"/>
      <c r="Q443" s="22"/>
      <c r="R443" s="22"/>
    </row>
    <row r="444">
      <c r="A444" s="25">
        <v>43192.71657188657</v>
      </c>
      <c r="B444" s="26" t="s">
        <v>33</v>
      </c>
      <c r="C444" s="26" t="s">
        <v>73</v>
      </c>
      <c r="D444" s="26" t="s">
        <v>31</v>
      </c>
      <c r="E444" s="26">
        <v>165.0</v>
      </c>
      <c r="F444" s="26" t="s">
        <v>413</v>
      </c>
      <c r="G444" s="26">
        <v>0.0</v>
      </c>
      <c r="H444" s="26">
        <v>0.0</v>
      </c>
      <c r="I444" s="26">
        <v>123.0</v>
      </c>
      <c r="J444" s="26">
        <v>5.0</v>
      </c>
      <c r="K444" s="26">
        <v>39.0</v>
      </c>
      <c r="M444" s="22"/>
      <c r="N444" s="22"/>
      <c r="O444" s="22"/>
      <c r="P444" s="22"/>
      <c r="Q444" s="22"/>
      <c r="R444" s="22"/>
    </row>
    <row r="445">
      <c r="A445" s="25">
        <v>43192.79837050926</v>
      </c>
      <c r="B445" s="26" t="s">
        <v>40</v>
      </c>
      <c r="C445" s="26">
        <v>64.0</v>
      </c>
      <c r="D445" s="26" t="s">
        <v>27</v>
      </c>
      <c r="E445" s="26">
        <v>250.0</v>
      </c>
      <c r="F445" s="26" t="s">
        <v>63</v>
      </c>
      <c r="G445" s="26">
        <v>18.0</v>
      </c>
      <c r="H445" s="26">
        <v>14.0</v>
      </c>
      <c r="I445" s="26">
        <v>180000.0</v>
      </c>
      <c r="J445" s="26">
        <v>36000.0</v>
      </c>
      <c r="K445" s="26">
        <v>36000.0</v>
      </c>
      <c r="M445" s="22"/>
      <c r="N445" s="22"/>
      <c r="O445" s="22"/>
      <c r="P445" s="22"/>
      <c r="Q445" s="22"/>
      <c r="R445" s="22"/>
    </row>
    <row r="446">
      <c r="A446" s="25">
        <v>43192.993356203704</v>
      </c>
      <c r="B446" s="26" t="s">
        <v>36</v>
      </c>
      <c r="C446" s="26" t="s">
        <v>71</v>
      </c>
      <c r="D446" s="26" t="s">
        <v>27</v>
      </c>
      <c r="E446" s="26">
        <v>382.0</v>
      </c>
      <c r="F446" s="26" t="s">
        <v>58</v>
      </c>
      <c r="G446" s="26">
        <v>10.0</v>
      </c>
      <c r="H446" s="26">
        <v>1.0</v>
      </c>
      <c r="I446" s="26">
        <v>180000.0</v>
      </c>
      <c r="J446" s="26">
        <v>180000.0</v>
      </c>
      <c r="K446" s="26">
        <v>22000.0</v>
      </c>
      <c r="L446" s="26" t="s">
        <v>414</v>
      </c>
      <c r="M446" s="23"/>
      <c r="N446" s="23"/>
      <c r="O446" s="23"/>
      <c r="P446" s="23"/>
      <c r="Q446" s="23"/>
      <c r="R446" s="23"/>
    </row>
    <row r="447">
      <c r="A447" s="25">
        <v>43193.001175613426</v>
      </c>
      <c r="B447" s="26" t="s">
        <v>48</v>
      </c>
      <c r="C447" s="26">
        <v>6.0</v>
      </c>
      <c r="D447" s="26" t="s">
        <v>27</v>
      </c>
      <c r="E447" s="26">
        <v>720.0</v>
      </c>
      <c r="F447" s="26" t="s">
        <v>415</v>
      </c>
      <c r="G447" s="26">
        <v>10.0</v>
      </c>
      <c r="H447" s="26">
        <v>2.0</v>
      </c>
      <c r="M447" s="22"/>
      <c r="N447" s="22"/>
      <c r="O447" s="22"/>
      <c r="P447" s="22"/>
      <c r="Q447" s="22"/>
      <c r="R447" s="22"/>
    </row>
    <row r="448">
      <c r="A448" s="25">
        <v>43193.97981230324</v>
      </c>
      <c r="B448" s="26" t="s">
        <v>416</v>
      </c>
      <c r="C448" s="26" t="s">
        <v>417</v>
      </c>
      <c r="D448" s="26" t="s">
        <v>31</v>
      </c>
      <c r="E448" s="26">
        <v>130.0</v>
      </c>
      <c r="F448" s="26" t="s">
        <v>232</v>
      </c>
      <c r="G448" s="26">
        <v>4.5</v>
      </c>
      <c r="H448" s="26">
        <v>2.0</v>
      </c>
      <c r="I448" s="26">
        <v>126000.0</v>
      </c>
      <c r="J448" s="26">
        <v>1300.0</v>
      </c>
      <c r="K448" s="26">
        <v>2000.0</v>
      </c>
      <c r="M448" s="22"/>
      <c r="N448" s="22"/>
      <c r="O448" s="22"/>
      <c r="P448" s="22"/>
      <c r="Q448" s="22"/>
      <c r="R448" s="22"/>
    </row>
    <row r="449">
      <c r="A449" s="25">
        <v>43193.98958980324</v>
      </c>
      <c r="B449" s="26" t="s">
        <v>371</v>
      </c>
      <c r="C449" s="26" t="s">
        <v>418</v>
      </c>
      <c r="D449" s="26" t="s">
        <v>31</v>
      </c>
      <c r="E449" s="26">
        <v>210.0</v>
      </c>
      <c r="F449" s="26" t="s">
        <v>419</v>
      </c>
      <c r="G449" s="26">
        <v>14.0</v>
      </c>
      <c r="H449" s="26">
        <v>10.0</v>
      </c>
      <c r="M449" s="22"/>
      <c r="N449" s="22"/>
      <c r="O449" s="22"/>
      <c r="P449" s="22"/>
      <c r="Q449" s="22"/>
      <c r="R449" s="22"/>
    </row>
    <row r="450">
      <c r="A450" s="25">
        <v>43194.05089546296</v>
      </c>
      <c r="B450" s="26" t="s">
        <v>420</v>
      </c>
      <c r="C450" s="26" t="s">
        <v>421</v>
      </c>
      <c r="D450" s="26" t="s">
        <v>31</v>
      </c>
      <c r="E450" s="26">
        <v>170.0</v>
      </c>
      <c r="F450" s="26" t="s">
        <v>232</v>
      </c>
      <c r="G450" s="26">
        <v>37.0</v>
      </c>
      <c r="H450" s="26">
        <v>9.0</v>
      </c>
      <c r="M450" s="22"/>
      <c r="N450" s="22"/>
      <c r="O450" s="22"/>
      <c r="P450" s="22"/>
      <c r="Q450" s="22"/>
      <c r="R450" s="22"/>
    </row>
    <row r="451">
      <c r="A451" s="25">
        <v>43194.07477474537</v>
      </c>
      <c r="B451" s="26" t="s">
        <v>33</v>
      </c>
      <c r="C451" s="26" t="s">
        <v>62</v>
      </c>
      <c r="D451" s="26" t="s">
        <v>31</v>
      </c>
      <c r="E451" s="26">
        <v>222.0</v>
      </c>
      <c r="F451" s="26" t="s">
        <v>100</v>
      </c>
      <c r="G451" s="26">
        <v>11.0</v>
      </c>
      <c r="H451" s="26">
        <v>1.0</v>
      </c>
      <c r="I451" s="26">
        <v>115000.0</v>
      </c>
      <c r="J451" s="26">
        <v>47500.0</v>
      </c>
      <c r="K451" s="26">
        <v>60000.0</v>
      </c>
      <c r="L451" s="26" t="s">
        <v>422</v>
      </c>
      <c r="M451" s="23"/>
      <c r="N451" s="23"/>
      <c r="O451" s="23"/>
      <c r="P451" s="23"/>
      <c r="Q451" s="23"/>
      <c r="R451" s="23"/>
    </row>
    <row r="452">
      <c r="A452" s="25">
        <v>43194.37718880787</v>
      </c>
      <c r="B452" s="26" t="s">
        <v>36</v>
      </c>
      <c r="C452" s="26" t="s">
        <v>423</v>
      </c>
      <c r="D452" s="26" t="s">
        <v>31</v>
      </c>
      <c r="E452" s="26">
        <v>481.0</v>
      </c>
      <c r="F452" s="26" t="s">
        <v>58</v>
      </c>
      <c r="G452" s="26">
        <v>7.0</v>
      </c>
      <c r="H452" s="26">
        <v>2.0</v>
      </c>
      <c r="M452" s="22"/>
      <c r="N452" s="22"/>
      <c r="O452" s="22"/>
      <c r="P452" s="22"/>
      <c r="Q452" s="22"/>
      <c r="R452" s="22"/>
    </row>
    <row r="453">
      <c r="A453" s="25">
        <v>43194.384941365744</v>
      </c>
      <c r="B453" s="26" t="s">
        <v>170</v>
      </c>
      <c r="C453" s="26" t="s">
        <v>424</v>
      </c>
      <c r="D453" s="26" t="s">
        <v>31</v>
      </c>
      <c r="E453" s="26">
        <v>110.0</v>
      </c>
      <c r="F453" s="26" t="s">
        <v>425</v>
      </c>
      <c r="G453" s="26">
        <v>3.0</v>
      </c>
      <c r="H453" s="26">
        <v>3.0</v>
      </c>
      <c r="I453" s="26">
        <v>101000.0</v>
      </c>
      <c r="J453" s="26">
        <v>3000.0</v>
      </c>
      <c r="K453" s="26">
        <v>7000.0</v>
      </c>
      <c r="M453" s="22"/>
      <c r="N453" s="22"/>
      <c r="O453" s="22"/>
      <c r="P453" s="22"/>
      <c r="Q453" s="22"/>
      <c r="R453" s="22"/>
    </row>
    <row r="454">
      <c r="A454" s="25">
        <v>43194.79160045139</v>
      </c>
      <c r="B454" s="26" t="s">
        <v>426</v>
      </c>
      <c r="C454" s="26" t="s">
        <v>427</v>
      </c>
      <c r="D454" s="26" t="s">
        <v>31</v>
      </c>
      <c r="E454" s="26">
        <v>170.0</v>
      </c>
      <c r="F454" s="26" t="s">
        <v>274</v>
      </c>
      <c r="G454" s="26">
        <v>3.0</v>
      </c>
      <c r="H454" s="26">
        <v>3.0</v>
      </c>
      <c r="I454" s="26">
        <v>126000.0</v>
      </c>
      <c r="K454" s="26">
        <v>50000.0</v>
      </c>
      <c r="M454" s="22"/>
      <c r="N454" s="22"/>
      <c r="O454" s="22"/>
      <c r="P454" s="22"/>
      <c r="Q454" s="22"/>
      <c r="R454" s="22"/>
    </row>
    <row r="455">
      <c r="A455" s="25">
        <v>43194.95931168982</v>
      </c>
      <c r="B455" s="26" t="s">
        <v>45</v>
      </c>
      <c r="C455" s="26" t="s">
        <v>116</v>
      </c>
      <c r="D455" s="26" t="s">
        <v>31</v>
      </c>
      <c r="E455" s="26">
        <v>270.0</v>
      </c>
      <c r="F455" s="26" t="s">
        <v>104</v>
      </c>
      <c r="G455" s="26">
        <v>8.0</v>
      </c>
      <c r="H455" s="26">
        <v>3.0</v>
      </c>
      <c r="I455" s="26">
        <v>160000.0</v>
      </c>
      <c r="J455" s="26">
        <v>80000.0</v>
      </c>
      <c r="K455" s="26">
        <v>30000.0</v>
      </c>
      <c r="M455" s="22"/>
      <c r="N455" s="22"/>
      <c r="O455" s="22"/>
      <c r="P455" s="22"/>
      <c r="Q455" s="22"/>
      <c r="R455" s="22"/>
    </row>
    <row r="456">
      <c r="A456" s="25">
        <v>43195.557280821755</v>
      </c>
      <c r="B456" s="26" t="s">
        <v>428</v>
      </c>
      <c r="C456" s="26" t="s">
        <v>62</v>
      </c>
      <c r="D456" s="26" t="s">
        <v>41</v>
      </c>
      <c r="E456" s="26">
        <v>496.0</v>
      </c>
      <c r="F456" s="26" t="s">
        <v>58</v>
      </c>
      <c r="G456" s="26">
        <v>3.0</v>
      </c>
      <c r="H456" s="26">
        <v>4.0</v>
      </c>
      <c r="I456" s="26">
        <v>194200.0</v>
      </c>
      <c r="J456" s="26">
        <v>282000.0</v>
      </c>
      <c r="L456" s="26" t="s">
        <v>429</v>
      </c>
      <c r="M456" s="23"/>
      <c r="N456" s="23"/>
      <c r="O456" s="23"/>
      <c r="P456" s="23"/>
      <c r="Q456" s="23"/>
      <c r="R456" s="23"/>
    </row>
    <row r="457">
      <c r="A457" s="25">
        <v>43195.57661425926</v>
      </c>
      <c r="B457" s="26" t="s">
        <v>36</v>
      </c>
      <c r="C457" s="26" t="s">
        <v>26</v>
      </c>
      <c r="D457" s="26" t="s">
        <v>31</v>
      </c>
      <c r="E457" s="26">
        <v>190.0</v>
      </c>
      <c r="F457" s="26" t="s">
        <v>58</v>
      </c>
      <c r="G457" s="26">
        <v>0.8</v>
      </c>
      <c r="H457" s="26">
        <v>0.0</v>
      </c>
      <c r="I457" s="26">
        <v>120.0</v>
      </c>
      <c r="J457" s="26">
        <v>50.0</v>
      </c>
      <c r="K457" s="26">
        <v>20.0</v>
      </c>
      <c r="M457" s="22"/>
      <c r="N457" s="22"/>
      <c r="O457" s="22"/>
      <c r="P457" s="22"/>
      <c r="Q457" s="22"/>
      <c r="R457" s="22"/>
    </row>
    <row r="458">
      <c r="A458" s="25">
        <v>43195.67631318287</v>
      </c>
      <c r="B458" s="26" t="s">
        <v>122</v>
      </c>
      <c r="C458" s="26" t="s">
        <v>43</v>
      </c>
      <c r="D458" s="26" t="s">
        <v>31</v>
      </c>
      <c r="E458" s="26">
        <v>471.0</v>
      </c>
      <c r="F458" s="26" t="s">
        <v>32</v>
      </c>
      <c r="G458" s="26">
        <v>8.0</v>
      </c>
      <c r="H458" s="26">
        <v>2.0</v>
      </c>
      <c r="I458" s="26">
        <v>209.0</v>
      </c>
      <c r="J458" s="26">
        <v>262.0</v>
      </c>
      <c r="M458" s="22"/>
      <c r="N458" s="22"/>
      <c r="O458" s="22"/>
      <c r="P458" s="22"/>
      <c r="Q458" s="22"/>
      <c r="R458" s="22"/>
    </row>
    <row r="459">
      <c r="A459" s="25">
        <v>43196.949980543985</v>
      </c>
      <c r="B459" s="26" t="s">
        <v>33</v>
      </c>
      <c r="C459" s="26" t="s">
        <v>76</v>
      </c>
      <c r="D459" s="26" t="s">
        <v>31</v>
      </c>
      <c r="E459" s="26">
        <v>227.0</v>
      </c>
      <c r="F459" s="26" t="s">
        <v>63</v>
      </c>
      <c r="G459" s="26">
        <v>5.0</v>
      </c>
      <c r="H459" s="26">
        <v>5.0</v>
      </c>
      <c r="I459" s="26">
        <v>124762.0</v>
      </c>
      <c r="J459" s="26">
        <v>102200.0</v>
      </c>
      <c r="M459" s="22"/>
      <c r="N459" s="22"/>
      <c r="O459" s="22"/>
      <c r="P459" s="22"/>
      <c r="Q459" s="22"/>
      <c r="R459" s="22"/>
    </row>
    <row r="460">
      <c r="A460" s="25">
        <v>43197.09131657408</v>
      </c>
      <c r="B460" s="26" t="s">
        <v>40</v>
      </c>
      <c r="C460" s="26">
        <v>63.0</v>
      </c>
      <c r="D460" s="26" t="s">
        <v>31</v>
      </c>
      <c r="E460" s="26">
        <v>188.0</v>
      </c>
      <c r="F460" s="26" t="s">
        <v>86</v>
      </c>
      <c r="G460" s="26">
        <v>10.0</v>
      </c>
      <c r="H460" s="26">
        <v>3.0</v>
      </c>
      <c r="I460" s="26">
        <v>148.0</v>
      </c>
      <c r="J460" s="26">
        <v>20.0</v>
      </c>
      <c r="K460" s="26">
        <v>18.0</v>
      </c>
      <c r="M460" s="22"/>
      <c r="N460" s="22"/>
      <c r="O460" s="22"/>
      <c r="P460" s="22"/>
      <c r="Q460" s="22"/>
      <c r="R460" s="22"/>
    </row>
    <row r="461">
      <c r="A461" s="25">
        <v>43197.727763310184</v>
      </c>
      <c r="B461" s="26" t="s">
        <v>80</v>
      </c>
      <c r="C461" s="26" t="s">
        <v>43</v>
      </c>
      <c r="D461" s="26" t="s">
        <v>27</v>
      </c>
      <c r="E461" s="26">
        <v>375.0</v>
      </c>
      <c r="F461" s="26" t="s">
        <v>94</v>
      </c>
      <c r="G461" s="26">
        <v>7.0</v>
      </c>
      <c r="H461" s="26">
        <v>3.0</v>
      </c>
      <c r="I461" s="26">
        <v>160000.0</v>
      </c>
      <c r="J461" s="26">
        <v>180000.0</v>
      </c>
      <c r="K461" s="26">
        <v>30.0</v>
      </c>
      <c r="M461" s="22"/>
      <c r="N461" s="22"/>
      <c r="O461" s="22"/>
      <c r="P461" s="22"/>
      <c r="Q461" s="22"/>
      <c r="R461" s="22"/>
    </row>
    <row r="462">
      <c r="A462" s="25">
        <v>43198.39083822917</v>
      </c>
      <c r="B462" s="26" t="s">
        <v>80</v>
      </c>
      <c r="C462" s="26" t="s">
        <v>73</v>
      </c>
      <c r="D462" s="26" t="s">
        <v>31</v>
      </c>
      <c r="E462" s="26">
        <v>320.0</v>
      </c>
      <c r="F462" s="26" t="s">
        <v>199</v>
      </c>
      <c r="G462" s="26">
        <v>6.75</v>
      </c>
      <c r="H462" s="26">
        <v>0.0</v>
      </c>
      <c r="I462" s="26">
        <v>170.0</v>
      </c>
      <c r="J462" s="26">
        <v>125.0</v>
      </c>
      <c r="K462" s="26">
        <v>26.0</v>
      </c>
      <c r="M462" s="22"/>
      <c r="N462" s="22"/>
      <c r="O462" s="22"/>
      <c r="P462" s="22"/>
      <c r="Q462" s="22"/>
      <c r="R462" s="22"/>
    </row>
    <row r="463">
      <c r="A463" s="25">
        <v>43198.537381145834</v>
      </c>
      <c r="B463" s="26" t="s">
        <v>139</v>
      </c>
      <c r="C463" s="26" t="s">
        <v>184</v>
      </c>
      <c r="D463" s="26" t="s">
        <v>31</v>
      </c>
      <c r="E463" s="26">
        <v>190.0</v>
      </c>
      <c r="F463" s="26" t="s">
        <v>47</v>
      </c>
      <c r="G463" s="26">
        <v>4.0</v>
      </c>
      <c r="H463" s="26">
        <v>1.0</v>
      </c>
      <c r="I463" s="26">
        <v>149.0</v>
      </c>
      <c r="J463" s="26">
        <v>18.5</v>
      </c>
      <c r="K463" s="26">
        <v>22.5</v>
      </c>
      <c r="M463" s="22"/>
      <c r="N463" s="22"/>
      <c r="O463" s="22"/>
      <c r="P463" s="22"/>
      <c r="Q463" s="22"/>
      <c r="R463" s="22"/>
    </row>
    <row r="464">
      <c r="A464" s="25">
        <v>43198.94350710648</v>
      </c>
      <c r="B464" s="26" t="s">
        <v>263</v>
      </c>
      <c r="C464" s="26" t="s">
        <v>37</v>
      </c>
      <c r="D464" s="26" t="s">
        <v>27</v>
      </c>
      <c r="E464" s="26">
        <v>365.0</v>
      </c>
      <c r="F464" s="26" t="s">
        <v>63</v>
      </c>
      <c r="G464" s="26">
        <v>3.0</v>
      </c>
      <c r="H464" s="26">
        <v>3.0</v>
      </c>
      <c r="I464" s="26">
        <v>165000.0</v>
      </c>
      <c r="J464" s="26">
        <v>300000.0</v>
      </c>
      <c r="K464" s="26">
        <v>16500.0</v>
      </c>
      <c r="M464" s="22"/>
      <c r="N464" s="22"/>
      <c r="O464" s="22"/>
      <c r="P464" s="22"/>
      <c r="Q464" s="22"/>
      <c r="R464" s="22"/>
    </row>
    <row r="465">
      <c r="A465" s="25">
        <v>43199.003792337964</v>
      </c>
      <c r="B465" s="26" t="s">
        <v>252</v>
      </c>
      <c r="C465" s="26" t="s">
        <v>206</v>
      </c>
      <c r="D465" s="26" t="s">
        <v>31</v>
      </c>
      <c r="E465" s="26">
        <v>150.0</v>
      </c>
      <c r="F465" s="26" t="s">
        <v>175</v>
      </c>
      <c r="G465" s="26">
        <v>7.0</v>
      </c>
      <c r="H465" s="26">
        <v>4.0</v>
      </c>
      <c r="I465" s="26">
        <v>130000.0</v>
      </c>
      <c r="J465" s="26">
        <v>40000.0</v>
      </c>
      <c r="K465" s="26">
        <v>15000.0</v>
      </c>
      <c r="M465" s="22"/>
      <c r="N465" s="22"/>
      <c r="O465" s="22"/>
      <c r="P465" s="22"/>
      <c r="Q465" s="22"/>
      <c r="R465" s="22"/>
    </row>
    <row r="466">
      <c r="A466" s="25">
        <v>43199.720198298615</v>
      </c>
      <c r="B466" s="26" t="s">
        <v>80</v>
      </c>
      <c r="C466" s="26" t="s">
        <v>430</v>
      </c>
      <c r="D466" s="26" t="s">
        <v>31</v>
      </c>
      <c r="E466" s="26">
        <v>480.0</v>
      </c>
      <c r="F466" s="26" t="s">
        <v>199</v>
      </c>
      <c r="G466" s="26">
        <v>6.0</v>
      </c>
      <c r="H466" s="26">
        <v>2.0</v>
      </c>
      <c r="I466" s="26">
        <v>170.0</v>
      </c>
      <c r="J466" s="26">
        <v>280.0</v>
      </c>
      <c r="K466" s="26">
        <v>30.0</v>
      </c>
      <c r="M466" s="22"/>
      <c r="N466" s="22"/>
      <c r="O466" s="22"/>
      <c r="P466" s="22"/>
      <c r="Q466" s="22"/>
      <c r="R466" s="22"/>
    </row>
    <row r="467">
      <c r="A467" s="25">
        <v>43199.88607144676</v>
      </c>
      <c r="B467" s="26" t="s">
        <v>33</v>
      </c>
      <c r="C467" s="26" t="s">
        <v>62</v>
      </c>
      <c r="D467" s="26" t="s">
        <v>31</v>
      </c>
      <c r="E467" s="26">
        <v>308.0</v>
      </c>
      <c r="F467" s="26" t="s">
        <v>431</v>
      </c>
      <c r="G467" s="26">
        <v>3.0</v>
      </c>
      <c r="H467" s="26">
        <v>1.0</v>
      </c>
      <c r="M467" s="22"/>
      <c r="N467" s="22"/>
      <c r="O467" s="22"/>
      <c r="P467" s="22"/>
      <c r="Q467" s="22"/>
      <c r="R467" s="22"/>
    </row>
    <row r="468">
      <c r="A468" s="25">
        <v>43199.92595952546</v>
      </c>
      <c r="B468" s="26" t="s">
        <v>33</v>
      </c>
      <c r="C468" s="26" t="s">
        <v>62</v>
      </c>
      <c r="D468" s="26" t="s">
        <v>31</v>
      </c>
      <c r="E468" s="26">
        <v>270.0</v>
      </c>
      <c r="F468" s="26" t="s">
        <v>432</v>
      </c>
      <c r="G468" s="26">
        <v>20.0</v>
      </c>
      <c r="H468" s="26">
        <v>2.0</v>
      </c>
      <c r="I468" s="26">
        <v>160.0</v>
      </c>
      <c r="J468" s="26">
        <v>18.0</v>
      </c>
      <c r="K468" s="26">
        <v>100.0</v>
      </c>
      <c r="M468" s="22"/>
      <c r="N468" s="22"/>
      <c r="O468" s="22"/>
      <c r="P468" s="22"/>
      <c r="Q468" s="22"/>
      <c r="R468" s="22"/>
    </row>
    <row r="469">
      <c r="A469" s="25">
        <v>43199.954206469905</v>
      </c>
      <c r="B469" s="26" t="s">
        <v>33</v>
      </c>
      <c r="C469" s="26" t="s">
        <v>62</v>
      </c>
      <c r="D469" s="26" t="s">
        <v>27</v>
      </c>
      <c r="E469" s="26">
        <v>315.0</v>
      </c>
      <c r="F469" s="26" t="s">
        <v>47</v>
      </c>
      <c r="G469" s="26">
        <v>16.0</v>
      </c>
      <c r="H469" s="26">
        <v>5.0</v>
      </c>
      <c r="I469" s="26">
        <v>185.0</v>
      </c>
      <c r="J469" s="26">
        <v>130.0</v>
      </c>
      <c r="M469" s="22"/>
      <c r="N469" s="22"/>
      <c r="O469" s="22"/>
      <c r="P469" s="22"/>
      <c r="Q469" s="22"/>
      <c r="R469" s="22"/>
    </row>
    <row r="470">
      <c r="A470" s="25">
        <v>43200.494778125</v>
      </c>
      <c r="B470" s="26" t="s">
        <v>80</v>
      </c>
      <c r="C470" s="26" t="s">
        <v>176</v>
      </c>
      <c r="D470" s="26" t="s">
        <v>31</v>
      </c>
      <c r="E470" s="26">
        <v>260.0</v>
      </c>
      <c r="F470" s="26" t="s">
        <v>297</v>
      </c>
      <c r="G470" s="26">
        <v>6.0</v>
      </c>
      <c r="H470" s="26">
        <v>6.0</v>
      </c>
      <c r="M470" s="22"/>
      <c r="N470" s="22"/>
      <c r="O470" s="22"/>
      <c r="P470" s="22"/>
      <c r="Q470" s="22"/>
      <c r="R470" s="22"/>
    </row>
    <row r="471">
      <c r="A471" s="25">
        <v>43200.7783544213</v>
      </c>
      <c r="B471" s="26" t="s">
        <v>40</v>
      </c>
      <c r="C471" s="26">
        <v>59.0</v>
      </c>
      <c r="D471" s="26" t="s">
        <v>27</v>
      </c>
      <c r="E471" s="26">
        <v>148.0</v>
      </c>
      <c r="F471" s="26" t="s">
        <v>75</v>
      </c>
      <c r="G471" s="26">
        <v>0.0</v>
      </c>
      <c r="H471" s="26">
        <v>0.0</v>
      </c>
      <c r="I471" s="26">
        <v>108.0</v>
      </c>
      <c r="J471" s="26">
        <v>120.0</v>
      </c>
      <c r="K471" s="26">
        <v>10.0</v>
      </c>
      <c r="L471" s="26" t="s">
        <v>433</v>
      </c>
      <c r="M471" s="23"/>
      <c r="N471" s="23"/>
      <c r="O471" s="23"/>
      <c r="P471" s="23"/>
      <c r="Q471" s="23"/>
      <c r="R471" s="23"/>
    </row>
    <row r="472">
      <c r="A472" s="25">
        <v>43200.833870601855</v>
      </c>
      <c r="B472" s="26" t="s">
        <v>428</v>
      </c>
      <c r="C472" s="26" t="s">
        <v>43</v>
      </c>
      <c r="D472" s="26" t="s">
        <v>31</v>
      </c>
      <c r="E472" s="26">
        <v>205.0</v>
      </c>
      <c r="F472" s="26" t="s">
        <v>58</v>
      </c>
      <c r="G472" s="26">
        <v>6.0</v>
      </c>
      <c r="H472" s="26">
        <v>3.0</v>
      </c>
      <c r="I472" s="26">
        <v>160.0</v>
      </c>
      <c r="J472" s="26">
        <v>1600.0</v>
      </c>
      <c r="K472" s="26">
        <v>45.0</v>
      </c>
      <c r="L472" s="26" t="s">
        <v>434</v>
      </c>
      <c r="M472" s="23"/>
      <c r="N472" s="23"/>
      <c r="O472" s="23"/>
      <c r="P472" s="23"/>
      <c r="Q472" s="23"/>
      <c r="R472" s="23"/>
    </row>
    <row r="473">
      <c r="A473" s="25">
        <v>43200.91247898148</v>
      </c>
      <c r="B473" s="26" t="s">
        <v>33</v>
      </c>
      <c r="C473" s="26" t="s">
        <v>62</v>
      </c>
      <c r="D473" s="26" t="s">
        <v>31</v>
      </c>
      <c r="E473" s="26">
        <v>345.0</v>
      </c>
      <c r="F473" s="26" t="s">
        <v>35</v>
      </c>
      <c r="G473" s="26">
        <v>15.0</v>
      </c>
      <c r="H473" s="26">
        <v>3.0</v>
      </c>
      <c r="I473" s="26">
        <v>152000.0</v>
      </c>
      <c r="J473" s="26">
        <v>193000.0</v>
      </c>
      <c r="M473" s="22"/>
      <c r="N473" s="22"/>
      <c r="O473" s="22"/>
      <c r="P473" s="22"/>
      <c r="Q473" s="22"/>
      <c r="R473" s="22"/>
    </row>
    <row r="474">
      <c r="A474" s="25">
        <v>43200.92252581019</v>
      </c>
      <c r="B474" s="26" t="s">
        <v>268</v>
      </c>
      <c r="C474" s="26" t="s">
        <v>37</v>
      </c>
      <c r="D474" s="26" t="s">
        <v>31</v>
      </c>
      <c r="E474" s="26">
        <v>180.0</v>
      </c>
      <c r="F474" s="26" t="s">
        <v>272</v>
      </c>
      <c r="G474" s="26">
        <v>5.0</v>
      </c>
      <c r="H474" s="26">
        <v>1.0</v>
      </c>
      <c r="I474" s="26">
        <v>140.0</v>
      </c>
      <c r="K474" s="26">
        <v>40.0</v>
      </c>
      <c r="M474" s="22"/>
      <c r="N474" s="22"/>
      <c r="O474" s="22"/>
      <c r="P474" s="22"/>
      <c r="Q474" s="22"/>
      <c r="R474" s="22"/>
    </row>
    <row r="475">
      <c r="A475" s="25">
        <v>43201.34484666667</v>
      </c>
      <c r="B475" s="26" t="s">
        <v>435</v>
      </c>
      <c r="C475" s="26" t="s">
        <v>201</v>
      </c>
      <c r="D475" s="26" t="s">
        <v>31</v>
      </c>
      <c r="E475" s="26">
        <v>71.0</v>
      </c>
      <c r="F475" s="26" t="s">
        <v>436</v>
      </c>
      <c r="G475" s="26">
        <v>0.0</v>
      </c>
      <c r="H475" s="26">
        <v>0.0</v>
      </c>
      <c r="I475" s="26">
        <v>62000.0</v>
      </c>
      <c r="K475" s="26">
        <v>9300.0</v>
      </c>
      <c r="M475" s="22"/>
      <c r="N475" s="22"/>
      <c r="O475" s="22"/>
      <c r="P475" s="22"/>
      <c r="Q475" s="22"/>
      <c r="R475" s="22"/>
    </row>
    <row r="476">
      <c r="A476" s="25">
        <v>43201.39968721065</v>
      </c>
      <c r="B476" s="26" t="s">
        <v>437</v>
      </c>
      <c r="C476" s="26" t="s">
        <v>438</v>
      </c>
      <c r="D476" s="26" t="s">
        <v>31</v>
      </c>
      <c r="E476" s="26">
        <v>195.0</v>
      </c>
      <c r="F476" s="26" t="s">
        <v>439</v>
      </c>
      <c r="G476" s="26">
        <v>6.0</v>
      </c>
      <c r="H476" s="26">
        <v>1.0</v>
      </c>
      <c r="I476" s="26">
        <v>167500.0</v>
      </c>
      <c r="J476" s="26">
        <v>50000.0</v>
      </c>
      <c r="K476" s="26">
        <v>23500.0</v>
      </c>
      <c r="M476" s="22"/>
      <c r="N476" s="22"/>
      <c r="O476" s="22"/>
      <c r="P476" s="22"/>
      <c r="Q476" s="22"/>
      <c r="R476" s="22"/>
    </row>
    <row r="477">
      <c r="A477" s="25">
        <v>43201.572374131945</v>
      </c>
      <c r="B477" s="26" t="s">
        <v>440</v>
      </c>
      <c r="C477" s="26" t="s">
        <v>441</v>
      </c>
      <c r="D477" s="26" t="s">
        <v>31</v>
      </c>
      <c r="E477" s="26">
        <v>120.0</v>
      </c>
      <c r="F477" s="26" t="s">
        <v>63</v>
      </c>
      <c r="G477" s="26">
        <v>5.0</v>
      </c>
      <c r="H477" s="26">
        <v>2.0</v>
      </c>
      <c r="I477" s="26">
        <v>110.0</v>
      </c>
      <c r="J477" s="26">
        <v>4.0</v>
      </c>
      <c r="K477" s="26">
        <v>11.0</v>
      </c>
      <c r="M477" s="22"/>
      <c r="N477" s="22"/>
      <c r="O477" s="22"/>
      <c r="P477" s="22"/>
      <c r="Q477" s="22"/>
      <c r="R477" s="22"/>
    </row>
    <row r="478">
      <c r="A478" s="25">
        <v>43201.574113379625</v>
      </c>
      <c r="B478" s="26" t="s">
        <v>80</v>
      </c>
      <c r="C478" s="26" t="s">
        <v>125</v>
      </c>
      <c r="D478" s="26" t="s">
        <v>31</v>
      </c>
      <c r="E478" s="26">
        <v>456.0</v>
      </c>
      <c r="F478" s="26" t="s">
        <v>199</v>
      </c>
      <c r="G478" s="26">
        <v>7.0</v>
      </c>
      <c r="H478" s="26">
        <v>7.0</v>
      </c>
      <c r="I478" s="26">
        <v>192000.0</v>
      </c>
      <c r="J478" s="26">
        <v>220000.0</v>
      </c>
      <c r="K478" s="26">
        <v>42000.0</v>
      </c>
      <c r="M478" s="22"/>
      <c r="N478" s="22"/>
      <c r="O478" s="22"/>
      <c r="P478" s="22"/>
      <c r="Q478" s="22"/>
      <c r="R478" s="22"/>
    </row>
    <row r="479">
      <c r="A479" s="25">
        <v>43201.723509999996</v>
      </c>
      <c r="B479" s="26" t="s">
        <v>258</v>
      </c>
      <c r="C479" s="26" t="s">
        <v>442</v>
      </c>
      <c r="D479" s="26" t="s">
        <v>31</v>
      </c>
      <c r="E479" s="26">
        <v>184.0</v>
      </c>
      <c r="F479" s="26" t="s">
        <v>32</v>
      </c>
      <c r="G479" s="26">
        <v>0.0</v>
      </c>
      <c r="H479" s="26">
        <v>0.0</v>
      </c>
      <c r="I479" s="26">
        <v>127000.0</v>
      </c>
      <c r="J479" s="26">
        <v>42000.0</v>
      </c>
      <c r="K479" s="26">
        <v>15000.0</v>
      </c>
      <c r="M479" s="22"/>
      <c r="N479" s="22"/>
      <c r="O479" s="22"/>
      <c r="P479" s="22"/>
      <c r="Q479" s="22"/>
      <c r="R479" s="22"/>
    </row>
    <row r="480">
      <c r="A480" s="25">
        <v>43201.962623935186</v>
      </c>
      <c r="B480" s="26" t="s">
        <v>339</v>
      </c>
      <c r="C480" s="26" t="s">
        <v>89</v>
      </c>
      <c r="D480" s="26" t="s">
        <v>41</v>
      </c>
      <c r="E480" s="26">
        <v>1000.0</v>
      </c>
      <c r="F480" s="26" t="s">
        <v>443</v>
      </c>
      <c r="G480" s="26">
        <v>17.0</v>
      </c>
      <c r="H480" s="26">
        <v>3.0</v>
      </c>
      <c r="I480" s="26">
        <v>275000.0</v>
      </c>
      <c r="J480" s="26">
        <v>700000.0</v>
      </c>
      <c r="K480" s="26">
        <v>20000.0</v>
      </c>
      <c r="M480" s="22"/>
      <c r="N480" s="22"/>
      <c r="O480" s="22"/>
      <c r="P480" s="22"/>
      <c r="Q480" s="22"/>
      <c r="R480" s="22"/>
    </row>
    <row r="481">
      <c r="A481" s="25">
        <v>43201.985179780095</v>
      </c>
      <c r="B481" s="26" t="s">
        <v>204</v>
      </c>
      <c r="C481" s="26" t="s">
        <v>444</v>
      </c>
      <c r="D481" s="26" t="s">
        <v>41</v>
      </c>
      <c r="E481" s="26">
        <v>650.0</v>
      </c>
      <c r="F481" s="26" t="s">
        <v>32</v>
      </c>
      <c r="G481" s="26">
        <v>13.0</v>
      </c>
      <c r="H481" s="26">
        <v>1.0</v>
      </c>
      <c r="M481" s="22"/>
      <c r="N481" s="22"/>
      <c r="O481" s="22"/>
      <c r="P481" s="22"/>
      <c r="Q481" s="22"/>
      <c r="R481" s="22"/>
    </row>
    <row r="482">
      <c r="A482" s="25">
        <v>43202.218170625</v>
      </c>
      <c r="B482" s="26" t="s">
        <v>445</v>
      </c>
      <c r="C482" s="26" t="s">
        <v>353</v>
      </c>
      <c r="D482" s="26" t="s">
        <v>31</v>
      </c>
      <c r="E482" s="26">
        <v>105.0</v>
      </c>
      <c r="F482" s="26" t="s">
        <v>446</v>
      </c>
      <c r="G482" s="26">
        <v>4.0</v>
      </c>
      <c r="H482" s="26">
        <v>1.0</v>
      </c>
      <c r="I482" s="26">
        <v>105000.0</v>
      </c>
      <c r="L482" s="26" t="s">
        <v>447</v>
      </c>
      <c r="M482" s="23"/>
      <c r="N482" s="23"/>
      <c r="O482" s="23"/>
      <c r="P482" s="23"/>
      <c r="Q482" s="23"/>
      <c r="R482" s="23"/>
    </row>
    <row r="483">
      <c r="A483" s="25">
        <v>43202.67745278935</v>
      </c>
      <c r="B483" s="26" t="s">
        <v>411</v>
      </c>
      <c r="C483" s="26" t="s">
        <v>37</v>
      </c>
      <c r="D483" s="26" t="s">
        <v>31</v>
      </c>
      <c r="E483" s="26">
        <v>140.0</v>
      </c>
      <c r="F483" s="26" t="s">
        <v>448</v>
      </c>
      <c r="G483" s="26">
        <v>4.0</v>
      </c>
      <c r="H483" s="26">
        <v>4.0</v>
      </c>
      <c r="I483" s="26">
        <v>130.0</v>
      </c>
      <c r="K483" s="26">
        <v>10.0</v>
      </c>
      <c r="M483" s="21" t="s">
        <v>449</v>
      </c>
      <c r="N483" s="23"/>
      <c r="O483" s="23"/>
      <c r="P483" s="23"/>
      <c r="Q483" s="22"/>
      <c r="R483" s="22"/>
    </row>
    <row r="484">
      <c r="A484" s="25">
        <v>43202.971911493056</v>
      </c>
      <c r="B484" s="26" t="s">
        <v>33</v>
      </c>
      <c r="C484" s="26" t="s">
        <v>43</v>
      </c>
      <c r="D484" s="26" t="s">
        <v>31</v>
      </c>
      <c r="E484" s="26">
        <v>172.0</v>
      </c>
      <c r="F484" s="26" t="s">
        <v>63</v>
      </c>
      <c r="G484" s="26">
        <v>12.0</v>
      </c>
      <c r="H484" s="26">
        <v>2.0</v>
      </c>
      <c r="I484" s="26">
        <v>142.0</v>
      </c>
      <c r="J484" s="26">
        <v>30.0</v>
      </c>
      <c r="L484" s="26" t="s">
        <v>450</v>
      </c>
      <c r="M484" s="26" t="s">
        <v>449</v>
      </c>
      <c r="N484" s="28"/>
      <c r="O484" s="28"/>
      <c r="P484" s="28"/>
    </row>
    <row r="485">
      <c r="A485" s="25">
        <v>43203.272416493055</v>
      </c>
      <c r="B485" s="26" t="s">
        <v>36</v>
      </c>
      <c r="C485" s="26" t="s">
        <v>43</v>
      </c>
      <c r="D485" s="26" t="s">
        <v>31</v>
      </c>
      <c r="E485" s="26">
        <v>325.0</v>
      </c>
      <c r="F485" s="26" t="s">
        <v>451</v>
      </c>
      <c r="G485" s="26">
        <v>7.0</v>
      </c>
      <c r="H485" s="26">
        <v>2.0</v>
      </c>
      <c r="I485" s="26">
        <v>161.0</v>
      </c>
      <c r="J485" s="26">
        <v>140.0</v>
      </c>
      <c r="K485" s="26">
        <v>25.0</v>
      </c>
      <c r="M485" s="26" t="s">
        <v>449</v>
      </c>
      <c r="N485" s="28"/>
      <c r="O485" s="28"/>
      <c r="P485" s="28"/>
    </row>
    <row r="486">
      <c r="A486" s="25">
        <v>43203.57787954861</v>
      </c>
      <c r="B486" s="26" t="s">
        <v>452</v>
      </c>
      <c r="C486" s="26" t="s">
        <v>386</v>
      </c>
      <c r="D486" s="26" t="s">
        <v>31</v>
      </c>
      <c r="E486" s="26">
        <v>260.0</v>
      </c>
      <c r="F486" s="26" t="s">
        <v>453</v>
      </c>
      <c r="G486" s="26">
        <v>4.0</v>
      </c>
      <c r="H486" s="26">
        <v>0.5</v>
      </c>
      <c r="I486" s="26">
        <v>180000.0</v>
      </c>
      <c r="J486" s="26">
        <v>45000.0</v>
      </c>
      <c r="K486" s="26">
        <v>26000.0</v>
      </c>
    </row>
    <row r="487">
      <c r="A487" s="25">
        <v>43203.68614704861</v>
      </c>
      <c r="B487" s="26" t="s">
        <v>40</v>
      </c>
      <c r="C487" s="26">
        <v>61.0</v>
      </c>
      <c r="D487" s="26" t="s">
        <v>31</v>
      </c>
      <c r="E487" s="26">
        <v>145.0</v>
      </c>
      <c r="F487" s="26" t="s">
        <v>52</v>
      </c>
      <c r="G487" s="26">
        <v>7.0</v>
      </c>
      <c r="H487" s="26">
        <v>2.8</v>
      </c>
      <c r="I487" s="26">
        <v>129470.0</v>
      </c>
      <c r="J487" s="26">
        <v>4500.0</v>
      </c>
      <c r="K487" s="26">
        <v>11600.0</v>
      </c>
      <c r="L487" s="26" t="s">
        <v>454</v>
      </c>
      <c r="M487" s="26" t="s">
        <v>449</v>
      </c>
      <c r="N487" s="28"/>
      <c r="O487" s="28"/>
      <c r="P487" s="28"/>
    </row>
    <row r="488">
      <c r="A488" s="25">
        <v>43203.73232753472</v>
      </c>
      <c r="B488" s="26" t="s">
        <v>40</v>
      </c>
      <c r="C488" s="26">
        <v>65.0</v>
      </c>
      <c r="D488" s="26" t="s">
        <v>31</v>
      </c>
      <c r="E488" s="26">
        <v>266.0</v>
      </c>
      <c r="F488" s="26" t="s">
        <v>75</v>
      </c>
      <c r="G488" s="26">
        <v>13.0</v>
      </c>
      <c r="H488" s="26">
        <v>1.0</v>
      </c>
      <c r="I488" s="26">
        <v>190.0</v>
      </c>
      <c r="J488" s="26">
        <v>38.0</v>
      </c>
      <c r="K488" s="26">
        <v>38.0</v>
      </c>
    </row>
    <row r="489">
      <c r="A489" s="25">
        <v>43204.54036274306</v>
      </c>
      <c r="B489" s="26" t="s">
        <v>33</v>
      </c>
      <c r="C489" s="26" t="s">
        <v>62</v>
      </c>
      <c r="D489" s="26" t="s">
        <v>27</v>
      </c>
      <c r="E489" s="26">
        <v>194.0</v>
      </c>
      <c r="F489" s="26" t="s">
        <v>133</v>
      </c>
      <c r="G489" s="26">
        <v>6.0</v>
      </c>
      <c r="H489" s="26">
        <v>1.0</v>
      </c>
      <c r="I489" s="26">
        <v>148.0</v>
      </c>
      <c r="J489" s="26">
        <v>105.0</v>
      </c>
      <c r="K489" s="26">
        <v>70.0</v>
      </c>
    </row>
    <row r="490">
      <c r="A490" s="25">
        <v>43204.545398946764</v>
      </c>
      <c r="B490" s="26" t="s">
        <v>40</v>
      </c>
      <c r="C490" s="26">
        <v>60.0</v>
      </c>
      <c r="D490" s="26" t="s">
        <v>31</v>
      </c>
      <c r="E490" s="26">
        <v>150.0</v>
      </c>
      <c r="F490" s="26" t="s">
        <v>63</v>
      </c>
      <c r="G490" s="26">
        <v>4.0</v>
      </c>
      <c r="H490" s="26">
        <v>0.0</v>
      </c>
      <c r="I490" s="26">
        <v>118.0</v>
      </c>
      <c r="J490" s="26">
        <v>5.0</v>
      </c>
      <c r="K490" s="26">
        <v>12.0</v>
      </c>
      <c r="M490" s="26" t="s">
        <v>449</v>
      </c>
      <c r="N490" s="28"/>
      <c r="O490" s="28"/>
      <c r="P490" s="28"/>
    </row>
    <row r="491">
      <c r="A491" s="25">
        <v>43204.60661126157</v>
      </c>
      <c r="B491" s="26" t="s">
        <v>40</v>
      </c>
      <c r="C491" s="26">
        <v>64.0</v>
      </c>
      <c r="D491" s="26" t="s">
        <v>31</v>
      </c>
      <c r="E491" s="26">
        <v>230.0</v>
      </c>
      <c r="F491" s="26" t="s">
        <v>75</v>
      </c>
      <c r="G491" s="26">
        <v>17.0</v>
      </c>
      <c r="H491" s="26">
        <v>9.0</v>
      </c>
      <c r="I491" s="26">
        <v>175000.0</v>
      </c>
      <c r="J491" s="26">
        <v>75000.0</v>
      </c>
      <c r="K491" s="26">
        <v>25000.0</v>
      </c>
      <c r="M491" s="26" t="s">
        <v>449</v>
      </c>
      <c r="N491" s="28"/>
      <c r="O491" s="28"/>
      <c r="P491" s="28"/>
    </row>
    <row r="492">
      <c r="A492" s="25">
        <v>43205.34221806713</v>
      </c>
      <c r="B492" s="26" t="s">
        <v>380</v>
      </c>
      <c r="C492" s="26" t="s">
        <v>455</v>
      </c>
      <c r="D492" s="26" t="s">
        <v>31</v>
      </c>
      <c r="E492" s="26">
        <v>130.0</v>
      </c>
      <c r="F492" s="26" t="s">
        <v>456</v>
      </c>
      <c r="G492" s="26">
        <v>2.0</v>
      </c>
      <c r="H492" s="26">
        <v>2.0</v>
      </c>
      <c r="I492" s="26">
        <v>110000.0</v>
      </c>
      <c r="J492" s="26">
        <v>60000.0</v>
      </c>
      <c r="K492" s="26">
        <v>5000.0</v>
      </c>
      <c r="L492" s="26" t="s">
        <v>457</v>
      </c>
      <c r="M492" s="26" t="s">
        <v>449</v>
      </c>
      <c r="N492" s="28"/>
      <c r="O492" s="28"/>
      <c r="P492" s="28"/>
    </row>
    <row r="493">
      <c r="A493" s="25">
        <v>43205.49158027778</v>
      </c>
      <c r="B493" s="26" t="s">
        <v>80</v>
      </c>
      <c r="C493" s="26" t="s">
        <v>62</v>
      </c>
      <c r="D493" s="26" t="s">
        <v>31</v>
      </c>
      <c r="E493" s="26">
        <v>640.0</v>
      </c>
      <c r="F493" s="26" t="s">
        <v>51</v>
      </c>
      <c r="G493" s="26">
        <v>11.0</v>
      </c>
      <c r="H493" s="26">
        <v>4.0</v>
      </c>
      <c r="I493" s="26">
        <v>210.0</v>
      </c>
      <c r="J493" s="26">
        <v>380.0</v>
      </c>
      <c r="K493" s="26">
        <v>50.0</v>
      </c>
      <c r="M493" s="26" t="s">
        <v>449</v>
      </c>
      <c r="N493" s="28"/>
      <c r="O493" s="28"/>
      <c r="P493" s="28"/>
    </row>
    <row r="494">
      <c r="A494" s="25">
        <v>43205.54193900463</v>
      </c>
      <c r="B494" s="26" t="s">
        <v>428</v>
      </c>
      <c r="C494" s="26" t="s">
        <v>43</v>
      </c>
      <c r="D494" s="26" t="s">
        <v>31</v>
      </c>
      <c r="E494" s="26">
        <v>200.0</v>
      </c>
      <c r="F494" s="26" t="s">
        <v>32</v>
      </c>
      <c r="G494" s="26">
        <v>7.0</v>
      </c>
      <c r="H494" s="26">
        <v>0.0</v>
      </c>
      <c r="I494" s="26">
        <v>160000.0</v>
      </c>
      <c r="J494" s="26">
        <v>40000.0</v>
      </c>
      <c r="M494" s="26" t="s">
        <v>458</v>
      </c>
      <c r="N494" s="28"/>
      <c r="O494" s="28"/>
      <c r="P494" s="28"/>
    </row>
    <row r="495">
      <c r="A495" s="25">
        <v>43205.65474864583</v>
      </c>
      <c r="B495" s="26" t="s">
        <v>124</v>
      </c>
      <c r="C495" s="26" t="s">
        <v>442</v>
      </c>
      <c r="D495" s="26" t="s">
        <v>31</v>
      </c>
      <c r="E495" s="26">
        <v>125.0</v>
      </c>
      <c r="F495" s="26" t="s">
        <v>459</v>
      </c>
      <c r="G495" s="26">
        <v>0.0</v>
      </c>
      <c r="H495" s="26">
        <v>0.0</v>
      </c>
      <c r="I495" s="26">
        <v>105000.0</v>
      </c>
      <c r="J495" s="26">
        <v>10000.0</v>
      </c>
      <c r="K495" s="26">
        <v>10000.0</v>
      </c>
      <c r="L495" s="26" t="s">
        <v>460</v>
      </c>
      <c r="M495" s="26" t="s">
        <v>449</v>
      </c>
      <c r="N495" s="28"/>
      <c r="O495" s="28"/>
      <c r="P495" s="28"/>
    </row>
    <row r="496">
      <c r="A496" s="25">
        <v>43205.929589444444</v>
      </c>
      <c r="B496" s="26" t="s">
        <v>461</v>
      </c>
      <c r="C496" s="26" t="s">
        <v>26</v>
      </c>
      <c r="D496" s="26" t="s">
        <v>31</v>
      </c>
      <c r="E496" s="26">
        <v>189.0</v>
      </c>
      <c r="F496" s="26" t="s">
        <v>161</v>
      </c>
      <c r="G496" s="26">
        <v>0.0</v>
      </c>
      <c r="H496" s="26">
        <v>0.0</v>
      </c>
      <c r="I496" s="26">
        <v>140.0</v>
      </c>
      <c r="K496" s="26">
        <v>49.0</v>
      </c>
      <c r="M496" s="26" t="s">
        <v>449</v>
      </c>
      <c r="N496" s="28"/>
      <c r="O496" s="28"/>
      <c r="P496" s="28"/>
    </row>
    <row r="497">
      <c r="A497" s="25">
        <v>43206.28471085648</v>
      </c>
      <c r="B497" s="26" t="s">
        <v>40</v>
      </c>
      <c r="C497" s="26">
        <v>62.0</v>
      </c>
      <c r="D497" s="26" t="s">
        <v>31</v>
      </c>
      <c r="E497" s="26">
        <v>230.0</v>
      </c>
      <c r="F497" s="26" t="s">
        <v>86</v>
      </c>
      <c r="G497" s="26">
        <v>3.0</v>
      </c>
      <c r="H497" s="26">
        <v>0.0</v>
      </c>
      <c r="I497" s="26">
        <v>140.0</v>
      </c>
      <c r="J497" s="26">
        <v>75.0</v>
      </c>
      <c r="K497" s="26">
        <v>15.0</v>
      </c>
      <c r="M497" s="26" t="s">
        <v>449</v>
      </c>
      <c r="N497" s="28"/>
      <c r="O497" s="28"/>
      <c r="P497" s="28"/>
    </row>
    <row r="498">
      <c r="A498" s="25">
        <v>43206.56354739583</v>
      </c>
      <c r="B498" s="26" t="s">
        <v>33</v>
      </c>
      <c r="C498" s="26">
        <v>7.0</v>
      </c>
      <c r="D498" s="26" t="s">
        <v>27</v>
      </c>
      <c r="E498" s="26">
        <v>325.0</v>
      </c>
      <c r="F498" s="26" t="s">
        <v>35</v>
      </c>
      <c r="G498" s="26">
        <v>12.0</v>
      </c>
      <c r="H498" s="26">
        <v>12.0</v>
      </c>
      <c r="I498" s="26">
        <v>140000.0</v>
      </c>
      <c r="J498" s="26">
        <v>210000.0</v>
      </c>
      <c r="M498" s="26" t="s">
        <v>449</v>
      </c>
      <c r="N498" s="28"/>
      <c r="O498" s="28"/>
      <c r="P498" s="28"/>
    </row>
    <row r="499">
      <c r="A499" s="25">
        <v>43206.94447800926</v>
      </c>
      <c r="B499" s="26" t="s">
        <v>45</v>
      </c>
      <c r="C499" s="26" t="s">
        <v>98</v>
      </c>
      <c r="D499" s="26" t="s">
        <v>31</v>
      </c>
      <c r="E499" s="26">
        <v>150.0</v>
      </c>
      <c r="F499" s="26" t="s">
        <v>104</v>
      </c>
      <c r="G499" s="26">
        <v>0.0</v>
      </c>
      <c r="H499" s="26">
        <v>0.0</v>
      </c>
    </row>
    <row r="500">
      <c r="A500" s="25">
        <v>43207.0181296875</v>
      </c>
      <c r="B500" s="26" t="s">
        <v>25</v>
      </c>
      <c r="C500" s="26" t="s">
        <v>462</v>
      </c>
      <c r="D500" s="26" t="s">
        <v>31</v>
      </c>
      <c r="E500" s="26">
        <v>128.0</v>
      </c>
      <c r="F500" s="26" t="s">
        <v>232</v>
      </c>
      <c r="G500" s="26">
        <v>9.0</v>
      </c>
      <c r="H500" s="26">
        <v>3.0</v>
      </c>
      <c r="I500" s="26">
        <v>123.0</v>
      </c>
      <c r="J500" s="26">
        <v>5.0</v>
      </c>
      <c r="M500" s="26" t="s">
        <v>449</v>
      </c>
      <c r="N500" s="28"/>
      <c r="O500" s="28"/>
      <c r="P500" s="28"/>
    </row>
    <row r="501">
      <c r="A501" s="25">
        <v>43207.495287743055</v>
      </c>
      <c r="B501" s="26" t="s">
        <v>33</v>
      </c>
      <c r="C501" s="26" t="s">
        <v>62</v>
      </c>
      <c r="D501" s="26" t="s">
        <v>27</v>
      </c>
      <c r="E501" s="26">
        <v>207.0</v>
      </c>
      <c r="F501" s="26" t="s">
        <v>63</v>
      </c>
      <c r="G501" s="26">
        <v>6.0</v>
      </c>
      <c r="H501" s="26">
        <v>1.0</v>
      </c>
      <c r="I501" s="26">
        <v>149000.0</v>
      </c>
      <c r="K501" s="26">
        <v>58000.0</v>
      </c>
      <c r="M501" s="26" t="s">
        <v>449</v>
      </c>
      <c r="N501" s="28"/>
      <c r="O501" s="28"/>
      <c r="P501" s="28"/>
    </row>
    <row r="502">
      <c r="A502" s="25">
        <v>43207.5707996875</v>
      </c>
      <c r="B502" s="26" t="s">
        <v>463</v>
      </c>
      <c r="C502" s="26" t="s">
        <v>73</v>
      </c>
      <c r="D502" s="26" t="s">
        <v>31</v>
      </c>
      <c r="E502" s="26">
        <v>270.0</v>
      </c>
      <c r="F502" s="26" t="s">
        <v>232</v>
      </c>
      <c r="G502" s="26">
        <v>8.0</v>
      </c>
      <c r="H502" s="26">
        <v>1.0</v>
      </c>
      <c r="I502" s="26">
        <v>180000.0</v>
      </c>
      <c r="J502" s="26">
        <v>53000.0</v>
      </c>
      <c r="K502" s="26">
        <v>1.0</v>
      </c>
      <c r="L502" s="26" t="s">
        <v>464</v>
      </c>
      <c r="M502" s="26" t="s">
        <v>449</v>
      </c>
      <c r="N502" s="28"/>
      <c r="O502" s="28"/>
      <c r="P502" s="28"/>
    </row>
    <row r="503">
      <c r="A503" s="25">
        <v>43207.96799300926</v>
      </c>
      <c r="B503" s="26" t="s">
        <v>33</v>
      </c>
      <c r="C503" s="26" t="s">
        <v>43</v>
      </c>
      <c r="D503" s="26" t="s">
        <v>31</v>
      </c>
      <c r="E503" s="26">
        <v>255.0</v>
      </c>
      <c r="F503" s="26" t="s">
        <v>35</v>
      </c>
      <c r="G503" s="26">
        <v>5.0</v>
      </c>
      <c r="H503" s="26">
        <v>3.5</v>
      </c>
      <c r="I503" s="26">
        <v>138000.0</v>
      </c>
      <c r="J503" s="26">
        <v>117000.0</v>
      </c>
      <c r="M503" s="26" t="s">
        <v>449</v>
      </c>
      <c r="N503" s="28"/>
      <c r="O503" s="28"/>
      <c r="P503" s="28"/>
    </row>
    <row r="504">
      <c r="A504" s="25">
        <v>43208.37361407407</v>
      </c>
      <c r="B504" s="26" t="s">
        <v>40</v>
      </c>
      <c r="C504" s="26">
        <v>63.0</v>
      </c>
      <c r="D504" s="26" t="s">
        <v>31</v>
      </c>
      <c r="E504" s="26">
        <v>210.0</v>
      </c>
      <c r="F504" s="26" t="s">
        <v>131</v>
      </c>
      <c r="G504" s="26">
        <v>9.0</v>
      </c>
      <c r="H504" s="26">
        <v>9.0</v>
      </c>
      <c r="I504" s="26">
        <v>150000.0</v>
      </c>
      <c r="M504" s="26" t="s">
        <v>449</v>
      </c>
      <c r="N504" s="28"/>
      <c r="O504" s="28"/>
      <c r="P504" s="28"/>
    </row>
    <row r="505">
      <c r="A505" s="25">
        <v>43208.374288541665</v>
      </c>
      <c r="B505" s="26" t="s">
        <v>45</v>
      </c>
      <c r="C505" s="26" t="s">
        <v>465</v>
      </c>
      <c r="D505" s="26" t="s">
        <v>31</v>
      </c>
      <c r="E505" s="26">
        <v>176.0</v>
      </c>
      <c r="F505" s="26" t="s">
        <v>92</v>
      </c>
      <c r="G505" s="26">
        <v>3.0</v>
      </c>
      <c r="H505" s="26">
        <v>1.0</v>
      </c>
      <c r="I505" s="26">
        <v>126.0</v>
      </c>
      <c r="J505" s="26">
        <v>25.0</v>
      </c>
      <c r="K505" s="26">
        <v>20.0</v>
      </c>
      <c r="M505" s="26" t="s">
        <v>458</v>
      </c>
      <c r="N505" s="28"/>
      <c r="O505" s="28"/>
      <c r="P505" s="28"/>
    </row>
    <row r="506">
      <c r="A506" s="25">
        <v>43208.44134472222</v>
      </c>
      <c r="B506" s="26" t="s">
        <v>466</v>
      </c>
      <c r="C506" s="26" t="s">
        <v>143</v>
      </c>
      <c r="D506" s="26" t="s">
        <v>27</v>
      </c>
      <c r="E506" s="26">
        <v>245.0</v>
      </c>
      <c r="F506" s="26" t="s">
        <v>32</v>
      </c>
      <c r="G506" s="26">
        <v>20.0</v>
      </c>
      <c r="H506" s="26">
        <v>3.0</v>
      </c>
      <c r="I506" s="26">
        <v>205.0</v>
      </c>
      <c r="K506" s="26">
        <v>40.0</v>
      </c>
      <c r="M506" s="26" t="s">
        <v>449</v>
      </c>
      <c r="N506" s="28"/>
      <c r="O506" s="28"/>
      <c r="P506" s="28"/>
    </row>
    <row r="507">
      <c r="A507" s="25">
        <v>43208.456768923614</v>
      </c>
      <c r="B507" s="26" t="s">
        <v>40</v>
      </c>
      <c r="C507" s="26">
        <v>68.0</v>
      </c>
      <c r="D507" s="26" t="s">
        <v>27</v>
      </c>
      <c r="E507" s="26">
        <v>950.0</v>
      </c>
      <c r="F507" s="26" t="s">
        <v>75</v>
      </c>
      <c r="G507" s="26">
        <v>20.0</v>
      </c>
      <c r="H507" s="26">
        <v>20.0</v>
      </c>
      <c r="I507" s="26">
        <v>240000.0</v>
      </c>
      <c r="J507" s="26">
        <v>317000.0</v>
      </c>
      <c r="K507" s="26">
        <v>140000.0</v>
      </c>
      <c r="M507" s="26" t="s">
        <v>449</v>
      </c>
      <c r="N507" s="28"/>
      <c r="O507" s="28"/>
      <c r="P507" s="28"/>
    </row>
    <row r="508">
      <c r="A508" s="25">
        <v>43208.63634722222</v>
      </c>
      <c r="B508" s="26" t="s">
        <v>40</v>
      </c>
      <c r="C508" s="26">
        <v>61.0</v>
      </c>
      <c r="D508" s="26" t="s">
        <v>31</v>
      </c>
      <c r="E508" s="26">
        <v>165.0</v>
      </c>
      <c r="F508" s="26" t="s">
        <v>75</v>
      </c>
      <c r="G508" s="26">
        <v>6.0</v>
      </c>
      <c r="H508" s="26">
        <v>1.0</v>
      </c>
      <c r="I508" s="26">
        <v>135000.0</v>
      </c>
      <c r="J508" s="26">
        <v>20000.0</v>
      </c>
      <c r="K508" s="26">
        <v>10000.0</v>
      </c>
      <c r="M508" s="26" t="s">
        <v>449</v>
      </c>
      <c r="N508" s="28"/>
      <c r="O508" s="28"/>
      <c r="P508" s="28"/>
    </row>
    <row r="509">
      <c r="A509" s="25">
        <v>43208.79400646991</v>
      </c>
      <c r="B509" s="26" t="s">
        <v>142</v>
      </c>
      <c r="C509" s="26" t="s">
        <v>467</v>
      </c>
      <c r="D509" s="26" t="s">
        <v>31</v>
      </c>
      <c r="E509" s="26">
        <v>240.0</v>
      </c>
      <c r="F509" s="26" t="s">
        <v>247</v>
      </c>
      <c r="G509" s="26">
        <v>7.0</v>
      </c>
      <c r="H509" s="26">
        <v>1.0</v>
      </c>
      <c r="I509" s="26">
        <v>158.0</v>
      </c>
      <c r="J509" s="26">
        <v>70.0</v>
      </c>
      <c r="K509" s="26">
        <v>8500.0</v>
      </c>
      <c r="M509" s="26" t="s">
        <v>449</v>
      </c>
      <c r="N509" s="28"/>
      <c r="O509" s="28"/>
      <c r="P509" s="28"/>
    </row>
    <row r="510">
      <c r="A510" s="25">
        <v>43208.94659048611</v>
      </c>
      <c r="B510" s="26" t="s">
        <v>468</v>
      </c>
      <c r="C510" s="26">
        <v>16.0</v>
      </c>
      <c r="D510" s="26" t="s">
        <v>27</v>
      </c>
      <c r="E510" s="26">
        <v>130.0</v>
      </c>
      <c r="F510" s="26" t="s">
        <v>35</v>
      </c>
      <c r="G510" s="26">
        <v>5.0</v>
      </c>
      <c r="H510" s="26">
        <v>1.0</v>
      </c>
      <c r="I510" s="26">
        <v>113500.0</v>
      </c>
      <c r="K510" s="26">
        <v>17000.0</v>
      </c>
      <c r="M510" s="26" t="s">
        <v>449</v>
      </c>
      <c r="N510" s="28"/>
      <c r="O510" s="28"/>
      <c r="P510" s="28"/>
    </row>
    <row r="511">
      <c r="A511" s="25">
        <v>43208.94667125</v>
      </c>
      <c r="B511" s="26" t="s">
        <v>468</v>
      </c>
      <c r="C511" s="26">
        <v>16.0</v>
      </c>
      <c r="D511" s="26" t="s">
        <v>27</v>
      </c>
      <c r="E511" s="26">
        <v>130.0</v>
      </c>
      <c r="F511" s="26" t="s">
        <v>35</v>
      </c>
      <c r="G511" s="26">
        <v>5.0</v>
      </c>
      <c r="H511" s="26">
        <v>1.0</v>
      </c>
      <c r="I511" s="26">
        <v>113500.0</v>
      </c>
      <c r="K511" s="26">
        <v>17000.0</v>
      </c>
      <c r="M511" s="26" t="s">
        <v>449</v>
      </c>
      <c r="N511" s="28"/>
      <c r="O511" s="28"/>
      <c r="P511" s="28"/>
    </row>
    <row r="512">
      <c r="A512" s="25">
        <v>43208.966391678245</v>
      </c>
      <c r="B512" s="26" t="s">
        <v>33</v>
      </c>
      <c r="C512" s="26" t="s">
        <v>73</v>
      </c>
      <c r="D512" s="26" t="s">
        <v>31</v>
      </c>
      <c r="E512" s="26">
        <v>179.0</v>
      </c>
      <c r="F512" s="26" t="s">
        <v>63</v>
      </c>
      <c r="G512" s="26">
        <v>2.0</v>
      </c>
      <c r="H512" s="26">
        <v>2.0</v>
      </c>
      <c r="I512" s="26">
        <v>131500.0</v>
      </c>
      <c r="J512" s="26">
        <v>43500.0</v>
      </c>
      <c r="K512" s="26">
        <v>4000.0</v>
      </c>
    </row>
    <row r="513">
      <c r="A513" s="25">
        <v>43209.61089646991</v>
      </c>
      <c r="B513" s="26" t="s">
        <v>469</v>
      </c>
      <c r="C513" s="26" t="s">
        <v>96</v>
      </c>
      <c r="D513" s="26" t="s">
        <v>31</v>
      </c>
      <c r="E513" s="26">
        <v>150.0</v>
      </c>
      <c r="F513" s="26" t="s">
        <v>470</v>
      </c>
      <c r="G513" s="26">
        <v>15.0</v>
      </c>
      <c r="H513" s="26">
        <v>5.0</v>
      </c>
      <c r="I513" s="26">
        <v>150.0</v>
      </c>
    </row>
    <row r="514">
      <c r="A514" s="25">
        <v>43209.64589063657</v>
      </c>
      <c r="B514" s="26" t="s">
        <v>234</v>
      </c>
      <c r="C514" s="26" t="s">
        <v>73</v>
      </c>
      <c r="D514" s="26" t="s">
        <v>31</v>
      </c>
      <c r="E514" s="26">
        <v>205.0</v>
      </c>
      <c r="F514" s="26" t="s">
        <v>175</v>
      </c>
      <c r="G514" s="26">
        <v>10.0</v>
      </c>
      <c r="H514" s="26">
        <v>0.0</v>
      </c>
      <c r="I514" s="26">
        <v>185.0</v>
      </c>
      <c r="K514" s="26">
        <v>20.0</v>
      </c>
      <c r="M514" s="26" t="s">
        <v>449</v>
      </c>
      <c r="N514" s="28"/>
      <c r="O514" s="28"/>
      <c r="P514" s="28"/>
    </row>
    <row r="515">
      <c r="A515" s="25">
        <v>43209.657539085645</v>
      </c>
      <c r="B515" s="26" t="s">
        <v>204</v>
      </c>
      <c r="C515" s="26" t="s">
        <v>43</v>
      </c>
      <c r="D515" s="26" t="s">
        <v>31</v>
      </c>
      <c r="E515" s="26">
        <v>400.0</v>
      </c>
      <c r="F515" s="26" t="s">
        <v>32</v>
      </c>
      <c r="G515" s="26">
        <v>5.0</v>
      </c>
      <c r="H515" s="26">
        <v>1.0</v>
      </c>
      <c r="I515" s="26">
        <v>200000.0</v>
      </c>
      <c r="J515" s="26">
        <v>800000.0</v>
      </c>
    </row>
    <row r="516">
      <c r="A516" s="25">
        <v>43210.548827465274</v>
      </c>
      <c r="B516" s="26" t="s">
        <v>45</v>
      </c>
      <c r="C516" s="26" t="s">
        <v>116</v>
      </c>
      <c r="D516" s="26" t="s">
        <v>31</v>
      </c>
      <c r="E516" s="26">
        <v>275.0</v>
      </c>
      <c r="F516" s="26" t="s">
        <v>104</v>
      </c>
      <c r="G516" s="26">
        <v>14.0</v>
      </c>
      <c r="H516" s="26">
        <v>1.0</v>
      </c>
      <c r="I516" s="26">
        <v>180.0</v>
      </c>
      <c r="J516" s="26">
        <v>100.0</v>
      </c>
      <c r="K516" s="26">
        <v>25.0</v>
      </c>
      <c r="M516" s="26" t="s">
        <v>449</v>
      </c>
      <c r="N516" s="28"/>
      <c r="O516" s="28"/>
      <c r="P516" s="28"/>
    </row>
    <row r="517">
      <c r="A517" s="25">
        <v>43210.752719675926</v>
      </c>
      <c r="B517" s="26" t="s">
        <v>48</v>
      </c>
      <c r="C517" s="26" t="s">
        <v>222</v>
      </c>
      <c r="D517" s="26" t="s">
        <v>31</v>
      </c>
      <c r="E517" s="26">
        <v>850.0</v>
      </c>
      <c r="F517" s="26" t="s">
        <v>471</v>
      </c>
      <c r="G517" s="26">
        <v>7.0</v>
      </c>
      <c r="H517" s="26">
        <v>6.0</v>
      </c>
      <c r="I517" s="26">
        <v>250000.0</v>
      </c>
      <c r="J517" s="26">
        <v>2000000.0</v>
      </c>
      <c r="K517" s="26">
        <v>61250.0</v>
      </c>
      <c r="M517" s="26" t="s">
        <v>449</v>
      </c>
      <c r="N517" s="28"/>
      <c r="O517" s="28"/>
      <c r="P517" s="28"/>
    </row>
    <row r="518">
      <c r="A518" s="25">
        <v>43211.4422084838</v>
      </c>
      <c r="B518" s="26" t="s">
        <v>472</v>
      </c>
      <c r="C518" s="26">
        <v>2.0</v>
      </c>
      <c r="D518" s="26" t="s">
        <v>31</v>
      </c>
      <c r="E518" s="26">
        <v>160.0</v>
      </c>
      <c r="F518" s="26" t="s">
        <v>58</v>
      </c>
      <c r="G518" s="26">
        <v>3.0</v>
      </c>
      <c r="H518" s="26">
        <v>1.0</v>
      </c>
      <c r="I518" s="26">
        <v>130.0</v>
      </c>
      <c r="J518" s="26">
        <v>1.0E-6</v>
      </c>
      <c r="K518" s="26">
        <v>30.0</v>
      </c>
      <c r="M518" s="26" t="s">
        <v>449</v>
      </c>
      <c r="N518" s="28"/>
      <c r="O518" s="28"/>
      <c r="P518" s="28"/>
    </row>
    <row r="519">
      <c r="A519" s="25">
        <v>43211.54704172454</v>
      </c>
      <c r="B519" s="26" t="s">
        <v>33</v>
      </c>
      <c r="C519" s="26" t="s">
        <v>245</v>
      </c>
      <c r="D519" s="26" t="s">
        <v>31</v>
      </c>
      <c r="E519" s="26">
        <v>207.0</v>
      </c>
      <c r="F519" s="26" t="s">
        <v>35</v>
      </c>
      <c r="G519" s="26">
        <v>5.0</v>
      </c>
      <c r="H519" s="26">
        <v>2.0</v>
      </c>
      <c r="I519" s="26">
        <v>134.0</v>
      </c>
      <c r="J519" s="26">
        <v>73.0</v>
      </c>
      <c r="M519" s="26" t="s">
        <v>458</v>
      </c>
      <c r="N519" s="28"/>
      <c r="O519" s="28"/>
      <c r="P519" s="28"/>
    </row>
    <row r="520">
      <c r="A520" s="25">
        <v>43211.663174236106</v>
      </c>
      <c r="B520" s="26" t="s">
        <v>473</v>
      </c>
      <c r="C520" s="26" t="s">
        <v>69</v>
      </c>
      <c r="D520" s="26" t="s">
        <v>31</v>
      </c>
      <c r="E520" s="26">
        <v>162.0</v>
      </c>
      <c r="F520" s="26" t="s">
        <v>247</v>
      </c>
      <c r="G520" s="26">
        <v>3.0</v>
      </c>
      <c r="H520" s="26">
        <v>2.0</v>
      </c>
      <c r="I520" s="26">
        <v>142.0</v>
      </c>
      <c r="J520" s="26">
        <v>20.0</v>
      </c>
      <c r="K520" s="26">
        <v>1.0E-8</v>
      </c>
      <c r="L520" s="26" t="s">
        <v>474</v>
      </c>
      <c r="M520" s="26" t="s">
        <v>449</v>
      </c>
      <c r="N520" s="28"/>
      <c r="O520" s="28"/>
      <c r="P520" s="28"/>
    </row>
    <row r="521">
      <c r="A521" s="25">
        <v>43212.5722680787</v>
      </c>
      <c r="B521" s="26" t="s">
        <v>475</v>
      </c>
      <c r="C521" s="26" t="s">
        <v>476</v>
      </c>
      <c r="D521" s="26" t="s">
        <v>31</v>
      </c>
      <c r="E521" s="26">
        <v>150.0</v>
      </c>
      <c r="F521" s="26" t="s">
        <v>477</v>
      </c>
      <c r="G521" s="26">
        <v>5.0</v>
      </c>
      <c r="H521" s="26">
        <v>2.0</v>
      </c>
      <c r="I521" s="26">
        <v>115000.0</v>
      </c>
      <c r="J521" s="26">
        <v>97600.0</v>
      </c>
      <c r="K521" s="26">
        <v>11500.0</v>
      </c>
      <c r="M521" s="26" t="s">
        <v>449</v>
      </c>
      <c r="N521" s="28"/>
      <c r="O521" s="28"/>
      <c r="P521" s="28"/>
    </row>
    <row r="522">
      <c r="A522" s="25">
        <v>43212.62325422454</v>
      </c>
      <c r="B522" s="26" t="s">
        <v>170</v>
      </c>
      <c r="C522" s="26" t="s">
        <v>125</v>
      </c>
      <c r="D522" s="26" t="s">
        <v>31</v>
      </c>
      <c r="E522" s="26">
        <v>170.0</v>
      </c>
      <c r="F522" s="26" t="s">
        <v>478</v>
      </c>
      <c r="G522" s="26">
        <v>7.0</v>
      </c>
      <c r="H522" s="26">
        <v>6.0</v>
      </c>
      <c r="M522" s="26" t="s">
        <v>449</v>
      </c>
      <c r="N522" s="28"/>
      <c r="O522" s="28"/>
      <c r="P522" s="28"/>
    </row>
    <row r="523">
      <c r="A523" s="25">
        <v>43212.8924134838</v>
      </c>
      <c r="B523" s="26" t="s">
        <v>33</v>
      </c>
      <c r="C523" s="26" t="s">
        <v>43</v>
      </c>
      <c r="D523" s="26" t="s">
        <v>27</v>
      </c>
      <c r="E523" s="26">
        <v>164.0</v>
      </c>
      <c r="F523" s="26" t="s">
        <v>35</v>
      </c>
      <c r="G523" s="26">
        <v>6.0</v>
      </c>
      <c r="H523" s="26">
        <v>1.5</v>
      </c>
      <c r="M523" s="26" t="s">
        <v>449</v>
      </c>
      <c r="N523" s="28"/>
      <c r="O523" s="28"/>
      <c r="P523" s="28"/>
    </row>
    <row r="524">
      <c r="A524" s="25">
        <v>43213.08725590278</v>
      </c>
      <c r="B524" s="26" t="s">
        <v>33</v>
      </c>
      <c r="C524" s="26" t="s">
        <v>479</v>
      </c>
      <c r="D524" s="26" t="s">
        <v>31</v>
      </c>
      <c r="E524" s="26">
        <v>229.0</v>
      </c>
      <c r="F524" s="26" t="s">
        <v>63</v>
      </c>
      <c r="G524" s="26">
        <v>12.0</v>
      </c>
      <c r="H524" s="26">
        <v>1.0</v>
      </c>
      <c r="I524" s="26">
        <v>156.0</v>
      </c>
      <c r="J524" s="26">
        <v>12.0</v>
      </c>
      <c r="K524" s="26">
        <v>61.0</v>
      </c>
      <c r="M524" s="26" t="s">
        <v>449</v>
      </c>
      <c r="N524" s="28"/>
      <c r="O524" s="28"/>
      <c r="P524" s="28"/>
    </row>
    <row r="525">
      <c r="A525" s="25">
        <v>43213.90076752315</v>
      </c>
      <c r="B525" s="26" t="s">
        <v>480</v>
      </c>
      <c r="C525" s="26" t="s">
        <v>421</v>
      </c>
      <c r="D525" s="26" t="s">
        <v>31</v>
      </c>
      <c r="E525" s="26">
        <v>210.0</v>
      </c>
      <c r="F525" s="26" t="s">
        <v>481</v>
      </c>
      <c r="G525" s="26">
        <v>15.0</v>
      </c>
      <c r="H525" s="26">
        <v>7.0</v>
      </c>
      <c r="I525" s="26">
        <v>160500.0</v>
      </c>
      <c r="J525" s="26">
        <v>23000.0</v>
      </c>
      <c r="K525" s="26">
        <v>24000.0</v>
      </c>
      <c r="M525" s="26" t="s">
        <v>449</v>
      </c>
      <c r="N525" s="28"/>
      <c r="O525" s="28"/>
      <c r="P525" s="28"/>
    </row>
    <row r="526">
      <c r="A526" s="25">
        <v>43213.92303667824</v>
      </c>
      <c r="B526" s="26" t="s">
        <v>33</v>
      </c>
      <c r="C526" s="26" t="s">
        <v>34</v>
      </c>
      <c r="D526" s="26" t="s">
        <v>31</v>
      </c>
      <c r="E526" s="26">
        <v>707.0</v>
      </c>
      <c r="F526" s="26" t="s">
        <v>63</v>
      </c>
      <c r="G526" s="26">
        <v>37.0</v>
      </c>
      <c r="H526" s="26">
        <v>2.0</v>
      </c>
      <c r="I526" s="26">
        <v>160.0</v>
      </c>
      <c r="J526" s="26">
        <v>347.0</v>
      </c>
      <c r="K526" s="26">
        <v>200.0</v>
      </c>
      <c r="M526" s="26" t="s">
        <v>449</v>
      </c>
      <c r="N526" s="28"/>
      <c r="O526" s="28"/>
      <c r="P526" s="28"/>
    </row>
    <row r="527">
      <c r="A527" s="25">
        <v>43213.93401003472</v>
      </c>
      <c r="B527" s="26" t="s">
        <v>33</v>
      </c>
      <c r="C527" s="26" t="s">
        <v>482</v>
      </c>
      <c r="D527" s="26" t="s">
        <v>31</v>
      </c>
      <c r="E527" s="26">
        <v>345.0</v>
      </c>
      <c r="F527" s="26" t="s">
        <v>63</v>
      </c>
      <c r="G527" s="26">
        <v>8.0</v>
      </c>
      <c r="H527" s="26">
        <v>7.0</v>
      </c>
      <c r="I527" s="26">
        <v>155.0</v>
      </c>
      <c r="J527" s="26">
        <v>190.0</v>
      </c>
      <c r="M527" s="26" t="s">
        <v>449</v>
      </c>
      <c r="N527" s="28"/>
      <c r="O527" s="28"/>
      <c r="P527" s="28"/>
    </row>
    <row r="528">
      <c r="A528" s="25">
        <v>43213.94399652778</v>
      </c>
      <c r="B528" s="26" t="s">
        <v>124</v>
      </c>
      <c r="C528" s="26" t="s">
        <v>191</v>
      </c>
      <c r="D528" s="26" t="s">
        <v>31</v>
      </c>
      <c r="E528" s="26">
        <v>160.0</v>
      </c>
      <c r="F528" s="26" t="s">
        <v>459</v>
      </c>
      <c r="G528" s="26">
        <v>3.0</v>
      </c>
      <c r="H528" s="26">
        <v>0.0</v>
      </c>
      <c r="I528" s="26">
        <v>130.0</v>
      </c>
      <c r="J528" s="26">
        <v>17.0</v>
      </c>
      <c r="K528" s="26">
        <v>13.0</v>
      </c>
    </row>
    <row r="529">
      <c r="A529" s="25">
        <v>43213.96048854166</v>
      </c>
      <c r="B529" s="27" t="s">
        <v>483</v>
      </c>
      <c r="C529" s="26" t="s">
        <v>484</v>
      </c>
      <c r="D529" s="26" t="s">
        <v>31</v>
      </c>
      <c r="E529" s="26">
        <v>192.0</v>
      </c>
      <c r="F529" s="26" t="s">
        <v>63</v>
      </c>
      <c r="G529" s="26">
        <v>4.0</v>
      </c>
      <c r="H529" s="26">
        <v>2.0</v>
      </c>
      <c r="I529" s="26">
        <v>140.0</v>
      </c>
      <c r="J529" s="26">
        <v>40.0</v>
      </c>
      <c r="K529" s="26">
        <v>13.0</v>
      </c>
      <c r="M529" s="26" t="s">
        <v>449</v>
      </c>
      <c r="N529" s="28"/>
      <c r="O529" s="28"/>
      <c r="P529" s="28"/>
    </row>
    <row r="530">
      <c r="A530" s="25">
        <v>43214.009149930556</v>
      </c>
      <c r="B530" s="26" t="s">
        <v>223</v>
      </c>
      <c r="C530" s="26" t="s">
        <v>224</v>
      </c>
      <c r="D530" s="26" t="s">
        <v>31</v>
      </c>
      <c r="E530" s="26">
        <v>750.0</v>
      </c>
      <c r="F530" s="26" t="s">
        <v>485</v>
      </c>
      <c r="G530" s="26">
        <v>4.0</v>
      </c>
      <c r="H530" s="26">
        <v>4.0</v>
      </c>
      <c r="I530" s="26">
        <v>115000.0</v>
      </c>
      <c r="K530" s="26">
        <v>650000.0</v>
      </c>
      <c r="M530" s="26" t="s">
        <v>449</v>
      </c>
      <c r="N530" s="28"/>
      <c r="O530" s="28"/>
      <c r="P530" s="28"/>
    </row>
    <row r="531">
      <c r="A531" s="25">
        <v>43214.04347881944</v>
      </c>
      <c r="B531" s="26" t="s">
        <v>48</v>
      </c>
      <c r="C531" s="26" t="s">
        <v>486</v>
      </c>
      <c r="D531" s="26" t="s">
        <v>31</v>
      </c>
      <c r="E531" s="26">
        <v>535.0</v>
      </c>
      <c r="F531" s="26" t="s">
        <v>415</v>
      </c>
      <c r="G531" s="26">
        <v>18.0</v>
      </c>
      <c r="H531" s="26">
        <v>2.0</v>
      </c>
      <c r="I531" s="26">
        <v>215.0</v>
      </c>
      <c r="J531" s="26">
        <v>207500.0</v>
      </c>
      <c r="K531" s="26">
        <v>50.0</v>
      </c>
      <c r="M531" s="26" t="s">
        <v>449</v>
      </c>
      <c r="N531" s="28"/>
      <c r="O531" s="28"/>
      <c r="P531" s="28"/>
    </row>
    <row r="532">
      <c r="A532" s="25">
        <v>43214.106297604165</v>
      </c>
      <c r="B532" s="26" t="s">
        <v>80</v>
      </c>
      <c r="C532" s="26" t="s">
        <v>26</v>
      </c>
      <c r="D532" s="26" t="s">
        <v>31</v>
      </c>
      <c r="E532" s="26">
        <v>221.0</v>
      </c>
      <c r="F532" s="26" t="s">
        <v>51</v>
      </c>
      <c r="G532" s="26">
        <v>1.0</v>
      </c>
      <c r="H532" s="26">
        <v>1.0</v>
      </c>
      <c r="I532" s="26">
        <v>120000.0</v>
      </c>
      <c r="J532" s="26">
        <v>80000.0</v>
      </c>
      <c r="K532" s="26">
        <v>21.0</v>
      </c>
      <c r="M532" s="26" t="s">
        <v>449</v>
      </c>
      <c r="N532" s="28"/>
      <c r="O532" s="28"/>
      <c r="P532" s="28"/>
    </row>
    <row r="533">
      <c r="A533" s="25">
        <v>43214.276545243054</v>
      </c>
      <c r="B533" s="26" t="s">
        <v>487</v>
      </c>
      <c r="C533" s="26" t="s">
        <v>488</v>
      </c>
      <c r="D533" s="26" t="s">
        <v>31</v>
      </c>
      <c r="E533" s="26">
        <v>95.0</v>
      </c>
      <c r="F533" s="26" t="s">
        <v>489</v>
      </c>
      <c r="G533" s="26">
        <v>5.0</v>
      </c>
      <c r="H533" s="26">
        <v>3.0</v>
      </c>
      <c r="I533" s="26">
        <v>95000.0</v>
      </c>
      <c r="L533" s="26" t="s">
        <v>490</v>
      </c>
      <c r="M533" s="26" t="s">
        <v>458</v>
      </c>
      <c r="N533" s="28"/>
      <c r="O533" s="28"/>
      <c r="P533" s="28"/>
    </row>
    <row r="534">
      <c r="A534" s="25">
        <v>43214.361164675924</v>
      </c>
      <c r="B534" s="26" t="s">
        <v>123</v>
      </c>
      <c r="C534" s="26" t="s">
        <v>37</v>
      </c>
      <c r="D534" s="26" t="s">
        <v>31</v>
      </c>
      <c r="E534" s="26">
        <v>270.0</v>
      </c>
      <c r="F534" s="26" t="s">
        <v>491</v>
      </c>
      <c r="G534" s="26">
        <v>5.0</v>
      </c>
      <c r="H534" s="26">
        <v>0.0</v>
      </c>
      <c r="I534" s="26">
        <v>175.0</v>
      </c>
      <c r="J534" s="26">
        <v>300.0</v>
      </c>
      <c r="K534" s="26">
        <v>17.5</v>
      </c>
      <c r="L534" s="26" t="s">
        <v>492</v>
      </c>
      <c r="M534" s="26" t="s">
        <v>449</v>
      </c>
      <c r="N534" s="28"/>
      <c r="O534" s="28"/>
      <c r="P534" s="28"/>
    </row>
    <row r="535">
      <c r="A535" s="25">
        <v>43214.401636145834</v>
      </c>
      <c r="B535" s="26" t="s">
        <v>33</v>
      </c>
      <c r="C535" s="26" t="s">
        <v>43</v>
      </c>
      <c r="D535" s="26" t="s">
        <v>31</v>
      </c>
      <c r="E535" s="26">
        <v>240.0</v>
      </c>
      <c r="F535" s="26" t="s">
        <v>63</v>
      </c>
      <c r="G535" s="26">
        <v>3.0</v>
      </c>
      <c r="H535" s="26">
        <v>6.0</v>
      </c>
    </row>
    <row r="536">
      <c r="A536" s="25">
        <v>43214.4589225</v>
      </c>
      <c r="B536" s="26" t="s">
        <v>33</v>
      </c>
      <c r="C536" s="26">
        <v>7.0</v>
      </c>
      <c r="D536" s="26" t="s">
        <v>41</v>
      </c>
      <c r="E536" s="26">
        <v>329.0</v>
      </c>
      <c r="F536" s="26" t="s">
        <v>108</v>
      </c>
      <c r="G536" s="26">
        <v>22.0</v>
      </c>
      <c r="H536" s="26">
        <v>1.0</v>
      </c>
      <c r="I536" s="26">
        <v>160000.0</v>
      </c>
      <c r="J536" s="26">
        <v>109620.0</v>
      </c>
      <c r="K536" s="26">
        <v>59733.0</v>
      </c>
      <c r="L536" s="26" t="s">
        <v>493</v>
      </c>
      <c r="M536" s="26" t="s">
        <v>449</v>
      </c>
      <c r="N536" s="28"/>
      <c r="O536" s="28"/>
      <c r="P536" s="28"/>
    </row>
    <row r="537">
      <c r="A537" s="25">
        <v>43214.68404511574</v>
      </c>
      <c r="B537" s="26" t="s">
        <v>371</v>
      </c>
      <c r="C537" s="26" t="s">
        <v>372</v>
      </c>
      <c r="D537" s="26" t="s">
        <v>31</v>
      </c>
      <c r="E537" s="26">
        <v>160.0</v>
      </c>
      <c r="F537" s="26" t="s">
        <v>327</v>
      </c>
      <c r="G537" s="26">
        <v>12.0</v>
      </c>
      <c r="H537" s="26">
        <v>9.0</v>
      </c>
      <c r="I537" s="26">
        <v>130000.0</v>
      </c>
      <c r="J537" s="26">
        <v>15000.0</v>
      </c>
      <c r="K537" s="26">
        <v>15000.0</v>
      </c>
      <c r="M537" s="26" t="s">
        <v>449</v>
      </c>
      <c r="N537" s="28"/>
      <c r="O537" s="28"/>
      <c r="P537" s="28"/>
    </row>
    <row r="538">
      <c r="A538" s="25">
        <v>43214.68535442129</v>
      </c>
      <c r="B538" s="26" t="s">
        <v>261</v>
      </c>
      <c r="C538" s="26" t="s">
        <v>494</v>
      </c>
      <c r="D538" s="26" t="s">
        <v>31</v>
      </c>
      <c r="E538" s="26">
        <v>210.0</v>
      </c>
      <c r="F538" s="26" t="s">
        <v>495</v>
      </c>
      <c r="G538" s="26">
        <v>6.0</v>
      </c>
      <c r="H538" s="26">
        <v>2.0</v>
      </c>
      <c r="I538" s="26">
        <v>162000.0</v>
      </c>
      <c r="J538" s="26">
        <v>25000.0</v>
      </c>
      <c r="K538" s="26">
        <v>27000.0</v>
      </c>
      <c r="M538" s="26" t="s">
        <v>449</v>
      </c>
      <c r="N538" s="28"/>
      <c r="O538" s="28"/>
      <c r="P538" s="28"/>
    </row>
    <row r="539">
      <c r="A539" s="25">
        <v>43214.83681940973</v>
      </c>
      <c r="B539" s="26" t="s">
        <v>80</v>
      </c>
      <c r="C539" s="26" t="s">
        <v>26</v>
      </c>
      <c r="D539" s="26" t="s">
        <v>31</v>
      </c>
      <c r="E539" s="26">
        <v>225.0</v>
      </c>
      <c r="F539" s="26" t="s">
        <v>413</v>
      </c>
      <c r="G539" s="26">
        <v>4.0</v>
      </c>
      <c r="H539" s="26">
        <v>2.0</v>
      </c>
      <c r="I539" s="26">
        <v>130.0</v>
      </c>
      <c r="J539" s="26">
        <v>60.0</v>
      </c>
      <c r="K539" s="26">
        <v>25.0</v>
      </c>
      <c r="M539" s="26" t="s">
        <v>449</v>
      </c>
      <c r="N539" s="28"/>
      <c r="O539" s="28"/>
      <c r="P539" s="28"/>
    </row>
    <row r="540">
      <c r="A540" s="25">
        <v>43214.872629317135</v>
      </c>
      <c r="B540" s="26" t="s">
        <v>40</v>
      </c>
      <c r="C540" s="26">
        <v>64.0</v>
      </c>
      <c r="D540" s="26" t="s">
        <v>31</v>
      </c>
      <c r="E540" s="26">
        <v>210.0</v>
      </c>
      <c r="F540" s="26" t="s">
        <v>63</v>
      </c>
      <c r="G540" s="26">
        <v>10.0</v>
      </c>
      <c r="H540" s="26">
        <v>10.0</v>
      </c>
      <c r="I540" s="26">
        <v>160.0</v>
      </c>
      <c r="J540" s="26">
        <v>30.0</v>
      </c>
      <c r="K540" s="26">
        <v>20.0</v>
      </c>
      <c r="M540" s="26" t="s">
        <v>449</v>
      </c>
      <c r="N540" s="28"/>
      <c r="O540" s="28"/>
      <c r="P540" s="28"/>
    </row>
    <row r="541">
      <c r="A541" s="25">
        <v>43215.505171006946</v>
      </c>
      <c r="B541" s="26" t="s">
        <v>350</v>
      </c>
      <c r="C541" s="26" t="s">
        <v>496</v>
      </c>
      <c r="D541" s="26" t="s">
        <v>31</v>
      </c>
      <c r="E541" s="26">
        <v>180.0</v>
      </c>
      <c r="F541" s="26" t="s">
        <v>497</v>
      </c>
      <c r="G541" s="26">
        <v>15.0</v>
      </c>
      <c r="H541" s="26">
        <v>10.0</v>
      </c>
      <c r="I541" s="26">
        <v>160000.0</v>
      </c>
      <c r="K541" s="26">
        <v>20000.0</v>
      </c>
      <c r="L541" s="26" t="s">
        <v>498</v>
      </c>
      <c r="M541" s="26" t="s">
        <v>449</v>
      </c>
      <c r="N541" s="28"/>
      <c r="O541" s="28"/>
      <c r="P541" s="28"/>
    </row>
    <row r="542">
      <c r="A542" s="25">
        <v>43215.52729028935</v>
      </c>
      <c r="B542" s="26" t="s">
        <v>499</v>
      </c>
      <c r="C542" s="26" t="s">
        <v>500</v>
      </c>
      <c r="D542" s="26" t="s">
        <v>31</v>
      </c>
      <c r="E542" s="26">
        <v>72.0</v>
      </c>
      <c r="F542" s="26" t="s">
        <v>489</v>
      </c>
      <c r="G542" s="26">
        <v>3.0</v>
      </c>
      <c r="H542" s="26">
        <v>3.0</v>
      </c>
      <c r="I542" s="26">
        <v>72.0</v>
      </c>
      <c r="M542" s="26" t="s">
        <v>449</v>
      </c>
      <c r="N542" s="28"/>
      <c r="O542" s="28"/>
      <c r="P542" s="28"/>
    </row>
    <row r="543">
      <c r="A543" s="25">
        <v>43215.65526625</v>
      </c>
      <c r="B543" s="26" t="s">
        <v>501</v>
      </c>
      <c r="C543" s="26" t="s">
        <v>502</v>
      </c>
      <c r="D543" s="26" t="s">
        <v>31</v>
      </c>
      <c r="E543" s="26">
        <v>100.0</v>
      </c>
      <c r="F543" s="26" t="s">
        <v>503</v>
      </c>
      <c r="G543" s="26">
        <v>1.0</v>
      </c>
      <c r="H543" s="26">
        <v>1.0</v>
      </c>
      <c r="I543" s="26">
        <v>100000.0</v>
      </c>
      <c r="J543" s="26">
        <v>500000.0</v>
      </c>
      <c r="K543" s="26">
        <v>10000.0</v>
      </c>
      <c r="M543" s="26" t="s">
        <v>449</v>
      </c>
      <c r="N543" s="28"/>
      <c r="O543" s="28"/>
      <c r="P543" s="28"/>
    </row>
    <row r="544">
      <c r="A544" s="25">
        <v>43215.67022399306</v>
      </c>
      <c r="B544" s="26" t="s">
        <v>33</v>
      </c>
      <c r="C544" s="26">
        <v>5.0</v>
      </c>
      <c r="D544" s="26" t="s">
        <v>31</v>
      </c>
      <c r="E544" s="26">
        <v>300.0</v>
      </c>
      <c r="F544" s="26" t="s">
        <v>35</v>
      </c>
      <c r="G544" s="26">
        <v>3.0</v>
      </c>
      <c r="H544" s="26">
        <v>1.0</v>
      </c>
      <c r="M544" s="26" t="s">
        <v>449</v>
      </c>
      <c r="N544" s="28"/>
      <c r="O544" s="28"/>
      <c r="P544" s="28"/>
    </row>
    <row r="545">
      <c r="A545" s="25">
        <v>43215.90580943287</v>
      </c>
      <c r="B545" s="26" t="s">
        <v>146</v>
      </c>
      <c r="C545" s="26" t="s">
        <v>504</v>
      </c>
      <c r="D545" s="26" t="s">
        <v>27</v>
      </c>
      <c r="E545" s="26">
        <v>300.0</v>
      </c>
      <c r="F545" s="26" t="s">
        <v>199</v>
      </c>
      <c r="G545" s="26">
        <v>11.0</v>
      </c>
      <c r="H545" s="26">
        <v>3.0</v>
      </c>
      <c r="I545" s="26">
        <v>188.0</v>
      </c>
      <c r="J545" s="26">
        <v>50.0</v>
      </c>
      <c r="K545" s="26">
        <v>30.0</v>
      </c>
      <c r="M545" s="26" t="s">
        <v>458</v>
      </c>
      <c r="N545" s="28"/>
      <c r="O545" s="28"/>
      <c r="P545" s="28"/>
    </row>
    <row r="546">
      <c r="A546" s="25">
        <v>43216.1944881713</v>
      </c>
      <c r="B546" s="26" t="s">
        <v>33</v>
      </c>
      <c r="C546" s="26" t="s">
        <v>62</v>
      </c>
      <c r="D546" s="26" t="s">
        <v>31</v>
      </c>
      <c r="E546" s="26">
        <v>305.0</v>
      </c>
      <c r="F546" s="26" t="s">
        <v>35</v>
      </c>
      <c r="G546" s="26">
        <v>5.0</v>
      </c>
      <c r="H546" s="26">
        <v>5.0</v>
      </c>
      <c r="I546" s="26">
        <v>155000.0</v>
      </c>
      <c r="J546" s="26">
        <v>150000.0</v>
      </c>
      <c r="M546" s="26" t="s">
        <v>449</v>
      </c>
      <c r="N546" s="28"/>
      <c r="O546" s="28"/>
      <c r="P546" s="28"/>
    </row>
    <row r="547">
      <c r="A547" s="25">
        <v>43216.39953915509</v>
      </c>
      <c r="B547" s="26" t="s">
        <v>505</v>
      </c>
      <c r="C547" s="26" t="s">
        <v>37</v>
      </c>
      <c r="D547" s="26" t="s">
        <v>31</v>
      </c>
      <c r="E547" s="26">
        <v>145.0</v>
      </c>
      <c r="F547" s="26" t="s">
        <v>134</v>
      </c>
      <c r="G547" s="26">
        <v>12.0</v>
      </c>
      <c r="H547" s="26">
        <v>2.0</v>
      </c>
      <c r="I547" s="26">
        <v>145000.0</v>
      </c>
      <c r="K547" s="26">
        <v>14500.0</v>
      </c>
      <c r="M547" s="26" t="s">
        <v>449</v>
      </c>
      <c r="N547" s="28"/>
      <c r="O547" s="28"/>
      <c r="P547" s="28"/>
    </row>
    <row r="548">
      <c r="A548" s="25">
        <v>43216.5389575463</v>
      </c>
      <c r="B548" s="26" t="s">
        <v>119</v>
      </c>
      <c r="C548" s="26" t="s">
        <v>484</v>
      </c>
      <c r="D548" s="26" t="s">
        <v>31</v>
      </c>
      <c r="E548" s="26">
        <v>163.0</v>
      </c>
      <c r="F548" s="26" t="s">
        <v>58</v>
      </c>
      <c r="G548" s="26">
        <v>0.0</v>
      </c>
      <c r="H548" s="26">
        <v>0.0</v>
      </c>
      <c r="I548" s="26">
        <v>135.0</v>
      </c>
      <c r="M548" s="26" t="s">
        <v>458</v>
      </c>
      <c r="N548" s="28"/>
      <c r="O548" s="28"/>
      <c r="P548" s="28"/>
    </row>
    <row r="549">
      <c r="A549" s="25">
        <v>43217.63685414352</v>
      </c>
      <c r="B549" s="26" t="s">
        <v>506</v>
      </c>
      <c r="C549" s="26" t="s">
        <v>43</v>
      </c>
      <c r="D549" s="26" t="s">
        <v>31</v>
      </c>
      <c r="E549" s="26">
        <v>200.0</v>
      </c>
      <c r="F549" s="26" t="s">
        <v>35</v>
      </c>
      <c r="G549" s="26">
        <v>11.0</v>
      </c>
      <c r="H549" s="26">
        <v>4.0</v>
      </c>
      <c r="I549" s="26">
        <v>140000.0</v>
      </c>
      <c r="J549" s="26">
        <v>40000.0</v>
      </c>
      <c r="K549" s="26">
        <v>14000.0</v>
      </c>
      <c r="L549" s="26" t="s">
        <v>507</v>
      </c>
      <c r="M549" s="26" t="s">
        <v>449</v>
      </c>
      <c r="N549" s="28"/>
      <c r="O549" s="28"/>
      <c r="P549" s="28"/>
    </row>
    <row r="550">
      <c r="A550" s="25">
        <v>43217.6918728125</v>
      </c>
      <c r="B550" s="26" t="s">
        <v>25</v>
      </c>
      <c r="C550" s="26" t="s">
        <v>78</v>
      </c>
      <c r="D550" s="26" t="s">
        <v>31</v>
      </c>
      <c r="E550" s="26">
        <v>320.0</v>
      </c>
      <c r="F550" s="26" t="s">
        <v>508</v>
      </c>
      <c r="G550" s="26">
        <v>14.0</v>
      </c>
      <c r="H550" s="26">
        <v>1.0</v>
      </c>
    </row>
    <row r="551">
      <c r="A551" s="25">
        <v>43218.34240519676</v>
      </c>
      <c r="B551" s="26" t="s">
        <v>509</v>
      </c>
      <c r="C551" s="26" t="s">
        <v>26</v>
      </c>
      <c r="D551" s="26" t="s">
        <v>31</v>
      </c>
      <c r="E551" s="26">
        <v>175.0</v>
      </c>
      <c r="F551" s="26" t="s">
        <v>32</v>
      </c>
      <c r="G551" s="26">
        <v>3.0</v>
      </c>
      <c r="H551" s="26">
        <v>1.0</v>
      </c>
      <c r="I551" s="26">
        <v>145000.0</v>
      </c>
      <c r="J551" s="26">
        <v>175000.0</v>
      </c>
      <c r="M551" s="26" t="s">
        <v>449</v>
      </c>
      <c r="N551" s="28"/>
      <c r="O551" s="28"/>
      <c r="P551" s="28"/>
    </row>
    <row r="552">
      <c r="A552" s="25">
        <v>43218.42741451389</v>
      </c>
      <c r="B552" s="26" t="s">
        <v>33</v>
      </c>
      <c r="C552" s="26" t="s">
        <v>34</v>
      </c>
      <c r="D552" s="26" t="s">
        <v>27</v>
      </c>
      <c r="E552" s="26">
        <v>330.0</v>
      </c>
      <c r="F552" s="26" t="s">
        <v>35</v>
      </c>
      <c r="G552" s="26">
        <v>14.0</v>
      </c>
      <c r="H552" s="26">
        <v>2.0</v>
      </c>
      <c r="I552" s="26">
        <v>160.0</v>
      </c>
      <c r="J552" s="26">
        <v>170.0</v>
      </c>
      <c r="M552" s="26" t="s">
        <v>458</v>
      </c>
      <c r="N552" s="28"/>
      <c r="O552" s="28"/>
      <c r="P552" s="28"/>
    </row>
    <row r="553">
      <c r="A553" s="25">
        <v>43218.42891883102</v>
      </c>
      <c r="B553" s="26" t="s">
        <v>420</v>
      </c>
      <c r="C553" s="26" t="s">
        <v>510</v>
      </c>
      <c r="D553" s="26" t="s">
        <v>27</v>
      </c>
      <c r="E553" s="26">
        <v>250.0</v>
      </c>
      <c r="F553" s="26" t="s">
        <v>94</v>
      </c>
      <c r="G553" s="26">
        <v>38.0</v>
      </c>
      <c r="H553" s="26">
        <v>8.0</v>
      </c>
      <c r="I553" s="26">
        <v>200.0</v>
      </c>
      <c r="K553" s="26">
        <v>50.0</v>
      </c>
      <c r="M553" s="26" t="s">
        <v>449</v>
      </c>
      <c r="N553" s="28"/>
      <c r="O553" s="28"/>
      <c r="P553" s="28"/>
    </row>
    <row r="554">
      <c r="A554" s="25">
        <v>43218.462196504624</v>
      </c>
      <c r="B554" s="26" t="s">
        <v>40</v>
      </c>
      <c r="C554" s="26">
        <v>62.0</v>
      </c>
      <c r="D554" s="26" t="s">
        <v>27</v>
      </c>
      <c r="E554" s="26">
        <v>174.0</v>
      </c>
      <c r="F554" s="26" t="s">
        <v>63</v>
      </c>
      <c r="G554" s="26">
        <v>11.0</v>
      </c>
      <c r="H554" s="26">
        <v>3.0</v>
      </c>
      <c r="I554" s="26">
        <v>132.0</v>
      </c>
      <c r="J554" s="26">
        <v>22.0</v>
      </c>
      <c r="K554" s="26">
        <v>20.0</v>
      </c>
      <c r="L554" s="26" t="s">
        <v>511</v>
      </c>
      <c r="M554" s="26" t="s">
        <v>449</v>
      </c>
      <c r="N554" s="28"/>
      <c r="O554" s="28"/>
      <c r="P554" s="28"/>
    </row>
    <row r="555">
      <c r="A555" s="25">
        <v>43218.50738545139</v>
      </c>
      <c r="B555" s="26" t="s">
        <v>119</v>
      </c>
      <c r="C555" s="26" t="s">
        <v>82</v>
      </c>
      <c r="D555" s="26" t="s">
        <v>31</v>
      </c>
      <c r="E555" s="26">
        <v>227.0</v>
      </c>
      <c r="F555" s="26" t="s">
        <v>86</v>
      </c>
      <c r="G555" s="26">
        <v>7.0</v>
      </c>
      <c r="H555" s="26">
        <v>1.0</v>
      </c>
      <c r="I555" s="26">
        <v>175600.0</v>
      </c>
      <c r="J555" s="26">
        <v>125000.0</v>
      </c>
      <c r="K555" s="26">
        <v>20000.0</v>
      </c>
      <c r="L555" s="26" t="s">
        <v>512</v>
      </c>
    </row>
    <row r="556">
      <c r="A556" s="25">
        <v>43218.77914403935</v>
      </c>
      <c r="B556" s="26" t="s">
        <v>513</v>
      </c>
      <c r="C556" s="26" t="s">
        <v>514</v>
      </c>
      <c r="D556" s="26" t="s">
        <v>31</v>
      </c>
      <c r="E556" s="26">
        <v>250.0</v>
      </c>
      <c r="F556" s="26" t="s">
        <v>247</v>
      </c>
      <c r="G556" s="26">
        <v>3.0</v>
      </c>
      <c r="H556" s="26">
        <v>0.0</v>
      </c>
      <c r="I556" s="26">
        <v>175.0</v>
      </c>
      <c r="K556" s="26">
        <v>75.0</v>
      </c>
      <c r="M556" s="26" t="s">
        <v>449</v>
      </c>
      <c r="N556" s="28"/>
      <c r="O556" s="28"/>
      <c r="P556" s="28"/>
    </row>
    <row r="557">
      <c r="A557" s="25">
        <v>43218.78930396991</v>
      </c>
      <c r="B557" s="26" t="s">
        <v>170</v>
      </c>
      <c r="C557" s="26" t="s">
        <v>515</v>
      </c>
      <c r="D557" s="26" t="s">
        <v>31</v>
      </c>
      <c r="E557" s="26">
        <v>135.0</v>
      </c>
      <c r="F557" s="26" t="s">
        <v>516</v>
      </c>
      <c r="G557" s="26">
        <v>2.0</v>
      </c>
      <c r="H557" s="26">
        <v>2.0</v>
      </c>
      <c r="I557" s="26">
        <v>120.0</v>
      </c>
      <c r="J557" s="26">
        <v>7000.0</v>
      </c>
      <c r="K557" s="26">
        <v>8000.0</v>
      </c>
      <c r="M557" s="26" t="s">
        <v>449</v>
      </c>
      <c r="N557" s="28"/>
      <c r="O557" s="28"/>
      <c r="P557" s="28"/>
    </row>
    <row r="558">
      <c r="A558" s="25">
        <v>43219.46051128472</v>
      </c>
      <c r="B558" s="26" t="s">
        <v>33</v>
      </c>
      <c r="C558" s="26" t="s">
        <v>321</v>
      </c>
      <c r="D558" s="26" t="s">
        <v>31</v>
      </c>
      <c r="E558" s="26">
        <v>975.0</v>
      </c>
      <c r="F558" s="26" t="s">
        <v>63</v>
      </c>
      <c r="G558" s="26">
        <v>24.0</v>
      </c>
      <c r="H558" s="26">
        <v>7.0</v>
      </c>
      <c r="I558" s="26">
        <v>160.0</v>
      </c>
      <c r="J558" s="26">
        <v>815.0</v>
      </c>
      <c r="M558" s="26" t="s">
        <v>449</v>
      </c>
      <c r="N558" s="28"/>
      <c r="O558" s="28"/>
      <c r="P558" s="28"/>
    </row>
    <row r="559">
      <c r="A559" s="25">
        <v>43219.581279363425</v>
      </c>
      <c r="B559" s="26" t="s">
        <v>40</v>
      </c>
      <c r="C559" s="26">
        <v>64.0</v>
      </c>
      <c r="D559" s="26" t="s">
        <v>31</v>
      </c>
      <c r="E559" s="26">
        <v>277.0</v>
      </c>
      <c r="F559" s="26" t="s">
        <v>63</v>
      </c>
      <c r="G559" s="26">
        <v>15.0</v>
      </c>
      <c r="H559" s="26">
        <v>1.0</v>
      </c>
      <c r="I559" s="26">
        <v>175000.0</v>
      </c>
      <c r="J559" s="26">
        <v>50000.0</v>
      </c>
      <c r="K559" s="26">
        <v>52500.0</v>
      </c>
      <c r="M559" s="26" t="s">
        <v>449</v>
      </c>
      <c r="N559" s="28"/>
      <c r="O559" s="28"/>
      <c r="P559" s="28"/>
    </row>
    <row r="560">
      <c r="A560" s="25">
        <v>43219.81093332176</v>
      </c>
      <c r="B560" s="27" t="s">
        <v>87</v>
      </c>
      <c r="C560" s="26" t="s">
        <v>73</v>
      </c>
      <c r="D560" s="26" t="s">
        <v>31</v>
      </c>
      <c r="E560" s="26">
        <v>144.0</v>
      </c>
      <c r="F560" s="26" t="s">
        <v>320</v>
      </c>
      <c r="G560" s="26">
        <v>0.0</v>
      </c>
      <c r="H560" s="26">
        <v>0.0</v>
      </c>
      <c r="I560" s="26">
        <v>106000.0</v>
      </c>
      <c r="J560" s="26">
        <v>65000.0</v>
      </c>
      <c r="K560" s="26">
        <v>66000.0</v>
      </c>
      <c r="L560" s="26" t="s">
        <v>517</v>
      </c>
      <c r="M560" s="26" t="s">
        <v>449</v>
      </c>
      <c r="N560" s="28"/>
      <c r="O560" s="28"/>
      <c r="P560" s="28"/>
    </row>
    <row r="561">
      <c r="A561" s="25">
        <v>43219.94481137731</v>
      </c>
      <c r="B561" s="26" t="s">
        <v>357</v>
      </c>
      <c r="C561" s="26" t="s">
        <v>421</v>
      </c>
      <c r="D561" s="26" t="s">
        <v>31</v>
      </c>
      <c r="E561" s="26">
        <v>129.0</v>
      </c>
      <c r="F561" s="26" t="s">
        <v>518</v>
      </c>
      <c r="G561" s="26">
        <v>8.0</v>
      </c>
      <c r="H561" s="26">
        <v>7.0</v>
      </c>
      <c r="I561" s="26">
        <v>112.0</v>
      </c>
      <c r="J561" s="26">
        <v>4.0</v>
      </c>
      <c r="K561" s="26">
        <v>13.0</v>
      </c>
      <c r="L561" s="26" t="s">
        <v>519</v>
      </c>
      <c r="M561" s="26" t="s">
        <v>449</v>
      </c>
      <c r="N561" s="28"/>
      <c r="O561" s="28"/>
      <c r="P561" s="28"/>
    </row>
    <row r="562">
      <c r="A562" s="25">
        <v>43220.01114638889</v>
      </c>
      <c r="B562" s="26" t="s">
        <v>170</v>
      </c>
      <c r="C562" s="26" t="s">
        <v>520</v>
      </c>
      <c r="D562" s="26" t="s">
        <v>31</v>
      </c>
      <c r="E562" s="26">
        <v>161.0</v>
      </c>
      <c r="F562" s="26" t="s">
        <v>521</v>
      </c>
      <c r="G562" s="26">
        <v>5.0</v>
      </c>
      <c r="H562" s="26">
        <v>4.0</v>
      </c>
      <c r="I562" s="26">
        <v>130.0</v>
      </c>
      <c r="J562" s="26">
        <v>22.0</v>
      </c>
      <c r="K562" s="26">
        <v>19.0</v>
      </c>
      <c r="L562" s="26" t="s">
        <v>522</v>
      </c>
      <c r="M562" s="26" t="s">
        <v>449</v>
      </c>
      <c r="N562" s="28"/>
      <c r="O562" s="28"/>
      <c r="P562" s="28"/>
    </row>
    <row r="563">
      <c r="A563" s="25">
        <v>43220.58498619213</v>
      </c>
      <c r="B563" s="26" t="s">
        <v>523</v>
      </c>
      <c r="C563" s="26" t="s">
        <v>37</v>
      </c>
      <c r="D563" s="26" t="s">
        <v>31</v>
      </c>
      <c r="E563" s="26">
        <v>207.75</v>
      </c>
      <c r="F563" s="26" t="s">
        <v>94</v>
      </c>
      <c r="G563" s="26">
        <v>1.5</v>
      </c>
      <c r="H563" s="26">
        <v>0.0</v>
      </c>
      <c r="I563" s="26">
        <v>175.0</v>
      </c>
      <c r="K563" s="26">
        <v>25.0</v>
      </c>
      <c r="L563" s="26" t="s">
        <v>524</v>
      </c>
    </row>
    <row r="564">
      <c r="A564" s="25">
        <v>43220.67157173611</v>
      </c>
      <c r="B564" s="26" t="s">
        <v>45</v>
      </c>
      <c r="C564" s="26" t="s">
        <v>525</v>
      </c>
      <c r="D564" s="26" t="s">
        <v>31</v>
      </c>
      <c r="E564" s="26">
        <v>200.0</v>
      </c>
      <c r="F564" s="26" t="s">
        <v>92</v>
      </c>
      <c r="G564" s="26">
        <v>2.0</v>
      </c>
      <c r="H564" s="26">
        <v>0.0</v>
      </c>
      <c r="I564" s="26">
        <v>125.0</v>
      </c>
      <c r="J564" s="26">
        <v>50.0</v>
      </c>
      <c r="K564" s="26">
        <v>25.0</v>
      </c>
      <c r="L564" s="26" t="s">
        <v>526</v>
      </c>
      <c r="M564" s="26" t="s">
        <v>449</v>
      </c>
      <c r="N564" s="28"/>
      <c r="O564" s="28"/>
      <c r="P564" s="28"/>
    </row>
    <row r="565">
      <c r="A565" s="25">
        <v>43220.77588298611</v>
      </c>
      <c r="B565" s="26" t="s">
        <v>40</v>
      </c>
      <c r="C565" s="26" t="s">
        <v>527</v>
      </c>
      <c r="D565" s="26" t="s">
        <v>27</v>
      </c>
      <c r="E565" s="26">
        <v>357.0</v>
      </c>
      <c r="F565" s="26" t="s">
        <v>52</v>
      </c>
      <c r="G565" s="26">
        <v>13.0</v>
      </c>
      <c r="H565" s="26">
        <v>13.0</v>
      </c>
      <c r="I565" s="26">
        <v>201.0</v>
      </c>
      <c r="J565" s="26">
        <v>100.0</v>
      </c>
      <c r="K565" s="26">
        <v>50.0</v>
      </c>
      <c r="M565" s="26" t="s">
        <v>449</v>
      </c>
      <c r="N565" s="28"/>
      <c r="O565" s="28"/>
      <c r="P565" s="28"/>
    </row>
    <row r="566">
      <c r="A566" s="25">
        <v>43220.78915993056</v>
      </c>
      <c r="B566" s="26" t="s">
        <v>528</v>
      </c>
      <c r="C566" s="26" t="s">
        <v>529</v>
      </c>
      <c r="D566" s="26" t="s">
        <v>31</v>
      </c>
      <c r="E566" s="26">
        <v>130.0</v>
      </c>
      <c r="F566" s="26" t="s">
        <v>247</v>
      </c>
      <c r="G566" s="26">
        <v>2.67</v>
      </c>
      <c r="H566" s="26">
        <v>2.67</v>
      </c>
      <c r="I566" s="26">
        <v>130000.0</v>
      </c>
      <c r="K566" s="26">
        <v>20000.0</v>
      </c>
      <c r="M566" s="26" t="s">
        <v>458</v>
      </c>
      <c r="N566" s="28"/>
      <c r="O566" s="28"/>
      <c r="P566" s="28"/>
    </row>
    <row r="567">
      <c r="A567" s="25">
        <v>43220.795045798615</v>
      </c>
      <c r="B567" s="26" t="s">
        <v>528</v>
      </c>
      <c r="C567" s="26" t="s">
        <v>427</v>
      </c>
      <c r="D567" s="26" t="s">
        <v>31</v>
      </c>
      <c r="E567" s="26">
        <v>130.0</v>
      </c>
      <c r="F567" s="26" t="s">
        <v>247</v>
      </c>
      <c r="G567" s="26">
        <v>2.67</v>
      </c>
      <c r="H567" s="26">
        <v>2.67</v>
      </c>
      <c r="I567" s="26">
        <v>130000.0</v>
      </c>
      <c r="K567" s="26">
        <v>20000.0</v>
      </c>
      <c r="L567" s="26" t="s">
        <v>530</v>
      </c>
      <c r="M567" s="26" t="s">
        <v>458</v>
      </c>
      <c r="N567" s="28"/>
      <c r="O567" s="28"/>
      <c r="P567" s="28"/>
    </row>
    <row r="568">
      <c r="A568" s="25">
        <v>43220.92538516204</v>
      </c>
      <c r="B568" s="26" t="s">
        <v>122</v>
      </c>
      <c r="C568" s="26" t="s">
        <v>73</v>
      </c>
      <c r="D568" s="26" t="s">
        <v>31</v>
      </c>
      <c r="E568" s="26">
        <v>255.0</v>
      </c>
      <c r="F568" s="26" t="s">
        <v>32</v>
      </c>
      <c r="G568" s="26">
        <v>2.0</v>
      </c>
      <c r="H568" s="26">
        <v>2.0</v>
      </c>
      <c r="M568" s="26" t="s">
        <v>449</v>
      </c>
      <c r="N568" s="28"/>
      <c r="O568" s="28"/>
      <c r="P568" s="28"/>
    </row>
    <row r="569">
      <c r="A569" s="25">
        <v>43221.29443278935</v>
      </c>
      <c r="B569" s="26" t="s">
        <v>33</v>
      </c>
      <c r="C569" s="26" t="s">
        <v>62</v>
      </c>
      <c r="D569" s="26" t="s">
        <v>31</v>
      </c>
      <c r="E569" s="26">
        <v>380.0</v>
      </c>
      <c r="F569" s="26" t="s">
        <v>35</v>
      </c>
      <c r="G569" s="26">
        <v>12.0</v>
      </c>
      <c r="H569" s="26">
        <v>7.0</v>
      </c>
      <c r="I569" s="26">
        <v>160000.0</v>
      </c>
      <c r="J569" s="26">
        <v>220000.0</v>
      </c>
      <c r="L569" s="26" t="s">
        <v>531</v>
      </c>
      <c r="M569" s="26" t="s">
        <v>449</v>
      </c>
      <c r="N569" s="28"/>
      <c r="O569" s="28"/>
      <c r="P569" s="28"/>
    </row>
    <row r="570">
      <c r="A570" s="25">
        <v>43221.72394045139</v>
      </c>
      <c r="B570" s="26" t="s">
        <v>532</v>
      </c>
      <c r="C570" s="26" t="s">
        <v>533</v>
      </c>
      <c r="D570" s="26" t="s">
        <v>31</v>
      </c>
      <c r="E570" s="26">
        <v>195.0</v>
      </c>
      <c r="F570" s="26" t="s">
        <v>238</v>
      </c>
      <c r="G570" s="26">
        <v>10.0</v>
      </c>
      <c r="H570" s="26">
        <v>3.0</v>
      </c>
      <c r="I570" s="26">
        <v>160000.0</v>
      </c>
      <c r="J570" s="26">
        <v>50000.0</v>
      </c>
      <c r="K570" s="26">
        <v>30000.0</v>
      </c>
      <c r="M570" s="26" t="s">
        <v>449</v>
      </c>
      <c r="N570" s="28"/>
      <c r="O570" s="28"/>
      <c r="P570" s="28"/>
    </row>
    <row r="571">
      <c r="A571" s="25">
        <v>43222.356746840276</v>
      </c>
      <c r="B571" s="26" t="s">
        <v>33</v>
      </c>
      <c r="C571" s="26" t="s">
        <v>43</v>
      </c>
      <c r="D571" s="26" t="s">
        <v>31</v>
      </c>
      <c r="E571" s="26">
        <v>280.0</v>
      </c>
      <c r="F571" s="26" t="s">
        <v>32</v>
      </c>
      <c r="G571" s="26">
        <v>4.0</v>
      </c>
      <c r="H571" s="26">
        <v>4.0</v>
      </c>
      <c r="I571" s="26">
        <v>16.1</v>
      </c>
      <c r="J571" s="26">
        <v>5.1</v>
      </c>
      <c r="K571" s="26">
        <v>6.8</v>
      </c>
      <c r="M571" s="26" t="s">
        <v>449</v>
      </c>
      <c r="N571" s="28"/>
      <c r="O571" s="28"/>
      <c r="P571" s="28"/>
    </row>
    <row r="572">
      <c r="A572" s="25">
        <v>43222.375697881944</v>
      </c>
      <c r="B572" s="26" t="s">
        <v>33</v>
      </c>
      <c r="C572" s="26" t="s">
        <v>43</v>
      </c>
      <c r="D572" s="26" t="s">
        <v>31</v>
      </c>
      <c r="E572" s="26">
        <v>216.0</v>
      </c>
      <c r="F572" s="26" t="s">
        <v>35</v>
      </c>
      <c r="G572" s="26">
        <v>3.0</v>
      </c>
      <c r="H572" s="26">
        <v>0.0</v>
      </c>
      <c r="I572" s="26">
        <v>145.0</v>
      </c>
      <c r="J572" s="26">
        <v>216.0</v>
      </c>
      <c r="K572" s="26">
        <v>60.0</v>
      </c>
      <c r="M572" s="26" t="s">
        <v>449</v>
      </c>
      <c r="N572" s="28"/>
      <c r="O572" s="28"/>
      <c r="P572" s="28"/>
    </row>
    <row r="573">
      <c r="A573" s="25">
        <v>43223.57823238426</v>
      </c>
      <c r="B573" s="26" t="s">
        <v>119</v>
      </c>
      <c r="C573" s="26" t="s">
        <v>82</v>
      </c>
      <c r="D573" s="26" t="s">
        <v>31</v>
      </c>
      <c r="E573" s="26">
        <v>197.5</v>
      </c>
      <c r="F573" s="26" t="s">
        <v>225</v>
      </c>
      <c r="G573" s="26">
        <v>6.0</v>
      </c>
      <c r="H573" s="26">
        <v>4.0</v>
      </c>
      <c r="I573" s="26">
        <v>150000.0</v>
      </c>
      <c r="J573" s="26">
        <v>12000.0</v>
      </c>
      <c r="K573" s="26">
        <v>22500.0</v>
      </c>
      <c r="L573" s="26" t="s">
        <v>534</v>
      </c>
      <c r="M573" s="26" t="s">
        <v>449</v>
      </c>
      <c r="N573" s="28"/>
      <c r="O573" s="28"/>
      <c r="P573" s="28"/>
    </row>
    <row r="574">
      <c r="A574" s="25">
        <v>43223.75103082176</v>
      </c>
      <c r="B574" s="26" t="s">
        <v>33</v>
      </c>
      <c r="C574" s="26" t="s">
        <v>62</v>
      </c>
      <c r="D574" s="26" t="s">
        <v>41</v>
      </c>
      <c r="E574" s="26">
        <v>315.0</v>
      </c>
      <c r="F574" s="26" t="s">
        <v>35</v>
      </c>
      <c r="G574" s="26">
        <v>20.0</v>
      </c>
      <c r="H574" s="26">
        <v>12.0</v>
      </c>
      <c r="I574" s="26">
        <v>150000.0</v>
      </c>
      <c r="J574" s="26">
        <v>165000.0</v>
      </c>
      <c r="L574" s="26" t="s">
        <v>535</v>
      </c>
      <c r="M574" s="26" t="s">
        <v>458</v>
      </c>
      <c r="N574" s="28"/>
      <c r="O574" s="28"/>
      <c r="P574" s="28"/>
    </row>
    <row r="575">
      <c r="A575" s="25">
        <v>43224.41214049769</v>
      </c>
      <c r="B575" s="26" t="s">
        <v>536</v>
      </c>
      <c r="C575" s="26" t="s">
        <v>537</v>
      </c>
      <c r="D575" s="26" t="s">
        <v>31</v>
      </c>
      <c r="E575" s="26">
        <v>125.0</v>
      </c>
      <c r="F575" s="26" t="s">
        <v>32</v>
      </c>
      <c r="G575" s="26">
        <v>8.0</v>
      </c>
      <c r="H575" s="26">
        <v>2.0</v>
      </c>
      <c r="I575" s="26">
        <v>125.0</v>
      </c>
      <c r="M575" s="26" t="s">
        <v>449</v>
      </c>
      <c r="N575" s="28"/>
      <c r="O575" s="28"/>
      <c r="P575" s="28"/>
    </row>
    <row r="576">
      <c r="A576" s="25">
        <v>43224.93058885417</v>
      </c>
      <c r="B576" s="26" t="s">
        <v>170</v>
      </c>
      <c r="C576" s="26">
        <v>6.0</v>
      </c>
      <c r="D576" s="26" t="s">
        <v>31</v>
      </c>
      <c r="E576" s="26">
        <v>120.0</v>
      </c>
      <c r="F576" s="26" t="s">
        <v>232</v>
      </c>
      <c r="G576" s="26">
        <v>5.0</v>
      </c>
      <c r="H576" s="26">
        <v>5.0</v>
      </c>
      <c r="M576" s="26" t="s">
        <v>449</v>
      </c>
      <c r="N576" s="28"/>
      <c r="O576" s="28"/>
      <c r="P576" s="28"/>
    </row>
    <row r="577">
      <c r="A577" s="25">
        <v>43225.24275827546</v>
      </c>
      <c r="B577" s="26" t="s">
        <v>538</v>
      </c>
      <c r="C577" s="26">
        <v>16.0</v>
      </c>
      <c r="D577" s="26" t="s">
        <v>31</v>
      </c>
      <c r="E577" s="26">
        <v>42.0</v>
      </c>
      <c r="F577" s="26" t="s">
        <v>539</v>
      </c>
      <c r="G577" s="26">
        <v>12.0</v>
      </c>
      <c r="H577" s="26">
        <v>7.0</v>
      </c>
      <c r="I577" s="26">
        <v>36.0</v>
      </c>
      <c r="K577" s="26">
        <v>8.0</v>
      </c>
      <c r="M577" s="26" t="s">
        <v>449</v>
      </c>
      <c r="N577" s="28"/>
      <c r="O577" s="28"/>
      <c r="P577" s="28"/>
    </row>
    <row r="578">
      <c r="A578" s="25">
        <v>43225.37141634259</v>
      </c>
      <c r="B578" s="26" t="s">
        <v>33</v>
      </c>
      <c r="C578" s="26" t="s">
        <v>43</v>
      </c>
      <c r="D578" s="26" t="s">
        <v>31</v>
      </c>
      <c r="E578" s="26">
        <v>230.0</v>
      </c>
      <c r="F578" s="26" t="s">
        <v>35</v>
      </c>
      <c r="G578" s="26">
        <v>5.0</v>
      </c>
      <c r="H578" s="26">
        <v>5.0</v>
      </c>
      <c r="I578" s="26">
        <v>130.0</v>
      </c>
      <c r="J578" s="26">
        <v>100.0</v>
      </c>
      <c r="M578" s="26" t="s">
        <v>449</v>
      </c>
      <c r="N578" s="28"/>
      <c r="O578" s="28"/>
      <c r="P578" s="28"/>
    </row>
    <row r="579">
      <c r="A579" s="25">
        <v>43225.51911013889</v>
      </c>
      <c r="B579" s="26" t="s">
        <v>33</v>
      </c>
      <c r="C579" s="26" t="s">
        <v>34</v>
      </c>
      <c r="D579" s="26" t="s">
        <v>27</v>
      </c>
      <c r="E579" s="26">
        <v>277.0</v>
      </c>
      <c r="F579" s="26" t="s">
        <v>35</v>
      </c>
      <c r="G579" s="26">
        <v>13.0</v>
      </c>
      <c r="H579" s="26">
        <v>5.5</v>
      </c>
      <c r="I579" s="26">
        <v>156.0</v>
      </c>
      <c r="J579" s="26">
        <v>121.0</v>
      </c>
      <c r="M579" s="26" t="s">
        <v>449</v>
      </c>
      <c r="N579" s="28"/>
      <c r="O579" s="28"/>
      <c r="P579" s="28"/>
    </row>
    <row r="580">
      <c r="A580" s="25">
        <v>43225.53022800926</v>
      </c>
      <c r="B580" s="26" t="s">
        <v>80</v>
      </c>
      <c r="C580" s="26" t="s">
        <v>73</v>
      </c>
      <c r="D580" s="26" t="s">
        <v>31</v>
      </c>
      <c r="E580" s="26">
        <v>230.0</v>
      </c>
      <c r="F580" s="26" t="s">
        <v>35</v>
      </c>
      <c r="G580" s="26">
        <v>3.5</v>
      </c>
      <c r="H580" s="26">
        <v>2.5</v>
      </c>
      <c r="I580" s="26">
        <v>124.0</v>
      </c>
      <c r="J580" s="26">
        <v>79.5</v>
      </c>
      <c r="K580" s="26">
        <v>26.6</v>
      </c>
      <c r="M580" s="26" t="s">
        <v>449</v>
      </c>
      <c r="N580" s="28"/>
      <c r="O580" s="28"/>
      <c r="P580" s="28"/>
    </row>
    <row r="581">
      <c r="A581" s="25">
        <v>43225.5955893287</v>
      </c>
      <c r="B581" s="26" t="s">
        <v>48</v>
      </c>
      <c r="C581" s="26" t="s">
        <v>43</v>
      </c>
      <c r="D581" s="26" t="s">
        <v>31</v>
      </c>
      <c r="E581" s="26">
        <v>230.0</v>
      </c>
      <c r="F581" s="26" t="s">
        <v>403</v>
      </c>
      <c r="G581" s="26">
        <v>5.0</v>
      </c>
      <c r="H581" s="26">
        <v>1.0</v>
      </c>
      <c r="I581" s="26">
        <v>134.0</v>
      </c>
      <c r="J581" s="26">
        <v>69.0</v>
      </c>
      <c r="K581" s="26">
        <v>27.0</v>
      </c>
      <c r="M581" s="26" t="s">
        <v>449</v>
      </c>
      <c r="N581" s="28"/>
      <c r="O581" s="28"/>
      <c r="P581" s="28"/>
    </row>
    <row r="582">
      <c r="A582" s="25">
        <v>43225.61090649306</v>
      </c>
      <c r="B582" s="26" t="s">
        <v>40</v>
      </c>
      <c r="C582" s="26">
        <v>64.0</v>
      </c>
      <c r="D582" s="26" t="s">
        <v>31</v>
      </c>
      <c r="E582" s="26">
        <v>229.0</v>
      </c>
      <c r="F582" s="26" t="s">
        <v>63</v>
      </c>
      <c r="G582" s="26">
        <v>8.5</v>
      </c>
      <c r="H582" s="26">
        <v>8.5</v>
      </c>
      <c r="I582" s="26">
        <v>170.0</v>
      </c>
      <c r="J582" s="26">
        <v>29.0</v>
      </c>
      <c r="K582" s="26">
        <v>29.0</v>
      </c>
      <c r="M582" s="26" t="s">
        <v>449</v>
      </c>
      <c r="N582" s="28"/>
      <c r="O582" s="28"/>
      <c r="P582" s="28"/>
    </row>
    <row r="583">
      <c r="A583" s="25">
        <v>43226.55668361111</v>
      </c>
      <c r="B583" s="26" t="s">
        <v>40</v>
      </c>
      <c r="C583" s="26">
        <v>60.0</v>
      </c>
      <c r="D583" s="26" t="s">
        <v>31</v>
      </c>
      <c r="E583" s="26">
        <v>150.0</v>
      </c>
      <c r="F583" s="26" t="s">
        <v>56</v>
      </c>
      <c r="G583" s="26">
        <v>0.0</v>
      </c>
      <c r="H583" s="26">
        <v>0.0</v>
      </c>
      <c r="I583" s="26">
        <v>116000.0</v>
      </c>
      <c r="J583" s="26">
        <v>130000.0</v>
      </c>
      <c r="K583" s="26">
        <v>35000.0</v>
      </c>
      <c r="M583" s="26" t="s">
        <v>449</v>
      </c>
      <c r="N583" s="28"/>
      <c r="O583" s="28"/>
      <c r="P583" s="28"/>
    </row>
    <row r="584">
      <c r="A584" s="25">
        <v>43227.509277199075</v>
      </c>
      <c r="B584" s="26" t="s">
        <v>40</v>
      </c>
      <c r="C584" s="26">
        <v>63.0</v>
      </c>
      <c r="D584" s="26" t="s">
        <v>27</v>
      </c>
      <c r="E584" s="26">
        <v>208.0</v>
      </c>
      <c r="F584" s="26" t="s">
        <v>63</v>
      </c>
      <c r="G584" s="26">
        <v>10.0</v>
      </c>
      <c r="H584" s="26">
        <v>10.0</v>
      </c>
      <c r="I584" s="26">
        <v>155.0</v>
      </c>
      <c r="J584" s="26">
        <v>25.0</v>
      </c>
      <c r="K584" s="26">
        <v>28.0</v>
      </c>
      <c r="M584" s="26" t="s">
        <v>458</v>
      </c>
      <c r="N584" s="28"/>
      <c r="O584" s="28"/>
      <c r="P584" s="28"/>
    </row>
    <row r="585">
      <c r="A585" s="25">
        <v>43227.57861575231</v>
      </c>
      <c r="B585" s="26" t="s">
        <v>40</v>
      </c>
      <c r="C585" s="26">
        <v>62.0</v>
      </c>
      <c r="D585" s="26" t="s">
        <v>31</v>
      </c>
      <c r="E585" s="26">
        <v>155.0</v>
      </c>
      <c r="F585" s="26" t="s">
        <v>302</v>
      </c>
      <c r="G585" s="26">
        <v>0.0</v>
      </c>
      <c r="H585" s="26">
        <v>0.0</v>
      </c>
      <c r="I585" s="26">
        <v>137000.0</v>
      </c>
      <c r="J585" s="26">
        <v>18000.0</v>
      </c>
      <c r="M585" s="26" t="s">
        <v>449</v>
      </c>
      <c r="N585" s="28"/>
      <c r="O585" s="28"/>
      <c r="P585" s="28"/>
    </row>
    <row r="586">
      <c r="A586" s="25">
        <v>43227.788881863424</v>
      </c>
      <c r="B586" s="26" t="s">
        <v>48</v>
      </c>
      <c r="C586" s="26" t="s">
        <v>69</v>
      </c>
      <c r="D586" s="26" t="s">
        <v>31</v>
      </c>
      <c r="E586" s="26">
        <v>176.0</v>
      </c>
      <c r="F586" s="26" t="s">
        <v>50</v>
      </c>
      <c r="G586" s="26">
        <v>0.0</v>
      </c>
      <c r="H586" s="26">
        <v>0.0</v>
      </c>
      <c r="I586" s="26">
        <v>110000.0</v>
      </c>
      <c r="J586" s="26">
        <v>220000.0</v>
      </c>
      <c r="K586" s="26">
        <v>100000.0</v>
      </c>
      <c r="M586" s="26" t="s">
        <v>449</v>
      </c>
      <c r="N586" s="28"/>
      <c r="O586" s="28"/>
      <c r="P586" s="28"/>
    </row>
    <row r="587">
      <c r="A587" s="25">
        <v>43227.79715107639</v>
      </c>
      <c r="B587" s="26" t="s">
        <v>540</v>
      </c>
      <c r="C587" s="26" t="s">
        <v>541</v>
      </c>
      <c r="D587" s="26" t="s">
        <v>31</v>
      </c>
      <c r="E587" s="26">
        <v>120.0</v>
      </c>
      <c r="F587" s="26" t="s">
        <v>327</v>
      </c>
      <c r="G587" s="26">
        <v>5.0</v>
      </c>
      <c r="H587" s="26">
        <v>5.0</v>
      </c>
      <c r="I587" s="26">
        <v>109137.0</v>
      </c>
      <c r="J587" s="26">
        <v>8000.0</v>
      </c>
      <c r="K587" s="26">
        <v>3000.0</v>
      </c>
      <c r="M587" s="26" t="s">
        <v>449</v>
      </c>
      <c r="N587" s="28"/>
      <c r="O587" s="28"/>
      <c r="P587" s="28"/>
    </row>
    <row r="588">
      <c r="A588" s="25">
        <v>43227.80033105324</v>
      </c>
      <c r="B588" s="26" t="s">
        <v>33</v>
      </c>
      <c r="C588" s="26" t="s">
        <v>43</v>
      </c>
      <c r="D588" s="26" t="s">
        <v>31</v>
      </c>
      <c r="E588" s="26">
        <v>160.0</v>
      </c>
      <c r="F588" s="26" t="s">
        <v>542</v>
      </c>
      <c r="G588" s="26">
        <v>6.0</v>
      </c>
      <c r="H588" s="26">
        <v>2.0</v>
      </c>
      <c r="M588" s="26" t="s">
        <v>449</v>
      </c>
      <c r="N588" s="28"/>
      <c r="O588" s="28"/>
      <c r="P588" s="28"/>
    </row>
    <row r="589">
      <c r="A589" s="25">
        <v>43227.86698821759</v>
      </c>
      <c r="B589" s="26" t="s">
        <v>33</v>
      </c>
      <c r="C589" s="26" t="s">
        <v>34</v>
      </c>
      <c r="D589" s="26" t="s">
        <v>27</v>
      </c>
      <c r="E589" s="26">
        <v>550.0</v>
      </c>
      <c r="F589" s="26" t="s">
        <v>47</v>
      </c>
      <c r="G589" s="26">
        <v>8.0</v>
      </c>
      <c r="H589" s="26">
        <v>1.0</v>
      </c>
      <c r="I589" s="26">
        <v>185000.0</v>
      </c>
      <c r="J589" s="26">
        <v>1.2E7</v>
      </c>
      <c r="M589" s="26" t="s">
        <v>449</v>
      </c>
      <c r="N589" s="28"/>
      <c r="O589" s="28"/>
      <c r="P589" s="28"/>
    </row>
    <row r="590">
      <c r="A590" s="25">
        <v>43227.876025694444</v>
      </c>
      <c r="B590" s="26" t="s">
        <v>375</v>
      </c>
      <c r="C590" s="26" t="s">
        <v>34</v>
      </c>
      <c r="D590" s="26" t="s">
        <v>31</v>
      </c>
      <c r="E590" s="26">
        <v>305.0</v>
      </c>
      <c r="F590" s="26" t="s">
        <v>403</v>
      </c>
      <c r="G590" s="26">
        <v>20.0</v>
      </c>
      <c r="H590" s="26">
        <v>4.0</v>
      </c>
      <c r="I590" s="26">
        <v>250.0</v>
      </c>
      <c r="J590" s="26">
        <v>50.0</v>
      </c>
      <c r="K590" s="26">
        <v>50.0</v>
      </c>
      <c r="M590" s="26" t="s">
        <v>449</v>
      </c>
      <c r="N590" s="28"/>
      <c r="O590" s="28"/>
      <c r="P590" s="28"/>
    </row>
    <row r="591">
      <c r="A591" s="25">
        <v>43227.88517116898</v>
      </c>
      <c r="B591" s="26" t="s">
        <v>33</v>
      </c>
      <c r="C591" s="26" t="s">
        <v>43</v>
      </c>
      <c r="D591" s="26" t="s">
        <v>31</v>
      </c>
      <c r="E591" s="26">
        <v>185.0</v>
      </c>
      <c r="F591" s="26" t="s">
        <v>63</v>
      </c>
      <c r="G591" s="26">
        <v>6.0</v>
      </c>
      <c r="H591" s="26">
        <v>1.0</v>
      </c>
      <c r="I591" s="26">
        <v>134.0</v>
      </c>
      <c r="J591" s="26">
        <v>30.0</v>
      </c>
      <c r="K591" s="26">
        <v>21.0</v>
      </c>
      <c r="M591" s="26" t="s">
        <v>449</v>
      </c>
      <c r="N591" s="28"/>
      <c r="O591" s="28"/>
      <c r="P591" s="28"/>
    </row>
    <row r="592">
      <c r="A592" s="25">
        <v>43228.09087375</v>
      </c>
      <c r="B592" s="26" t="s">
        <v>48</v>
      </c>
      <c r="C592" s="26" t="s">
        <v>70</v>
      </c>
      <c r="D592" s="26" t="s">
        <v>31</v>
      </c>
      <c r="E592" s="26">
        <v>470.0</v>
      </c>
      <c r="F592" s="26" t="s">
        <v>415</v>
      </c>
      <c r="G592" s="26">
        <v>7.0</v>
      </c>
      <c r="H592" s="26">
        <v>3.0</v>
      </c>
      <c r="I592" s="26">
        <v>215.0</v>
      </c>
      <c r="M592" s="26" t="s">
        <v>449</v>
      </c>
      <c r="N592" s="28"/>
      <c r="O592" s="28"/>
      <c r="P592" s="28"/>
    </row>
    <row r="593">
      <c r="A593" s="25">
        <v>43228.11928008102</v>
      </c>
      <c r="B593" s="26" t="s">
        <v>40</v>
      </c>
      <c r="C593" s="26">
        <v>59.0</v>
      </c>
      <c r="D593" s="26" t="s">
        <v>31</v>
      </c>
      <c r="E593" s="26">
        <v>150.0</v>
      </c>
      <c r="F593" s="26" t="s">
        <v>302</v>
      </c>
      <c r="G593" s="26">
        <v>0.0</v>
      </c>
      <c r="H593" s="26">
        <v>0.0</v>
      </c>
      <c r="I593" s="26">
        <v>107.0</v>
      </c>
      <c r="J593" s="26">
        <v>30.0</v>
      </c>
      <c r="K593" s="26">
        <v>10.0</v>
      </c>
      <c r="M593" s="26" t="s">
        <v>458</v>
      </c>
      <c r="N593" s="28"/>
      <c r="O593" s="28"/>
      <c r="P593" s="28"/>
    </row>
    <row r="594">
      <c r="A594" s="25">
        <v>43228.204206168986</v>
      </c>
      <c r="B594" s="26" t="s">
        <v>168</v>
      </c>
      <c r="C594" s="26">
        <v>67.0</v>
      </c>
      <c r="D594" s="26" t="s">
        <v>27</v>
      </c>
      <c r="E594" s="26">
        <v>600.0</v>
      </c>
      <c r="F594" s="26" t="s">
        <v>133</v>
      </c>
      <c r="G594" s="26">
        <v>15.0</v>
      </c>
      <c r="H594" s="26">
        <v>10.0</v>
      </c>
      <c r="I594" s="26">
        <v>210.0</v>
      </c>
      <c r="J594" s="26">
        <v>350.0</v>
      </c>
      <c r="K594" s="26">
        <v>150.0</v>
      </c>
      <c r="M594" s="26" t="s">
        <v>449</v>
      </c>
      <c r="N594" s="28"/>
      <c r="O594" s="28"/>
      <c r="P594" s="28"/>
    </row>
    <row r="595">
      <c r="A595" s="25">
        <v>43228.577886875</v>
      </c>
      <c r="B595" s="26" t="s">
        <v>40</v>
      </c>
      <c r="C595" s="26">
        <v>65.0</v>
      </c>
      <c r="D595" s="26" t="s">
        <v>27</v>
      </c>
      <c r="E595" s="26">
        <v>300.0</v>
      </c>
      <c r="F595" s="26" t="s">
        <v>543</v>
      </c>
      <c r="G595" s="26">
        <v>19.0</v>
      </c>
      <c r="H595" s="26">
        <v>1.0</v>
      </c>
      <c r="I595" s="26">
        <v>175000.0</v>
      </c>
      <c r="J595" s="26">
        <v>72000.0</v>
      </c>
      <c r="K595" s="26">
        <v>53000.0</v>
      </c>
      <c r="M595" s="26" t="s">
        <v>458</v>
      </c>
      <c r="N595" s="28"/>
      <c r="O595" s="28"/>
      <c r="P595" s="28"/>
    </row>
    <row r="596">
      <c r="A596" s="25">
        <v>43228.601780972225</v>
      </c>
      <c r="B596" s="27" t="s">
        <v>87</v>
      </c>
      <c r="C596" s="26" t="s">
        <v>73</v>
      </c>
      <c r="D596" s="26" t="s">
        <v>31</v>
      </c>
      <c r="E596" s="26">
        <v>118.0</v>
      </c>
      <c r="F596" s="26" t="s">
        <v>544</v>
      </c>
      <c r="G596" s="26">
        <v>1.0</v>
      </c>
      <c r="H596" s="26">
        <v>1.0</v>
      </c>
      <c r="I596" s="26">
        <v>93000.0</v>
      </c>
      <c r="J596" s="26">
        <v>2000.0</v>
      </c>
      <c r="K596" s="26">
        <v>22000.0</v>
      </c>
      <c r="M596" s="26" t="s">
        <v>449</v>
      </c>
      <c r="N596" s="28"/>
      <c r="O596" s="28"/>
      <c r="P596" s="28"/>
    </row>
    <row r="597">
      <c r="A597" s="25">
        <v>43228.66489804398</v>
      </c>
      <c r="B597" s="26" t="s">
        <v>261</v>
      </c>
      <c r="C597" s="26" t="s">
        <v>545</v>
      </c>
      <c r="D597" s="26" t="s">
        <v>31</v>
      </c>
      <c r="E597" s="26">
        <v>245.0</v>
      </c>
      <c r="F597" s="26" t="s">
        <v>546</v>
      </c>
      <c r="G597" s="26">
        <v>10.0</v>
      </c>
      <c r="H597" s="26">
        <v>1.0</v>
      </c>
      <c r="I597" s="26">
        <v>168.0</v>
      </c>
      <c r="J597" s="26">
        <v>160.0</v>
      </c>
      <c r="K597" s="26">
        <v>28.56</v>
      </c>
      <c r="M597" s="26" t="s">
        <v>449</v>
      </c>
      <c r="N597" s="28"/>
      <c r="O597" s="28"/>
      <c r="P597" s="28"/>
    </row>
    <row r="598">
      <c r="A598" s="25">
        <v>43228.798749062495</v>
      </c>
      <c r="B598" s="26" t="s">
        <v>33</v>
      </c>
      <c r="C598" s="26" t="s">
        <v>547</v>
      </c>
      <c r="D598" s="26" t="s">
        <v>31</v>
      </c>
      <c r="E598" s="26">
        <v>240.0</v>
      </c>
      <c r="F598" s="26" t="s">
        <v>63</v>
      </c>
      <c r="G598" s="26">
        <v>16.0</v>
      </c>
      <c r="H598" s="26">
        <v>8.0</v>
      </c>
    </row>
    <row r="599">
      <c r="A599" s="25">
        <v>43228.81525833333</v>
      </c>
      <c r="B599" s="26" t="s">
        <v>258</v>
      </c>
      <c r="C599" s="26" t="s">
        <v>125</v>
      </c>
      <c r="D599" s="26" t="s">
        <v>31</v>
      </c>
      <c r="E599" s="26">
        <v>397.0</v>
      </c>
      <c r="F599" s="26" t="s">
        <v>32</v>
      </c>
      <c r="G599" s="26">
        <v>5.0</v>
      </c>
      <c r="H599" s="26">
        <v>5.0</v>
      </c>
      <c r="I599" s="26">
        <v>202.0</v>
      </c>
      <c r="J599" s="26">
        <v>182.0</v>
      </c>
      <c r="K599" s="26">
        <v>15.0</v>
      </c>
      <c r="M599" s="26" t="s">
        <v>449</v>
      </c>
      <c r="N599" s="28"/>
      <c r="O599" s="28"/>
      <c r="P599" s="28"/>
    </row>
    <row r="600">
      <c r="A600" s="25">
        <v>43228.84344523148</v>
      </c>
      <c r="B600" s="26" t="s">
        <v>80</v>
      </c>
      <c r="C600" s="26" t="s">
        <v>34</v>
      </c>
      <c r="D600" s="26" t="s">
        <v>41</v>
      </c>
      <c r="E600" s="26">
        <v>749.0</v>
      </c>
      <c r="F600" s="26" t="s">
        <v>51</v>
      </c>
      <c r="G600" s="26">
        <v>28.0</v>
      </c>
      <c r="H600" s="26">
        <v>3.5</v>
      </c>
      <c r="I600" s="26">
        <v>247.0</v>
      </c>
      <c r="J600" s="26">
        <v>430.0</v>
      </c>
      <c r="K600" s="26">
        <v>70.0</v>
      </c>
      <c r="M600" s="26" t="s">
        <v>449</v>
      </c>
      <c r="N600" s="28"/>
      <c r="O600" s="28"/>
      <c r="P600" s="28"/>
    </row>
    <row r="601">
      <c r="A601" s="25">
        <v>43228.8552978588</v>
      </c>
      <c r="B601" s="26" t="s">
        <v>33</v>
      </c>
      <c r="C601" s="26" t="s">
        <v>43</v>
      </c>
      <c r="D601" s="26" t="s">
        <v>31</v>
      </c>
      <c r="E601" s="26">
        <v>190.0</v>
      </c>
      <c r="F601" s="26" t="s">
        <v>35</v>
      </c>
      <c r="G601" s="26">
        <v>9.0</v>
      </c>
      <c r="H601" s="26">
        <v>3.0</v>
      </c>
      <c r="I601" s="26">
        <v>115.0</v>
      </c>
      <c r="J601" s="26">
        <v>75.0</v>
      </c>
      <c r="M601" s="26" t="s">
        <v>449</v>
      </c>
      <c r="N601" s="28"/>
      <c r="O601" s="28"/>
      <c r="P601" s="28"/>
    </row>
    <row r="602">
      <c r="A602" s="25">
        <v>43228.886501643516</v>
      </c>
      <c r="B602" s="26" t="s">
        <v>168</v>
      </c>
      <c r="C602" s="26">
        <v>62.0</v>
      </c>
      <c r="D602" s="26" t="s">
        <v>27</v>
      </c>
      <c r="E602" s="26">
        <v>155.0</v>
      </c>
      <c r="F602" s="26" t="s">
        <v>35</v>
      </c>
      <c r="G602" s="26">
        <v>10.0</v>
      </c>
      <c r="H602" s="26">
        <v>3.0</v>
      </c>
      <c r="I602" s="26">
        <v>140000.0</v>
      </c>
      <c r="J602" s="26">
        <v>8500.0</v>
      </c>
      <c r="K602" s="26">
        <v>6000.0</v>
      </c>
      <c r="M602" s="26" t="s">
        <v>449</v>
      </c>
      <c r="N602" s="28"/>
      <c r="O602" s="28"/>
      <c r="P602" s="28"/>
    </row>
    <row r="603">
      <c r="A603" s="25">
        <v>43228.94922005787</v>
      </c>
      <c r="B603" s="26" t="s">
        <v>548</v>
      </c>
      <c r="C603" s="26">
        <v>6.0</v>
      </c>
      <c r="D603" s="26" t="s">
        <v>27</v>
      </c>
      <c r="E603" s="26">
        <v>250.0</v>
      </c>
      <c r="F603" s="26" t="s">
        <v>58</v>
      </c>
      <c r="G603" s="26">
        <v>20.0</v>
      </c>
      <c r="H603" s="26">
        <v>5.0</v>
      </c>
      <c r="I603" s="26">
        <v>225000.0</v>
      </c>
      <c r="J603" s="26">
        <v>6000.0</v>
      </c>
      <c r="K603" s="26">
        <v>19000.0</v>
      </c>
      <c r="M603" s="26" t="s">
        <v>449</v>
      </c>
      <c r="N603" s="28"/>
      <c r="O603" s="28"/>
      <c r="P603" s="28"/>
    </row>
    <row r="604">
      <c r="A604" s="25">
        <v>43228.96066275463</v>
      </c>
      <c r="B604" s="26" t="s">
        <v>33</v>
      </c>
      <c r="C604" s="26">
        <v>5.0</v>
      </c>
      <c r="D604" s="26" t="s">
        <v>31</v>
      </c>
      <c r="E604" s="26">
        <v>230.0</v>
      </c>
      <c r="F604" s="26" t="s">
        <v>63</v>
      </c>
      <c r="G604" s="26">
        <v>5.0</v>
      </c>
      <c r="H604" s="26">
        <v>5.0</v>
      </c>
      <c r="I604" s="26">
        <v>140000.0</v>
      </c>
      <c r="J604" s="26">
        <v>90000.0</v>
      </c>
      <c r="M604" s="26" t="s">
        <v>449</v>
      </c>
      <c r="N604" s="28"/>
      <c r="O604" s="28"/>
      <c r="P604" s="28"/>
    </row>
    <row r="605">
      <c r="A605" s="25">
        <v>43229.2673946875</v>
      </c>
      <c r="B605" s="26" t="s">
        <v>80</v>
      </c>
      <c r="C605" s="26" t="s">
        <v>26</v>
      </c>
      <c r="D605" s="26" t="s">
        <v>31</v>
      </c>
      <c r="E605" s="26">
        <v>143.0</v>
      </c>
      <c r="F605" s="26" t="s">
        <v>178</v>
      </c>
      <c r="G605" s="26">
        <v>0.0</v>
      </c>
      <c r="H605" s="26">
        <v>0.0</v>
      </c>
      <c r="I605" s="26">
        <v>105.0</v>
      </c>
      <c r="J605" s="26">
        <v>22.5</v>
      </c>
      <c r="K605" s="26">
        <v>16.0</v>
      </c>
      <c r="M605" s="26" t="s">
        <v>449</v>
      </c>
      <c r="N605" s="28"/>
      <c r="O605" s="28"/>
      <c r="P605" s="28"/>
    </row>
    <row r="606">
      <c r="A606" s="25">
        <v>43229.30660847222</v>
      </c>
      <c r="B606" s="26" t="s">
        <v>80</v>
      </c>
      <c r="C606" s="26" t="s">
        <v>179</v>
      </c>
      <c r="D606" s="26" t="s">
        <v>31</v>
      </c>
      <c r="E606" s="26">
        <v>161.0</v>
      </c>
      <c r="F606" s="26" t="s">
        <v>549</v>
      </c>
      <c r="G606" s="26">
        <v>0.5</v>
      </c>
      <c r="H606" s="26">
        <v>0.5</v>
      </c>
      <c r="I606" s="26">
        <v>98500.0</v>
      </c>
      <c r="J606" s="26">
        <v>48000.0</v>
      </c>
      <c r="K606" s="26">
        <v>15000.0</v>
      </c>
      <c r="M606" s="26" t="s">
        <v>449</v>
      </c>
      <c r="N606" s="28"/>
      <c r="O606" s="28"/>
      <c r="P606" s="28"/>
    </row>
    <row r="607">
      <c r="A607" s="25">
        <v>43229.324759490744</v>
      </c>
      <c r="B607" s="26" t="s">
        <v>48</v>
      </c>
      <c r="C607" s="26" t="s">
        <v>49</v>
      </c>
      <c r="D607" s="26" t="s">
        <v>31</v>
      </c>
      <c r="E607" s="26">
        <v>275.0</v>
      </c>
      <c r="F607" s="26" t="s">
        <v>94</v>
      </c>
      <c r="G607" s="26">
        <v>3.0</v>
      </c>
      <c r="H607" s="26">
        <v>3.0</v>
      </c>
      <c r="I607" s="26">
        <v>157000.0</v>
      </c>
      <c r="J607" s="26">
        <v>101000.0</v>
      </c>
      <c r="K607" s="26">
        <v>15700.0</v>
      </c>
      <c r="M607" s="26" t="s">
        <v>449</v>
      </c>
      <c r="N607" s="28"/>
      <c r="O607" s="28"/>
      <c r="P607" s="28"/>
    </row>
    <row r="608">
      <c r="A608" s="25">
        <v>43229.339428680556</v>
      </c>
      <c r="B608" s="26" t="s">
        <v>33</v>
      </c>
      <c r="C608" s="26" t="s">
        <v>62</v>
      </c>
      <c r="D608" s="26" t="s">
        <v>31</v>
      </c>
      <c r="E608" s="26">
        <v>375.0</v>
      </c>
      <c r="F608" s="26" t="s">
        <v>63</v>
      </c>
      <c r="G608" s="26">
        <v>10.0</v>
      </c>
      <c r="H608" s="26">
        <v>6.0</v>
      </c>
      <c r="I608" s="26">
        <v>157400.0</v>
      </c>
      <c r="J608" s="26">
        <v>220000.0</v>
      </c>
      <c r="M608" s="26" t="s">
        <v>449</v>
      </c>
      <c r="N608" s="28"/>
      <c r="O608" s="28"/>
      <c r="P608" s="28"/>
    </row>
    <row r="609">
      <c r="A609" s="25">
        <v>43229.36041862269</v>
      </c>
      <c r="B609" s="26" t="s">
        <v>45</v>
      </c>
      <c r="C609" s="26" t="s">
        <v>102</v>
      </c>
      <c r="D609" s="26" t="s">
        <v>31</v>
      </c>
      <c r="E609" s="26">
        <v>210.0</v>
      </c>
      <c r="F609" s="26" t="s">
        <v>550</v>
      </c>
      <c r="G609" s="26">
        <v>5.0</v>
      </c>
      <c r="H609" s="26">
        <v>1.0</v>
      </c>
      <c r="I609" s="26">
        <v>155000.0</v>
      </c>
      <c r="J609" s="26">
        <v>100000.0</v>
      </c>
      <c r="K609" s="26">
        <v>30.0</v>
      </c>
      <c r="M609" s="26" t="s">
        <v>449</v>
      </c>
      <c r="N609" s="28"/>
      <c r="O609" s="28"/>
      <c r="P609" s="28"/>
    </row>
    <row r="610">
      <c r="A610" s="25">
        <v>43229.36940024306</v>
      </c>
      <c r="B610" s="26" t="s">
        <v>551</v>
      </c>
      <c r="C610" s="26" t="s">
        <v>552</v>
      </c>
      <c r="D610" s="26" t="s">
        <v>31</v>
      </c>
      <c r="E610" s="26">
        <v>170.0</v>
      </c>
      <c r="F610" s="26" t="s">
        <v>553</v>
      </c>
      <c r="G610" s="26">
        <v>5.0</v>
      </c>
      <c r="H610" s="26">
        <v>2.0</v>
      </c>
      <c r="I610" s="26">
        <v>140.0</v>
      </c>
      <c r="K610" s="26">
        <v>30000.0</v>
      </c>
      <c r="M610" s="26" t="s">
        <v>449</v>
      </c>
      <c r="N610" s="28"/>
      <c r="O610" s="28"/>
      <c r="P610" s="28"/>
    </row>
    <row r="611">
      <c r="A611" s="25">
        <v>43229.46326965278</v>
      </c>
      <c r="B611" s="26" t="s">
        <v>40</v>
      </c>
      <c r="C611" s="26">
        <v>61.0</v>
      </c>
      <c r="D611" s="26" t="s">
        <v>31</v>
      </c>
      <c r="E611" s="26">
        <v>152.0</v>
      </c>
      <c r="F611" s="26" t="s">
        <v>75</v>
      </c>
      <c r="G611" s="26">
        <v>3.0</v>
      </c>
      <c r="H611" s="26">
        <v>1.0</v>
      </c>
      <c r="I611" s="26">
        <v>123000.0</v>
      </c>
      <c r="J611" s="26">
        <v>15000.0</v>
      </c>
      <c r="K611" s="26">
        <v>12000.0</v>
      </c>
      <c r="M611" s="26" t="s">
        <v>449</v>
      </c>
      <c r="N611" s="28"/>
      <c r="O611" s="28"/>
      <c r="P611" s="28"/>
    </row>
    <row r="612">
      <c r="A612" s="25">
        <v>43229.49327178241</v>
      </c>
      <c r="B612" s="26" t="s">
        <v>40</v>
      </c>
      <c r="C612" s="26">
        <v>63.0</v>
      </c>
      <c r="D612" s="26" t="s">
        <v>31</v>
      </c>
      <c r="E612" s="26">
        <v>190.0</v>
      </c>
      <c r="F612" s="26" t="s">
        <v>554</v>
      </c>
      <c r="G612" s="26">
        <v>18.0</v>
      </c>
      <c r="H612" s="26">
        <v>13.0</v>
      </c>
      <c r="I612" s="26">
        <v>149457.0</v>
      </c>
      <c r="J612" s="26">
        <v>40000.0</v>
      </c>
      <c r="K612" s="26">
        <v>22418.0</v>
      </c>
      <c r="M612" s="26" t="s">
        <v>449</v>
      </c>
      <c r="N612" s="28"/>
      <c r="O612" s="28"/>
      <c r="P612" s="28"/>
    </row>
    <row r="613">
      <c r="A613" s="25">
        <v>43229.58903349537</v>
      </c>
      <c r="B613" s="26" t="s">
        <v>146</v>
      </c>
      <c r="C613" s="26" t="s">
        <v>96</v>
      </c>
      <c r="D613" s="26" t="s">
        <v>31</v>
      </c>
      <c r="E613" s="26">
        <v>271.0</v>
      </c>
      <c r="F613" s="26" t="s">
        <v>58</v>
      </c>
      <c r="G613" s="26">
        <v>5.0</v>
      </c>
      <c r="H613" s="26">
        <v>1.0</v>
      </c>
      <c r="I613" s="26">
        <v>176000.0</v>
      </c>
      <c r="J613" s="26">
        <v>75000.0</v>
      </c>
      <c r="K613" s="26">
        <v>17600.0</v>
      </c>
      <c r="M613" s="26" t="s">
        <v>449</v>
      </c>
      <c r="N613" s="28"/>
      <c r="O613" s="28"/>
      <c r="P613" s="28"/>
    </row>
    <row r="614">
      <c r="A614" s="25">
        <v>43229.89460988426</v>
      </c>
      <c r="B614" s="26" t="s">
        <v>33</v>
      </c>
      <c r="C614" s="26" t="s">
        <v>43</v>
      </c>
      <c r="D614" s="26" t="s">
        <v>31</v>
      </c>
      <c r="E614" s="26">
        <v>203.0</v>
      </c>
      <c r="F614" s="26" t="s">
        <v>63</v>
      </c>
      <c r="G614" s="26">
        <v>8.0</v>
      </c>
      <c r="H614" s="26">
        <v>0.0</v>
      </c>
      <c r="I614" s="26">
        <v>149700.0</v>
      </c>
      <c r="J614" s="26">
        <v>250000.0</v>
      </c>
      <c r="K614" s="26">
        <v>90000.0</v>
      </c>
      <c r="M614" s="26" t="s">
        <v>449</v>
      </c>
      <c r="N614" s="28"/>
      <c r="O614" s="28"/>
      <c r="P614" s="28"/>
    </row>
    <row r="615">
      <c r="A615" s="25">
        <v>43229.92172258101</v>
      </c>
      <c r="B615" s="26" t="s">
        <v>33</v>
      </c>
      <c r="C615" s="26" t="s">
        <v>43</v>
      </c>
      <c r="D615" s="26" t="s">
        <v>27</v>
      </c>
      <c r="E615" s="26">
        <v>247.0</v>
      </c>
      <c r="F615" s="26" t="s">
        <v>63</v>
      </c>
      <c r="G615" s="26">
        <v>5.0</v>
      </c>
      <c r="H615" s="26">
        <v>5.0</v>
      </c>
      <c r="I615" s="26">
        <v>122.0</v>
      </c>
      <c r="J615" s="26">
        <v>125.0</v>
      </c>
      <c r="M615" s="26" t="s">
        <v>449</v>
      </c>
      <c r="N615" s="28"/>
      <c r="O615" s="28"/>
      <c r="P615" s="28"/>
    </row>
    <row r="616">
      <c r="A616" s="25">
        <v>43230.211981354165</v>
      </c>
      <c r="B616" s="26" t="s">
        <v>33</v>
      </c>
      <c r="C616" s="26" t="s">
        <v>62</v>
      </c>
      <c r="D616" s="26" t="s">
        <v>27</v>
      </c>
      <c r="E616" s="26">
        <v>245.0</v>
      </c>
      <c r="F616" s="26" t="s">
        <v>555</v>
      </c>
      <c r="G616" s="26">
        <v>25.0</v>
      </c>
      <c r="H616" s="26">
        <v>3.0</v>
      </c>
      <c r="I616" s="26">
        <v>162.0</v>
      </c>
      <c r="J616" s="26">
        <v>83.0</v>
      </c>
      <c r="L616" s="26" t="s">
        <v>556</v>
      </c>
      <c r="M616" s="26" t="s">
        <v>449</v>
      </c>
      <c r="N616" s="28"/>
      <c r="O616" s="28"/>
      <c r="P616" s="28"/>
    </row>
    <row r="617">
      <c r="A617" s="25">
        <v>43230.26206209491</v>
      </c>
      <c r="B617" s="26" t="s">
        <v>33</v>
      </c>
      <c r="C617" s="26" t="s">
        <v>62</v>
      </c>
      <c r="D617" s="26" t="s">
        <v>31</v>
      </c>
      <c r="E617" s="26">
        <v>230.0</v>
      </c>
      <c r="F617" s="26" t="s">
        <v>247</v>
      </c>
      <c r="G617" s="26">
        <v>14.0</v>
      </c>
      <c r="H617" s="26">
        <v>1.0</v>
      </c>
      <c r="I617" s="26">
        <v>165000.0</v>
      </c>
      <c r="J617" s="26">
        <v>220000.0</v>
      </c>
      <c r="K617" s="26">
        <v>125000.0</v>
      </c>
      <c r="M617" s="26" t="s">
        <v>449</v>
      </c>
      <c r="N617" s="28"/>
      <c r="O617" s="28"/>
      <c r="P617" s="28"/>
    </row>
    <row r="618">
      <c r="A618" s="25">
        <v>43230.62335945602</v>
      </c>
      <c r="B618" s="26" t="s">
        <v>33</v>
      </c>
      <c r="C618" s="26" t="s">
        <v>34</v>
      </c>
      <c r="D618" s="26" t="s">
        <v>27</v>
      </c>
      <c r="E618" s="26">
        <v>300.0</v>
      </c>
      <c r="F618" s="26" t="s">
        <v>63</v>
      </c>
      <c r="G618" s="26">
        <v>15.0</v>
      </c>
      <c r="H618" s="26">
        <v>3.0</v>
      </c>
      <c r="I618" s="26">
        <v>160.0</v>
      </c>
      <c r="J618" s="26">
        <v>140.0</v>
      </c>
      <c r="M618" s="26" t="s">
        <v>449</v>
      </c>
      <c r="N618" s="28"/>
      <c r="O618" s="28"/>
      <c r="P618" s="28"/>
    </row>
    <row r="619">
      <c r="A619" s="25">
        <v>43230.743318912035</v>
      </c>
      <c r="B619" s="26" t="s">
        <v>557</v>
      </c>
      <c r="C619" s="26" t="s">
        <v>558</v>
      </c>
      <c r="D619" s="26" t="s">
        <v>31</v>
      </c>
      <c r="E619" s="26">
        <v>133.0</v>
      </c>
      <c r="F619" s="26" t="s">
        <v>297</v>
      </c>
      <c r="G619" s="26">
        <v>6.0</v>
      </c>
      <c r="H619" s="26">
        <v>3.0</v>
      </c>
      <c r="I619" s="26">
        <v>12000.0</v>
      </c>
      <c r="K619" s="26">
        <v>13.0</v>
      </c>
      <c r="M619" s="26" t="s">
        <v>449</v>
      </c>
      <c r="N619" s="28"/>
      <c r="O619" s="28"/>
      <c r="P619" s="28"/>
    </row>
    <row r="620">
      <c r="A620" s="25">
        <v>43231.32398973379</v>
      </c>
      <c r="B620" s="26" t="s">
        <v>40</v>
      </c>
      <c r="C620" s="26">
        <v>64.0</v>
      </c>
      <c r="D620" s="26" t="s">
        <v>31</v>
      </c>
      <c r="E620" s="26">
        <v>210.0</v>
      </c>
      <c r="F620" s="26" t="s">
        <v>52</v>
      </c>
      <c r="G620" s="26">
        <v>11.0</v>
      </c>
      <c r="H620" s="26">
        <v>11.0</v>
      </c>
      <c r="I620" s="26">
        <v>164.0</v>
      </c>
      <c r="J620" s="26">
        <v>24.0</v>
      </c>
      <c r="K620" s="26">
        <v>21.0</v>
      </c>
      <c r="M620" s="26" t="s">
        <v>449</v>
      </c>
      <c r="N620" s="28"/>
      <c r="O620" s="28"/>
      <c r="P620" s="28"/>
    </row>
    <row r="621">
      <c r="A621" s="25">
        <v>43231.356283518515</v>
      </c>
      <c r="B621" s="26" t="s">
        <v>80</v>
      </c>
      <c r="C621" s="26" t="s">
        <v>37</v>
      </c>
      <c r="D621" s="26" t="s">
        <v>31</v>
      </c>
      <c r="E621" s="26">
        <v>315.0</v>
      </c>
      <c r="F621" s="26" t="s">
        <v>32</v>
      </c>
      <c r="G621" s="26">
        <v>12.0</v>
      </c>
      <c r="H621" s="26">
        <v>1.5</v>
      </c>
      <c r="I621" s="26">
        <v>191.0</v>
      </c>
      <c r="J621" s="26">
        <v>78.0</v>
      </c>
      <c r="K621" s="26">
        <v>60.0</v>
      </c>
      <c r="L621" s="26" t="s">
        <v>559</v>
      </c>
      <c r="M621" s="26" t="s">
        <v>449</v>
      </c>
      <c r="N621" s="28"/>
      <c r="O621" s="28"/>
      <c r="P621" s="28"/>
    </row>
    <row r="622">
      <c r="A622" s="25">
        <v>43231.445814293984</v>
      </c>
      <c r="B622" s="26" t="s">
        <v>45</v>
      </c>
      <c r="C622" s="26" t="s">
        <v>116</v>
      </c>
      <c r="D622" s="26" t="s">
        <v>31</v>
      </c>
      <c r="E622" s="26">
        <v>320.0</v>
      </c>
      <c r="F622" s="26" t="s">
        <v>32</v>
      </c>
      <c r="G622" s="26">
        <v>14.0</v>
      </c>
      <c r="H622" s="26">
        <v>7.0</v>
      </c>
      <c r="M622" s="26" t="s">
        <v>449</v>
      </c>
      <c r="N622" s="28"/>
      <c r="O622" s="28"/>
      <c r="P622" s="28"/>
    </row>
    <row r="623">
      <c r="A623" s="25">
        <v>43231.50756773148</v>
      </c>
      <c r="B623" s="26" t="s">
        <v>64</v>
      </c>
      <c r="C623" s="26" t="s">
        <v>206</v>
      </c>
      <c r="D623" s="26" t="s">
        <v>31</v>
      </c>
      <c r="E623" s="26">
        <v>162.0</v>
      </c>
      <c r="F623" s="26" t="s">
        <v>161</v>
      </c>
      <c r="G623" s="26">
        <v>6.0</v>
      </c>
      <c r="H623" s="26">
        <v>4.0</v>
      </c>
      <c r="I623" s="26">
        <v>127000.0</v>
      </c>
      <c r="J623" s="26">
        <v>20000.0</v>
      </c>
      <c r="K623" s="26">
        <v>15000.0</v>
      </c>
      <c r="M623" s="26" t="s">
        <v>449</v>
      </c>
      <c r="N623" s="28"/>
      <c r="O623" s="28"/>
      <c r="P623" s="28"/>
    </row>
    <row r="624">
      <c r="A624" s="25">
        <v>43231.58357150463</v>
      </c>
      <c r="B624" s="26" t="s">
        <v>560</v>
      </c>
      <c r="C624" s="26">
        <v>60.0</v>
      </c>
      <c r="D624" s="26" t="s">
        <v>31</v>
      </c>
      <c r="E624" s="26">
        <v>141.0</v>
      </c>
      <c r="F624" s="26" t="s">
        <v>561</v>
      </c>
      <c r="G624" s="26">
        <v>3.5</v>
      </c>
      <c r="H624" s="26">
        <v>0.0</v>
      </c>
      <c r="I624" s="26">
        <v>120000.0</v>
      </c>
      <c r="J624" s="26">
        <v>5000.0</v>
      </c>
      <c r="K624" s="26">
        <v>15000.0</v>
      </c>
      <c r="M624" s="26" t="s">
        <v>449</v>
      </c>
      <c r="N624" s="28"/>
      <c r="O624" s="28"/>
      <c r="P624" s="28"/>
    </row>
    <row r="625">
      <c r="A625" s="25">
        <v>43231.85024221065</v>
      </c>
      <c r="B625" s="26" t="s">
        <v>154</v>
      </c>
      <c r="C625" s="26" t="s">
        <v>562</v>
      </c>
      <c r="D625" s="26" t="s">
        <v>31</v>
      </c>
      <c r="E625" s="26">
        <v>125.0</v>
      </c>
      <c r="F625" s="26" t="s">
        <v>563</v>
      </c>
      <c r="G625" s="26">
        <v>2.0</v>
      </c>
      <c r="H625" s="26">
        <v>2.0</v>
      </c>
      <c r="I625" s="26">
        <v>105.0</v>
      </c>
      <c r="J625" s="26">
        <v>10.0</v>
      </c>
      <c r="K625" s="26">
        <v>10.0</v>
      </c>
      <c r="M625" s="26" t="s">
        <v>449</v>
      </c>
      <c r="N625" s="28"/>
      <c r="O625" s="28"/>
      <c r="P625" s="28"/>
    </row>
    <row r="626">
      <c r="A626" s="25">
        <v>43231.94647293982</v>
      </c>
      <c r="B626" s="26" t="s">
        <v>45</v>
      </c>
      <c r="C626" s="26" t="s">
        <v>102</v>
      </c>
      <c r="D626" s="26" t="s">
        <v>31</v>
      </c>
      <c r="E626" s="26">
        <v>205.0</v>
      </c>
      <c r="F626" s="26" t="s">
        <v>92</v>
      </c>
      <c r="G626" s="26">
        <v>8.0</v>
      </c>
      <c r="H626" s="26">
        <v>4.0</v>
      </c>
      <c r="I626" s="26">
        <v>135.0</v>
      </c>
      <c r="J626" s="26">
        <v>60.0</v>
      </c>
      <c r="K626" s="26">
        <v>10.0</v>
      </c>
      <c r="M626" s="26" t="s">
        <v>449</v>
      </c>
      <c r="N626" s="28"/>
      <c r="O626" s="28"/>
      <c r="P626" s="28"/>
    </row>
    <row r="627">
      <c r="A627" s="25">
        <v>43231.995294953704</v>
      </c>
      <c r="B627" s="26" t="s">
        <v>564</v>
      </c>
      <c r="C627" s="26" t="s">
        <v>565</v>
      </c>
      <c r="D627" s="26" t="s">
        <v>31</v>
      </c>
      <c r="E627" s="26">
        <v>240.0</v>
      </c>
      <c r="F627" s="26" t="s">
        <v>63</v>
      </c>
      <c r="G627" s="26">
        <v>9.0</v>
      </c>
      <c r="H627" s="26">
        <v>1.0</v>
      </c>
      <c r="I627" s="26">
        <v>160000.0</v>
      </c>
      <c r="J627" s="26">
        <v>320000.0</v>
      </c>
      <c r="M627" s="26" t="s">
        <v>449</v>
      </c>
      <c r="N627" s="28"/>
      <c r="O627" s="28"/>
      <c r="P627" s="28"/>
    </row>
    <row r="628">
      <c r="A628" s="25">
        <v>43232.22708997685</v>
      </c>
      <c r="B628" s="26" t="s">
        <v>33</v>
      </c>
      <c r="C628" s="26" t="s">
        <v>43</v>
      </c>
      <c r="D628" s="26" t="s">
        <v>27</v>
      </c>
      <c r="E628" s="26">
        <v>180.0</v>
      </c>
      <c r="F628" s="26" t="s">
        <v>566</v>
      </c>
      <c r="G628" s="26">
        <v>13.0</v>
      </c>
      <c r="H628" s="26">
        <v>1.0</v>
      </c>
      <c r="I628" s="26">
        <v>145.0</v>
      </c>
      <c r="J628" s="26">
        <v>11.0</v>
      </c>
      <c r="K628" s="26">
        <v>25.0</v>
      </c>
      <c r="M628" s="26" t="s">
        <v>458</v>
      </c>
      <c r="N628" s="28"/>
      <c r="O628" s="28"/>
      <c r="P628" s="28"/>
    </row>
    <row r="629">
      <c r="A629" s="25">
        <v>43232.61513715278</v>
      </c>
      <c r="B629" s="26" t="s">
        <v>33</v>
      </c>
      <c r="C629" s="26" t="s">
        <v>34</v>
      </c>
      <c r="D629" s="26" t="s">
        <v>31</v>
      </c>
      <c r="E629" s="26">
        <v>650.0</v>
      </c>
      <c r="F629" s="26" t="s">
        <v>63</v>
      </c>
      <c r="G629" s="26">
        <v>8.0</v>
      </c>
      <c r="H629" s="26">
        <v>8.0</v>
      </c>
      <c r="M629" s="26" t="s">
        <v>449</v>
      </c>
      <c r="N629" s="28"/>
      <c r="O629" s="28"/>
      <c r="P629" s="28"/>
    </row>
    <row r="630">
      <c r="A630" s="25">
        <v>43232.887057280095</v>
      </c>
      <c r="B630" s="26" t="s">
        <v>567</v>
      </c>
      <c r="C630" s="26" t="s">
        <v>37</v>
      </c>
      <c r="D630" s="26" t="s">
        <v>31</v>
      </c>
      <c r="E630" s="26">
        <v>251.0</v>
      </c>
      <c r="F630" s="26" t="s">
        <v>72</v>
      </c>
      <c r="G630" s="26">
        <v>5.0</v>
      </c>
      <c r="H630" s="26">
        <v>1.0</v>
      </c>
      <c r="I630" s="26">
        <v>160.0</v>
      </c>
      <c r="J630" s="26">
        <v>3000.0</v>
      </c>
      <c r="K630" s="26">
        <v>10.0</v>
      </c>
      <c r="M630" s="26" t="s">
        <v>449</v>
      </c>
      <c r="N630" s="28"/>
      <c r="O630" s="28"/>
      <c r="P630" s="28"/>
    </row>
    <row r="631">
      <c r="A631" s="25">
        <v>43232.91942402778</v>
      </c>
      <c r="B631" s="26" t="s">
        <v>80</v>
      </c>
      <c r="C631" s="26" t="s">
        <v>26</v>
      </c>
      <c r="D631" s="26" t="s">
        <v>31</v>
      </c>
      <c r="E631" s="26">
        <v>185.0</v>
      </c>
      <c r="F631" s="26" t="s">
        <v>199</v>
      </c>
      <c r="G631" s="26">
        <v>0.0</v>
      </c>
      <c r="H631" s="26">
        <v>0.0</v>
      </c>
    </row>
    <row r="632">
      <c r="A632" s="25">
        <v>43232.92004899305</v>
      </c>
      <c r="B632" s="26" t="s">
        <v>48</v>
      </c>
      <c r="C632" s="26" t="s">
        <v>69</v>
      </c>
      <c r="D632" s="26" t="s">
        <v>31</v>
      </c>
      <c r="E632" s="26">
        <v>950.0</v>
      </c>
      <c r="F632" s="26" t="s">
        <v>415</v>
      </c>
      <c r="G632" s="26">
        <v>0.0</v>
      </c>
      <c r="H632" s="26">
        <v>0.0</v>
      </c>
    </row>
    <row r="633">
      <c r="A633" s="25">
        <v>43233.05521756945</v>
      </c>
      <c r="B633" s="26" t="s">
        <v>80</v>
      </c>
      <c r="C633" s="26" t="s">
        <v>26</v>
      </c>
      <c r="D633" s="26" t="s">
        <v>31</v>
      </c>
      <c r="E633" s="26">
        <v>199.0</v>
      </c>
      <c r="F633" s="26" t="s">
        <v>58</v>
      </c>
      <c r="G633" s="26">
        <v>1.0</v>
      </c>
      <c r="H633" s="26">
        <v>0.0</v>
      </c>
      <c r="I633" s="26">
        <v>135.0</v>
      </c>
      <c r="J633" s="26">
        <v>175.0</v>
      </c>
      <c r="K633" s="26">
        <v>20.0</v>
      </c>
      <c r="L633" s="26" t="s">
        <v>568</v>
      </c>
      <c r="M633" s="26" t="s">
        <v>449</v>
      </c>
      <c r="N633" s="28"/>
      <c r="O633" s="28"/>
      <c r="P633" s="28"/>
    </row>
    <row r="634">
      <c r="A634" s="25">
        <v>43233.164284375</v>
      </c>
      <c r="B634" s="26" t="s">
        <v>350</v>
      </c>
      <c r="C634" s="26" t="s">
        <v>37</v>
      </c>
      <c r="D634" s="26" t="s">
        <v>31</v>
      </c>
      <c r="E634" s="26">
        <v>154.0</v>
      </c>
      <c r="F634" s="26" t="s">
        <v>569</v>
      </c>
      <c r="G634" s="26">
        <v>12.0</v>
      </c>
      <c r="H634" s="26">
        <v>0.0</v>
      </c>
      <c r="I634" s="26">
        <v>140.0</v>
      </c>
      <c r="K634" s="26">
        <v>14.0</v>
      </c>
      <c r="M634" s="26" t="s">
        <v>449</v>
      </c>
      <c r="N634" s="28"/>
      <c r="O634" s="28"/>
      <c r="P634" s="28"/>
    </row>
    <row r="635">
      <c r="A635" s="25">
        <v>43233.28730393518</v>
      </c>
      <c r="B635" s="26" t="s">
        <v>548</v>
      </c>
      <c r="C635" s="26" t="s">
        <v>570</v>
      </c>
      <c r="D635" s="26" t="s">
        <v>41</v>
      </c>
      <c r="E635" s="26">
        <v>90.0</v>
      </c>
      <c r="F635" s="26" t="s">
        <v>571</v>
      </c>
      <c r="G635" s="26">
        <v>11.0</v>
      </c>
      <c r="H635" s="26">
        <v>5.0</v>
      </c>
      <c r="I635" s="26">
        <v>90000.0</v>
      </c>
      <c r="M635" s="26" t="s">
        <v>458</v>
      </c>
      <c r="N635" s="28"/>
      <c r="O635" s="28"/>
      <c r="P635" s="28"/>
    </row>
    <row r="636">
      <c r="A636" s="25">
        <v>43233.29009931713</v>
      </c>
      <c r="B636" s="26" t="s">
        <v>33</v>
      </c>
      <c r="C636" s="26" t="s">
        <v>62</v>
      </c>
      <c r="D636" s="26" t="s">
        <v>41</v>
      </c>
      <c r="E636" s="26">
        <v>190.0</v>
      </c>
      <c r="F636" s="26" t="s">
        <v>63</v>
      </c>
      <c r="G636" s="26">
        <v>14.0</v>
      </c>
      <c r="H636" s="26">
        <v>1.0</v>
      </c>
      <c r="I636" s="26">
        <v>150000.0</v>
      </c>
      <c r="J636" s="26">
        <v>30000.0</v>
      </c>
      <c r="K636" s="26">
        <v>20000.0</v>
      </c>
      <c r="M636" s="26" t="s">
        <v>449</v>
      </c>
      <c r="N636" s="28"/>
      <c r="O636" s="28"/>
      <c r="P636" s="28"/>
    </row>
    <row r="637">
      <c r="A637" s="25">
        <v>43233.31015518519</v>
      </c>
      <c r="B637" s="26" t="s">
        <v>170</v>
      </c>
      <c r="C637" s="26" t="s">
        <v>572</v>
      </c>
      <c r="D637" s="26" t="s">
        <v>31</v>
      </c>
      <c r="E637" s="26">
        <v>193.0</v>
      </c>
      <c r="F637" s="26" t="s">
        <v>453</v>
      </c>
      <c r="G637" s="26">
        <v>4.0</v>
      </c>
      <c r="H637" s="26">
        <v>1.0</v>
      </c>
      <c r="I637" s="26">
        <v>155000.0</v>
      </c>
      <c r="J637" s="26">
        <v>8000.0</v>
      </c>
      <c r="K637" s="26">
        <v>30000.0</v>
      </c>
      <c r="M637" s="26" t="s">
        <v>458</v>
      </c>
      <c r="N637" s="28"/>
      <c r="O637" s="28"/>
      <c r="P637" s="28"/>
    </row>
    <row r="638">
      <c r="A638" s="25">
        <v>43233.468043877314</v>
      </c>
      <c r="B638" s="26" t="s">
        <v>40</v>
      </c>
      <c r="C638" s="26">
        <v>64.0</v>
      </c>
      <c r="D638" s="26" t="s">
        <v>31</v>
      </c>
      <c r="E638" s="26">
        <v>210.0</v>
      </c>
      <c r="F638" s="26" t="s">
        <v>573</v>
      </c>
      <c r="G638" s="26">
        <v>30.0</v>
      </c>
      <c r="H638" s="26">
        <v>18.0</v>
      </c>
      <c r="I638" s="26">
        <v>162.0</v>
      </c>
      <c r="J638" s="26">
        <v>24.0</v>
      </c>
      <c r="K638" s="26">
        <v>24.0</v>
      </c>
      <c r="M638" s="26" t="s">
        <v>449</v>
      </c>
      <c r="N638" s="28"/>
      <c r="O638" s="28"/>
      <c r="P638" s="28"/>
    </row>
    <row r="639">
      <c r="A639" s="25">
        <v>43233.899150474535</v>
      </c>
      <c r="B639" s="26" t="s">
        <v>200</v>
      </c>
      <c r="C639" s="26" t="s">
        <v>31</v>
      </c>
      <c r="D639" s="26" t="s">
        <v>31</v>
      </c>
      <c r="E639" s="26">
        <v>200.0</v>
      </c>
      <c r="F639" s="26" t="s">
        <v>32</v>
      </c>
      <c r="G639" s="26">
        <v>4.0</v>
      </c>
      <c r="H639" s="26">
        <v>3.0</v>
      </c>
      <c r="I639" s="26">
        <v>150.0</v>
      </c>
      <c r="J639" s="26">
        <v>50.0</v>
      </c>
      <c r="K639" s="26">
        <v>10.0</v>
      </c>
      <c r="M639" s="26" t="s">
        <v>458</v>
      </c>
      <c r="N639" s="28"/>
      <c r="O639" s="28"/>
      <c r="P639" s="28"/>
    </row>
    <row r="640">
      <c r="A640" s="25">
        <v>43233.99613688658</v>
      </c>
      <c r="B640" s="26" t="s">
        <v>188</v>
      </c>
      <c r="C640" s="26" t="s">
        <v>34</v>
      </c>
      <c r="D640" s="26" t="s">
        <v>31</v>
      </c>
      <c r="E640" s="26">
        <v>1400.0</v>
      </c>
      <c r="F640" s="26" t="s">
        <v>137</v>
      </c>
      <c r="G640" s="26">
        <v>11.0</v>
      </c>
      <c r="H640" s="26">
        <v>2.0</v>
      </c>
      <c r="I640" s="26">
        <v>250.0</v>
      </c>
      <c r="J640" s="26">
        <v>1150.0</v>
      </c>
      <c r="M640" s="26" t="s">
        <v>449</v>
      </c>
      <c r="N640" s="28"/>
      <c r="O640" s="28"/>
      <c r="P640" s="28"/>
    </row>
    <row r="641">
      <c r="A641" s="25">
        <v>43234.35887486111</v>
      </c>
      <c r="B641" s="26" t="s">
        <v>574</v>
      </c>
      <c r="C641" s="26" t="s">
        <v>37</v>
      </c>
      <c r="D641" s="26" t="s">
        <v>31</v>
      </c>
      <c r="E641" s="26">
        <v>131.0</v>
      </c>
      <c r="F641" s="26" t="s">
        <v>575</v>
      </c>
      <c r="G641" s="26">
        <v>4.0</v>
      </c>
      <c r="H641" s="26">
        <v>0.0</v>
      </c>
      <c r="I641" s="26">
        <v>131.0</v>
      </c>
      <c r="L641" s="26" t="s">
        <v>576</v>
      </c>
      <c r="M641" s="26" t="s">
        <v>449</v>
      </c>
      <c r="N641" s="28"/>
      <c r="O641" s="28"/>
      <c r="P641" s="28"/>
    </row>
    <row r="642">
      <c r="A642" s="25">
        <v>43234.57744421296</v>
      </c>
      <c r="B642" s="26" t="s">
        <v>127</v>
      </c>
      <c r="C642" s="26" t="s">
        <v>577</v>
      </c>
      <c r="D642" s="26" t="s">
        <v>27</v>
      </c>
      <c r="E642" s="26">
        <v>300.0</v>
      </c>
      <c r="F642" s="26" t="s">
        <v>63</v>
      </c>
      <c r="G642" s="26">
        <v>18.0</v>
      </c>
      <c r="H642" s="26">
        <v>1.0</v>
      </c>
      <c r="I642" s="26">
        <v>160.0</v>
      </c>
      <c r="K642" s="26">
        <v>128000.0</v>
      </c>
      <c r="M642" s="26" t="s">
        <v>449</v>
      </c>
      <c r="N642" s="28"/>
      <c r="O642" s="28"/>
      <c r="P642" s="28"/>
    </row>
    <row r="643">
      <c r="A643" s="25">
        <v>43234.7697055787</v>
      </c>
      <c r="B643" s="26" t="s">
        <v>80</v>
      </c>
      <c r="C643" s="26" t="s">
        <v>43</v>
      </c>
      <c r="D643" s="26" t="s">
        <v>31</v>
      </c>
      <c r="E643" s="26">
        <v>330.0</v>
      </c>
      <c r="F643" s="26" t="s">
        <v>578</v>
      </c>
      <c r="G643" s="26">
        <v>20.0</v>
      </c>
      <c r="H643" s="26">
        <v>6.0</v>
      </c>
      <c r="I643" s="26">
        <v>160.0</v>
      </c>
      <c r="J643" s="26">
        <v>140.0</v>
      </c>
      <c r="K643" s="26">
        <v>30.0</v>
      </c>
      <c r="M643" s="26" t="s">
        <v>449</v>
      </c>
      <c r="N643" s="28"/>
      <c r="O643" s="28"/>
      <c r="P643" s="28"/>
    </row>
    <row r="644">
      <c r="A644" s="25">
        <v>43234.780898171295</v>
      </c>
      <c r="B644" s="26" t="s">
        <v>80</v>
      </c>
      <c r="C644" s="26" t="s">
        <v>255</v>
      </c>
      <c r="D644" s="26" t="s">
        <v>31</v>
      </c>
      <c r="E644" s="26">
        <v>660.0</v>
      </c>
      <c r="F644" s="26" t="s">
        <v>238</v>
      </c>
      <c r="G644" s="26">
        <v>10.0</v>
      </c>
      <c r="H644" s="26">
        <v>3.0</v>
      </c>
    </row>
    <row r="645">
      <c r="A645" s="25">
        <v>43235.32717333334</v>
      </c>
      <c r="B645" s="26" t="s">
        <v>40</v>
      </c>
      <c r="C645" s="26">
        <v>61.0</v>
      </c>
      <c r="D645" s="26" t="s">
        <v>31</v>
      </c>
      <c r="E645" s="26">
        <v>181.0</v>
      </c>
      <c r="F645" s="26" t="s">
        <v>75</v>
      </c>
      <c r="G645" s="26">
        <v>3.0</v>
      </c>
      <c r="H645" s="26">
        <v>0.0</v>
      </c>
      <c r="I645" s="26">
        <v>147.0</v>
      </c>
      <c r="J645" s="26">
        <v>75.0</v>
      </c>
      <c r="K645" s="26">
        <v>40.0</v>
      </c>
      <c r="M645" s="26" t="s">
        <v>449</v>
      </c>
      <c r="N645" s="28"/>
      <c r="O645" s="28"/>
      <c r="P645" s="28"/>
    </row>
    <row r="646">
      <c r="A646" s="25">
        <v>43235.37652347222</v>
      </c>
      <c r="B646" s="26" t="s">
        <v>170</v>
      </c>
      <c r="C646" s="26">
        <v>7.0</v>
      </c>
      <c r="D646" s="26" t="s">
        <v>31</v>
      </c>
      <c r="E646" s="26">
        <v>165.0</v>
      </c>
      <c r="F646" s="26" t="s">
        <v>579</v>
      </c>
      <c r="G646" s="26">
        <v>6.0</v>
      </c>
      <c r="H646" s="26">
        <v>6.0</v>
      </c>
      <c r="I646" s="26">
        <v>123000.0</v>
      </c>
      <c r="J646" s="26">
        <v>25000.0</v>
      </c>
      <c r="K646" s="26">
        <v>12000.0</v>
      </c>
      <c r="M646" s="26" t="s">
        <v>449</v>
      </c>
      <c r="N646" s="28"/>
      <c r="O646" s="28"/>
      <c r="P646" s="28"/>
    </row>
    <row r="647">
      <c r="A647" s="25">
        <v>43235.3932705787</v>
      </c>
      <c r="B647" s="26" t="s">
        <v>170</v>
      </c>
      <c r="C647" s="26">
        <v>10.0</v>
      </c>
      <c r="D647" s="26" t="s">
        <v>31</v>
      </c>
      <c r="E647" s="26">
        <v>340.0</v>
      </c>
      <c r="F647" s="26" t="s">
        <v>579</v>
      </c>
      <c r="G647" s="26">
        <v>25.0</v>
      </c>
      <c r="H647" s="26">
        <v>16.0</v>
      </c>
      <c r="I647" s="26">
        <v>210000.0</v>
      </c>
      <c r="J647" s="26">
        <v>75000.0</v>
      </c>
      <c r="K647" s="26">
        <v>70000.0</v>
      </c>
      <c r="M647" s="26" t="s">
        <v>449</v>
      </c>
      <c r="N647" s="28"/>
      <c r="O647" s="28"/>
      <c r="P647" s="28"/>
    </row>
    <row r="648">
      <c r="A648" s="25">
        <v>43235.464478090274</v>
      </c>
      <c r="B648" s="26" t="s">
        <v>204</v>
      </c>
      <c r="C648" s="26" t="s">
        <v>26</v>
      </c>
      <c r="D648" s="26" t="s">
        <v>31</v>
      </c>
      <c r="E648" s="26">
        <v>180.0</v>
      </c>
      <c r="F648" s="26" t="s">
        <v>32</v>
      </c>
      <c r="G648" s="26">
        <v>2.0</v>
      </c>
      <c r="H648" s="26">
        <v>0.0</v>
      </c>
      <c r="I648" s="26">
        <v>125000.0</v>
      </c>
      <c r="J648" s="26">
        <v>256000.0</v>
      </c>
      <c r="K648" s="26">
        <v>50000.0</v>
      </c>
      <c r="M648" s="26" t="s">
        <v>449</v>
      </c>
      <c r="N648" s="28"/>
      <c r="O648" s="28"/>
      <c r="P648" s="28"/>
    </row>
    <row r="649">
      <c r="A649" s="25">
        <v>43235.836045324075</v>
      </c>
      <c r="B649" s="26" t="s">
        <v>80</v>
      </c>
      <c r="C649" s="26" t="s">
        <v>93</v>
      </c>
      <c r="D649" s="26" t="s">
        <v>31</v>
      </c>
      <c r="E649" s="26">
        <v>626.0</v>
      </c>
      <c r="F649" s="26" t="s">
        <v>47</v>
      </c>
      <c r="G649" s="26">
        <v>16.0</v>
      </c>
      <c r="H649" s="26">
        <v>0.0</v>
      </c>
      <c r="I649" s="26">
        <v>220000.0</v>
      </c>
      <c r="J649" s="26">
        <v>1250000.0</v>
      </c>
      <c r="K649" s="26">
        <v>94000.0</v>
      </c>
      <c r="M649" s="26" t="s">
        <v>449</v>
      </c>
      <c r="N649" s="28"/>
      <c r="O649" s="28"/>
      <c r="P649" s="28"/>
    </row>
    <row r="650">
      <c r="A650" s="25">
        <v>43235.88871417824</v>
      </c>
      <c r="B650" s="26" t="s">
        <v>33</v>
      </c>
      <c r="C650" s="26" t="s">
        <v>43</v>
      </c>
      <c r="D650" s="26" t="s">
        <v>31</v>
      </c>
      <c r="E650" s="26">
        <v>220.0</v>
      </c>
      <c r="F650" s="26" t="s">
        <v>35</v>
      </c>
      <c r="G650" s="26">
        <v>8.0</v>
      </c>
      <c r="H650" s="26">
        <v>0.0</v>
      </c>
      <c r="I650" s="26">
        <v>150.0</v>
      </c>
      <c r="J650" s="26">
        <v>10.0</v>
      </c>
      <c r="K650" s="26">
        <v>60.0</v>
      </c>
      <c r="M650" s="26" t="s">
        <v>449</v>
      </c>
      <c r="N650" s="28"/>
      <c r="O650" s="28"/>
      <c r="P650" s="28"/>
    </row>
    <row r="651">
      <c r="A651" s="25">
        <v>43235.921628703705</v>
      </c>
      <c r="B651" s="26" t="s">
        <v>580</v>
      </c>
      <c r="C651" s="26" t="s">
        <v>581</v>
      </c>
      <c r="D651" s="26" t="s">
        <v>27</v>
      </c>
      <c r="E651" s="26">
        <v>190.0</v>
      </c>
      <c r="F651" s="26" t="s">
        <v>63</v>
      </c>
      <c r="G651" s="26">
        <v>9.0</v>
      </c>
      <c r="H651" s="26">
        <v>5.0</v>
      </c>
      <c r="I651" s="26">
        <v>150.0</v>
      </c>
      <c r="K651" s="26">
        <v>40.0</v>
      </c>
      <c r="M651" s="26" t="s">
        <v>449</v>
      </c>
      <c r="N651" s="28"/>
      <c r="O651" s="28"/>
      <c r="P651" s="28"/>
    </row>
    <row r="652">
      <c r="A652" s="25">
        <v>43235.9277144213</v>
      </c>
      <c r="B652" s="26" t="s">
        <v>40</v>
      </c>
      <c r="C652" s="26" t="s">
        <v>180</v>
      </c>
      <c r="D652" s="26" t="s">
        <v>31</v>
      </c>
      <c r="E652" s="26">
        <v>142.0</v>
      </c>
      <c r="F652" s="26" t="s">
        <v>75</v>
      </c>
      <c r="G652" s="26">
        <v>4.0</v>
      </c>
      <c r="H652" s="26">
        <v>0.0</v>
      </c>
      <c r="I652" s="26">
        <v>122000.0</v>
      </c>
      <c r="J652" s="26">
        <v>30000.0</v>
      </c>
      <c r="K652" s="26">
        <v>12000.0</v>
      </c>
      <c r="L652" s="26" t="s">
        <v>582</v>
      </c>
      <c r="M652" s="26" t="s">
        <v>449</v>
      </c>
      <c r="N652" s="28"/>
      <c r="O652" s="28"/>
      <c r="P652" s="28"/>
    </row>
    <row r="653">
      <c r="A653" s="25">
        <v>43235.998702592595</v>
      </c>
      <c r="B653" s="26" t="s">
        <v>40</v>
      </c>
      <c r="C653" s="26">
        <v>62.0</v>
      </c>
      <c r="D653" s="26" t="s">
        <v>31</v>
      </c>
      <c r="E653" s="26">
        <v>175.0</v>
      </c>
      <c r="F653" s="26" t="s">
        <v>583</v>
      </c>
      <c r="G653" s="26">
        <v>5.0</v>
      </c>
      <c r="H653" s="26">
        <v>2.0</v>
      </c>
      <c r="I653" s="26">
        <v>141.0</v>
      </c>
      <c r="J653" s="26">
        <v>10.0</v>
      </c>
      <c r="K653" s="26">
        <v>24.0</v>
      </c>
      <c r="M653" s="26" t="s">
        <v>449</v>
      </c>
      <c r="N653" s="28"/>
      <c r="O653" s="28"/>
      <c r="P653" s="28"/>
    </row>
    <row r="654">
      <c r="A654" s="25">
        <v>43236.36814274306</v>
      </c>
      <c r="B654" s="26" t="s">
        <v>40</v>
      </c>
      <c r="C654" s="26">
        <v>65.0</v>
      </c>
      <c r="D654" s="26" t="s">
        <v>27</v>
      </c>
      <c r="E654" s="26">
        <v>270.0</v>
      </c>
      <c r="F654" s="26" t="s">
        <v>35</v>
      </c>
      <c r="G654" s="26">
        <v>10.0</v>
      </c>
      <c r="H654" s="26">
        <v>10.0</v>
      </c>
      <c r="I654" s="26">
        <v>225000.0</v>
      </c>
      <c r="J654" s="26">
        <v>50000.0</v>
      </c>
      <c r="K654" s="26">
        <v>33000.0</v>
      </c>
      <c r="L654" s="26" t="s">
        <v>584</v>
      </c>
      <c r="M654" s="26" t="s">
        <v>449</v>
      </c>
      <c r="N654" s="28"/>
      <c r="O654" s="28"/>
      <c r="P654" s="28"/>
    </row>
    <row r="655">
      <c r="A655" s="25">
        <v>43236.495359050925</v>
      </c>
      <c r="B655" s="26" t="s">
        <v>95</v>
      </c>
      <c r="C655" s="26" t="s">
        <v>73</v>
      </c>
      <c r="D655" s="26" t="s">
        <v>31</v>
      </c>
      <c r="E655" s="26">
        <v>346.0</v>
      </c>
      <c r="F655" s="26" t="s">
        <v>585</v>
      </c>
      <c r="G655" s="26">
        <v>3.0</v>
      </c>
      <c r="H655" s="26">
        <v>0.0</v>
      </c>
      <c r="I655" s="26">
        <v>330.0</v>
      </c>
      <c r="J655" s="26">
        <v>16.0</v>
      </c>
      <c r="M655" s="26" t="s">
        <v>449</v>
      </c>
      <c r="N655" s="28"/>
      <c r="O655" s="28"/>
      <c r="P655" s="28"/>
    </row>
    <row r="656">
      <c r="A656" s="25">
        <v>43236.55324193287</v>
      </c>
      <c r="B656" s="26" t="s">
        <v>157</v>
      </c>
      <c r="C656" s="26" t="s">
        <v>586</v>
      </c>
      <c r="D656" s="26" t="s">
        <v>31</v>
      </c>
      <c r="E656" s="26">
        <v>150.0</v>
      </c>
      <c r="F656" s="26" t="s">
        <v>587</v>
      </c>
      <c r="G656" s="26">
        <v>9.0</v>
      </c>
      <c r="H656" s="26">
        <v>9.0</v>
      </c>
      <c r="I656" s="26">
        <v>129000.0</v>
      </c>
      <c r="J656" s="26">
        <v>11000.0</v>
      </c>
      <c r="K656" s="26">
        <v>10000.0</v>
      </c>
      <c r="M656" s="26" t="s">
        <v>449</v>
      </c>
      <c r="N656" s="28"/>
      <c r="O656" s="28"/>
      <c r="P656" s="28"/>
    </row>
    <row r="657">
      <c r="A657" s="25">
        <v>43236.667080439816</v>
      </c>
      <c r="B657" s="26" t="s">
        <v>33</v>
      </c>
      <c r="C657" s="26" t="s">
        <v>62</v>
      </c>
      <c r="D657" s="26" t="s">
        <v>31</v>
      </c>
      <c r="E657" s="26">
        <v>288.0</v>
      </c>
      <c r="F657" s="26" t="s">
        <v>134</v>
      </c>
      <c r="G657" s="26">
        <v>13.0</v>
      </c>
      <c r="H657" s="26">
        <v>0.0</v>
      </c>
      <c r="I657" s="26">
        <v>180.0</v>
      </c>
      <c r="J657" s="26">
        <v>264.0</v>
      </c>
      <c r="K657" s="26">
        <v>160.0</v>
      </c>
    </row>
    <row r="658">
      <c r="A658" s="25">
        <v>43236.69070284722</v>
      </c>
      <c r="B658" s="26" t="s">
        <v>40</v>
      </c>
      <c r="C658" s="26">
        <v>61.0</v>
      </c>
      <c r="D658" s="26" t="s">
        <v>31</v>
      </c>
      <c r="E658" s="26">
        <v>157.056</v>
      </c>
      <c r="F658" s="26" t="s">
        <v>312</v>
      </c>
      <c r="G658" s="26">
        <v>4.0</v>
      </c>
      <c r="H658" s="26">
        <v>4.0</v>
      </c>
      <c r="I658" s="26">
        <v>133956.0</v>
      </c>
      <c r="J658" s="26">
        <v>9000.0</v>
      </c>
      <c r="K658" s="26">
        <v>14100.0</v>
      </c>
      <c r="M658" s="26" t="s">
        <v>449</v>
      </c>
      <c r="N658" s="28"/>
      <c r="O658" s="28"/>
      <c r="P658" s="28"/>
    </row>
    <row r="659">
      <c r="A659" s="25">
        <v>43236.716581597226</v>
      </c>
      <c r="B659" s="26" t="s">
        <v>40</v>
      </c>
      <c r="C659" s="26">
        <v>65.0</v>
      </c>
      <c r="D659" s="26" t="s">
        <v>27</v>
      </c>
      <c r="E659" s="26">
        <v>293.0</v>
      </c>
      <c r="F659" s="26" t="s">
        <v>549</v>
      </c>
      <c r="G659" s="26">
        <v>16.0</v>
      </c>
      <c r="H659" s="26">
        <v>5.0</v>
      </c>
      <c r="I659" s="26">
        <v>183.0</v>
      </c>
      <c r="J659" s="26">
        <v>60.0</v>
      </c>
      <c r="K659" s="26">
        <v>50.0</v>
      </c>
      <c r="M659" s="26" t="s">
        <v>449</v>
      </c>
      <c r="N659" s="28"/>
      <c r="O659" s="28"/>
      <c r="P659" s="28"/>
    </row>
    <row r="660">
      <c r="A660" s="25">
        <v>43236.76345155093</v>
      </c>
      <c r="B660" s="26" t="s">
        <v>40</v>
      </c>
      <c r="C660" s="26">
        <v>60.0</v>
      </c>
      <c r="D660" s="26" t="s">
        <v>31</v>
      </c>
      <c r="E660" s="26">
        <v>135.75</v>
      </c>
      <c r="F660" s="26" t="s">
        <v>84</v>
      </c>
      <c r="G660" s="26">
        <v>2.0</v>
      </c>
      <c r="H660" s="26">
        <v>0.0</v>
      </c>
      <c r="I660" s="26">
        <v>120.0</v>
      </c>
      <c r="J660" s="26">
        <v>15.0</v>
      </c>
      <c r="K660" s="26">
        <v>12.0</v>
      </c>
      <c r="M660" s="26" t="s">
        <v>449</v>
      </c>
      <c r="N660" s="28"/>
      <c r="O660" s="28"/>
      <c r="P660" s="28"/>
    </row>
    <row r="661">
      <c r="A661" s="25">
        <v>43236.84699440972</v>
      </c>
      <c r="B661" s="26" t="s">
        <v>64</v>
      </c>
      <c r="C661" s="26" t="s">
        <v>125</v>
      </c>
      <c r="D661" s="26" t="s">
        <v>31</v>
      </c>
      <c r="E661" s="26">
        <v>300.0</v>
      </c>
      <c r="F661" s="26" t="s">
        <v>63</v>
      </c>
      <c r="G661" s="26">
        <v>12.0</v>
      </c>
      <c r="H661" s="26">
        <v>3.0</v>
      </c>
      <c r="I661" s="26">
        <v>178000.0</v>
      </c>
      <c r="J661" s="26">
        <v>100000.0</v>
      </c>
      <c r="K661" s="26">
        <v>30000.0</v>
      </c>
      <c r="M661" s="26" t="s">
        <v>449</v>
      </c>
      <c r="N661" s="28"/>
      <c r="O661" s="28"/>
      <c r="P661" s="28"/>
    </row>
    <row r="662">
      <c r="A662" s="25">
        <v>43236.877258796296</v>
      </c>
      <c r="B662" s="26" t="s">
        <v>80</v>
      </c>
      <c r="C662" s="26" t="s">
        <v>73</v>
      </c>
      <c r="D662" s="26" t="s">
        <v>31</v>
      </c>
      <c r="E662" s="26">
        <v>230.0</v>
      </c>
      <c r="F662" s="26" t="s">
        <v>199</v>
      </c>
      <c r="G662" s="26">
        <v>7.0</v>
      </c>
      <c r="H662" s="26">
        <v>1.0</v>
      </c>
      <c r="I662" s="26">
        <v>140000.0</v>
      </c>
      <c r="J662" s="26">
        <v>50000.0</v>
      </c>
      <c r="K662" s="26">
        <v>28000.0</v>
      </c>
      <c r="M662" s="26" t="s">
        <v>449</v>
      </c>
      <c r="N662" s="28"/>
      <c r="O662" s="28"/>
      <c r="P662" s="28"/>
    </row>
    <row r="663">
      <c r="A663" s="25">
        <v>43237.36200284722</v>
      </c>
      <c r="B663" s="26" t="s">
        <v>40</v>
      </c>
      <c r="C663" s="26">
        <v>64.0</v>
      </c>
      <c r="D663" s="26" t="s">
        <v>31</v>
      </c>
      <c r="E663" s="26">
        <v>238.0</v>
      </c>
      <c r="F663" s="26" t="s">
        <v>134</v>
      </c>
      <c r="G663" s="26">
        <v>10.0</v>
      </c>
      <c r="H663" s="26">
        <v>5.0</v>
      </c>
      <c r="I663" s="26">
        <v>178.0</v>
      </c>
      <c r="J663" s="26">
        <v>35.0</v>
      </c>
      <c r="K663" s="26">
        <v>25.0</v>
      </c>
      <c r="M663" s="26" t="s">
        <v>449</v>
      </c>
      <c r="N663" s="28"/>
      <c r="O663" s="28"/>
      <c r="P663" s="28"/>
    </row>
    <row r="664">
      <c r="A664" s="25">
        <v>43237.50501854166</v>
      </c>
      <c r="B664" s="26" t="s">
        <v>551</v>
      </c>
      <c r="C664" s="26" t="s">
        <v>588</v>
      </c>
      <c r="D664" s="26" t="s">
        <v>147</v>
      </c>
      <c r="E664" s="26">
        <v>120.5</v>
      </c>
      <c r="F664" s="26" t="s">
        <v>58</v>
      </c>
      <c r="G664" s="26">
        <v>0.0</v>
      </c>
      <c r="H664" s="26">
        <v>0.0</v>
      </c>
      <c r="I664" s="26">
        <v>85000.0</v>
      </c>
      <c r="K664" s="26">
        <v>35500.0</v>
      </c>
      <c r="M664" s="26" t="s">
        <v>449</v>
      </c>
      <c r="N664" s="28"/>
      <c r="O664" s="28"/>
      <c r="P664" s="28"/>
    </row>
    <row r="665">
      <c r="A665" s="25">
        <v>43237.524017476855</v>
      </c>
      <c r="B665" s="26" t="s">
        <v>33</v>
      </c>
      <c r="C665" s="26" t="s">
        <v>62</v>
      </c>
      <c r="D665" s="26" t="s">
        <v>27</v>
      </c>
      <c r="E665" s="26">
        <v>255.0</v>
      </c>
      <c r="F665" s="26" t="s">
        <v>134</v>
      </c>
      <c r="G665" s="26">
        <v>10.0</v>
      </c>
      <c r="H665" s="26">
        <v>2.0</v>
      </c>
      <c r="I665" s="26">
        <v>163.0</v>
      </c>
      <c r="J665" s="26">
        <v>32.0</v>
      </c>
      <c r="K665" s="26">
        <v>45.0</v>
      </c>
      <c r="M665" s="26" t="s">
        <v>449</v>
      </c>
      <c r="N665" s="28"/>
      <c r="O665" s="28"/>
      <c r="P665" s="28"/>
    </row>
    <row r="666">
      <c r="A666" s="25">
        <v>43237.532984722224</v>
      </c>
      <c r="B666" s="26" t="s">
        <v>25</v>
      </c>
      <c r="C666" s="26" t="s">
        <v>78</v>
      </c>
      <c r="D666" s="26" t="s">
        <v>31</v>
      </c>
      <c r="E666" s="26">
        <v>300.0</v>
      </c>
      <c r="F666" s="26" t="s">
        <v>35</v>
      </c>
      <c r="G666" s="26">
        <v>19.0</v>
      </c>
      <c r="H666" s="26">
        <v>1.0</v>
      </c>
      <c r="I666" s="26">
        <v>185.0</v>
      </c>
      <c r="J666" s="26">
        <v>115.0</v>
      </c>
      <c r="M666" s="26" t="s">
        <v>449</v>
      </c>
      <c r="N666" s="28"/>
      <c r="O666" s="28"/>
      <c r="P666" s="28"/>
    </row>
    <row r="667">
      <c r="A667" s="25">
        <v>43237.562660138894</v>
      </c>
      <c r="B667" s="26" t="s">
        <v>204</v>
      </c>
      <c r="C667" s="26" t="s">
        <v>73</v>
      </c>
      <c r="D667" s="26" t="s">
        <v>31</v>
      </c>
      <c r="E667" s="26">
        <v>288.0</v>
      </c>
      <c r="F667" s="26" t="s">
        <v>32</v>
      </c>
      <c r="G667" s="26">
        <v>4.0</v>
      </c>
      <c r="H667" s="26">
        <v>0.0</v>
      </c>
      <c r="I667" s="26">
        <v>170000.0</v>
      </c>
      <c r="J667" s="26">
        <v>472500.0</v>
      </c>
      <c r="K667" s="26">
        <v>25000.0</v>
      </c>
      <c r="L667" s="26" t="s">
        <v>589</v>
      </c>
      <c r="M667" s="26" t="s">
        <v>449</v>
      </c>
      <c r="N667" s="28"/>
      <c r="O667" s="28"/>
      <c r="P667" s="28"/>
    </row>
    <row r="668">
      <c r="A668" s="25">
        <v>43237.62082300926</v>
      </c>
      <c r="B668" s="26" t="s">
        <v>33</v>
      </c>
      <c r="C668" s="26" t="s">
        <v>73</v>
      </c>
      <c r="D668" s="26" t="s">
        <v>31</v>
      </c>
      <c r="E668" s="26">
        <v>133.0</v>
      </c>
      <c r="F668" s="26" t="s">
        <v>432</v>
      </c>
      <c r="G668" s="26">
        <v>0.8</v>
      </c>
      <c r="H668" s="26">
        <v>0.8</v>
      </c>
      <c r="I668" s="26">
        <v>104500.0</v>
      </c>
      <c r="J668" s="26">
        <v>3000.0</v>
      </c>
      <c r="K668" s="26">
        <v>26000.0</v>
      </c>
      <c r="M668" s="26" t="s">
        <v>449</v>
      </c>
      <c r="N668" s="28"/>
      <c r="O668" s="28"/>
      <c r="P668" s="28"/>
    </row>
    <row r="669">
      <c r="A669" s="25">
        <v>43237.715661064816</v>
      </c>
      <c r="B669" s="26" t="s">
        <v>170</v>
      </c>
      <c r="C669" s="26" t="s">
        <v>590</v>
      </c>
      <c r="D669" s="26" t="s">
        <v>31</v>
      </c>
      <c r="E669" s="26">
        <v>196.0</v>
      </c>
      <c r="F669" s="26" t="s">
        <v>47</v>
      </c>
      <c r="G669" s="26">
        <v>0.0</v>
      </c>
      <c r="H669" s="26">
        <v>2.5</v>
      </c>
      <c r="I669" s="26">
        <v>153.0</v>
      </c>
      <c r="J669" s="26">
        <v>15.0</v>
      </c>
      <c r="K669" s="26">
        <v>28.0</v>
      </c>
      <c r="M669" s="26" t="s">
        <v>449</v>
      </c>
      <c r="N669" s="28"/>
      <c r="O669" s="28"/>
      <c r="P669" s="28"/>
    </row>
    <row r="670">
      <c r="A670" s="25">
        <v>43237.79891894676</v>
      </c>
      <c r="B670" s="26" t="s">
        <v>258</v>
      </c>
      <c r="C670" s="26" t="s">
        <v>591</v>
      </c>
      <c r="D670" s="26" t="s">
        <v>31</v>
      </c>
      <c r="E670" s="26">
        <v>270.0</v>
      </c>
      <c r="F670" s="26" t="s">
        <v>58</v>
      </c>
      <c r="G670" s="26">
        <v>7.0</v>
      </c>
      <c r="H670" s="26">
        <v>4.0</v>
      </c>
      <c r="I670" s="26">
        <v>144.0</v>
      </c>
      <c r="J670" s="26">
        <v>126.0</v>
      </c>
      <c r="M670" s="26" t="s">
        <v>449</v>
      </c>
      <c r="N670" s="28"/>
      <c r="O670" s="28"/>
      <c r="P670" s="28"/>
    </row>
    <row r="671">
      <c r="A671" s="25">
        <v>43237.90597528935</v>
      </c>
      <c r="B671" s="26" t="s">
        <v>48</v>
      </c>
      <c r="C671" s="26" t="s">
        <v>70</v>
      </c>
      <c r="D671" s="26" t="s">
        <v>31</v>
      </c>
      <c r="E671" s="26">
        <v>675.0</v>
      </c>
      <c r="F671" s="26" t="s">
        <v>35</v>
      </c>
      <c r="G671" s="26">
        <v>12.0</v>
      </c>
      <c r="H671" s="26">
        <v>2.0</v>
      </c>
      <c r="I671" s="26">
        <v>216090.0</v>
      </c>
      <c r="J671" s="26">
        <v>414000.0</v>
      </c>
      <c r="K671" s="26">
        <v>43218.0</v>
      </c>
      <c r="M671" s="26" t="s">
        <v>449</v>
      </c>
      <c r="N671" s="28"/>
      <c r="O671" s="28"/>
      <c r="P671" s="28"/>
    </row>
    <row r="672">
      <c r="A672" s="25">
        <v>43238.01359905093</v>
      </c>
      <c r="B672" s="26" t="s">
        <v>40</v>
      </c>
      <c r="C672" s="26" t="s">
        <v>592</v>
      </c>
      <c r="D672" s="26" t="s">
        <v>31</v>
      </c>
      <c r="E672" s="26">
        <v>163.0</v>
      </c>
      <c r="F672" s="26" t="s">
        <v>75</v>
      </c>
      <c r="G672" s="26">
        <v>1.0</v>
      </c>
      <c r="H672" s="26">
        <v>0.0</v>
      </c>
      <c r="I672" s="26">
        <v>108000.0</v>
      </c>
      <c r="J672" s="26">
        <v>120000.0</v>
      </c>
      <c r="K672" s="26">
        <v>25000.0</v>
      </c>
      <c r="M672" s="26" t="s">
        <v>449</v>
      </c>
      <c r="N672" s="28"/>
      <c r="O672" s="28"/>
      <c r="P672" s="28"/>
    </row>
    <row r="673">
      <c r="A673" s="25">
        <v>43238.03722537037</v>
      </c>
      <c r="B673" s="26" t="s">
        <v>45</v>
      </c>
      <c r="C673" s="26" t="s">
        <v>593</v>
      </c>
      <c r="D673" s="26" t="s">
        <v>31</v>
      </c>
      <c r="E673" s="26">
        <v>230.0</v>
      </c>
      <c r="F673" s="26" t="s">
        <v>104</v>
      </c>
      <c r="G673" s="26">
        <v>10.0</v>
      </c>
      <c r="H673" s="26">
        <v>1.0</v>
      </c>
      <c r="I673" s="26">
        <v>155.0</v>
      </c>
      <c r="J673" s="26">
        <v>80.0</v>
      </c>
      <c r="K673" s="26">
        <v>15.0</v>
      </c>
      <c r="M673" s="26" t="s">
        <v>449</v>
      </c>
      <c r="N673" s="28"/>
      <c r="O673" s="28"/>
      <c r="P673" s="28"/>
    </row>
    <row r="674">
      <c r="A674" s="25">
        <v>43238.26005452547</v>
      </c>
      <c r="B674" s="26" t="s">
        <v>40</v>
      </c>
      <c r="C674" s="26">
        <v>66.0</v>
      </c>
      <c r="D674" s="26" t="s">
        <v>31</v>
      </c>
      <c r="E674" s="26">
        <v>350.0</v>
      </c>
      <c r="F674" s="26" t="s">
        <v>594</v>
      </c>
      <c r="G674" s="26">
        <v>20.0</v>
      </c>
      <c r="H674" s="26">
        <v>20.0</v>
      </c>
      <c r="I674" s="26">
        <v>190.0</v>
      </c>
      <c r="J674" s="26">
        <v>75.0</v>
      </c>
      <c r="K674" s="26">
        <v>38.0</v>
      </c>
      <c r="M674" s="26" t="s">
        <v>449</v>
      </c>
      <c r="N674" s="28"/>
      <c r="O674" s="28"/>
      <c r="P674" s="28"/>
    </row>
    <row r="675">
      <c r="A675" s="25">
        <v>43238.49795295139</v>
      </c>
      <c r="B675" s="26" t="s">
        <v>146</v>
      </c>
      <c r="C675" s="26" t="s">
        <v>96</v>
      </c>
      <c r="D675" s="26" t="s">
        <v>31</v>
      </c>
      <c r="E675" s="26">
        <v>273.0</v>
      </c>
      <c r="F675" s="26" t="s">
        <v>32</v>
      </c>
      <c r="G675" s="26">
        <v>4.0</v>
      </c>
      <c r="H675" s="26">
        <v>1.0</v>
      </c>
      <c r="I675" s="26">
        <v>180000.0</v>
      </c>
      <c r="J675" s="26">
        <v>75000.0</v>
      </c>
      <c r="K675" s="26">
        <v>18000.0</v>
      </c>
      <c r="M675" s="26" t="s">
        <v>449</v>
      </c>
      <c r="N675" s="28"/>
      <c r="O675" s="28"/>
      <c r="P675" s="28"/>
    </row>
    <row r="676">
      <c r="A676" s="25">
        <v>43238.50498469907</v>
      </c>
      <c r="B676" s="26" t="s">
        <v>33</v>
      </c>
      <c r="C676" s="26" t="s">
        <v>62</v>
      </c>
      <c r="D676" s="26" t="s">
        <v>31</v>
      </c>
      <c r="E676" s="26">
        <v>300.0</v>
      </c>
      <c r="F676" s="26" t="s">
        <v>175</v>
      </c>
      <c r="G676" s="26">
        <v>6.0</v>
      </c>
      <c r="H676" s="26">
        <v>2.0</v>
      </c>
      <c r="I676" s="26">
        <v>185000.0</v>
      </c>
      <c r="J676" s="26">
        <v>470000.0</v>
      </c>
      <c r="K676" s="26">
        <v>200000.0</v>
      </c>
      <c r="M676" s="26" t="s">
        <v>449</v>
      </c>
      <c r="N676" s="28"/>
      <c r="O676" s="28"/>
      <c r="P676" s="28"/>
    </row>
    <row r="677">
      <c r="A677" s="25">
        <v>43238.54059331019</v>
      </c>
      <c r="B677" s="26" t="s">
        <v>40</v>
      </c>
      <c r="C677" s="26">
        <v>62.0</v>
      </c>
      <c r="D677" s="26" t="s">
        <v>31</v>
      </c>
      <c r="E677" s="26">
        <v>177.0</v>
      </c>
      <c r="F677" s="26" t="s">
        <v>75</v>
      </c>
      <c r="G677" s="26">
        <v>6.0</v>
      </c>
      <c r="H677" s="26">
        <v>4.5</v>
      </c>
      <c r="I677" s="26">
        <v>145.0</v>
      </c>
      <c r="J677" s="26">
        <v>100.0</v>
      </c>
      <c r="K677" s="26">
        <v>30.0</v>
      </c>
      <c r="L677" s="26" t="s">
        <v>595</v>
      </c>
      <c r="M677" s="26" t="s">
        <v>458</v>
      </c>
      <c r="N677" s="28"/>
      <c r="O677" s="28"/>
      <c r="P677" s="28"/>
    </row>
    <row r="678">
      <c r="A678" s="25">
        <v>43238.766191030096</v>
      </c>
      <c r="B678" s="26" t="s">
        <v>146</v>
      </c>
      <c r="C678" s="26" t="s">
        <v>37</v>
      </c>
      <c r="D678" s="26" t="s">
        <v>31</v>
      </c>
      <c r="E678" s="26">
        <v>278.0</v>
      </c>
      <c r="F678" s="26" t="s">
        <v>134</v>
      </c>
      <c r="G678" s="26">
        <v>2.0</v>
      </c>
      <c r="H678" s="26">
        <v>2.0</v>
      </c>
      <c r="I678" s="26">
        <v>144500.0</v>
      </c>
      <c r="J678" s="26">
        <v>460.0</v>
      </c>
      <c r="K678" s="26">
        <v>19200.0</v>
      </c>
      <c r="M678" s="26" t="s">
        <v>449</v>
      </c>
      <c r="N678" s="28"/>
      <c r="O678" s="28"/>
      <c r="P678" s="28"/>
    </row>
    <row r="679">
      <c r="A679" s="25">
        <v>43238.77918096065</v>
      </c>
      <c r="B679" s="26" t="s">
        <v>398</v>
      </c>
      <c r="C679" s="26" t="s">
        <v>596</v>
      </c>
      <c r="D679" s="26" t="s">
        <v>31</v>
      </c>
      <c r="E679" s="26">
        <v>181.0</v>
      </c>
      <c r="F679" s="26" t="s">
        <v>597</v>
      </c>
      <c r="G679" s="26">
        <v>6.0</v>
      </c>
      <c r="H679" s="26">
        <v>2.0</v>
      </c>
      <c r="I679" s="26">
        <v>135.0</v>
      </c>
      <c r="J679" s="26">
        <v>30000.0</v>
      </c>
      <c r="K679" s="26">
        <v>18000.0</v>
      </c>
      <c r="M679" s="26" t="s">
        <v>449</v>
      </c>
      <c r="N679" s="28"/>
      <c r="O679" s="28"/>
      <c r="P679" s="28"/>
    </row>
    <row r="680">
      <c r="A680" s="25">
        <v>43238.84013913195</v>
      </c>
      <c r="B680" s="26" t="s">
        <v>380</v>
      </c>
      <c r="C680" s="26" t="s">
        <v>598</v>
      </c>
      <c r="D680" s="26" t="s">
        <v>31</v>
      </c>
      <c r="E680" s="26">
        <v>200.0</v>
      </c>
      <c r="F680" s="26" t="s">
        <v>599</v>
      </c>
      <c r="G680" s="26">
        <v>7.0</v>
      </c>
      <c r="H680" s="26">
        <v>1.0</v>
      </c>
      <c r="I680" s="26">
        <v>150.0</v>
      </c>
      <c r="J680" s="26">
        <v>150.0</v>
      </c>
      <c r="K680" s="26">
        <v>80.0</v>
      </c>
      <c r="M680" s="26" t="s">
        <v>449</v>
      </c>
      <c r="N680" s="28"/>
      <c r="O680" s="28"/>
      <c r="P680" s="28"/>
    </row>
    <row r="681">
      <c r="A681" s="25">
        <v>43239.05281545139</v>
      </c>
      <c r="B681" s="26" t="s">
        <v>600</v>
      </c>
      <c r="C681" s="26" t="s">
        <v>73</v>
      </c>
      <c r="D681" s="26" t="s">
        <v>31</v>
      </c>
      <c r="E681" s="26">
        <v>325.0</v>
      </c>
      <c r="F681" s="26" t="s">
        <v>32</v>
      </c>
      <c r="G681" s="26">
        <v>2.5</v>
      </c>
      <c r="H681" s="26">
        <v>0.0</v>
      </c>
      <c r="I681" s="26">
        <v>160000.0</v>
      </c>
      <c r="J681" s="26">
        <v>555000.0</v>
      </c>
      <c r="L681" s="26" t="s">
        <v>601</v>
      </c>
      <c r="M681" s="26" t="s">
        <v>449</v>
      </c>
      <c r="N681" s="28"/>
      <c r="O681" s="28"/>
      <c r="P681" s="28"/>
    </row>
    <row r="682">
      <c r="A682" s="25">
        <v>43239.64783696759</v>
      </c>
      <c r="B682" s="26" t="s">
        <v>45</v>
      </c>
      <c r="C682" s="26" t="s">
        <v>98</v>
      </c>
      <c r="D682" s="26" t="s">
        <v>31</v>
      </c>
      <c r="E682" s="26">
        <v>163.0</v>
      </c>
      <c r="F682" s="26" t="s">
        <v>104</v>
      </c>
      <c r="G682" s="26">
        <v>4.0</v>
      </c>
      <c r="H682" s="26">
        <v>0.0</v>
      </c>
      <c r="I682" s="26">
        <v>120000.0</v>
      </c>
      <c r="J682" s="26">
        <v>90000.0</v>
      </c>
      <c r="K682" s="26">
        <v>20000.0</v>
      </c>
      <c r="M682" s="26" t="s">
        <v>449</v>
      </c>
      <c r="N682" s="28"/>
      <c r="O682" s="28"/>
      <c r="P682" s="28"/>
    </row>
    <row r="683">
      <c r="A683" s="25">
        <v>43239.6854118287</v>
      </c>
      <c r="B683" s="26" t="s">
        <v>33</v>
      </c>
      <c r="C683" s="26" t="s">
        <v>43</v>
      </c>
      <c r="D683" s="26" t="s">
        <v>31</v>
      </c>
      <c r="E683" s="26">
        <v>290.0</v>
      </c>
      <c r="F683" s="26" t="s">
        <v>35</v>
      </c>
      <c r="G683" s="26">
        <v>7.0</v>
      </c>
      <c r="H683" s="26">
        <v>6.5</v>
      </c>
      <c r="I683" s="26">
        <v>130000.0</v>
      </c>
      <c r="J683" s="26">
        <v>160000.0</v>
      </c>
      <c r="M683" s="26" t="s">
        <v>449</v>
      </c>
      <c r="N683" s="28"/>
      <c r="O683" s="28"/>
      <c r="P683" s="28"/>
    </row>
    <row r="684">
      <c r="A684" s="25">
        <v>43239.68595840278</v>
      </c>
      <c r="B684" s="26" t="s">
        <v>95</v>
      </c>
      <c r="C684" s="26" t="s">
        <v>37</v>
      </c>
      <c r="D684" s="26" t="s">
        <v>31</v>
      </c>
      <c r="E684" s="26">
        <v>399.0</v>
      </c>
      <c r="F684" s="26" t="s">
        <v>602</v>
      </c>
      <c r="G684" s="26">
        <v>7.0</v>
      </c>
      <c r="H684" s="26">
        <v>0.0</v>
      </c>
      <c r="I684" s="26">
        <v>380000.0</v>
      </c>
      <c r="J684" s="26">
        <v>19000.0</v>
      </c>
      <c r="M684" s="26" t="s">
        <v>449</v>
      </c>
      <c r="N684" s="28"/>
      <c r="O684" s="28"/>
      <c r="P684" s="28"/>
    </row>
    <row r="685">
      <c r="A685" s="25">
        <v>43239.686807199076</v>
      </c>
      <c r="B685" s="26" t="s">
        <v>258</v>
      </c>
      <c r="C685" s="26" t="s">
        <v>37</v>
      </c>
      <c r="D685" s="26" t="s">
        <v>31</v>
      </c>
      <c r="E685" s="26">
        <v>330.0</v>
      </c>
      <c r="F685" s="26" t="s">
        <v>32</v>
      </c>
      <c r="G685" s="26">
        <v>7.0</v>
      </c>
      <c r="H685" s="26">
        <v>0.0</v>
      </c>
      <c r="I685" s="26">
        <v>190000.0</v>
      </c>
      <c r="J685" s="26">
        <v>100000.0</v>
      </c>
      <c r="K685" s="26">
        <v>40000.0</v>
      </c>
      <c r="M685" s="26" t="s">
        <v>449</v>
      </c>
      <c r="N685" s="28"/>
      <c r="O685" s="28"/>
      <c r="P685" s="28"/>
    </row>
    <row r="686">
      <c r="A686" s="25">
        <v>43239.68735305556</v>
      </c>
      <c r="B686" s="26" t="s">
        <v>603</v>
      </c>
      <c r="C686" s="26" t="s">
        <v>386</v>
      </c>
      <c r="D686" s="26" t="s">
        <v>31</v>
      </c>
      <c r="E686" s="26">
        <v>330.0</v>
      </c>
      <c r="F686" s="26" t="s">
        <v>63</v>
      </c>
      <c r="G686" s="26">
        <v>7.0</v>
      </c>
      <c r="H686" s="26">
        <v>0.0</v>
      </c>
      <c r="I686" s="26">
        <v>190000.0</v>
      </c>
      <c r="J686" s="26">
        <v>140000.0</v>
      </c>
      <c r="L686" s="26" t="s">
        <v>604</v>
      </c>
      <c r="M686" s="26" t="s">
        <v>449</v>
      </c>
      <c r="N686" s="28"/>
      <c r="O686" s="28"/>
      <c r="P686" s="28"/>
    </row>
    <row r="687">
      <c r="A687" s="25">
        <v>43239.68788125</v>
      </c>
      <c r="B687" s="26" t="s">
        <v>80</v>
      </c>
      <c r="C687" s="26" t="s">
        <v>73</v>
      </c>
      <c r="D687" s="26" t="s">
        <v>31</v>
      </c>
      <c r="E687" s="26">
        <v>300.0</v>
      </c>
      <c r="F687" s="26" t="s">
        <v>35</v>
      </c>
      <c r="G687" s="26">
        <v>7.0</v>
      </c>
      <c r="H687" s="26">
        <v>0.0</v>
      </c>
      <c r="I687" s="26">
        <v>155000.0</v>
      </c>
      <c r="J687" s="26">
        <v>120000.0</v>
      </c>
      <c r="K687" s="26">
        <v>25000.0</v>
      </c>
      <c r="L687" s="26" t="s">
        <v>605</v>
      </c>
      <c r="M687" s="26" t="s">
        <v>449</v>
      </c>
      <c r="N687" s="28"/>
      <c r="O687" s="28"/>
      <c r="P687" s="28"/>
    </row>
    <row r="688">
      <c r="A688" s="25">
        <v>43239.6908803125</v>
      </c>
      <c r="B688" s="26" t="s">
        <v>268</v>
      </c>
      <c r="C688" s="26" t="s">
        <v>606</v>
      </c>
      <c r="D688" s="26" t="s">
        <v>31</v>
      </c>
      <c r="E688" s="26">
        <v>189.0</v>
      </c>
      <c r="F688" s="26" t="s">
        <v>238</v>
      </c>
      <c r="G688" s="26">
        <v>15.0</v>
      </c>
      <c r="H688" s="26">
        <v>2.0</v>
      </c>
      <c r="I688" s="26">
        <v>145000.0</v>
      </c>
      <c r="J688" s="26">
        <v>15400.0</v>
      </c>
      <c r="K688" s="26">
        <v>28000.0</v>
      </c>
      <c r="M688" s="26" t="s">
        <v>449</v>
      </c>
      <c r="N688" s="28"/>
      <c r="O688" s="28"/>
      <c r="P688" s="28"/>
    </row>
    <row r="689">
      <c r="A689" s="25">
        <v>43239.78085144676</v>
      </c>
      <c r="B689" s="26" t="s">
        <v>268</v>
      </c>
      <c r="C689" s="26">
        <v>10.0</v>
      </c>
      <c r="D689" s="26" t="s">
        <v>31</v>
      </c>
      <c r="E689" s="26">
        <v>270.0</v>
      </c>
      <c r="F689" s="26" t="s">
        <v>607</v>
      </c>
      <c r="G689" s="26">
        <v>10.0</v>
      </c>
      <c r="H689" s="26">
        <v>1.5</v>
      </c>
      <c r="I689" s="26">
        <v>160.0</v>
      </c>
      <c r="J689" s="26">
        <v>300000.0</v>
      </c>
      <c r="K689" s="26">
        <v>22500.0</v>
      </c>
      <c r="M689" s="26" t="s">
        <v>449</v>
      </c>
      <c r="N689" s="28"/>
      <c r="O689" s="28"/>
      <c r="P689" s="28"/>
    </row>
    <row r="690">
      <c r="A690" s="25">
        <v>43239.7998834375</v>
      </c>
      <c r="B690" s="26" t="s">
        <v>25</v>
      </c>
      <c r="C690" s="26" t="s">
        <v>78</v>
      </c>
      <c r="D690" s="26" t="s">
        <v>31</v>
      </c>
      <c r="E690" s="26">
        <v>335.0</v>
      </c>
      <c r="F690" s="26" t="s">
        <v>35</v>
      </c>
      <c r="G690" s="26">
        <v>15.0</v>
      </c>
      <c r="H690" s="26">
        <v>1.0</v>
      </c>
      <c r="I690" s="26">
        <v>190000.0</v>
      </c>
      <c r="J690" s="26">
        <v>600000.0</v>
      </c>
      <c r="K690" s="26">
        <v>10000.0</v>
      </c>
      <c r="M690" s="26" t="s">
        <v>449</v>
      </c>
      <c r="N690" s="28"/>
      <c r="O690" s="28"/>
      <c r="P690" s="28"/>
    </row>
    <row r="691">
      <c r="A691" s="25">
        <v>43239.838627476856</v>
      </c>
      <c r="B691" s="26" t="s">
        <v>80</v>
      </c>
      <c r="C691" s="26" t="s">
        <v>43</v>
      </c>
      <c r="D691" s="26" t="s">
        <v>31</v>
      </c>
      <c r="E691" s="26">
        <v>423.0</v>
      </c>
      <c r="F691" s="26" t="s">
        <v>199</v>
      </c>
      <c r="G691" s="26">
        <v>9.0</v>
      </c>
      <c r="H691" s="26">
        <v>0.0</v>
      </c>
      <c r="I691" s="26">
        <v>180.0</v>
      </c>
      <c r="J691" s="26">
        <v>900.0</v>
      </c>
      <c r="K691" s="26">
        <v>15.0</v>
      </c>
      <c r="L691" s="26" t="s">
        <v>608</v>
      </c>
      <c r="M691" s="26" t="s">
        <v>449</v>
      </c>
      <c r="N691" s="28"/>
      <c r="O691" s="28"/>
      <c r="P691" s="28"/>
    </row>
    <row r="692">
      <c r="A692" s="25">
        <v>43239.937311539354</v>
      </c>
      <c r="B692" s="26" t="s">
        <v>40</v>
      </c>
      <c r="C692" s="26">
        <v>61.0</v>
      </c>
      <c r="D692" s="26" t="s">
        <v>31</v>
      </c>
      <c r="E692" s="26">
        <v>167.6</v>
      </c>
      <c r="F692" s="26" t="s">
        <v>52</v>
      </c>
      <c r="G692" s="26">
        <v>11.0</v>
      </c>
      <c r="H692" s="26">
        <v>3.0</v>
      </c>
      <c r="I692" s="26">
        <v>124000.0</v>
      </c>
      <c r="J692" s="26">
        <v>25000.0</v>
      </c>
      <c r="K692" s="26">
        <v>18600.0</v>
      </c>
      <c r="M692" s="26" t="s">
        <v>449</v>
      </c>
      <c r="N692" s="28"/>
      <c r="O692" s="28"/>
      <c r="P692" s="28"/>
    </row>
    <row r="693">
      <c r="A693" s="25">
        <v>43239.968802777774</v>
      </c>
      <c r="B693" s="26" t="s">
        <v>80</v>
      </c>
      <c r="C693" s="26" t="s">
        <v>609</v>
      </c>
      <c r="D693" s="26" t="s">
        <v>27</v>
      </c>
      <c r="E693" s="26">
        <v>500.0</v>
      </c>
      <c r="F693" s="26" t="s">
        <v>227</v>
      </c>
      <c r="G693" s="26">
        <v>15.0</v>
      </c>
      <c r="H693" s="26">
        <v>1.0</v>
      </c>
      <c r="I693" s="26">
        <v>180000.0</v>
      </c>
      <c r="J693" s="26">
        <v>280000.0</v>
      </c>
      <c r="K693" s="26">
        <v>40000.0</v>
      </c>
      <c r="M693" s="26" t="s">
        <v>449</v>
      </c>
      <c r="N693" s="28"/>
      <c r="O693" s="28"/>
      <c r="P693" s="28"/>
    </row>
    <row r="694">
      <c r="A694" s="25">
        <v>43240.33155204861</v>
      </c>
      <c r="B694" s="26" t="s">
        <v>48</v>
      </c>
      <c r="C694" s="26" t="s">
        <v>62</v>
      </c>
      <c r="D694" s="26" t="s">
        <v>27</v>
      </c>
      <c r="E694" s="26">
        <v>514.0</v>
      </c>
      <c r="F694" s="26" t="s">
        <v>415</v>
      </c>
      <c r="G694" s="26">
        <v>15.0</v>
      </c>
      <c r="H694" s="26">
        <v>0.0</v>
      </c>
      <c r="I694" s="26">
        <v>220.0</v>
      </c>
      <c r="J694" s="26">
        <v>250.0</v>
      </c>
      <c r="K694" s="26">
        <v>44.0</v>
      </c>
      <c r="M694" s="26" t="s">
        <v>449</v>
      </c>
      <c r="N694" s="28"/>
      <c r="O694" s="28"/>
      <c r="P694" s="28"/>
    </row>
    <row r="695">
      <c r="A695" s="25">
        <v>43240.41920185185</v>
      </c>
      <c r="B695" s="26" t="s">
        <v>36</v>
      </c>
      <c r="C695" s="26" t="s">
        <v>610</v>
      </c>
      <c r="D695" s="26" t="s">
        <v>31</v>
      </c>
      <c r="E695" s="26">
        <v>212.0</v>
      </c>
      <c r="F695" s="26" t="s">
        <v>94</v>
      </c>
      <c r="G695" s="26">
        <v>2.0</v>
      </c>
      <c r="H695" s="26">
        <v>0.0</v>
      </c>
      <c r="I695" s="26">
        <v>143000.0</v>
      </c>
      <c r="J695" s="26">
        <v>200000.0</v>
      </c>
      <c r="K695" s="26">
        <v>25000.0</v>
      </c>
      <c r="M695" s="26" t="s">
        <v>449</v>
      </c>
      <c r="N695" s="28"/>
      <c r="O695" s="28"/>
      <c r="P695" s="28"/>
    </row>
    <row r="696">
      <c r="A696" s="25">
        <v>43240.43173590278</v>
      </c>
      <c r="B696" s="26" t="s">
        <v>40</v>
      </c>
      <c r="C696" s="26" t="s">
        <v>611</v>
      </c>
      <c r="D696" s="26" t="s">
        <v>31</v>
      </c>
      <c r="E696" s="26">
        <v>155.5</v>
      </c>
      <c r="F696" s="26" t="s">
        <v>75</v>
      </c>
      <c r="G696" s="26">
        <v>2.0</v>
      </c>
      <c r="H696" s="26">
        <v>0.0</v>
      </c>
      <c r="I696" s="26">
        <v>130.0</v>
      </c>
      <c r="J696" s="26">
        <v>12.5</v>
      </c>
      <c r="K696" s="26">
        <v>13.0</v>
      </c>
      <c r="M696" s="26" t="s">
        <v>449</v>
      </c>
      <c r="N696" s="28"/>
      <c r="O696" s="28"/>
      <c r="P696" s="28"/>
    </row>
    <row r="697">
      <c r="A697" s="25">
        <v>43240.720461006946</v>
      </c>
      <c r="B697" s="26" t="s">
        <v>188</v>
      </c>
      <c r="C697" s="26" t="s">
        <v>73</v>
      </c>
      <c r="D697" s="26" t="s">
        <v>31</v>
      </c>
      <c r="E697" s="26">
        <v>290.0</v>
      </c>
      <c r="F697" s="26" t="s">
        <v>35</v>
      </c>
      <c r="G697" s="26">
        <v>6.0</v>
      </c>
      <c r="H697" s="26">
        <v>0.0</v>
      </c>
      <c r="I697" s="26">
        <v>180000.0</v>
      </c>
      <c r="J697" s="26">
        <v>800000.0</v>
      </c>
      <c r="M697" s="26" t="s">
        <v>449</v>
      </c>
      <c r="N697" s="28"/>
      <c r="O697" s="28"/>
      <c r="P697" s="28"/>
    </row>
    <row r="698">
      <c r="A698" s="25">
        <v>43240.8192997338</v>
      </c>
      <c r="B698" s="26" t="s">
        <v>170</v>
      </c>
      <c r="C698" s="26" t="s">
        <v>171</v>
      </c>
      <c r="D698" s="26" t="s">
        <v>27</v>
      </c>
      <c r="E698" s="26">
        <v>126.0</v>
      </c>
      <c r="F698" s="26" t="s">
        <v>453</v>
      </c>
      <c r="G698" s="26">
        <v>1.0</v>
      </c>
      <c r="H698" s="26">
        <v>3.0</v>
      </c>
      <c r="M698" s="26" t="s">
        <v>458</v>
      </c>
      <c r="N698" s="28"/>
      <c r="O698" s="28"/>
      <c r="P698" s="28"/>
    </row>
    <row r="699">
      <c r="A699" s="25">
        <v>43241.017940543985</v>
      </c>
      <c r="B699" s="26" t="s">
        <v>387</v>
      </c>
      <c r="C699" s="26" t="s">
        <v>271</v>
      </c>
      <c r="D699" s="26" t="s">
        <v>31</v>
      </c>
      <c r="E699" s="26">
        <v>325.0</v>
      </c>
      <c r="F699" s="26" t="s">
        <v>612</v>
      </c>
      <c r="G699" s="26">
        <v>10.0</v>
      </c>
      <c r="H699" s="26">
        <v>1.0</v>
      </c>
      <c r="I699" s="26">
        <v>180.0</v>
      </c>
      <c r="J699" s="26">
        <v>100.0</v>
      </c>
      <c r="K699" s="26">
        <v>45.0</v>
      </c>
    </row>
    <row r="700">
      <c r="A700" s="25">
        <v>43241.47445060185</v>
      </c>
      <c r="B700" s="26" t="s">
        <v>371</v>
      </c>
      <c r="C700" s="26" t="s">
        <v>541</v>
      </c>
      <c r="D700" s="26" t="s">
        <v>31</v>
      </c>
      <c r="E700" s="26">
        <v>129.0</v>
      </c>
      <c r="F700" s="26" t="s">
        <v>459</v>
      </c>
      <c r="G700" s="26">
        <v>4.0</v>
      </c>
      <c r="H700" s="26">
        <v>4.0</v>
      </c>
      <c r="I700" s="26">
        <v>109.0</v>
      </c>
      <c r="J700" s="26">
        <v>10.0</v>
      </c>
      <c r="K700" s="26">
        <v>10.0</v>
      </c>
      <c r="M700" s="26" t="s">
        <v>458</v>
      </c>
      <c r="N700" s="28"/>
      <c r="O700" s="28"/>
      <c r="P700" s="28"/>
    </row>
    <row r="701">
      <c r="A701" s="25">
        <v>43241.63764936343</v>
      </c>
      <c r="B701" s="26" t="s">
        <v>73</v>
      </c>
      <c r="C701" s="26" t="s">
        <v>33</v>
      </c>
      <c r="D701" s="26" t="s">
        <v>31</v>
      </c>
      <c r="E701" s="26">
        <v>185.0</v>
      </c>
      <c r="F701" s="26" t="s">
        <v>63</v>
      </c>
      <c r="G701" s="26">
        <v>2.0</v>
      </c>
      <c r="H701" s="26">
        <v>2.0</v>
      </c>
      <c r="I701" s="26">
        <v>108.0</v>
      </c>
      <c r="J701" s="26">
        <v>77000.0</v>
      </c>
      <c r="M701" s="26" t="s">
        <v>449</v>
      </c>
      <c r="N701" s="28"/>
      <c r="O701" s="28"/>
      <c r="P701" s="28"/>
    </row>
    <row r="702">
      <c r="A702" s="25">
        <v>43241.63856394676</v>
      </c>
      <c r="B702" s="26" t="s">
        <v>40</v>
      </c>
      <c r="C702" s="26">
        <v>61.0</v>
      </c>
      <c r="D702" s="26" t="s">
        <v>31</v>
      </c>
      <c r="E702" s="26">
        <v>195.0</v>
      </c>
      <c r="F702" s="26" t="s">
        <v>63</v>
      </c>
      <c r="G702" s="26">
        <v>2.0</v>
      </c>
      <c r="H702" s="26">
        <v>0.0</v>
      </c>
      <c r="I702" s="26">
        <v>130.0</v>
      </c>
      <c r="J702" s="26">
        <v>31.25</v>
      </c>
      <c r="K702" s="26">
        <v>33.0</v>
      </c>
      <c r="M702" s="26" t="s">
        <v>449</v>
      </c>
      <c r="N702" s="28"/>
      <c r="O702" s="28"/>
      <c r="P702" s="28"/>
    </row>
    <row r="703">
      <c r="A703" s="25">
        <v>43241.69070965278</v>
      </c>
      <c r="B703" s="26" t="s">
        <v>80</v>
      </c>
      <c r="C703" s="26" t="s">
        <v>73</v>
      </c>
      <c r="D703" s="26" t="s">
        <v>31</v>
      </c>
      <c r="E703" s="26">
        <v>800.0</v>
      </c>
      <c r="F703" s="26" t="s">
        <v>199</v>
      </c>
      <c r="G703" s="26">
        <v>2.0</v>
      </c>
      <c r="H703" s="26">
        <v>2.0</v>
      </c>
      <c r="I703" s="26">
        <v>650000.0</v>
      </c>
      <c r="J703" s="26">
        <v>150000.0</v>
      </c>
      <c r="K703" s="26">
        <v>160000.0</v>
      </c>
      <c r="M703" s="26" t="s">
        <v>449</v>
      </c>
      <c r="N703" s="28"/>
      <c r="O703" s="28"/>
      <c r="P703" s="28"/>
    </row>
    <row r="704">
      <c r="A704" s="25">
        <v>43241.91652827546</v>
      </c>
      <c r="B704" s="26" t="s">
        <v>268</v>
      </c>
      <c r="C704" s="26">
        <v>9.0</v>
      </c>
      <c r="D704" s="26" t="s">
        <v>31</v>
      </c>
      <c r="E704" s="26">
        <v>150.0</v>
      </c>
      <c r="F704" s="26" t="s">
        <v>195</v>
      </c>
      <c r="G704" s="26">
        <v>8.0</v>
      </c>
      <c r="H704" s="26">
        <v>2.0</v>
      </c>
      <c r="I704" s="26">
        <v>132600.0</v>
      </c>
      <c r="K704" s="26">
        <v>17000.0</v>
      </c>
      <c r="M704" s="26" t="s">
        <v>449</v>
      </c>
      <c r="N704" s="28"/>
      <c r="O704" s="28"/>
      <c r="P704" s="28"/>
    </row>
    <row r="705">
      <c r="A705" s="25">
        <v>43241.983082743056</v>
      </c>
      <c r="B705" s="26" t="s">
        <v>168</v>
      </c>
      <c r="C705" s="26">
        <v>64.0</v>
      </c>
      <c r="D705" s="26" t="s">
        <v>41</v>
      </c>
      <c r="E705" s="26">
        <v>230.0</v>
      </c>
      <c r="F705" s="26" t="s">
        <v>75</v>
      </c>
      <c r="G705" s="26">
        <v>4.0</v>
      </c>
      <c r="H705" s="26">
        <v>4.0</v>
      </c>
      <c r="I705" s="26">
        <v>167000.0</v>
      </c>
      <c r="J705" s="26">
        <v>50000.0</v>
      </c>
      <c r="K705" s="26">
        <v>35000.0</v>
      </c>
      <c r="M705" s="26" t="s">
        <v>458</v>
      </c>
      <c r="N705" s="28"/>
      <c r="O705" s="28"/>
      <c r="P705" s="28"/>
    </row>
    <row r="706">
      <c r="A706" s="25">
        <v>43242.06008231481</v>
      </c>
      <c r="B706" s="26" t="s">
        <v>123</v>
      </c>
      <c r="C706" s="26" t="s">
        <v>37</v>
      </c>
      <c r="D706" s="26" t="s">
        <v>31</v>
      </c>
      <c r="E706" s="26">
        <v>350.0</v>
      </c>
      <c r="F706" s="26" t="s">
        <v>47</v>
      </c>
      <c r="G706" s="26">
        <v>7.0</v>
      </c>
      <c r="H706" s="26">
        <v>2.0</v>
      </c>
      <c r="I706" s="26">
        <v>182000.0</v>
      </c>
      <c r="J706" s="26">
        <v>150000.0</v>
      </c>
      <c r="K706" s="26">
        <v>30000.0</v>
      </c>
      <c r="M706" s="26" t="s">
        <v>449</v>
      </c>
      <c r="N706" s="28"/>
      <c r="O706" s="28"/>
      <c r="P706" s="28"/>
    </row>
    <row r="707">
      <c r="A707" s="25">
        <v>43242.39185215278</v>
      </c>
      <c r="B707" s="26" t="s">
        <v>40</v>
      </c>
      <c r="C707" s="26">
        <v>61.0</v>
      </c>
      <c r="D707" s="26" t="s">
        <v>31</v>
      </c>
      <c r="E707" s="26">
        <v>180.0</v>
      </c>
      <c r="F707" s="26" t="s">
        <v>35</v>
      </c>
      <c r="G707" s="26">
        <v>3.0</v>
      </c>
      <c r="H707" s="26">
        <v>3.0</v>
      </c>
      <c r="I707" s="26">
        <v>130000.0</v>
      </c>
      <c r="J707" s="26">
        <v>8000.0</v>
      </c>
      <c r="K707" s="26">
        <v>20000.0</v>
      </c>
      <c r="M707" s="26" t="s">
        <v>449</v>
      </c>
      <c r="N707" s="28"/>
      <c r="O707" s="28"/>
      <c r="P707" s="28"/>
    </row>
    <row r="708">
      <c r="A708" s="25">
        <v>43242.45752285879</v>
      </c>
      <c r="B708" s="26" t="s">
        <v>48</v>
      </c>
      <c r="C708" s="26" t="s">
        <v>70</v>
      </c>
      <c r="D708" s="26" t="s">
        <v>27</v>
      </c>
      <c r="E708" s="26">
        <v>400.0</v>
      </c>
      <c r="F708" s="26" t="s">
        <v>50</v>
      </c>
      <c r="G708" s="26">
        <v>20.0</v>
      </c>
      <c r="H708" s="26">
        <v>0.0</v>
      </c>
      <c r="I708" s="26">
        <v>210000.0</v>
      </c>
      <c r="J708" s="26">
        <v>450000.0</v>
      </c>
      <c r="K708" s="26">
        <v>42000.0</v>
      </c>
      <c r="M708" s="26" t="s">
        <v>449</v>
      </c>
      <c r="N708" s="28"/>
      <c r="O708" s="28"/>
      <c r="P708" s="28"/>
    </row>
    <row r="709">
      <c r="A709" s="25">
        <v>43242.46404924769</v>
      </c>
      <c r="B709" s="26" t="s">
        <v>613</v>
      </c>
      <c r="C709" s="26" t="s">
        <v>37</v>
      </c>
      <c r="D709" s="26" t="s">
        <v>31</v>
      </c>
      <c r="E709" s="26">
        <v>120.0</v>
      </c>
      <c r="F709" s="26" t="s">
        <v>58</v>
      </c>
      <c r="G709" s="26">
        <v>16.0</v>
      </c>
      <c r="H709" s="26">
        <v>1.0</v>
      </c>
      <c r="I709" s="26">
        <v>120.0</v>
      </c>
      <c r="M709" s="26" t="s">
        <v>458</v>
      </c>
      <c r="N709" s="28"/>
      <c r="O709" s="28"/>
      <c r="P709" s="28"/>
    </row>
    <row r="710">
      <c r="A710" s="25">
        <v>43242.47785171296</v>
      </c>
      <c r="B710" s="26" t="s">
        <v>139</v>
      </c>
      <c r="C710" s="26" t="s">
        <v>184</v>
      </c>
      <c r="D710" s="26" t="s">
        <v>31</v>
      </c>
      <c r="E710" s="26">
        <v>162.0</v>
      </c>
      <c r="F710" s="26" t="s">
        <v>614</v>
      </c>
      <c r="G710" s="26">
        <v>4.0</v>
      </c>
      <c r="H710" s="26">
        <v>4.0</v>
      </c>
      <c r="I710" s="26">
        <v>137000.0</v>
      </c>
      <c r="J710" s="26">
        <v>25000.0</v>
      </c>
      <c r="K710" s="26">
        <v>20625.0</v>
      </c>
      <c r="M710" s="26" t="s">
        <v>449</v>
      </c>
      <c r="N710" s="28"/>
      <c r="O710" s="28"/>
      <c r="P710" s="28"/>
    </row>
    <row r="711">
      <c r="A711" s="25">
        <v>43242.47840436343</v>
      </c>
      <c r="B711" s="26" t="s">
        <v>146</v>
      </c>
      <c r="C711" s="26" t="s">
        <v>37</v>
      </c>
      <c r="D711" s="26" t="s">
        <v>31</v>
      </c>
      <c r="E711" s="26">
        <v>262.0</v>
      </c>
      <c r="F711" s="26" t="s">
        <v>47</v>
      </c>
      <c r="G711" s="26">
        <v>4.0</v>
      </c>
      <c r="H711" s="26">
        <v>0.0</v>
      </c>
      <c r="I711" s="26">
        <v>170000.0</v>
      </c>
      <c r="J711" s="26">
        <v>300000.0</v>
      </c>
      <c r="K711" s="26">
        <v>17000.0</v>
      </c>
      <c r="M711" s="26" t="s">
        <v>449</v>
      </c>
      <c r="N711" s="28"/>
      <c r="O711" s="28"/>
      <c r="P711" s="28"/>
    </row>
    <row r="712">
      <c r="A712" s="25">
        <v>43242.57454079861</v>
      </c>
      <c r="B712" s="26" t="s">
        <v>574</v>
      </c>
      <c r="C712" s="26" t="s">
        <v>615</v>
      </c>
      <c r="D712" s="26" t="s">
        <v>31</v>
      </c>
      <c r="E712" s="26">
        <v>125.0</v>
      </c>
      <c r="F712" s="26" t="s">
        <v>616</v>
      </c>
      <c r="G712" s="26">
        <v>20.0</v>
      </c>
      <c r="H712" s="26">
        <v>4.0</v>
      </c>
      <c r="I712" s="26">
        <v>109.0</v>
      </c>
      <c r="K712" s="26">
        <v>16.0</v>
      </c>
      <c r="L712" s="26" t="s">
        <v>617</v>
      </c>
      <c r="M712" s="26" t="s">
        <v>458</v>
      </c>
      <c r="N712" s="28"/>
      <c r="O712" s="28"/>
      <c r="P712" s="28"/>
    </row>
    <row r="713">
      <c r="A713" s="25">
        <v>43242.699643761574</v>
      </c>
      <c r="B713" s="26" t="s">
        <v>40</v>
      </c>
      <c r="C713" s="26">
        <v>61.0</v>
      </c>
      <c r="D713" s="26" t="s">
        <v>31</v>
      </c>
      <c r="E713" s="26">
        <v>200.0</v>
      </c>
      <c r="F713" s="26" t="s">
        <v>618</v>
      </c>
      <c r="G713" s="26">
        <v>6.0</v>
      </c>
      <c r="H713" s="26">
        <v>0.0</v>
      </c>
      <c r="I713" s="26">
        <v>137.0</v>
      </c>
      <c r="J713" s="26">
        <v>17.5</v>
      </c>
      <c r="K713" s="26">
        <v>13.7</v>
      </c>
      <c r="M713" s="26" t="s">
        <v>449</v>
      </c>
      <c r="N713" s="28"/>
      <c r="O713" s="28"/>
      <c r="P713" s="28"/>
    </row>
    <row r="714">
      <c r="A714" s="25">
        <v>43242.72777291667</v>
      </c>
      <c r="B714" s="26" t="s">
        <v>619</v>
      </c>
      <c r="C714" s="26" t="s">
        <v>620</v>
      </c>
      <c r="D714" s="26" t="s">
        <v>31</v>
      </c>
      <c r="E714" s="26">
        <v>230.0</v>
      </c>
      <c r="F714" s="26" t="s">
        <v>354</v>
      </c>
      <c r="G714" s="26">
        <v>4.0</v>
      </c>
      <c r="H714" s="26">
        <v>1.0</v>
      </c>
      <c r="I714" s="26">
        <v>110000.0</v>
      </c>
      <c r="J714" s="26">
        <v>100000.0</v>
      </c>
      <c r="K714" s="26">
        <v>10000.0</v>
      </c>
      <c r="M714" s="26" t="s">
        <v>449</v>
      </c>
      <c r="N714" s="28"/>
      <c r="O714" s="28"/>
      <c r="P714" s="28"/>
    </row>
    <row r="715">
      <c r="A715" s="25">
        <v>43242.84802376157</v>
      </c>
      <c r="B715" s="26" t="s">
        <v>621</v>
      </c>
      <c r="C715" s="26" t="s">
        <v>622</v>
      </c>
      <c r="D715" s="26" t="s">
        <v>31</v>
      </c>
      <c r="E715" s="26">
        <v>240.0</v>
      </c>
      <c r="F715" s="26" t="s">
        <v>623</v>
      </c>
      <c r="G715" s="26">
        <v>18.0</v>
      </c>
      <c r="H715" s="26">
        <v>4.0</v>
      </c>
      <c r="I715" s="26">
        <v>168.0</v>
      </c>
      <c r="J715" s="26">
        <v>30.0</v>
      </c>
      <c r="K715" s="26">
        <v>40.0</v>
      </c>
      <c r="L715" s="26" t="s">
        <v>624</v>
      </c>
      <c r="M715" s="26" t="s">
        <v>449</v>
      </c>
      <c r="N715" s="28"/>
      <c r="O715" s="28"/>
      <c r="P715" s="28"/>
    </row>
    <row r="716">
      <c r="A716" s="25">
        <v>43243.35385422454</v>
      </c>
      <c r="B716" s="26" t="s">
        <v>40</v>
      </c>
      <c r="C716" s="26">
        <v>61.0</v>
      </c>
      <c r="D716" s="26" t="s">
        <v>31</v>
      </c>
      <c r="E716" s="26">
        <v>112.0</v>
      </c>
      <c r="F716" s="26" t="s">
        <v>44</v>
      </c>
      <c r="G716" s="26">
        <v>7.0</v>
      </c>
      <c r="H716" s="26">
        <v>2.0</v>
      </c>
      <c r="I716" s="26">
        <v>102200.0</v>
      </c>
      <c r="J716" s="26">
        <v>5000.0</v>
      </c>
      <c r="K716" s="26">
        <v>5000.0</v>
      </c>
      <c r="L716" s="26" t="s">
        <v>625</v>
      </c>
      <c r="M716" s="26" t="s">
        <v>449</v>
      </c>
      <c r="N716" s="28"/>
      <c r="O716" s="28"/>
      <c r="P716" s="28"/>
    </row>
    <row r="717">
      <c r="A717" s="25">
        <v>43243.62348501157</v>
      </c>
      <c r="B717" s="26" t="s">
        <v>123</v>
      </c>
      <c r="C717" s="26" t="s">
        <v>37</v>
      </c>
      <c r="D717" s="26" t="s">
        <v>31</v>
      </c>
      <c r="E717" s="26">
        <v>300.0</v>
      </c>
      <c r="F717" s="26" t="s">
        <v>58</v>
      </c>
      <c r="G717" s="26">
        <v>7.0</v>
      </c>
      <c r="H717" s="26">
        <v>0.0</v>
      </c>
      <c r="I717" s="26">
        <v>180.0</v>
      </c>
      <c r="J717" s="26">
        <v>350.0</v>
      </c>
      <c r="K717" s="26">
        <v>75.0</v>
      </c>
      <c r="M717" s="26" t="s">
        <v>449</v>
      </c>
      <c r="N717" s="28"/>
      <c r="O717" s="28"/>
      <c r="P717" s="28"/>
    </row>
    <row r="718">
      <c r="A718" s="25">
        <v>43243.69839723379</v>
      </c>
      <c r="B718" s="26" t="s">
        <v>127</v>
      </c>
      <c r="C718" s="26" t="s">
        <v>626</v>
      </c>
      <c r="D718" s="26" t="s">
        <v>27</v>
      </c>
      <c r="E718" s="26">
        <v>580.0</v>
      </c>
      <c r="F718" s="26" t="s">
        <v>129</v>
      </c>
      <c r="G718" s="26">
        <v>12.0</v>
      </c>
      <c r="H718" s="26">
        <v>10.0</v>
      </c>
      <c r="M718" s="26" t="s">
        <v>449</v>
      </c>
      <c r="N718" s="28"/>
      <c r="O718" s="28"/>
      <c r="P718" s="28"/>
    </row>
    <row r="719">
      <c r="A719" s="25">
        <v>43243.73775177084</v>
      </c>
      <c r="B719" s="26" t="s">
        <v>48</v>
      </c>
      <c r="C719" s="26" t="s">
        <v>69</v>
      </c>
      <c r="D719" s="26" t="s">
        <v>31</v>
      </c>
      <c r="E719" s="26">
        <v>160.0</v>
      </c>
      <c r="F719" s="26" t="s">
        <v>415</v>
      </c>
      <c r="G719" s="26">
        <v>1.0</v>
      </c>
      <c r="H719" s="26">
        <v>1.0</v>
      </c>
      <c r="I719" s="26">
        <v>124000.0</v>
      </c>
      <c r="J719" s="26">
        <v>145000.0</v>
      </c>
      <c r="K719" s="26">
        <v>23000.0</v>
      </c>
      <c r="M719" s="26" t="s">
        <v>449</v>
      </c>
      <c r="N719" s="28"/>
      <c r="O719" s="28"/>
      <c r="P719" s="28"/>
    </row>
    <row r="720">
      <c r="A720" s="25">
        <v>43243.78045049768</v>
      </c>
      <c r="B720" s="26" t="s">
        <v>146</v>
      </c>
      <c r="C720" s="26" t="s">
        <v>31</v>
      </c>
      <c r="D720" s="26" t="s">
        <v>31</v>
      </c>
      <c r="E720" s="26">
        <v>200.0</v>
      </c>
      <c r="F720" s="26" t="s">
        <v>134</v>
      </c>
      <c r="G720" s="26">
        <v>1.5</v>
      </c>
      <c r="H720" s="26">
        <v>0.5</v>
      </c>
      <c r="I720" s="26">
        <v>140000.0</v>
      </c>
      <c r="J720" s="26">
        <v>185000.0</v>
      </c>
      <c r="K720" s="26">
        <v>14000.0</v>
      </c>
      <c r="M720" s="26" t="s">
        <v>449</v>
      </c>
      <c r="N720" s="28"/>
      <c r="O720" s="28"/>
      <c r="P720" s="28"/>
    </row>
    <row r="721">
      <c r="A721" s="25">
        <v>43243.82660545139</v>
      </c>
      <c r="B721" s="26" t="s">
        <v>77</v>
      </c>
      <c r="C721" s="26" t="s">
        <v>627</v>
      </c>
      <c r="D721" s="26" t="s">
        <v>31</v>
      </c>
      <c r="E721" s="26">
        <v>280.0</v>
      </c>
      <c r="F721" s="26" t="s">
        <v>58</v>
      </c>
      <c r="G721" s="26">
        <v>9.0</v>
      </c>
      <c r="H721" s="26">
        <v>1.0</v>
      </c>
    </row>
    <row r="722">
      <c r="A722" s="25">
        <v>43243.84732381944</v>
      </c>
      <c r="B722" s="26" t="s">
        <v>80</v>
      </c>
      <c r="C722" s="26" t="s">
        <v>73</v>
      </c>
      <c r="D722" s="26" t="s">
        <v>31</v>
      </c>
      <c r="E722" s="26">
        <v>227.0</v>
      </c>
      <c r="F722" s="26" t="s">
        <v>94</v>
      </c>
      <c r="G722" s="26">
        <v>4.0</v>
      </c>
      <c r="H722" s="26">
        <v>2.0</v>
      </c>
      <c r="I722" s="26">
        <v>137.0</v>
      </c>
      <c r="J722" s="26">
        <v>65.0</v>
      </c>
      <c r="K722" s="26">
        <v>24.5</v>
      </c>
      <c r="M722" s="26" t="s">
        <v>449</v>
      </c>
      <c r="N722" s="28"/>
      <c r="O722" s="28"/>
      <c r="P722" s="28"/>
    </row>
    <row r="723">
      <c r="A723" s="25">
        <v>43244.466790763894</v>
      </c>
      <c r="B723" s="26" t="s">
        <v>411</v>
      </c>
      <c r="C723" s="26" t="s">
        <v>628</v>
      </c>
      <c r="D723" s="26" t="s">
        <v>31</v>
      </c>
      <c r="E723" s="26">
        <v>155.0</v>
      </c>
      <c r="F723" s="26" t="s">
        <v>629</v>
      </c>
      <c r="G723" s="26">
        <v>5.0</v>
      </c>
      <c r="H723" s="26">
        <v>5.0</v>
      </c>
      <c r="I723" s="26">
        <v>141000.0</v>
      </c>
      <c r="J723" s="26">
        <v>30000.0</v>
      </c>
      <c r="K723" s="26">
        <v>14100.0</v>
      </c>
      <c r="M723" s="26" t="s">
        <v>449</v>
      </c>
      <c r="N723" s="28"/>
      <c r="O723" s="28"/>
      <c r="P723" s="28"/>
    </row>
    <row r="724">
      <c r="A724" s="25">
        <v>43244.475820127314</v>
      </c>
      <c r="B724" s="26" t="s">
        <v>124</v>
      </c>
      <c r="C724" s="26" t="s">
        <v>500</v>
      </c>
      <c r="D724" s="26" t="s">
        <v>31</v>
      </c>
      <c r="E724" s="26">
        <v>129.0</v>
      </c>
      <c r="F724" s="26" t="s">
        <v>32</v>
      </c>
      <c r="G724" s="26">
        <v>0.0</v>
      </c>
      <c r="H724" s="26">
        <v>1.0</v>
      </c>
      <c r="I724" s="26">
        <v>95000.0</v>
      </c>
      <c r="J724" s="26">
        <v>20000.0</v>
      </c>
      <c r="K724" s="26">
        <v>9500.0</v>
      </c>
      <c r="M724" s="26" t="s">
        <v>449</v>
      </c>
      <c r="N724" s="28"/>
      <c r="O724" s="28"/>
      <c r="P724" s="28"/>
    </row>
    <row r="725">
      <c r="A725" s="25">
        <v>43244.481334861106</v>
      </c>
      <c r="B725" s="26" t="s">
        <v>80</v>
      </c>
      <c r="C725" s="26" t="s">
        <v>630</v>
      </c>
      <c r="D725" s="26" t="s">
        <v>27</v>
      </c>
      <c r="E725" s="26">
        <v>900.0</v>
      </c>
      <c r="F725" s="26" t="s">
        <v>51</v>
      </c>
      <c r="G725" s="26">
        <v>18.0</v>
      </c>
      <c r="H725" s="26">
        <v>2.0</v>
      </c>
      <c r="I725" s="26">
        <v>210.0</v>
      </c>
      <c r="J725" s="26">
        <v>600.0</v>
      </c>
      <c r="K725" s="26">
        <v>90.0</v>
      </c>
      <c r="M725" s="26" t="s">
        <v>449</v>
      </c>
      <c r="N725" s="28"/>
      <c r="O725" s="28"/>
      <c r="P725" s="28"/>
    </row>
    <row r="726">
      <c r="A726" s="25">
        <v>43244.51842741898</v>
      </c>
      <c r="B726" s="26" t="s">
        <v>33</v>
      </c>
      <c r="C726" s="26" t="s">
        <v>43</v>
      </c>
      <c r="D726" s="26" t="s">
        <v>31</v>
      </c>
      <c r="E726" s="26">
        <v>240.0</v>
      </c>
      <c r="F726" s="26" t="s">
        <v>63</v>
      </c>
      <c r="G726" s="26">
        <v>3.0</v>
      </c>
      <c r="H726" s="26">
        <v>1.0</v>
      </c>
      <c r="I726" s="26">
        <v>150000.0</v>
      </c>
      <c r="J726" s="26">
        <v>320000.0</v>
      </c>
      <c r="K726" s="26">
        <v>110000.0</v>
      </c>
      <c r="M726" s="26" t="s">
        <v>449</v>
      </c>
      <c r="N726" s="28"/>
      <c r="O726" s="28"/>
      <c r="P726" s="28"/>
    </row>
    <row r="727">
      <c r="A727" s="25">
        <v>43244.61916376157</v>
      </c>
      <c r="B727" s="26" t="s">
        <v>40</v>
      </c>
      <c r="C727" s="26" t="s">
        <v>631</v>
      </c>
      <c r="D727" s="26" t="s">
        <v>31</v>
      </c>
      <c r="E727" s="26">
        <v>166.0</v>
      </c>
      <c r="F727" s="26" t="s">
        <v>63</v>
      </c>
      <c r="G727" s="26">
        <v>5.0</v>
      </c>
      <c r="H727" s="26">
        <v>5.0</v>
      </c>
      <c r="I727" s="26">
        <v>125.0</v>
      </c>
      <c r="J727" s="26">
        <v>29.0</v>
      </c>
      <c r="K727" s="26">
        <v>13.0</v>
      </c>
      <c r="M727" s="26" t="s">
        <v>449</v>
      </c>
      <c r="N727" s="28"/>
      <c r="O727" s="28"/>
      <c r="P727" s="28"/>
    </row>
    <row r="728">
      <c r="A728" s="25">
        <v>43244.6575275</v>
      </c>
      <c r="B728" s="26" t="s">
        <v>25</v>
      </c>
      <c r="C728" s="26" t="s">
        <v>462</v>
      </c>
      <c r="D728" s="26" t="s">
        <v>31</v>
      </c>
      <c r="E728" s="26">
        <v>350.0</v>
      </c>
      <c r="F728" s="26" t="s">
        <v>632</v>
      </c>
      <c r="G728" s="26">
        <v>7.0</v>
      </c>
      <c r="H728" s="26">
        <v>1.0</v>
      </c>
      <c r="I728" s="26">
        <v>175000.0</v>
      </c>
      <c r="J728" s="26">
        <v>175000.0</v>
      </c>
      <c r="K728" s="26">
        <v>1.0</v>
      </c>
      <c r="M728" s="26" t="s">
        <v>449</v>
      </c>
      <c r="N728" s="28"/>
      <c r="O728" s="28"/>
      <c r="P728" s="28"/>
    </row>
    <row r="729">
      <c r="A729" s="25">
        <v>43244.83878716435</v>
      </c>
      <c r="B729" s="26" t="s">
        <v>633</v>
      </c>
      <c r="C729" s="26" t="s">
        <v>634</v>
      </c>
      <c r="D729" s="26" t="s">
        <v>31</v>
      </c>
      <c r="E729" s="26">
        <v>189.0</v>
      </c>
      <c r="F729" s="26" t="s">
        <v>635</v>
      </c>
      <c r="G729" s="26">
        <v>6.0</v>
      </c>
      <c r="H729" s="26">
        <v>1.0</v>
      </c>
      <c r="I729" s="26">
        <v>145000.0</v>
      </c>
      <c r="J729" s="26">
        <v>65000.0</v>
      </c>
      <c r="K729" s="26">
        <v>21750.0</v>
      </c>
      <c r="M729" s="26" t="s">
        <v>449</v>
      </c>
      <c r="N729" s="28"/>
      <c r="O729" s="28"/>
      <c r="P729" s="28"/>
    </row>
    <row r="730">
      <c r="A730" s="25">
        <v>43244.95101582176</v>
      </c>
      <c r="B730" s="26" t="s">
        <v>636</v>
      </c>
      <c r="C730" s="26" t="s">
        <v>637</v>
      </c>
      <c r="D730" s="26" t="s">
        <v>27</v>
      </c>
      <c r="E730" s="26">
        <v>220.0</v>
      </c>
      <c r="F730" s="26" t="s">
        <v>212</v>
      </c>
      <c r="G730" s="26">
        <v>12.0</v>
      </c>
      <c r="H730" s="26">
        <v>2.0</v>
      </c>
      <c r="I730" s="26">
        <v>180.0</v>
      </c>
      <c r="K730" s="26">
        <v>40.0</v>
      </c>
      <c r="M730" s="26" t="s">
        <v>449</v>
      </c>
      <c r="N730" s="28"/>
      <c r="O730" s="28"/>
      <c r="P730" s="28"/>
    </row>
    <row r="731">
      <c r="A731" s="25">
        <v>43244.95373009259</v>
      </c>
      <c r="B731" s="26" t="s">
        <v>168</v>
      </c>
      <c r="C731" s="26">
        <v>60.0</v>
      </c>
      <c r="D731" s="26" t="s">
        <v>31</v>
      </c>
      <c r="E731" s="26">
        <v>135.0</v>
      </c>
      <c r="F731" s="26" t="s">
        <v>75</v>
      </c>
      <c r="G731" s="26">
        <v>3.0</v>
      </c>
      <c r="H731" s="26">
        <v>1.0</v>
      </c>
      <c r="M731" s="26" t="s">
        <v>449</v>
      </c>
      <c r="N731" s="28"/>
      <c r="O731" s="28"/>
      <c r="P731" s="28"/>
    </row>
    <row r="732">
      <c r="A732" s="25">
        <v>43245.26103837963</v>
      </c>
      <c r="B732" s="26" t="s">
        <v>33</v>
      </c>
      <c r="C732" s="26">
        <v>6.0</v>
      </c>
      <c r="D732" s="26" t="s">
        <v>41</v>
      </c>
      <c r="E732" s="26">
        <v>267.0</v>
      </c>
      <c r="F732" s="26" t="s">
        <v>35</v>
      </c>
      <c r="G732" s="26">
        <v>15.0</v>
      </c>
      <c r="H732" s="26">
        <v>5.0</v>
      </c>
      <c r="I732" s="26">
        <v>160000.0</v>
      </c>
      <c r="J732" s="26">
        <v>110000.0</v>
      </c>
    </row>
    <row r="733">
      <c r="A733" s="25">
        <v>43245.41127921296</v>
      </c>
      <c r="B733" s="26" t="s">
        <v>45</v>
      </c>
      <c r="C733" s="26" t="s">
        <v>102</v>
      </c>
      <c r="D733" s="26" t="s">
        <v>31</v>
      </c>
      <c r="E733" s="26">
        <v>162.0</v>
      </c>
      <c r="F733" s="26" t="s">
        <v>47</v>
      </c>
      <c r="G733" s="26">
        <v>0.0</v>
      </c>
      <c r="H733" s="26">
        <v>0.0</v>
      </c>
      <c r="I733" s="26">
        <v>117.0</v>
      </c>
      <c r="J733" s="26">
        <v>100.0</v>
      </c>
      <c r="K733" s="26">
        <v>15.0</v>
      </c>
      <c r="M733" s="26" t="s">
        <v>449</v>
      </c>
      <c r="N733" s="28"/>
      <c r="O733" s="28"/>
      <c r="P733" s="28"/>
    </row>
    <row r="734">
      <c r="A734" s="25">
        <v>43245.52066991898</v>
      </c>
      <c r="B734" s="26" t="s">
        <v>25</v>
      </c>
      <c r="C734" s="26" t="s">
        <v>184</v>
      </c>
      <c r="D734" s="26" t="s">
        <v>31</v>
      </c>
      <c r="E734" s="26">
        <v>205.0</v>
      </c>
      <c r="F734" s="26" t="s">
        <v>272</v>
      </c>
      <c r="G734" s="26">
        <v>1.0</v>
      </c>
      <c r="H734" s="26">
        <v>1.0</v>
      </c>
      <c r="I734" s="26">
        <v>155.0</v>
      </c>
      <c r="J734" s="26">
        <v>50.0</v>
      </c>
    </row>
    <row r="735">
      <c r="A735" s="25">
        <v>43245.56514715278</v>
      </c>
      <c r="B735" s="26" t="s">
        <v>36</v>
      </c>
      <c r="C735" s="26" t="s">
        <v>37</v>
      </c>
      <c r="D735" s="26" t="s">
        <v>31</v>
      </c>
      <c r="E735" s="26">
        <v>400.0</v>
      </c>
      <c r="F735" s="26" t="s">
        <v>58</v>
      </c>
      <c r="G735" s="26">
        <v>8.0</v>
      </c>
      <c r="H735" s="26">
        <v>2.0</v>
      </c>
      <c r="I735" s="26">
        <v>184000.0</v>
      </c>
      <c r="M735" s="26" t="s">
        <v>449</v>
      </c>
      <c r="N735" s="28"/>
      <c r="O735" s="28"/>
      <c r="P735" s="28"/>
    </row>
    <row r="736">
      <c r="A736" s="25">
        <v>43245.65524818287</v>
      </c>
      <c r="B736" s="26" t="s">
        <v>40</v>
      </c>
      <c r="C736" s="26">
        <v>60.0</v>
      </c>
      <c r="D736" s="26" t="s">
        <v>31</v>
      </c>
      <c r="E736" s="26">
        <v>150.0</v>
      </c>
      <c r="F736" s="26" t="s">
        <v>86</v>
      </c>
      <c r="G736" s="26">
        <v>2.5</v>
      </c>
      <c r="H736" s="26">
        <v>2.5</v>
      </c>
      <c r="I736" s="26">
        <v>115.0</v>
      </c>
      <c r="J736" s="26">
        <v>25.0</v>
      </c>
      <c r="K736" s="26">
        <v>10.7</v>
      </c>
      <c r="M736" s="26" t="s">
        <v>449</v>
      </c>
      <c r="N736" s="28"/>
      <c r="O736" s="28"/>
      <c r="P736" s="28"/>
    </row>
    <row r="737">
      <c r="A737" s="25">
        <v>43246.29444971065</v>
      </c>
      <c r="B737" s="26" t="s">
        <v>538</v>
      </c>
      <c r="C737" s="26">
        <v>17.0</v>
      </c>
      <c r="D737" s="26" t="s">
        <v>31</v>
      </c>
      <c r="E737" s="26">
        <v>78.0</v>
      </c>
      <c r="F737" s="26" t="s">
        <v>638</v>
      </c>
      <c r="G737" s="26">
        <v>4.0</v>
      </c>
      <c r="H737" s="26">
        <v>2.0</v>
      </c>
      <c r="I737" s="26">
        <v>25000.0</v>
      </c>
      <c r="J737" s="26">
        <v>48000.0</v>
      </c>
      <c r="K737" s="26">
        <v>5000.0</v>
      </c>
      <c r="M737" s="26" t="s">
        <v>449</v>
      </c>
      <c r="N737" s="28"/>
      <c r="O737" s="28"/>
      <c r="P737" s="28"/>
    </row>
    <row r="738">
      <c r="A738" s="25">
        <v>43246.43456916667</v>
      </c>
      <c r="B738" s="26" t="s">
        <v>270</v>
      </c>
      <c r="C738" s="26" t="s">
        <v>271</v>
      </c>
      <c r="D738" s="26" t="s">
        <v>31</v>
      </c>
      <c r="E738" s="26">
        <v>450.0</v>
      </c>
      <c r="F738" s="26" t="s">
        <v>35</v>
      </c>
      <c r="G738" s="26">
        <v>12.0</v>
      </c>
      <c r="H738" s="26">
        <v>4.0</v>
      </c>
      <c r="I738" s="26">
        <v>184000.0</v>
      </c>
      <c r="J738" s="26">
        <v>800000.0</v>
      </c>
      <c r="K738" s="26">
        <v>27000.0</v>
      </c>
      <c r="M738" s="26" t="s">
        <v>449</v>
      </c>
      <c r="N738" s="28"/>
      <c r="O738" s="28"/>
      <c r="P738" s="28"/>
    </row>
    <row r="739">
      <c r="A739" s="25">
        <v>43246.5482652662</v>
      </c>
      <c r="B739" s="26" t="s">
        <v>170</v>
      </c>
      <c r="C739" s="26" t="s">
        <v>596</v>
      </c>
      <c r="D739" s="26" t="s">
        <v>31</v>
      </c>
      <c r="E739" s="26">
        <v>220.0</v>
      </c>
      <c r="F739" s="26" t="s">
        <v>639</v>
      </c>
      <c r="G739" s="26">
        <v>4.0</v>
      </c>
      <c r="H739" s="26">
        <v>4.0</v>
      </c>
      <c r="I739" s="26">
        <v>170.0</v>
      </c>
      <c r="J739" s="26">
        <v>20.0</v>
      </c>
      <c r="K739" s="26">
        <v>30.0</v>
      </c>
      <c r="M739" s="26" t="s">
        <v>449</v>
      </c>
      <c r="N739" s="28"/>
      <c r="O739" s="28"/>
      <c r="P739" s="28"/>
    </row>
    <row r="740">
      <c r="A740" s="25">
        <v>43247.45325003473</v>
      </c>
      <c r="B740" s="26" t="s">
        <v>80</v>
      </c>
      <c r="C740" s="26" t="s">
        <v>62</v>
      </c>
      <c r="D740" s="26" t="s">
        <v>31</v>
      </c>
      <c r="E740" s="26">
        <v>400.0</v>
      </c>
      <c r="F740" s="26" t="s">
        <v>199</v>
      </c>
      <c r="G740" s="26">
        <v>7.0</v>
      </c>
      <c r="H740" s="26">
        <v>7.0</v>
      </c>
    </row>
    <row r="741">
      <c r="A741" s="25">
        <v>43247.46663547454</v>
      </c>
      <c r="B741" s="26" t="s">
        <v>640</v>
      </c>
      <c r="C741" s="26" t="s">
        <v>78</v>
      </c>
      <c r="D741" s="26" t="s">
        <v>31</v>
      </c>
      <c r="E741" s="26">
        <v>180.0</v>
      </c>
      <c r="F741" s="26" t="s">
        <v>58</v>
      </c>
      <c r="G741" s="26">
        <v>3.0</v>
      </c>
      <c r="H741" s="26">
        <v>2.0</v>
      </c>
      <c r="I741" s="26">
        <v>140000.0</v>
      </c>
      <c r="J741" s="26">
        <v>40000.0</v>
      </c>
      <c r="M741" s="26" t="s">
        <v>449</v>
      </c>
      <c r="N741" s="28"/>
      <c r="O741" s="28"/>
      <c r="P741" s="28"/>
    </row>
    <row r="742">
      <c r="A742" s="25">
        <v>43247.7582443287</v>
      </c>
      <c r="B742" s="26" t="s">
        <v>168</v>
      </c>
      <c r="C742" s="26">
        <v>63.0</v>
      </c>
      <c r="D742" s="26" t="s">
        <v>41</v>
      </c>
      <c r="E742" s="26">
        <v>320.0</v>
      </c>
      <c r="F742" s="26" t="s">
        <v>247</v>
      </c>
      <c r="G742" s="26">
        <v>15.0</v>
      </c>
      <c r="H742" s="26">
        <v>10.0</v>
      </c>
      <c r="I742" s="26">
        <v>275.0</v>
      </c>
      <c r="J742" s="26">
        <v>25.0</v>
      </c>
      <c r="K742" s="26">
        <v>20.0</v>
      </c>
      <c r="M742" s="26" t="s">
        <v>449</v>
      </c>
      <c r="N742" s="28"/>
      <c r="O742" s="28"/>
      <c r="P742" s="28"/>
    </row>
    <row r="743">
      <c r="A743" s="25">
        <v>43247.917186562496</v>
      </c>
      <c r="B743" s="26" t="s">
        <v>40</v>
      </c>
      <c r="C743" s="26">
        <v>59.0</v>
      </c>
      <c r="D743" s="26" t="s">
        <v>31</v>
      </c>
      <c r="E743" s="26">
        <v>181.5</v>
      </c>
      <c r="F743" s="26" t="s">
        <v>641</v>
      </c>
      <c r="G743" s="26">
        <v>1.0</v>
      </c>
      <c r="H743" s="26">
        <v>1.0</v>
      </c>
      <c r="I743" s="26">
        <v>103500.0</v>
      </c>
      <c r="J743" s="26">
        <v>78000.0</v>
      </c>
      <c r="K743" s="26">
        <v>20000.0</v>
      </c>
      <c r="L743" s="26" t="s">
        <v>642</v>
      </c>
      <c r="M743" s="26" t="s">
        <v>449</v>
      </c>
      <c r="N743" s="28"/>
      <c r="O743" s="28"/>
      <c r="P743" s="28"/>
    </row>
    <row r="744">
      <c r="A744" s="25">
        <v>43248.69598341435</v>
      </c>
      <c r="B744" s="26" t="s">
        <v>350</v>
      </c>
      <c r="C744" s="26" t="s">
        <v>643</v>
      </c>
      <c r="D744" s="26" t="s">
        <v>31</v>
      </c>
      <c r="E744" s="26">
        <v>145.0</v>
      </c>
      <c r="F744" s="26" t="s">
        <v>32</v>
      </c>
      <c r="G744" s="26">
        <v>2.0</v>
      </c>
      <c r="H744" s="26">
        <v>2.0</v>
      </c>
      <c r="I744" s="26">
        <v>125000.0</v>
      </c>
      <c r="J744" s="26">
        <v>5000.0</v>
      </c>
      <c r="K744" s="26">
        <v>15000.0</v>
      </c>
      <c r="M744" s="26" t="s">
        <v>449</v>
      </c>
      <c r="N744" s="28"/>
      <c r="O744" s="28"/>
      <c r="P744" s="28"/>
    </row>
    <row r="745">
      <c r="A745" s="25">
        <v>43248.762353645834</v>
      </c>
      <c r="B745" s="26" t="s">
        <v>644</v>
      </c>
      <c r="C745" s="26">
        <v>5.0</v>
      </c>
      <c r="D745" s="26" t="s">
        <v>31</v>
      </c>
      <c r="E745" s="26">
        <v>130.0</v>
      </c>
      <c r="F745" s="26" t="s">
        <v>58</v>
      </c>
      <c r="G745" s="26">
        <v>5.0</v>
      </c>
      <c r="H745" s="26">
        <v>2.0</v>
      </c>
      <c r="I745" s="26">
        <v>120000.0</v>
      </c>
      <c r="J745" s="26">
        <v>13.0</v>
      </c>
      <c r="K745" s="26">
        <v>10.0</v>
      </c>
      <c r="M745" s="26" t="s">
        <v>449</v>
      </c>
      <c r="N745" s="28"/>
      <c r="O745" s="28"/>
      <c r="P745" s="28"/>
    </row>
    <row r="746">
      <c r="A746" s="25">
        <v>43248.92072847222</v>
      </c>
      <c r="B746" s="26" t="s">
        <v>146</v>
      </c>
      <c r="C746" s="26" t="s">
        <v>26</v>
      </c>
      <c r="D746" s="26" t="s">
        <v>31</v>
      </c>
      <c r="E746" s="26">
        <v>251.0</v>
      </c>
      <c r="F746" s="26" t="s">
        <v>32</v>
      </c>
      <c r="G746" s="26">
        <v>2.0</v>
      </c>
      <c r="H746" s="26">
        <v>0.0</v>
      </c>
      <c r="I746" s="26">
        <v>160000.0</v>
      </c>
      <c r="J746" s="26">
        <v>75000.0</v>
      </c>
      <c r="K746" s="26">
        <v>160.0</v>
      </c>
      <c r="M746" s="26" t="s">
        <v>449</v>
      </c>
      <c r="N746" s="28"/>
      <c r="O746" s="28"/>
      <c r="P746" s="28"/>
    </row>
    <row r="747">
      <c r="A747" s="25">
        <v>43249.52409864584</v>
      </c>
      <c r="B747" s="26" t="s">
        <v>33</v>
      </c>
      <c r="C747" s="26">
        <v>5.0</v>
      </c>
      <c r="D747" s="26" t="s">
        <v>31</v>
      </c>
      <c r="E747" s="26">
        <v>175.0</v>
      </c>
      <c r="F747" s="26" t="s">
        <v>63</v>
      </c>
      <c r="G747" s="26">
        <v>9.0</v>
      </c>
      <c r="H747" s="26">
        <v>2.0</v>
      </c>
      <c r="I747" s="26">
        <v>152.0</v>
      </c>
      <c r="J747" s="26">
        <v>12.0</v>
      </c>
      <c r="K747" s="26">
        <v>10.0</v>
      </c>
      <c r="M747" s="26" t="s">
        <v>449</v>
      </c>
      <c r="N747" s="28"/>
      <c r="O747" s="28"/>
      <c r="P747" s="28"/>
    </row>
    <row r="748">
      <c r="A748" s="25">
        <v>43249.60464560185</v>
      </c>
      <c r="B748" s="26" t="s">
        <v>645</v>
      </c>
      <c r="C748" s="26" t="s">
        <v>646</v>
      </c>
      <c r="D748" s="26" t="s">
        <v>31</v>
      </c>
      <c r="E748" s="26">
        <v>250.0</v>
      </c>
      <c r="F748" s="26" t="s">
        <v>32</v>
      </c>
      <c r="G748" s="26">
        <v>1.0</v>
      </c>
      <c r="H748" s="26">
        <v>0.3</v>
      </c>
      <c r="I748" s="26">
        <v>137000.0</v>
      </c>
      <c r="J748" s="26">
        <v>125000.0</v>
      </c>
      <c r="K748" s="26">
        <v>30000.0</v>
      </c>
      <c r="M748" s="26" t="s">
        <v>449</v>
      </c>
      <c r="N748" s="28"/>
      <c r="O748" s="28"/>
      <c r="P748" s="28"/>
    </row>
    <row r="749">
      <c r="A749" s="25">
        <v>43249.74817856481</v>
      </c>
      <c r="B749" s="26" t="s">
        <v>29</v>
      </c>
      <c r="C749" s="26" t="s">
        <v>647</v>
      </c>
      <c r="D749" s="26" t="s">
        <v>31</v>
      </c>
      <c r="E749" s="26">
        <v>240.0</v>
      </c>
      <c r="F749" s="26" t="s">
        <v>648</v>
      </c>
      <c r="G749" s="26">
        <v>14.0</v>
      </c>
      <c r="H749" s="26">
        <v>0.0</v>
      </c>
      <c r="I749" s="26">
        <v>185.0</v>
      </c>
      <c r="J749" s="26">
        <v>100.0</v>
      </c>
      <c r="K749" s="26">
        <v>30.0</v>
      </c>
      <c r="L749" s="26" t="s">
        <v>649</v>
      </c>
      <c r="M749" s="26" t="s">
        <v>449</v>
      </c>
      <c r="N749" s="28"/>
      <c r="O749" s="28"/>
      <c r="P749" s="28"/>
    </row>
    <row r="750">
      <c r="A750" s="25">
        <v>43249.763598854166</v>
      </c>
      <c r="B750" s="26" t="s">
        <v>270</v>
      </c>
      <c r="C750" s="26" t="s">
        <v>271</v>
      </c>
      <c r="D750" s="26" t="s">
        <v>31</v>
      </c>
      <c r="E750" s="26">
        <v>290.0</v>
      </c>
      <c r="F750" s="26" t="s">
        <v>238</v>
      </c>
      <c r="G750" s="26">
        <v>3.0</v>
      </c>
      <c r="H750" s="26">
        <v>0.0</v>
      </c>
      <c r="I750" s="26">
        <v>180.0</v>
      </c>
      <c r="J750" s="26">
        <v>85.0</v>
      </c>
      <c r="K750" s="26">
        <v>25.0</v>
      </c>
    </row>
    <row r="751">
      <c r="A751" s="25">
        <v>43249.94676194445</v>
      </c>
      <c r="B751" s="26" t="s">
        <v>33</v>
      </c>
      <c r="C751" s="26" t="s">
        <v>43</v>
      </c>
      <c r="D751" s="26" t="s">
        <v>27</v>
      </c>
      <c r="E751" s="26">
        <v>174.0</v>
      </c>
      <c r="F751" s="26" t="s">
        <v>63</v>
      </c>
      <c r="G751" s="26">
        <v>10.0</v>
      </c>
      <c r="H751" s="26">
        <v>1.0</v>
      </c>
      <c r="I751" s="26">
        <v>145.0</v>
      </c>
      <c r="J751" s="26">
        <v>80.0</v>
      </c>
      <c r="M751" s="26" t="s">
        <v>449</v>
      </c>
      <c r="N751" s="28"/>
      <c r="O751" s="28"/>
      <c r="P751" s="28"/>
    </row>
    <row r="752">
      <c r="A752" s="25">
        <v>43249.95392543981</v>
      </c>
      <c r="B752" s="26" t="s">
        <v>40</v>
      </c>
      <c r="C752" s="26">
        <v>64.0</v>
      </c>
      <c r="D752" s="26" t="s">
        <v>31</v>
      </c>
      <c r="E752" s="26">
        <v>210.0</v>
      </c>
      <c r="F752" s="26" t="s">
        <v>75</v>
      </c>
      <c r="G752" s="26">
        <v>12.0</v>
      </c>
      <c r="H752" s="26">
        <v>6.0</v>
      </c>
      <c r="I752" s="26">
        <v>160000.0</v>
      </c>
      <c r="J752" s="26">
        <v>25000.0</v>
      </c>
      <c r="K752" s="26">
        <v>25000.0</v>
      </c>
      <c r="M752" s="26" t="s">
        <v>449</v>
      </c>
      <c r="N752" s="28"/>
      <c r="O752" s="28"/>
      <c r="P752" s="28"/>
    </row>
    <row r="753">
      <c r="A753" s="25">
        <v>43249.95986128472</v>
      </c>
      <c r="B753" s="26" t="s">
        <v>80</v>
      </c>
      <c r="C753" s="26" t="s">
        <v>650</v>
      </c>
      <c r="D753" s="26" t="s">
        <v>31</v>
      </c>
      <c r="E753" s="26">
        <v>236.0</v>
      </c>
      <c r="F753" s="26" t="s">
        <v>63</v>
      </c>
      <c r="G753" s="26">
        <v>9.0</v>
      </c>
      <c r="H753" s="26">
        <v>0.0</v>
      </c>
      <c r="I753" s="26">
        <v>140000.0</v>
      </c>
      <c r="J753" s="26">
        <v>75000.0</v>
      </c>
      <c r="K753" s="26">
        <v>21000.0</v>
      </c>
      <c r="L753" s="26" t="s">
        <v>651</v>
      </c>
      <c r="M753" s="26" t="s">
        <v>449</v>
      </c>
      <c r="N753" s="28"/>
      <c r="O753" s="28"/>
      <c r="P753" s="28"/>
    </row>
    <row r="754">
      <c r="A754" s="25">
        <v>43250.32727008102</v>
      </c>
      <c r="B754" s="26" t="s">
        <v>652</v>
      </c>
      <c r="C754" s="26" t="s">
        <v>103</v>
      </c>
      <c r="D754" s="26" t="s">
        <v>31</v>
      </c>
      <c r="E754" s="26">
        <v>135.0</v>
      </c>
      <c r="F754" s="26" t="s">
        <v>653</v>
      </c>
      <c r="G754" s="26">
        <v>8.0</v>
      </c>
      <c r="H754" s="26">
        <v>1.0</v>
      </c>
      <c r="I754" s="26">
        <v>135.0</v>
      </c>
      <c r="M754" s="26" t="s">
        <v>458</v>
      </c>
      <c r="N754" s="28"/>
      <c r="O754" s="28"/>
      <c r="P754" s="28"/>
    </row>
    <row r="755">
      <c r="A755" s="25">
        <v>43250.38941859954</v>
      </c>
      <c r="B755" s="26" t="s">
        <v>80</v>
      </c>
      <c r="C755" s="26" t="s">
        <v>430</v>
      </c>
      <c r="D755" s="26" t="s">
        <v>31</v>
      </c>
      <c r="E755" s="26">
        <v>180.0</v>
      </c>
      <c r="F755" s="26" t="s">
        <v>654</v>
      </c>
      <c r="G755" s="26">
        <v>3.0</v>
      </c>
      <c r="H755" s="26">
        <v>3.0</v>
      </c>
    </row>
    <row r="756">
      <c r="A756" s="25">
        <v>43250.40268190972</v>
      </c>
      <c r="B756" s="26" t="s">
        <v>33</v>
      </c>
      <c r="C756" s="26">
        <v>5.0</v>
      </c>
      <c r="D756" s="26" t="s">
        <v>31</v>
      </c>
      <c r="E756" s="26">
        <v>213.0</v>
      </c>
      <c r="F756" s="26" t="s">
        <v>134</v>
      </c>
      <c r="G756" s="26">
        <v>8.0</v>
      </c>
      <c r="H756" s="26">
        <v>0.0</v>
      </c>
      <c r="I756" s="26">
        <v>160.0</v>
      </c>
      <c r="J756" s="26">
        <v>256000.0</v>
      </c>
      <c r="K756" s="26">
        <v>100000.0</v>
      </c>
      <c r="L756" s="26" t="s">
        <v>655</v>
      </c>
      <c r="M756" s="26" t="s">
        <v>449</v>
      </c>
      <c r="N756" s="28"/>
      <c r="O756" s="28"/>
      <c r="P756" s="28"/>
    </row>
    <row r="757">
      <c r="A757" s="25">
        <v>43250.566884444444</v>
      </c>
      <c r="B757" s="26" t="s">
        <v>343</v>
      </c>
      <c r="C757" s="26" t="s">
        <v>541</v>
      </c>
      <c r="D757" s="26" t="s">
        <v>31</v>
      </c>
      <c r="E757" s="26">
        <v>165.0</v>
      </c>
      <c r="F757" s="26" t="s">
        <v>656</v>
      </c>
      <c r="G757" s="26">
        <v>7.0</v>
      </c>
      <c r="H757" s="26">
        <v>2.0</v>
      </c>
      <c r="I757" s="26">
        <v>165000.0</v>
      </c>
      <c r="J757" s="26">
        <v>90000.0</v>
      </c>
      <c r="M757" s="26" t="s">
        <v>449</v>
      </c>
      <c r="N757" s="28"/>
      <c r="O757" s="28"/>
      <c r="P757" s="28"/>
    </row>
    <row r="758">
      <c r="A758" s="25">
        <v>43250.81361884259</v>
      </c>
      <c r="B758" s="26" t="s">
        <v>40</v>
      </c>
      <c r="C758" s="26">
        <v>65.0</v>
      </c>
      <c r="D758" s="26" t="s">
        <v>31</v>
      </c>
      <c r="E758" s="26">
        <v>280.0</v>
      </c>
      <c r="F758" s="26" t="s">
        <v>35</v>
      </c>
      <c r="G758" s="26">
        <v>15.0</v>
      </c>
      <c r="H758" s="26">
        <v>9.0</v>
      </c>
      <c r="I758" s="26">
        <v>201.0</v>
      </c>
      <c r="J758" s="26">
        <v>45.0</v>
      </c>
      <c r="K758" s="26">
        <v>45.0</v>
      </c>
      <c r="M758" s="26" t="s">
        <v>449</v>
      </c>
      <c r="N758" s="28"/>
      <c r="O758" s="28"/>
      <c r="P758" s="28"/>
    </row>
    <row r="759">
      <c r="A759" s="25">
        <v>43250.840584895835</v>
      </c>
      <c r="B759" s="26" t="s">
        <v>45</v>
      </c>
      <c r="C759" s="26" t="s">
        <v>98</v>
      </c>
      <c r="D759" s="26" t="s">
        <v>31</v>
      </c>
      <c r="E759" s="26">
        <v>151.0</v>
      </c>
      <c r="F759" s="26" t="s">
        <v>104</v>
      </c>
      <c r="G759" s="26">
        <v>0.0</v>
      </c>
      <c r="H759" s="26">
        <v>0.0</v>
      </c>
      <c r="I759" s="26">
        <v>125.0</v>
      </c>
      <c r="J759" s="26">
        <v>26.25</v>
      </c>
      <c r="L759" s="26" t="s">
        <v>657</v>
      </c>
      <c r="M759" s="26" t="s">
        <v>458</v>
      </c>
      <c r="N759" s="28"/>
      <c r="O759" s="28"/>
      <c r="P759" s="28"/>
    </row>
    <row r="760">
      <c r="A760" s="25">
        <v>43250.91861903935</v>
      </c>
      <c r="B760" s="26" t="s">
        <v>268</v>
      </c>
      <c r="C760" s="26">
        <v>10.0</v>
      </c>
      <c r="D760" s="26" t="s">
        <v>31</v>
      </c>
      <c r="E760" s="26">
        <v>190.0</v>
      </c>
      <c r="F760" s="26" t="s">
        <v>597</v>
      </c>
      <c r="G760" s="26">
        <v>8.0</v>
      </c>
      <c r="H760" s="26">
        <v>2.0</v>
      </c>
      <c r="I760" s="26">
        <v>155.0</v>
      </c>
      <c r="J760" s="26">
        <v>50000.0</v>
      </c>
      <c r="K760" s="26">
        <v>23000.0</v>
      </c>
      <c r="M760" s="26" t="s">
        <v>458</v>
      </c>
      <c r="N760" s="28"/>
      <c r="O760" s="28"/>
      <c r="P760" s="28"/>
    </row>
    <row r="761">
      <c r="A761" s="25">
        <v>43250.92660501157</v>
      </c>
      <c r="B761" s="26" t="s">
        <v>40</v>
      </c>
      <c r="C761" s="26">
        <v>59.0</v>
      </c>
      <c r="D761" s="26" t="s">
        <v>31</v>
      </c>
      <c r="E761" s="26">
        <v>162.0</v>
      </c>
      <c r="F761" s="26" t="s">
        <v>52</v>
      </c>
      <c r="G761" s="26">
        <v>0.0</v>
      </c>
      <c r="H761" s="26">
        <v>0.0</v>
      </c>
      <c r="I761" s="26">
        <v>108.0</v>
      </c>
      <c r="J761" s="26">
        <v>120.0</v>
      </c>
      <c r="K761" s="26">
        <v>35.0</v>
      </c>
      <c r="M761" s="26" t="s">
        <v>449</v>
      </c>
      <c r="N761" s="28"/>
      <c r="O761" s="28"/>
      <c r="P761" s="28"/>
    </row>
    <row r="762">
      <c r="A762" s="25">
        <v>43250.94410315972</v>
      </c>
      <c r="B762" s="26" t="s">
        <v>658</v>
      </c>
      <c r="C762" s="26" t="s">
        <v>96</v>
      </c>
      <c r="D762" s="26" t="s">
        <v>31</v>
      </c>
      <c r="E762" s="26">
        <v>180.0</v>
      </c>
      <c r="F762" s="26" t="s">
        <v>272</v>
      </c>
      <c r="G762" s="26">
        <v>3.0</v>
      </c>
      <c r="H762" s="26">
        <v>2.0</v>
      </c>
      <c r="I762" s="26">
        <v>135000.0</v>
      </c>
      <c r="J762" s="26">
        <v>25000.0</v>
      </c>
      <c r="K762" s="26">
        <v>20000.0</v>
      </c>
    </row>
    <row r="763">
      <c r="A763" s="25">
        <v>43250.96740121528</v>
      </c>
      <c r="B763" s="26" t="s">
        <v>33</v>
      </c>
      <c r="C763" s="26" t="s">
        <v>43</v>
      </c>
      <c r="D763" s="26" t="s">
        <v>31</v>
      </c>
      <c r="E763" s="26">
        <v>216.0</v>
      </c>
      <c r="F763" s="26" t="s">
        <v>32</v>
      </c>
      <c r="G763" s="26">
        <v>17.0</v>
      </c>
      <c r="H763" s="26">
        <v>1.0</v>
      </c>
      <c r="I763" s="26">
        <v>165000.0</v>
      </c>
      <c r="J763" s="26">
        <v>30000.0</v>
      </c>
      <c r="K763" s="26">
        <v>20000.0</v>
      </c>
      <c r="M763" s="26" t="s">
        <v>449</v>
      </c>
      <c r="N763" s="28"/>
      <c r="O763" s="28"/>
      <c r="P763" s="28"/>
    </row>
    <row r="764">
      <c r="A764" s="25">
        <v>43250.9773590625</v>
      </c>
      <c r="B764" s="26" t="s">
        <v>398</v>
      </c>
      <c r="C764" s="26" t="s">
        <v>659</v>
      </c>
      <c r="D764" s="26" t="s">
        <v>27</v>
      </c>
      <c r="E764" s="26">
        <v>250.0</v>
      </c>
      <c r="F764" s="26" t="s">
        <v>272</v>
      </c>
      <c r="G764" s="26">
        <v>10.0</v>
      </c>
      <c r="H764" s="26">
        <v>10.0</v>
      </c>
      <c r="I764" s="26">
        <v>180000.0</v>
      </c>
      <c r="J764" s="26">
        <v>300000.0</v>
      </c>
      <c r="K764" s="26">
        <v>40000.0</v>
      </c>
      <c r="M764" s="26" t="s">
        <v>449</v>
      </c>
      <c r="N764" s="28"/>
      <c r="O764" s="28"/>
      <c r="P764" s="28"/>
    </row>
    <row r="765">
      <c r="A765" s="25">
        <v>43250.97752061342</v>
      </c>
      <c r="B765" s="26" t="s">
        <v>398</v>
      </c>
      <c r="C765" s="26" t="s">
        <v>659</v>
      </c>
      <c r="D765" s="26" t="s">
        <v>27</v>
      </c>
      <c r="E765" s="26">
        <v>250.0</v>
      </c>
      <c r="F765" s="26" t="s">
        <v>272</v>
      </c>
      <c r="G765" s="26">
        <v>10.0</v>
      </c>
      <c r="H765" s="26">
        <v>10.0</v>
      </c>
      <c r="I765" s="26">
        <v>180000.0</v>
      </c>
      <c r="J765" s="26">
        <v>300000.0</v>
      </c>
      <c r="K765" s="26">
        <v>40000.0</v>
      </c>
      <c r="M765" s="26" t="s">
        <v>449</v>
      </c>
      <c r="N765" s="28"/>
      <c r="O765" s="28"/>
      <c r="P765" s="28"/>
    </row>
    <row r="766">
      <c r="A766" s="25">
        <v>43251.320348946756</v>
      </c>
      <c r="B766" s="26" t="s">
        <v>33</v>
      </c>
      <c r="C766" s="26" t="s">
        <v>62</v>
      </c>
      <c r="D766" s="26" t="s">
        <v>41</v>
      </c>
      <c r="E766" s="26">
        <v>300.0</v>
      </c>
      <c r="F766" s="26" t="s">
        <v>63</v>
      </c>
      <c r="G766" s="26">
        <v>10.0</v>
      </c>
      <c r="H766" s="26">
        <v>1.0</v>
      </c>
      <c r="I766" s="26">
        <v>160.0</v>
      </c>
      <c r="J766" s="26">
        <v>320.0</v>
      </c>
      <c r="K766" s="26">
        <v>200.0</v>
      </c>
      <c r="M766" s="26" t="s">
        <v>449</v>
      </c>
      <c r="N766" s="28"/>
      <c r="O766" s="28"/>
      <c r="P766" s="28"/>
    </row>
    <row r="767">
      <c r="A767" s="25">
        <v>43251.32750252315</v>
      </c>
      <c r="B767" s="26" t="s">
        <v>660</v>
      </c>
      <c r="C767" s="26" t="s">
        <v>661</v>
      </c>
      <c r="D767" s="26" t="s">
        <v>31</v>
      </c>
      <c r="E767" s="26">
        <v>105.0</v>
      </c>
      <c r="F767" s="26" t="s">
        <v>662</v>
      </c>
      <c r="G767" s="26">
        <v>2.0</v>
      </c>
      <c r="H767" s="26">
        <v>2.0</v>
      </c>
      <c r="I767" s="26">
        <v>93.0</v>
      </c>
      <c r="K767" s="26">
        <v>12.0</v>
      </c>
      <c r="L767" s="26" t="s">
        <v>663</v>
      </c>
      <c r="M767" s="26" t="s">
        <v>449</v>
      </c>
      <c r="N767" s="28"/>
      <c r="O767" s="28"/>
      <c r="P767" s="28"/>
    </row>
    <row r="768">
      <c r="A768" s="25">
        <v>43251.342180381944</v>
      </c>
      <c r="B768" s="26" t="s">
        <v>80</v>
      </c>
      <c r="C768" s="26">
        <v>4.0</v>
      </c>
      <c r="D768" s="26" t="s">
        <v>27</v>
      </c>
      <c r="E768" s="26">
        <v>275.0</v>
      </c>
      <c r="F768" s="26" t="s">
        <v>51</v>
      </c>
      <c r="G768" s="26">
        <v>6.0</v>
      </c>
      <c r="H768" s="26">
        <v>1.0</v>
      </c>
      <c r="I768" s="26">
        <v>140000.0</v>
      </c>
      <c r="J768" s="26">
        <v>90000.0</v>
      </c>
      <c r="K768" s="26">
        <v>25000.0</v>
      </c>
      <c r="M768" s="26" t="s">
        <v>449</v>
      </c>
      <c r="N768" s="28"/>
      <c r="O768" s="28"/>
      <c r="P768" s="28"/>
    </row>
    <row r="769">
      <c r="A769" s="25">
        <v>43251.36849820602</v>
      </c>
      <c r="B769" s="26" t="s">
        <v>664</v>
      </c>
      <c r="C769" s="26" t="s">
        <v>253</v>
      </c>
      <c r="D769" s="26" t="s">
        <v>31</v>
      </c>
      <c r="E769" s="26">
        <v>166.0</v>
      </c>
      <c r="F769" s="26" t="s">
        <v>58</v>
      </c>
      <c r="G769" s="26">
        <v>3.8</v>
      </c>
      <c r="H769" s="26">
        <v>0.1</v>
      </c>
      <c r="I769" s="26">
        <v>130.0</v>
      </c>
      <c r="J769" s="26">
        <v>36.0</v>
      </c>
      <c r="M769" s="26" t="s">
        <v>449</v>
      </c>
      <c r="N769" s="28"/>
      <c r="O769" s="28"/>
      <c r="P769" s="28"/>
    </row>
    <row r="770">
      <c r="A770" s="25">
        <v>43251.447951828704</v>
      </c>
      <c r="B770" s="26" t="s">
        <v>665</v>
      </c>
      <c r="C770" s="26" t="s">
        <v>49</v>
      </c>
      <c r="D770" s="26" t="s">
        <v>31</v>
      </c>
      <c r="E770" s="26">
        <v>168.0</v>
      </c>
      <c r="F770" s="26" t="s">
        <v>481</v>
      </c>
      <c r="G770" s="26">
        <v>2.0</v>
      </c>
      <c r="H770" s="26">
        <v>2.0</v>
      </c>
      <c r="I770" s="26">
        <v>124000.0</v>
      </c>
      <c r="J770" s="26">
        <v>26000.0</v>
      </c>
      <c r="K770" s="26">
        <v>18600.0</v>
      </c>
      <c r="M770" s="26" t="s">
        <v>458</v>
      </c>
      <c r="N770" s="28"/>
      <c r="O770" s="28"/>
      <c r="P770" s="28"/>
    </row>
    <row r="771">
      <c r="A771" s="25">
        <v>43251.656085891205</v>
      </c>
      <c r="B771" s="26" t="s">
        <v>666</v>
      </c>
      <c r="C771" s="26" t="s">
        <v>667</v>
      </c>
      <c r="D771" s="26" t="s">
        <v>31</v>
      </c>
      <c r="E771" s="26">
        <v>150.0</v>
      </c>
      <c r="F771" s="26" t="s">
        <v>247</v>
      </c>
      <c r="G771" s="26">
        <v>10.0</v>
      </c>
      <c r="H771" s="26">
        <v>2.0</v>
      </c>
      <c r="I771" s="26">
        <v>130000.0</v>
      </c>
      <c r="K771" s="26">
        <v>15000.0</v>
      </c>
      <c r="M771" s="26" t="s">
        <v>458</v>
      </c>
      <c r="N771" s="28"/>
      <c r="O771" s="28"/>
      <c r="P771" s="28"/>
    </row>
    <row r="772">
      <c r="A772" s="25">
        <v>43251.69070065972</v>
      </c>
      <c r="B772" s="26" t="s">
        <v>48</v>
      </c>
      <c r="C772" s="26" t="s">
        <v>49</v>
      </c>
      <c r="D772" s="26" t="s">
        <v>31</v>
      </c>
      <c r="E772" s="26">
        <v>410.0</v>
      </c>
      <c r="F772" s="26" t="s">
        <v>32</v>
      </c>
      <c r="G772" s="26">
        <v>6.0</v>
      </c>
      <c r="H772" s="26">
        <v>3.0</v>
      </c>
      <c r="I772" s="26">
        <v>158000.0</v>
      </c>
      <c r="J772" s="26">
        <v>240000.0</v>
      </c>
      <c r="K772" s="26">
        <v>15800.0</v>
      </c>
      <c r="L772" s="26" t="s">
        <v>668</v>
      </c>
      <c r="M772" s="26" t="s">
        <v>449</v>
      </c>
      <c r="N772" s="28"/>
      <c r="O772" s="28"/>
      <c r="P772" s="28"/>
    </row>
    <row r="773">
      <c r="A773" s="25">
        <v>43251.9933300463</v>
      </c>
      <c r="B773" s="26" t="s">
        <v>33</v>
      </c>
      <c r="C773" s="26" t="s">
        <v>43</v>
      </c>
      <c r="D773" s="26" t="s">
        <v>31</v>
      </c>
      <c r="E773" s="26">
        <v>275.0</v>
      </c>
      <c r="F773" s="26" t="s">
        <v>236</v>
      </c>
      <c r="G773" s="26">
        <v>3.0</v>
      </c>
      <c r="H773" s="26">
        <v>3.0</v>
      </c>
      <c r="I773" s="26">
        <v>150.0</v>
      </c>
      <c r="J773" s="26">
        <v>100.0</v>
      </c>
      <c r="K773" s="26">
        <v>20.0</v>
      </c>
      <c r="M773" s="26" t="s">
        <v>449</v>
      </c>
      <c r="N773" s="28"/>
      <c r="O773" s="28"/>
      <c r="P773" s="28"/>
    </row>
    <row r="774">
      <c r="A774" s="25">
        <v>43252.328359652776</v>
      </c>
      <c r="B774" s="26" t="s">
        <v>669</v>
      </c>
      <c r="C774" s="26" t="s">
        <v>37</v>
      </c>
      <c r="D774" s="26" t="s">
        <v>31</v>
      </c>
      <c r="E774" s="26">
        <v>125.0</v>
      </c>
      <c r="F774" s="26" t="s">
        <v>670</v>
      </c>
      <c r="G774" s="26">
        <v>8.0</v>
      </c>
      <c r="H774" s="26">
        <v>2.0</v>
      </c>
      <c r="I774" s="26">
        <v>125.0</v>
      </c>
      <c r="K774" s="26">
        <v>8.0</v>
      </c>
      <c r="M774" s="26" t="s">
        <v>449</v>
      </c>
      <c r="N774" s="28"/>
      <c r="O774" s="28"/>
      <c r="P774" s="28"/>
    </row>
    <row r="775">
      <c r="A775" s="25">
        <v>43252.36471792824</v>
      </c>
      <c r="B775" s="26" t="s">
        <v>671</v>
      </c>
      <c r="C775" s="26" t="s">
        <v>191</v>
      </c>
      <c r="D775" s="26" t="s">
        <v>31</v>
      </c>
      <c r="E775" s="26">
        <v>118.0</v>
      </c>
      <c r="F775" s="26" t="s">
        <v>35</v>
      </c>
      <c r="G775" s="26">
        <v>2.0</v>
      </c>
      <c r="H775" s="26">
        <v>2.0</v>
      </c>
      <c r="I775" s="26">
        <v>95000.0</v>
      </c>
      <c r="J775" s="26">
        <v>18000.0</v>
      </c>
      <c r="K775" s="26">
        <v>5000.0</v>
      </c>
      <c r="M775" s="26" t="s">
        <v>449</v>
      </c>
      <c r="N775" s="28"/>
      <c r="O775" s="28"/>
      <c r="P775" s="28"/>
    </row>
    <row r="776">
      <c r="A776" s="25">
        <v>43252.40033208333</v>
      </c>
      <c r="B776" s="26" t="s">
        <v>33</v>
      </c>
      <c r="C776" s="26" t="s">
        <v>43</v>
      </c>
      <c r="D776" s="26" t="s">
        <v>31</v>
      </c>
      <c r="E776" s="26">
        <v>212.0</v>
      </c>
      <c r="F776" s="26" t="s">
        <v>35</v>
      </c>
      <c r="G776" s="26">
        <v>6.0</v>
      </c>
      <c r="H776" s="26">
        <v>5.0</v>
      </c>
      <c r="I776" s="26">
        <v>145000.0</v>
      </c>
      <c r="J776" s="26">
        <v>156800.0</v>
      </c>
      <c r="K776" s="26">
        <v>105000.0</v>
      </c>
      <c r="M776" s="26" t="s">
        <v>449</v>
      </c>
      <c r="N776" s="28"/>
      <c r="O776" s="28"/>
      <c r="P776" s="28"/>
    </row>
    <row r="777">
      <c r="A777" s="25">
        <v>43252.40566239583</v>
      </c>
      <c r="B777" s="26" t="s">
        <v>119</v>
      </c>
      <c r="C777" s="26" t="s">
        <v>262</v>
      </c>
      <c r="D777" s="26" t="s">
        <v>31</v>
      </c>
      <c r="E777" s="26">
        <v>220.0</v>
      </c>
      <c r="F777" s="26" t="s">
        <v>58</v>
      </c>
      <c r="G777" s="26">
        <v>8.0</v>
      </c>
      <c r="H777" s="26">
        <v>5.0</v>
      </c>
      <c r="I777" s="26">
        <v>170.0</v>
      </c>
      <c r="J777" s="26">
        <v>25.0</v>
      </c>
      <c r="K777" s="26">
        <v>25.5</v>
      </c>
      <c r="M777" s="26" t="s">
        <v>449</v>
      </c>
      <c r="N777" s="28"/>
      <c r="O777" s="28"/>
      <c r="P777" s="28"/>
    </row>
    <row r="778">
      <c r="A778" s="25">
        <v>43252.610360983796</v>
      </c>
      <c r="B778" s="26" t="s">
        <v>33</v>
      </c>
      <c r="C778" s="26" t="s">
        <v>43</v>
      </c>
      <c r="D778" s="26" t="s">
        <v>31</v>
      </c>
      <c r="E778" s="26">
        <v>190.0</v>
      </c>
      <c r="F778" s="26" t="s">
        <v>86</v>
      </c>
      <c r="G778" s="26">
        <v>5.0</v>
      </c>
      <c r="H778" s="26">
        <v>0.0</v>
      </c>
      <c r="I778" s="26">
        <v>145000.0</v>
      </c>
      <c r="J778" s="26">
        <v>5000.0</v>
      </c>
      <c r="K778" s="26">
        <v>45000.0</v>
      </c>
      <c r="M778" s="26" t="s">
        <v>449</v>
      </c>
      <c r="N778" s="28"/>
      <c r="O778" s="28"/>
      <c r="P778" s="28"/>
    </row>
    <row r="779">
      <c r="A779" s="25">
        <v>43252.62432988426</v>
      </c>
      <c r="B779" s="26" t="s">
        <v>40</v>
      </c>
      <c r="C779" s="26">
        <v>60.0</v>
      </c>
      <c r="D779" s="26" t="s">
        <v>31</v>
      </c>
      <c r="E779" s="26">
        <v>160.0</v>
      </c>
      <c r="F779" s="26" t="s">
        <v>32</v>
      </c>
      <c r="G779" s="26">
        <v>8.0</v>
      </c>
      <c r="H779" s="26">
        <v>1.0</v>
      </c>
      <c r="I779" s="26">
        <v>131.0</v>
      </c>
      <c r="J779" s="26">
        <v>7.0</v>
      </c>
      <c r="K779" s="26">
        <v>13.0</v>
      </c>
      <c r="L779" s="26" t="s">
        <v>672</v>
      </c>
      <c r="M779" s="26" t="s">
        <v>449</v>
      </c>
      <c r="N779" s="28"/>
      <c r="O779" s="28"/>
      <c r="P779" s="28"/>
    </row>
    <row r="780">
      <c r="A780" s="25">
        <v>43252.76841640046</v>
      </c>
      <c r="B780" s="26" t="s">
        <v>673</v>
      </c>
      <c r="C780" s="26" t="s">
        <v>283</v>
      </c>
      <c r="D780" s="26" t="s">
        <v>31</v>
      </c>
      <c r="E780" s="26">
        <v>275.0</v>
      </c>
      <c r="F780" s="26" t="s">
        <v>674</v>
      </c>
      <c r="G780" s="26">
        <v>15.0</v>
      </c>
      <c r="H780" s="26">
        <v>5.0</v>
      </c>
      <c r="I780" s="26">
        <v>190000.0</v>
      </c>
      <c r="J780" s="26">
        <v>50000.0</v>
      </c>
      <c r="K780" s="26">
        <v>35000.0</v>
      </c>
      <c r="L780" s="26" t="s">
        <v>675</v>
      </c>
      <c r="M780" s="26" t="s">
        <v>449</v>
      </c>
      <c r="N780" s="28"/>
      <c r="O780" s="28"/>
      <c r="P780" s="28"/>
    </row>
    <row r="781">
      <c r="A781" s="25">
        <v>43252.88272810185</v>
      </c>
      <c r="B781" s="26" t="s">
        <v>154</v>
      </c>
      <c r="C781" s="26" t="s">
        <v>676</v>
      </c>
      <c r="D781" s="26" t="s">
        <v>31</v>
      </c>
      <c r="E781" s="26">
        <v>353.0</v>
      </c>
      <c r="F781" s="26" t="s">
        <v>677</v>
      </c>
      <c r="G781" s="26">
        <v>21.0</v>
      </c>
      <c r="H781" s="26">
        <v>6.0</v>
      </c>
      <c r="I781" s="26">
        <v>218000.0</v>
      </c>
      <c r="J781" s="26">
        <v>80000.0</v>
      </c>
      <c r="K781" s="26">
        <v>54500.0</v>
      </c>
      <c r="M781" s="26" t="s">
        <v>449</v>
      </c>
      <c r="N781" s="28"/>
      <c r="O781" s="28"/>
      <c r="P781" s="28"/>
    </row>
    <row r="782">
      <c r="A782" s="25">
        <v>43252.963492118055</v>
      </c>
      <c r="B782" s="26" t="s">
        <v>29</v>
      </c>
      <c r="C782" s="26" t="s">
        <v>500</v>
      </c>
      <c r="D782" s="26" t="s">
        <v>31</v>
      </c>
      <c r="E782" s="26">
        <v>80.0</v>
      </c>
      <c r="F782" s="26" t="s">
        <v>678</v>
      </c>
      <c r="G782" s="26">
        <v>1.5</v>
      </c>
      <c r="H782" s="26">
        <v>6.0</v>
      </c>
      <c r="I782" s="26">
        <v>80000.0</v>
      </c>
      <c r="J782" s="26">
        <v>1.0</v>
      </c>
      <c r="K782" s="26">
        <v>4500.0</v>
      </c>
      <c r="M782" s="26" t="s">
        <v>449</v>
      </c>
      <c r="N782" s="28"/>
      <c r="O782" s="28"/>
      <c r="P782" s="28"/>
    </row>
    <row r="783">
      <c r="A783" s="25">
        <v>43252.99680569445</v>
      </c>
      <c r="B783" s="26" t="s">
        <v>40</v>
      </c>
      <c r="C783" s="26">
        <v>61.0</v>
      </c>
      <c r="D783" s="26" t="s">
        <v>31</v>
      </c>
      <c r="E783" s="26">
        <v>135.0</v>
      </c>
      <c r="F783" s="26" t="s">
        <v>75</v>
      </c>
      <c r="G783" s="26">
        <v>6.0</v>
      </c>
      <c r="H783" s="26">
        <v>2.5</v>
      </c>
      <c r="I783" s="26">
        <v>124000.0</v>
      </c>
      <c r="K783" s="26">
        <v>8000.0</v>
      </c>
      <c r="M783" s="26" t="s">
        <v>449</v>
      </c>
      <c r="N783" s="28"/>
      <c r="O783" s="28"/>
      <c r="P783" s="28"/>
    </row>
    <row r="784">
      <c r="A784" s="25">
        <v>43253.02668458333</v>
      </c>
      <c r="B784" s="26" t="s">
        <v>80</v>
      </c>
      <c r="C784" s="26" t="s">
        <v>26</v>
      </c>
      <c r="D784" s="26" t="s">
        <v>31</v>
      </c>
      <c r="E784" s="26">
        <v>196.0</v>
      </c>
      <c r="F784" s="26" t="s">
        <v>679</v>
      </c>
      <c r="G784" s="26">
        <v>1.0</v>
      </c>
      <c r="H784" s="26">
        <v>3.0</v>
      </c>
      <c r="I784" s="26">
        <v>118.0</v>
      </c>
      <c r="J784" s="26">
        <v>60.0</v>
      </c>
      <c r="K784" s="26">
        <v>18.0</v>
      </c>
      <c r="M784" s="26" t="s">
        <v>449</v>
      </c>
      <c r="N784" s="28"/>
      <c r="O784" s="28"/>
      <c r="P784" s="28"/>
    </row>
    <row r="785">
      <c r="A785" s="25">
        <v>43253.17096125</v>
      </c>
      <c r="B785" s="26" t="s">
        <v>124</v>
      </c>
      <c r="C785" s="26" t="s">
        <v>96</v>
      </c>
      <c r="D785" s="26" t="s">
        <v>31</v>
      </c>
      <c r="E785" s="26">
        <v>205.0</v>
      </c>
      <c r="F785" s="26" t="s">
        <v>51</v>
      </c>
      <c r="G785" s="26">
        <v>3.0</v>
      </c>
      <c r="H785" s="26">
        <v>3.0</v>
      </c>
      <c r="I785" s="26">
        <v>145.0</v>
      </c>
      <c r="J785" s="26">
        <v>40.0</v>
      </c>
      <c r="K785" s="26">
        <v>20.0</v>
      </c>
      <c r="M785" s="26" t="s">
        <v>449</v>
      </c>
      <c r="N785" s="28"/>
      <c r="O785" s="28"/>
      <c r="P785" s="28"/>
    </row>
    <row r="786">
      <c r="A786" s="25">
        <v>43253.35203101852</v>
      </c>
      <c r="B786" s="26" t="s">
        <v>33</v>
      </c>
      <c r="C786" s="26" t="s">
        <v>76</v>
      </c>
      <c r="D786" s="26" t="s">
        <v>31</v>
      </c>
      <c r="E786" s="26">
        <v>195.0</v>
      </c>
      <c r="F786" s="26" t="s">
        <v>35</v>
      </c>
      <c r="G786" s="26">
        <v>20.0</v>
      </c>
      <c r="H786" s="26">
        <v>2.0</v>
      </c>
      <c r="I786" s="26">
        <v>140.0</v>
      </c>
      <c r="J786" s="26">
        <v>15.0</v>
      </c>
      <c r="K786" s="26">
        <v>40.0</v>
      </c>
      <c r="M786" s="26" t="s">
        <v>449</v>
      </c>
      <c r="N786" s="28"/>
      <c r="O786" s="28"/>
      <c r="P786" s="28"/>
    </row>
    <row r="787">
      <c r="A787" s="25">
        <v>43253.41077209491</v>
      </c>
      <c r="B787" s="26" t="s">
        <v>538</v>
      </c>
      <c r="C787" s="26" t="s">
        <v>680</v>
      </c>
      <c r="D787" s="26" t="s">
        <v>31</v>
      </c>
      <c r="E787" s="26">
        <v>40.0</v>
      </c>
      <c r="F787" s="26" t="s">
        <v>681</v>
      </c>
      <c r="G787" s="26">
        <v>4.0</v>
      </c>
      <c r="H787" s="26">
        <v>1.0</v>
      </c>
      <c r="I787" s="26">
        <v>34300.0</v>
      </c>
      <c r="K787" s="26">
        <v>5700.0</v>
      </c>
      <c r="M787" s="26" t="s">
        <v>449</v>
      </c>
      <c r="N787" s="28"/>
      <c r="O787" s="28"/>
      <c r="P787" s="28"/>
    </row>
    <row r="788">
      <c r="A788" s="25">
        <v>43253.41491146991</v>
      </c>
      <c r="B788" s="26" t="s">
        <v>80</v>
      </c>
      <c r="C788" s="26">
        <v>7.0</v>
      </c>
      <c r="D788" s="26" t="s">
        <v>27</v>
      </c>
      <c r="E788" s="26">
        <v>690.0</v>
      </c>
      <c r="F788" s="26" t="s">
        <v>35</v>
      </c>
      <c r="G788" s="26">
        <v>12.0</v>
      </c>
      <c r="H788" s="26">
        <v>7.0</v>
      </c>
      <c r="I788" s="26">
        <v>225.0</v>
      </c>
      <c r="J788" s="26">
        <v>275.0</v>
      </c>
      <c r="K788" s="26">
        <v>75.0</v>
      </c>
      <c r="M788" s="26" t="s">
        <v>449</v>
      </c>
      <c r="N788" s="28"/>
      <c r="O788" s="28"/>
      <c r="P788" s="28"/>
    </row>
    <row r="789">
      <c r="A789" s="25">
        <v>43253.57271574074</v>
      </c>
      <c r="B789" s="26" t="s">
        <v>682</v>
      </c>
      <c r="C789" s="26" t="s">
        <v>62</v>
      </c>
      <c r="D789" s="26" t="s">
        <v>41</v>
      </c>
      <c r="E789" s="26">
        <v>280.0</v>
      </c>
      <c r="F789" s="26" t="s">
        <v>272</v>
      </c>
      <c r="G789" s="26">
        <v>30.0</v>
      </c>
      <c r="H789" s="26">
        <v>5.0</v>
      </c>
      <c r="I789" s="26">
        <v>225.0</v>
      </c>
      <c r="K789" s="26">
        <v>55.0</v>
      </c>
      <c r="M789" s="26" t="s">
        <v>449</v>
      </c>
      <c r="N789" s="28"/>
      <c r="O789" s="28"/>
      <c r="P789" s="28"/>
    </row>
    <row r="790">
      <c r="A790" s="25">
        <v>43253.95292804398</v>
      </c>
      <c r="B790" s="26" t="s">
        <v>80</v>
      </c>
      <c r="C790" s="26">
        <v>4.0</v>
      </c>
      <c r="D790" s="26" t="s">
        <v>31</v>
      </c>
      <c r="E790" s="26">
        <v>280.0</v>
      </c>
      <c r="F790" s="26" t="s">
        <v>199</v>
      </c>
      <c r="G790" s="26">
        <v>2.0</v>
      </c>
      <c r="H790" s="26">
        <v>2.0</v>
      </c>
      <c r="I790" s="26">
        <v>150000.0</v>
      </c>
      <c r="J790" s="26">
        <v>100000.0</v>
      </c>
      <c r="K790" s="26">
        <v>30000.0</v>
      </c>
      <c r="M790" s="26" t="s">
        <v>449</v>
      </c>
      <c r="N790" s="28"/>
      <c r="O790" s="28"/>
      <c r="P790" s="28"/>
    </row>
    <row r="791">
      <c r="A791" s="25">
        <v>43254.095525798606</v>
      </c>
      <c r="B791" s="26" t="s">
        <v>40</v>
      </c>
      <c r="C791" s="26">
        <v>65.0</v>
      </c>
      <c r="D791" s="26" t="s">
        <v>31</v>
      </c>
      <c r="E791" s="26">
        <v>340.0</v>
      </c>
      <c r="F791" s="26" t="s">
        <v>75</v>
      </c>
      <c r="G791" s="26">
        <v>8.0</v>
      </c>
      <c r="H791" s="26">
        <v>1.0</v>
      </c>
      <c r="I791" s="26">
        <v>200.0</v>
      </c>
      <c r="J791" s="26">
        <v>100.0</v>
      </c>
      <c r="K791" s="26">
        <v>40.0</v>
      </c>
      <c r="M791" s="26" t="s">
        <v>449</v>
      </c>
      <c r="N791" s="28"/>
      <c r="O791" s="28"/>
      <c r="P791" s="28"/>
    </row>
    <row r="792">
      <c r="A792" s="25">
        <v>43254.258309502315</v>
      </c>
      <c r="B792" s="26" t="s">
        <v>40</v>
      </c>
      <c r="C792" s="26" t="s">
        <v>76</v>
      </c>
      <c r="D792" s="26" t="s">
        <v>31</v>
      </c>
      <c r="E792" s="26">
        <v>160.0</v>
      </c>
      <c r="F792" s="26" t="s">
        <v>75</v>
      </c>
      <c r="G792" s="26">
        <v>2.0</v>
      </c>
      <c r="H792" s="26">
        <v>2.0</v>
      </c>
      <c r="I792" s="26">
        <v>127000.0</v>
      </c>
      <c r="J792" s="26">
        <v>70000.0</v>
      </c>
      <c r="K792" s="26">
        <v>12700.0</v>
      </c>
      <c r="M792" s="26" t="s">
        <v>449</v>
      </c>
      <c r="N792" s="28"/>
      <c r="O792" s="28"/>
      <c r="P792" s="28"/>
    </row>
    <row r="793">
      <c r="A793" s="25">
        <v>43254.32628657407</v>
      </c>
      <c r="B793" s="26" t="s">
        <v>168</v>
      </c>
      <c r="C793" s="26">
        <v>61.0</v>
      </c>
      <c r="D793" s="26" t="s">
        <v>31</v>
      </c>
      <c r="E793" s="26">
        <v>160.0</v>
      </c>
      <c r="F793" s="26" t="s">
        <v>52</v>
      </c>
      <c r="G793" s="26">
        <v>10.0</v>
      </c>
      <c r="H793" s="26">
        <v>0.0</v>
      </c>
      <c r="I793" s="26">
        <v>130000.0</v>
      </c>
      <c r="J793" s="26">
        <v>25000.0</v>
      </c>
      <c r="K793" s="26">
        <v>15000.0</v>
      </c>
      <c r="M793" s="26" t="s">
        <v>449</v>
      </c>
      <c r="N793" s="28"/>
      <c r="O793" s="28"/>
      <c r="P793" s="28"/>
    </row>
    <row r="794">
      <c r="A794" s="25">
        <v>43254.41181857639</v>
      </c>
      <c r="B794" s="26" t="s">
        <v>33</v>
      </c>
      <c r="C794" s="26" t="s">
        <v>73</v>
      </c>
      <c r="D794" s="26" t="s">
        <v>31</v>
      </c>
      <c r="E794" s="26">
        <v>134.0</v>
      </c>
      <c r="F794" s="26" t="s">
        <v>63</v>
      </c>
      <c r="G794" s="26">
        <v>1.0</v>
      </c>
      <c r="H794" s="26">
        <v>1.0</v>
      </c>
      <c r="I794" s="26">
        <v>111000.0</v>
      </c>
      <c r="J794" s="26">
        <v>4500.0</v>
      </c>
      <c r="K794" s="26">
        <v>18500.0</v>
      </c>
      <c r="M794" s="26" t="s">
        <v>449</v>
      </c>
      <c r="N794" s="28"/>
      <c r="O794" s="28"/>
      <c r="P794" s="28"/>
    </row>
    <row r="795">
      <c r="A795" s="25">
        <v>43254.58218027778</v>
      </c>
      <c r="B795" s="26" t="s">
        <v>139</v>
      </c>
      <c r="C795" s="26" t="s">
        <v>117</v>
      </c>
      <c r="D795" s="26" t="s">
        <v>31</v>
      </c>
      <c r="E795" s="26">
        <v>160.5</v>
      </c>
      <c r="F795" s="26" t="s">
        <v>134</v>
      </c>
      <c r="G795" s="26">
        <v>0.58</v>
      </c>
      <c r="H795" s="26">
        <v>0.58</v>
      </c>
      <c r="I795" s="26">
        <v>128.0</v>
      </c>
      <c r="J795" s="26">
        <v>13.0</v>
      </c>
      <c r="K795" s="26">
        <v>19.2</v>
      </c>
      <c r="M795" s="26" t="s">
        <v>449</v>
      </c>
      <c r="N795" s="26" t="s">
        <v>683</v>
      </c>
    </row>
    <row r="796">
      <c r="A796" s="25">
        <v>43254.62128027777</v>
      </c>
      <c r="B796" s="26" t="s">
        <v>319</v>
      </c>
      <c r="C796" s="26" t="s">
        <v>372</v>
      </c>
      <c r="D796" s="26" t="s">
        <v>31</v>
      </c>
      <c r="E796" s="26">
        <v>120.0</v>
      </c>
      <c r="F796" s="26" t="s">
        <v>684</v>
      </c>
      <c r="G796" s="26">
        <v>7.0</v>
      </c>
      <c r="H796" s="26">
        <v>2.0</v>
      </c>
      <c r="I796" s="26">
        <v>115000.0</v>
      </c>
      <c r="K796" s="26">
        <v>5000.0</v>
      </c>
      <c r="M796" s="26" t="s">
        <v>449</v>
      </c>
      <c r="N796" s="26" t="s">
        <v>685</v>
      </c>
    </row>
    <row r="797">
      <c r="A797" s="25">
        <v>43254.799553784724</v>
      </c>
      <c r="B797" s="26" t="s">
        <v>80</v>
      </c>
      <c r="C797" s="26" t="s">
        <v>152</v>
      </c>
      <c r="D797" s="26" t="s">
        <v>27</v>
      </c>
      <c r="E797" s="26">
        <v>1850.0</v>
      </c>
      <c r="F797" s="26" t="s">
        <v>686</v>
      </c>
      <c r="G797" s="26">
        <v>13.0</v>
      </c>
      <c r="H797" s="26">
        <v>7.0</v>
      </c>
      <c r="I797" s="26">
        <v>300.0</v>
      </c>
      <c r="J797" s="26">
        <v>1450.0</v>
      </c>
      <c r="K797" s="26">
        <v>100.0</v>
      </c>
      <c r="M797" s="26" t="s">
        <v>449</v>
      </c>
      <c r="N797" s="26" t="s">
        <v>687</v>
      </c>
    </row>
    <row r="798">
      <c r="A798" s="25">
        <v>43255.01112248843</v>
      </c>
      <c r="B798" s="26" t="s">
        <v>25</v>
      </c>
      <c r="C798" s="26" t="s">
        <v>688</v>
      </c>
      <c r="D798" s="26" t="s">
        <v>41</v>
      </c>
      <c r="E798" s="26">
        <v>340.0</v>
      </c>
      <c r="F798" s="26" t="s">
        <v>481</v>
      </c>
      <c r="G798" s="26">
        <v>16.0</v>
      </c>
      <c r="H798" s="26">
        <v>15.0</v>
      </c>
      <c r="I798" s="26">
        <v>206.0</v>
      </c>
      <c r="J798" s="26">
        <v>134.0</v>
      </c>
      <c r="M798" s="26" t="s">
        <v>449</v>
      </c>
      <c r="N798" s="26" t="s">
        <v>685</v>
      </c>
    </row>
    <row r="799">
      <c r="A799" s="25">
        <v>43255.346383888886</v>
      </c>
      <c r="B799" s="26" t="s">
        <v>33</v>
      </c>
      <c r="C799" s="26" t="s">
        <v>110</v>
      </c>
      <c r="D799" s="26" t="s">
        <v>31</v>
      </c>
      <c r="E799" s="26">
        <v>200.0</v>
      </c>
      <c r="F799" s="26" t="s">
        <v>63</v>
      </c>
      <c r="G799" s="26">
        <v>12.0</v>
      </c>
      <c r="H799" s="26">
        <v>2.0</v>
      </c>
      <c r="I799" s="26">
        <v>145000.0</v>
      </c>
      <c r="J799" s="26">
        <v>222.0</v>
      </c>
      <c r="M799" s="26" t="s">
        <v>449</v>
      </c>
      <c r="N799" s="26" t="s">
        <v>685</v>
      </c>
    </row>
    <row r="800">
      <c r="A800" s="25">
        <v>43255.71935193287</v>
      </c>
      <c r="B800" s="26" t="s">
        <v>689</v>
      </c>
      <c r="C800" s="26" t="s">
        <v>690</v>
      </c>
      <c r="D800" s="26" t="s">
        <v>31</v>
      </c>
      <c r="E800" s="26">
        <v>308.0</v>
      </c>
      <c r="F800" s="26" t="s">
        <v>35</v>
      </c>
      <c r="G800" s="26">
        <v>4.0</v>
      </c>
      <c r="H800" s="26">
        <v>0.0</v>
      </c>
      <c r="I800" s="26">
        <v>156000.0</v>
      </c>
      <c r="J800" s="26">
        <v>400000.0</v>
      </c>
      <c r="K800" s="26">
        <v>52000.0</v>
      </c>
      <c r="M800" s="26" t="s">
        <v>449</v>
      </c>
      <c r="N800" s="26" t="s">
        <v>691</v>
      </c>
    </row>
    <row r="801">
      <c r="A801" s="25">
        <v>43255.830863310184</v>
      </c>
      <c r="B801" s="26" t="s">
        <v>371</v>
      </c>
      <c r="C801" s="26" t="s">
        <v>692</v>
      </c>
      <c r="D801" s="26" t="s">
        <v>31</v>
      </c>
      <c r="E801" s="26">
        <v>240.0</v>
      </c>
      <c r="F801" s="26" t="s">
        <v>232</v>
      </c>
      <c r="G801" s="26">
        <v>15.0</v>
      </c>
      <c r="H801" s="26">
        <v>6.0</v>
      </c>
      <c r="M801" s="26" t="s">
        <v>449</v>
      </c>
      <c r="N801" s="26" t="s">
        <v>693</v>
      </c>
    </row>
    <row r="802">
      <c r="A802" s="25">
        <v>43255.852752997685</v>
      </c>
      <c r="B802" s="26" t="s">
        <v>270</v>
      </c>
      <c r="C802" s="26" t="s">
        <v>455</v>
      </c>
      <c r="D802" s="26" t="s">
        <v>31</v>
      </c>
      <c r="E802" s="26">
        <v>160.0</v>
      </c>
      <c r="F802" s="26" t="s">
        <v>35</v>
      </c>
      <c r="G802" s="26">
        <v>5.0</v>
      </c>
      <c r="H802" s="26">
        <v>3.0</v>
      </c>
      <c r="M802" s="26" t="s">
        <v>449</v>
      </c>
      <c r="N802" s="26" t="s">
        <v>683</v>
      </c>
    </row>
    <row r="803">
      <c r="A803" s="25">
        <v>43255.85303378472</v>
      </c>
      <c r="B803" s="26" t="s">
        <v>48</v>
      </c>
      <c r="C803" s="26" t="s">
        <v>69</v>
      </c>
      <c r="D803" s="26" t="s">
        <v>31</v>
      </c>
      <c r="E803" s="26">
        <v>165.0</v>
      </c>
      <c r="F803" s="26" t="s">
        <v>63</v>
      </c>
      <c r="G803" s="26">
        <v>1.0</v>
      </c>
      <c r="H803" s="26">
        <v>1.0</v>
      </c>
      <c r="I803" s="26">
        <v>114000.0</v>
      </c>
      <c r="J803" s="26">
        <v>37500.0</v>
      </c>
      <c r="K803" s="26">
        <v>11400.0</v>
      </c>
      <c r="M803" s="26" t="s">
        <v>449</v>
      </c>
      <c r="N803" s="26" t="s">
        <v>683</v>
      </c>
    </row>
    <row r="804">
      <c r="A804" s="25">
        <v>43256.03926542824</v>
      </c>
      <c r="B804" s="26" t="s">
        <v>694</v>
      </c>
      <c r="C804" s="26" t="s">
        <v>494</v>
      </c>
      <c r="D804" s="26" t="s">
        <v>31</v>
      </c>
      <c r="E804" s="26">
        <v>218.0</v>
      </c>
      <c r="F804" s="26" t="s">
        <v>175</v>
      </c>
      <c r="G804" s="26">
        <v>8.0</v>
      </c>
      <c r="H804" s="26">
        <v>1.0</v>
      </c>
      <c r="I804" s="26">
        <v>165.0</v>
      </c>
      <c r="J804" s="26">
        <v>100000.0</v>
      </c>
      <c r="K804" s="26">
        <v>32000.0</v>
      </c>
      <c r="M804" s="26" t="s">
        <v>449</v>
      </c>
      <c r="N804" s="26" t="s">
        <v>685</v>
      </c>
    </row>
    <row r="805">
      <c r="A805" s="25">
        <v>43256.054919814815</v>
      </c>
      <c r="B805" s="26" t="s">
        <v>36</v>
      </c>
      <c r="C805" s="26" t="s">
        <v>73</v>
      </c>
      <c r="D805" s="26" t="s">
        <v>31</v>
      </c>
      <c r="E805" s="26">
        <v>240.0</v>
      </c>
      <c r="F805" s="26" t="s">
        <v>32</v>
      </c>
      <c r="G805" s="26">
        <v>3.0</v>
      </c>
      <c r="H805" s="26">
        <v>0.0</v>
      </c>
      <c r="I805" s="26">
        <v>145000.0</v>
      </c>
      <c r="J805" s="26">
        <v>81500.0</v>
      </c>
      <c r="K805" s="26">
        <v>13500.0</v>
      </c>
      <c r="L805" s="26" t="s">
        <v>695</v>
      </c>
      <c r="M805" s="26" t="s">
        <v>449</v>
      </c>
      <c r="N805" s="26" t="s">
        <v>696</v>
      </c>
    </row>
    <row r="806">
      <c r="A806" s="25">
        <v>43256.30088966435</v>
      </c>
      <c r="B806" s="26" t="s">
        <v>350</v>
      </c>
      <c r="C806" s="26" t="s">
        <v>697</v>
      </c>
      <c r="D806" s="26" t="s">
        <v>31</v>
      </c>
      <c r="E806" s="26">
        <v>196.0</v>
      </c>
      <c r="F806" s="26" t="s">
        <v>94</v>
      </c>
      <c r="G806" s="26">
        <v>8.0</v>
      </c>
      <c r="H806" s="26">
        <v>2.0</v>
      </c>
      <c r="I806" s="26">
        <v>160000.0</v>
      </c>
      <c r="K806" s="26">
        <v>16000.0</v>
      </c>
      <c r="L806" s="26" t="s">
        <v>698</v>
      </c>
      <c r="M806" s="26" t="s">
        <v>449</v>
      </c>
      <c r="N806" s="26" t="s">
        <v>699</v>
      </c>
    </row>
    <row r="807">
      <c r="A807" s="25">
        <v>43256.40036954861</v>
      </c>
      <c r="B807" s="26" t="s">
        <v>40</v>
      </c>
      <c r="C807" s="26">
        <v>61.0</v>
      </c>
      <c r="D807" s="26" t="s">
        <v>31</v>
      </c>
      <c r="E807" s="26">
        <v>170.0</v>
      </c>
      <c r="F807" s="26" t="s">
        <v>63</v>
      </c>
      <c r="G807" s="26">
        <v>1.0</v>
      </c>
      <c r="H807" s="26">
        <v>0.0</v>
      </c>
      <c r="I807" s="26">
        <v>125.0</v>
      </c>
      <c r="J807" s="26">
        <v>50000.0</v>
      </c>
      <c r="K807" s="26">
        <v>32000.0</v>
      </c>
      <c r="M807" s="26" t="s">
        <v>449</v>
      </c>
      <c r="N807" s="26" t="s">
        <v>685</v>
      </c>
    </row>
    <row r="808">
      <c r="A808" s="25">
        <v>43256.52864421296</v>
      </c>
      <c r="B808" s="27" t="s">
        <v>700</v>
      </c>
      <c r="C808" s="26" t="s">
        <v>701</v>
      </c>
      <c r="D808" s="26" t="s">
        <v>31</v>
      </c>
      <c r="E808" s="26">
        <v>82.0</v>
      </c>
      <c r="F808" s="26" t="s">
        <v>702</v>
      </c>
      <c r="G808" s="26">
        <v>3.0</v>
      </c>
      <c r="H808" s="26">
        <v>1.0</v>
      </c>
      <c r="I808" s="26">
        <v>70.0</v>
      </c>
      <c r="K808" s="26">
        <v>12000.0</v>
      </c>
      <c r="M808" s="26" t="s">
        <v>449</v>
      </c>
      <c r="N808" s="26" t="s">
        <v>687</v>
      </c>
    </row>
    <row r="809">
      <c r="A809" s="25">
        <v>43256.531161481485</v>
      </c>
      <c r="B809" s="26" t="s">
        <v>80</v>
      </c>
      <c r="C809" s="26" t="s">
        <v>26</v>
      </c>
      <c r="D809" s="26" t="s">
        <v>31</v>
      </c>
      <c r="E809" s="26">
        <v>208.0</v>
      </c>
      <c r="F809" s="26" t="s">
        <v>51</v>
      </c>
      <c r="G809" s="26">
        <v>0.0</v>
      </c>
      <c r="H809" s="26">
        <v>0.0</v>
      </c>
      <c r="I809" s="26">
        <v>116.0</v>
      </c>
      <c r="J809" s="26">
        <v>260.0</v>
      </c>
      <c r="K809" s="26">
        <v>17.0</v>
      </c>
      <c r="L809" s="26" t="s">
        <v>703</v>
      </c>
      <c r="M809" s="26" t="s">
        <v>449</v>
      </c>
      <c r="N809" s="26" t="s">
        <v>685</v>
      </c>
    </row>
    <row r="810">
      <c r="A810" s="25">
        <v>43256.537644826385</v>
      </c>
      <c r="B810" s="26" t="s">
        <v>33</v>
      </c>
      <c r="C810" s="26" t="s">
        <v>62</v>
      </c>
      <c r="D810" s="26" t="s">
        <v>41</v>
      </c>
      <c r="E810" s="26">
        <v>400.0</v>
      </c>
      <c r="F810" s="26" t="s">
        <v>35</v>
      </c>
      <c r="G810" s="26">
        <v>15.0</v>
      </c>
      <c r="H810" s="26">
        <v>3.0</v>
      </c>
      <c r="I810" s="26">
        <v>160000.0</v>
      </c>
      <c r="M810" s="26" t="s">
        <v>449</v>
      </c>
      <c r="N810" s="26" t="s">
        <v>704</v>
      </c>
    </row>
    <row r="811">
      <c r="A811" s="25">
        <v>43256.538186817124</v>
      </c>
      <c r="B811" s="26" t="s">
        <v>33</v>
      </c>
      <c r="C811" s="26" t="s">
        <v>43</v>
      </c>
      <c r="D811" s="26" t="s">
        <v>31</v>
      </c>
      <c r="E811" s="26">
        <v>240.0</v>
      </c>
      <c r="F811" s="26" t="s">
        <v>35</v>
      </c>
      <c r="G811" s="26">
        <v>5.5</v>
      </c>
      <c r="H811" s="26">
        <v>5.5</v>
      </c>
      <c r="I811" s="26">
        <v>130.0</v>
      </c>
      <c r="J811" s="26">
        <v>110.0</v>
      </c>
      <c r="M811" s="26" t="s">
        <v>449</v>
      </c>
      <c r="N811" s="26" t="s">
        <v>685</v>
      </c>
    </row>
    <row r="812">
      <c r="A812" s="25">
        <v>43256.540389444446</v>
      </c>
      <c r="B812" s="26" t="s">
        <v>705</v>
      </c>
      <c r="C812" s="26">
        <v>11.0</v>
      </c>
      <c r="D812" s="26" t="s">
        <v>31</v>
      </c>
      <c r="E812" s="26">
        <v>131.0</v>
      </c>
      <c r="F812" s="26" t="s">
        <v>58</v>
      </c>
      <c r="G812" s="26">
        <v>3.0</v>
      </c>
      <c r="H812" s="26">
        <v>3.0</v>
      </c>
      <c r="I812" s="26">
        <v>122.0</v>
      </c>
      <c r="K812" s="26">
        <v>9.0</v>
      </c>
      <c r="M812" s="26" t="s">
        <v>458</v>
      </c>
      <c r="N812" s="26" t="s">
        <v>704</v>
      </c>
    </row>
    <row r="813">
      <c r="A813" s="25">
        <v>43256.55158943287</v>
      </c>
      <c r="B813" s="26" t="s">
        <v>706</v>
      </c>
      <c r="C813" s="26" t="s">
        <v>37</v>
      </c>
      <c r="D813" s="26" t="s">
        <v>31</v>
      </c>
      <c r="E813" s="26">
        <v>180.0</v>
      </c>
      <c r="F813" s="26" t="s">
        <v>32</v>
      </c>
      <c r="G813" s="26">
        <v>5.0</v>
      </c>
      <c r="H813" s="26">
        <v>2.0</v>
      </c>
      <c r="N813" s="26" t="s">
        <v>683</v>
      </c>
    </row>
    <row r="814">
      <c r="A814" s="25">
        <v>43256.55633923611</v>
      </c>
      <c r="B814" s="26" t="s">
        <v>268</v>
      </c>
      <c r="C814" s="26">
        <v>10.0</v>
      </c>
      <c r="D814" s="26" t="s">
        <v>31</v>
      </c>
      <c r="E814" s="26">
        <v>165.0</v>
      </c>
      <c r="F814" s="26" t="s">
        <v>707</v>
      </c>
      <c r="G814" s="26">
        <v>10.0</v>
      </c>
      <c r="H814" s="26">
        <v>1.0</v>
      </c>
      <c r="I814" s="26">
        <v>131.0</v>
      </c>
      <c r="J814" s="26">
        <v>15.0</v>
      </c>
      <c r="K814" s="26">
        <v>20.0</v>
      </c>
      <c r="M814" s="26" t="s">
        <v>449</v>
      </c>
      <c r="N814" s="26" t="s">
        <v>704</v>
      </c>
    </row>
    <row r="815">
      <c r="A815" s="25">
        <v>43256.55857412037</v>
      </c>
      <c r="B815" s="26" t="s">
        <v>268</v>
      </c>
      <c r="C815" s="26" t="s">
        <v>606</v>
      </c>
      <c r="D815" s="26" t="s">
        <v>41</v>
      </c>
      <c r="E815" s="26">
        <v>132.0</v>
      </c>
      <c r="F815" s="26" t="s">
        <v>670</v>
      </c>
      <c r="G815" s="26">
        <v>7.0</v>
      </c>
      <c r="H815" s="26">
        <v>2.0</v>
      </c>
      <c r="I815" s="26">
        <v>115.0</v>
      </c>
      <c r="K815" s="26">
        <v>15.0</v>
      </c>
      <c r="M815" s="26" t="s">
        <v>449</v>
      </c>
      <c r="N815" s="26" t="s">
        <v>708</v>
      </c>
    </row>
    <row r="816">
      <c r="A816" s="25">
        <v>43256.56335891204</v>
      </c>
      <c r="B816" s="26" t="s">
        <v>25</v>
      </c>
      <c r="C816" s="26" t="s">
        <v>709</v>
      </c>
      <c r="D816" s="26" t="s">
        <v>31</v>
      </c>
      <c r="E816" s="26">
        <v>125.0</v>
      </c>
      <c r="F816" s="26" t="s">
        <v>710</v>
      </c>
      <c r="G816" s="26">
        <v>11.0</v>
      </c>
      <c r="H816" s="26">
        <v>2.0</v>
      </c>
      <c r="I816" s="26">
        <v>125000.0</v>
      </c>
      <c r="M816" s="26" t="s">
        <v>449</v>
      </c>
      <c r="N816" s="26" t="s">
        <v>708</v>
      </c>
    </row>
    <row r="817">
      <c r="A817" s="25">
        <v>43256.587846689814</v>
      </c>
      <c r="B817" s="26" t="s">
        <v>146</v>
      </c>
      <c r="C817" s="26" t="s">
        <v>37</v>
      </c>
      <c r="D817" s="26" t="s">
        <v>711</v>
      </c>
      <c r="E817" s="26">
        <v>233.0</v>
      </c>
      <c r="F817" s="26" t="s">
        <v>32</v>
      </c>
      <c r="G817" s="26">
        <v>4.0</v>
      </c>
      <c r="H817" s="26">
        <v>0.0</v>
      </c>
      <c r="I817" s="26">
        <v>162.0</v>
      </c>
      <c r="J817" s="26">
        <v>220.0</v>
      </c>
      <c r="K817" s="26">
        <v>10.0</v>
      </c>
      <c r="M817" s="26" t="s">
        <v>449</v>
      </c>
      <c r="N817" s="26" t="s">
        <v>712</v>
      </c>
    </row>
    <row r="818">
      <c r="A818" s="25">
        <v>43256.60044967593</v>
      </c>
      <c r="B818" s="26" t="s">
        <v>40</v>
      </c>
      <c r="C818" s="26">
        <v>64.0</v>
      </c>
      <c r="D818" s="26" t="s">
        <v>713</v>
      </c>
      <c r="E818" s="26">
        <v>233.0</v>
      </c>
      <c r="F818" s="26" t="s">
        <v>714</v>
      </c>
      <c r="G818" s="26">
        <v>11.0</v>
      </c>
      <c r="H818" s="26">
        <v>1.0</v>
      </c>
      <c r="I818" s="26">
        <v>160000.0</v>
      </c>
      <c r="J818" s="26">
        <v>100000.0</v>
      </c>
      <c r="K818" s="26">
        <v>48000.0</v>
      </c>
      <c r="M818" s="26" t="s">
        <v>449</v>
      </c>
      <c r="N818" s="26" t="s">
        <v>708</v>
      </c>
    </row>
    <row r="819">
      <c r="A819" s="25">
        <v>43256.61123144676</v>
      </c>
      <c r="B819" s="26" t="s">
        <v>45</v>
      </c>
      <c r="C819" s="26" t="s">
        <v>102</v>
      </c>
      <c r="D819" s="26" t="s">
        <v>31</v>
      </c>
      <c r="E819" s="26">
        <v>152.5</v>
      </c>
      <c r="F819" s="26" t="s">
        <v>104</v>
      </c>
      <c r="G819" s="26">
        <v>0.0</v>
      </c>
      <c r="H819" s="26">
        <v>0.0</v>
      </c>
      <c r="I819" s="26">
        <v>115000.0</v>
      </c>
      <c r="J819" s="26">
        <v>70000.0</v>
      </c>
      <c r="K819" s="26">
        <v>20000.0</v>
      </c>
      <c r="M819" s="26" t="s">
        <v>449</v>
      </c>
      <c r="N819" s="26" t="s">
        <v>715</v>
      </c>
    </row>
    <row r="820">
      <c r="A820" s="25">
        <v>43256.61348590278</v>
      </c>
      <c r="B820" s="26" t="s">
        <v>241</v>
      </c>
      <c r="C820" s="26" t="s">
        <v>716</v>
      </c>
      <c r="D820" s="26" t="s">
        <v>31</v>
      </c>
      <c r="E820" s="26">
        <v>200.0</v>
      </c>
      <c r="F820" s="26" t="s">
        <v>79</v>
      </c>
      <c r="G820" s="26">
        <v>3.0</v>
      </c>
      <c r="H820" s="26">
        <v>3.0</v>
      </c>
    </row>
    <row r="821">
      <c r="A821" s="25">
        <v>43256.61434768519</v>
      </c>
      <c r="B821" s="26" t="s">
        <v>157</v>
      </c>
      <c r="C821" s="26" t="s">
        <v>37</v>
      </c>
      <c r="D821" s="26" t="s">
        <v>31</v>
      </c>
      <c r="E821" s="26">
        <v>165.0</v>
      </c>
      <c r="F821" s="26" t="s">
        <v>79</v>
      </c>
      <c r="G821" s="26">
        <v>4.0</v>
      </c>
      <c r="H821" s="26">
        <v>4.0</v>
      </c>
    </row>
    <row r="822">
      <c r="A822" s="25">
        <v>43256.615060358796</v>
      </c>
      <c r="B822" s="26" t="s">
        <v>717</v>
      </c>
      <c r="C822" s="26" t="s">
        <v>716</v>
      </c>
      <c r="D822" s="26" t="s">
        <v>31</v>
      </c>
      <c r="E822" s="26">
        <v>175.0</v>
      </c>
      <c r="F822" s="26" t="s">
        <v>79</v>
      </c>
      <c r="G822" s="26">
        <v>1.5</v>
      </c>
      <c r="H822" s="26">
        <v>1.5</v>
      </c>
    </row>
    <row r="823">
      <c r="A823" s="25">
        <v>43256.615424062504</v>
      </c>
      <c r="B823" s="26" t="s">
        <v>33</v>
      </c>
      <c r="C823" s="26" t="s">
        <v>110</v>
      </c>
      <c r="D823" s="26" t="s">
        <v>31</v>
      </c>
      <c r="E823" s="26">
        <v>200.0</v>
      </c>
      <c r="F823" s="26" t="s">
        <v>63</v>
      </c>
      <c r="G823" s="26">
        <v>6.0</v>
      </c>
      <c r="H823" s="26">
        <v>3.0</v>
      </c>
    </row>
    <row r="824">
      <c r="A824" s="25">
        <v>43256.61589368056</v>
      </c>
      <c r="B824" s="26" t="s">
        <v>33</v>
      </c>
      <c r="C824" s="26" t="s">
        <v>110</v>
      </c>
      <c r="D824" s="26" t="s">
        <v>31</v>
      </c>
      <c r="E824" s="26">
        <v>230.0</v>
      </c>
      <c r="F824" s="26" t="s">
        <v>63</v>
      </c>
      <c r="G824" s="26">
        <v>9.0</v>
      </c>
      <c r="H824" s="26">
        <v>4.0</v>
      </c>
    </row>
    <row r="825">
      <c r="A825" s="25">
        <v>43256.616229085645</v>
      </c>
      <c r="B825" s="26" t="s">
        <v>45</v>
      </c>
      <c r="C825" s="26" t="s">
        <v>116</v>
      </c>
      <c r="D825" s="26" t="s">
        <v>31</v>
      </c>
      <c r="E825" s="26">
        <v>300.0</v>
      </c>
      <c r="F825" s="26" t="s">
        <v>79</v>
      </c>
      <c r="G825" s="26">
        <v>8.0</v>
      </c>
      <c r="H825" s="26">
        <v>5.0</v>
      </c>
    </row>
    <row r="826">
      <c r="A826" s="25">
        <v>43256.61702820602</v>
      </c>
      <c r="B826" s="26" t="s">
        <v>48</v>
      </c>
      <c r="C826" s="26" t="s">
        <v>49</v>
      </c>
      <c r="D826" s="26" t="s">
        <v>31</v>
      </c>
      <c r="E826" s="26">
        <v>270.0</v>
      </c>
      <c r="F826" s="26" t="s">
        <v>79</v>
      </c>
      <c r="G826" s="26">
        <v>3.5</v>
      </c>
      <c r="H826" s="26">
        <v>0.0</v>
      </c>
      <c r="I826" s="26">
        <v>160.0</v>
      </c>
      <c r="J826" s="26">
        <v>90.0</v>
      </c>
      <c r="K826" s="26">
        <v>20.0</v>
      </c>
      <c r="L826" s="26" t="s">
        <v>718</v>
      </c>
      <c r="M826" s="26" t="s">
        <v>449</v>
      </c>
    </row>
    <row r="827">
      <c r="A827" s="25">
        <v>43256.619758229164</v>
      </c>
      <c r="B827" s="26" t="s">
        <v>719</v>
      </c>
      <c r="C827" s="26" t="s">
        <v>720</v>
      </c>
      <c r="D827" s="26" t="s">
        <v>31</v>
      </c>
      <c r="E827" s="26">
        <v>165.0</v>
      </c>
      <c r="F827" s="26" t="s">
        <v>721</v>
      </c>
      <c r="G827" s="26">
        <v>8.0</v>
      </c>
      <c r="H827" s="26">
        <v>3.0</v>
      </c>
      <c r="I827" s="26">
        <v>165.0</v>
      </c>
      <c r="M827" s="26" t="s">
        <v>449</v>
      </c>
    </row>
    <row r="828">
      <c r="A828" s="25">
        <v>43256.63049971065</v>
      </c>
      <c r="B828" s="26" t="s">
        <v>722</v>
      </c>
      <c r="C828" s="26" t="s">
        <v>723</v>
      </c>
      <c r="D828" s="26" t="s">
        <v>713</v>
      </c>
      <c r="E828" s="26">
        <v>156.0</v>
      </c>
      <c r="F828" s="26" t="s">
        <v>35</v>
      </c>
      <c r="G828" s="26">
        <v>7.0</v>
      </c>
      <c r="H828" s="26">
        <v>2.0</v>
      </c>
      <c r="I828" s="26">
        <v>120750.0</v>
      </c>
      <c r="J828" s="26">
        <v>10000.0</v>
      </c>
      <c r="K828" s="26">
        <v>25000.0</v>
      </c>
      <c r="M828" s="26" t="s">
        <v>449</v>
      </c>
      <c r="N828" s="26" t="s">
        <v>715</v>
      </c>
    </row>
    <row r="829">
      <c r="A829" s="25">
        <v>43256.68419190972</v>
      </c>
      <c r="B829" s="26" t="s">
        <v>724</v>
      </c>
      <c r="C829" s="26" t="s">
        <v>31</v>
      </c>
      <c r="D829" s="26" t="s">
        <v>31</v>
      </c>
      <c r="E829" s="26">
        <v>160.0</v>
      </c>
      <c r="F829" s="26" t="s">
        <v>94</v>
      </c>
      <c r="G829" s="26">
        <v>2.0</v>
      </c>
      <c r="H829" s="26">
        <v>0.0</v>
      </c>
      <c r="I829" s="26">
        <v>135.0</v>
      </c>
      <c r="K829" s="26">
        <v>25.0</v>
      </c>
      <c r="M829" s="26" t="s">
        <v>449</v>
      </c>
      <c r="N829" s="26" t="s">
        <v>704</v>
      </c>
    </row>
    <row r="830">
      <c r="A830" s="25">
        <v>43256.841335069446</v>
      </c>
      <c r="B830" s="26" t="s">
        <v>40</v>
      </c>
      <c r="C830" s="26">
        <v>63.0</v>
      </c>
      <c r="D830" s="26" t="s">
        <v>713</v>
      </c>
      <c r="E830" s="26">
        <v>160.0</v>
      </c>
      <c r="F830" s="26" t="s">
        <v>725</v>
      </c>
      <c r="G830" s="26">
        <v>18.0</v>
      </c>
      <c r="H830" s="26">
        <v>4.0</v>
      </c>
      <c r="I830" s="26">
        <v>132000.0</v>
      </c>
      <c r="J830" s="26">
        <v>17000.0</v>
      </c>
      <c r="K830" s="26">
        <v>20000.0</v>
      </c>
      <c r="M830" s="26" t="s">
        <v>449</v>
      </c>
      <c r="N830" s="26" t="s">
        <v>726</v>
      </c>
    </row>
    <row r="831">
      <c r="A831" s="25">
        <v>43256.85837755787</v>
      </c>
      <c r="B831" s="26" t="s">
        <v>727</v>
      </c>
      <c r="C831" s="26" t="s">
        <v>386</v>
      </c>
      <c r="D831" s="26" t="s">
        <v>31</v>
      </c>
      <c r="E831" s="26">
        <v>410.0</v>
      </c>
      <c r="F831" s="26" t="s">
        <v>134</v>
      </c>
      <c r="G831" s="26">
        <v>13.0</v>
      </c>
      <c r="H831" s="26">
        <v>9.0</v>
      </c>
      <c r="I831" s="26">
        <v>200.0</v>
      </c>
      <c r="J831" s="26">
        <v>185.0</v>
      </c>
      <c r="K831" s="26">
        <v>31.0</v>
      </c>
      <c r="M831" s="26" t="s">
        <v>449</v>
      </c>
      <c r="N831" s="26" t="s">
        <v>683</v>
      </c>
    </row>
    <row r="832">
      <c r="A832" s="25">
        <v>43256.94249912037</v>
      </c>
      <c r="B832" s="26" t="s">
        <v>33</v>
      </c>
      <c r="C832" s="26" t="s">
        <v>62</v>
      </c>
      <c r="D832" s="26" t="s">
        <v>31</v>
      </c>
      <c r="E832" s="26">
        <v>270.0</v>
      </c>
      <c r="F832" s="26" t="s">
        <v>161</v>
      </c>
      <c r="G832" s="26">
        <v>12.0</v>
      </c>
      <c r="H832" s="26">
        <v>3.0</v>
      </c>
      <c r="I832" s="26">
        <v>152000.0</v>
      </c>
      <c r="J832" s="26">
        <v>118000.0</v>
      </c>
      <c r="M832" s="26" t="s">
        <v>449</v>
      </c>
      <c r="N832" s="26" t="s">
        <v>728</v>
      </c>
    </row>
    <row r="833">
      <c r="A833" s="25">
        <v>43256.96709130787</v>
      </c>
      <c r="B833" s="26" t="s">
        <v>48</v>
      </c>
      <c r="C833" s="26" t="s">
        <v>49</v>
      </c>
      <c r="D833" s="26" t="s">
        <v>31</v>
      </c>
      <c r="E833" s="26">
        <v>209.0</v>
      </c>
      <c r="F833" s="26" t="s">
        <v>50</v>
      </c>
      <c r="G833" s="26">
        <v>8.0</v>
      </c>
      <c r="H833" s="26">
        <v>0.0</v>
      </c>
      <c r="I833" s="26">
        <v>140.0</v>
      </c>
      <c r="J833" s="26">
        <v>55.0</v>
      </c>
      <c r="K833" s="26">
        <v>14.0</v>
      </c>
      <c r="M833" s="26" t="s">
        <v>449</v>
      </c>
      <c r="N833" s="26" t="s">
        <v>696</v>
      </c>
    </row>
    <row r="834">
      <c r="A834" s="25">
        <v>43256.96867340278</v>
      </c>
      <c r="B834" s="26" t="s">
        <v>170</v>
      </c>
      <c r="C834" s="26">
        <v>5.0</v>
      </c>
      <c r="D834" s="26" t="s">
        <v>31</v>
      </c>
      <c r="E834" s="26">
        <v>128.0</v>
      </c>
      <c r="F834" s="26" t="s">
        <v>232</v>
      </c>
      <c r="G834" s="26">
        <v>2.0</v>
      </c>
      <c r="H834" s="26">
        <v>2.0</v>
      </c>
      <c r="I834" s="26">
        <v>105.0</v>
      </c>
      <c r="J834" s="26">
        <v>12.0</v>
      </c>
      <c r="K834" s="26">
        <v>11.0</v>
      </c>
      <c r="M834" s="26" t="s">
        <v>458</v>
      </c>
      <c r="N834" s="26" t="s">
        <v>708</v>
      </c>
    </row>
    <row r="835">
      <c r="A835" s="25">
        <v>43257.06815546296</v>
      </c>
      <c r="B835" s="26" t="s">
        <v>729</v>
      </c>
      <c r="C835" s="26" t="s">
        <v>730</v>
      </c>
      <c r="D835" s="26" t="s">
        <v>31</v>
      </c>
      <c r="E835" s="26">
        <v>102.0</v>
      </c>
      <c r="F835" s="26" t="s">
        <v>236</v>
      </c>
      <c r="G835" s="26">
        <v>1.5</v>
      </c>
      <c r="H835" s="26">
        <v>1.0</v>
      </c>
      <c r="I835" s="26">
        <v>96900.0</v>
      </c>
      <c r="K835" s="26">
        <v>5100.0</v>
      </c>
      <c r="M835" s="26" t="s">
        <v>449</v>
      </c>
      <c r="N835" s="26" t="s">
        <v>683</v>
      </c>
    </row>
    <row r="836">
      <c r="A836" s="25">
        <v>43257.09132274306</v>
      </c>
      <c r="B836" s="26" t="s">
        <v>33</v>
      </c>
      <c r="C836" s="26" t="s">
        <v>62</v>
      </c>
      <c r="D836" s="26" t="s">
        <v>27</v>
      </c>
      <c r="E836" s="26">
        <v>267.0</v>
      </c>
      <c r="F836" s="26" t="s">
        <v>35</v>
      </c>
      <c r="G836" s="26">
        <v>12.0</v>
      </c>
      <c r="H836" s="26">
        <v>2.75</v>
      </c>
      <c r="I836" s="26">
        <v>145.0</v>
      </c>
      <c r="J836" s="26">
        <v>122.0</v>
      </c>
      <c r="M836" s="26" t="s">
        <v>449</v>
      </c>
      <c r="N836" s="26" t="s">
        <v>696</v>
      </c>
    </row>
    <row r="837">
      <c r="A837" s="25">
        <v>43257.3325609375</v>
      </c>
      <c r="B837" s="26" t="s">
        <v>731</v>
      </c>
      <c r="C837" s="26" t="s">
        <v>37</v>
      </c>
      <c r="D837" s="26" t="s">
        <v>31</v>
      </c>
      <c r="E837" s="26">
        <v>165.0</v>
      </c>
      <c r="F837" s="26" t="s">
        <v>94</v>
      </c>
      <c r="G837" s="26">
        <v>11.0</v>
      </c>
      <c r="H837" s="26">
        <v>4.0</v>
      </c>
      <c r="I837" s="26">
        <v>14000.0</v>
      </c>
      <c r="K837" s="26">
        <v>25.0</v>
      </c>
      <c r="M837" s="26" t="s">
        <v>458</v>
      </c>
      <c r="N837" s="26" t="s">
        <v>683</v>
      </c>
    </row>
    <row r="838">
      <c r="A838" s="25">
        <v>43257.58983636574</v>
      </c>
      <c r="B838" s="26" t="s">
        <v>732</v>
      </c>
      <c r="C838" s="26" t="s">
        <v>37</v>
      </c>
      <c r="D838" s="26" t="s">
        <v>31</v>
      </c>
      <c r="E838" s="26">
        <v>120.0</v>
      </c>
      <c r="F838" s="26" t="s">
        <v>44</v>
      </c>
      <c r="G838" s="26">
        <v>4.0</v>
      </c>
      <c r="H838" s="26">
        <v>1.0</v>
      </c>
      <c r="I838" s="26">
        <v>105000.0</v>
      </c>
      <c r="K838" s="26">
        <v>15000.0</v>
      </c>
      <c r="M838" s="26" t="s">
        <v>449</v>
      </c>
      <c r="N838" s="26" t="s">
        <v>691</v>
      </c>
    </row>
    <row r="839">
      <c r="A839" s="25">
        <v>43257.678272199075</v>
      </c>
      <c r="B839" s="26" t="s">
        <v>40</v>
      </c>
      <c r="C839" s="26">
        <v>63.0</v>
      </c>
      <c r="D839" s="26" t="s">
        <v>27</v>
      </c>
      <c r="E839" s="26">
        <v>176.0</v>
      </c>
      <c r="F839" s="26" t="s">
        <v>733</v>
      </c>
      <c r="G839" s="26">
        <v>8.0</v>
      </c>
      <c r="H839" s="26">
        <v>4.0</v>
      </c>
      <c r="I839" s="26">
        <v>146.0</v>
      </c>
      <c r="J839" s="26">
        <v>16.0</v>
      </c>
      <c r="K839" s="26">
        <v>16.0</v>
      </c>
      <c r="M839" s="26" t="s">
        <v>449</v>
      </c>
      <c r="N839" s="26" t="s">
        <v>685</v>
      </c>
    </row>
    <row r="840">
      <c r="A840" s="25">
        <v>43257.829907754625</v>
      </c>
      <c r="B840" s="26" t="s">
        <v>119</v>
      </c>
      <c r="C840" s="26" t="s">
        <v>734</v>
      </c>
      <c r="D840" s="26" t="s">
        <v>27</v>
      </c>
      <c r="E840" s="26">
        <v>180.0</v>
      </c>
      <c r="F840" s="26" t="s">
        <v>735</v>
      </c>
      <c r="G840" s="26">
        <v>10.0</v>
      </c>
      <c r="H840" s="26">
        <v>1.0</v>
      </c>
      <c r="M840" s="26" t="s">
        <v>458</v>
      </c>
    </row>
    <row r="841">
      <c r="A841" s="25">
        <v>43257.95951840278</v>
      </c>
      <c r="B841" s="26" t="s">
        <v>736</v>
      </c>
      <c r="C841" s="26" t="s">
        <v>737</v>
      </c>
      <c r="D841" s="26" t="s">
        <v>31</v>
      </c>
      <c r="E841" s="26">
        <v>205.0</v>
      </c>
      <c r="F841" s="26" t="s">
        <v>738</v>
      </c>
      <c r="G841" s="26">
        <v>15.0</v>
      </c>
      <c r="H841" s="26">
        <v>5.0</v>
      </c>
      <c r="I841" s="26">
        <v>164.0</v>
      </c>
      <c r="J841" s="26">
        <v>22.0</v>
      </c>
      <c r="K841" s="26">
        <v>25.0</v>
      </c>
      <c r="M841" s="26" t="s">
        <v>449</v>
      </c>
      <c r="N841" s="26" t="s">
        <v>685</v>
      </c>
    </row>
    <row r="842">
      <c r="A842" s="25">
        <v>43258.0615781713</v>
      </c>
      <c r="B842" s="26" t="s">
        <v>256</v>
      </c>
      <c r="C842" s="26" t="s">
        <v>78</v>
      </c>
      <c r="D842" s="26" t="s">
        <v>31</v>
      </c>
      <c r="E842" s="26">
        <v>600.0</v>
      </c>
      <c r="F842" s="26" t="s">
        <v>32</v>
      </c>
      <c r="G842" s="26">
        <v>5.0</v>
      </c>
      <c r="H842" s="26">
        <v>5.0</v>
      </c>
      <c r="I842" s="26">
        <v>190000.0</v>
      </c>
      <c r="J842" s="26">
        <v>380000.0</v>
      </c>
      <c r="K842" s="26">
        <v>40000.0</v>
      </c>
      <c r="M842" s="26" t="s">
        <v>449</v>
      </c>
      <c r="N842" s="26" t="s">
        <v>685</v>
      </c>
    </row>
    <row r="843">
      <c r="A843" s="25">
        <v>43258.21713042824</v>
      </c>
      <c r="B843" s="26" t="s">
        <v>739</v>
      </c>
      <c r="C843" s="26" t="s">
        <v>353</v>
      </c>
      <c r="D843" s="26" t="s">
        <v>31</v>
      </c>
      <c r="E843" s="26">
        <v>65.0</v>
      </c>
      <c r="F843" s="26" t="s">
        <v>740</v>
      </c>
      <c r="G843" s="26">
        <v>1.0</v>
      </c>
      <c r="H843" s="26">
        <v>1.0</v>
      </c>
      <c r="I843" s="26">
        <v>65.0</v>
      </c>
      <c r="M843" s="26" t="s">
        <v>449</v>
      </c>
      <c r="N843" s="26" t="s">
        <v>685</v>
      </c>
    </row>
    <row r="844">
      <c r="A844" s="25">
        <v>43258.33202284722</v>
      </c>
      <c r="B844" s="26" t="s">
        <v>741</v>
      </c>
      <c r="C844" s="26" t="s">
        <v>742</v>
      </c>
      <c r="D844" s="26" t="s">
        <v>31</v>
      </c>
      <c r="E844" s="26">
        <v>111.0</v>
      </c>
      <c r="F844" s="26" t="s">
        <v>740</v>
      </c>
      <c r="G844" s="26">
        <v>8.0</v>
      </c>
      <c r="H844" s="26">
        <v>1.0</v>
      </c>
      <c r="I844" s="26">
        <v>101.0</v>
      </c>
      <c r="K844" s="26">
        <v>10.0</v>
      </c>
      <c r="L844" s="26" t="s">
        <v>743</v>
      </c>
      <c r="M844" s="26" t="s">
        <v>449</v>
      </c>
      <c r="N844" s="26" t="s">
        <v>683</v>
      </c>
    </row>
    <row r="845">
      <c r="A845" s="25">
        <v>43258.51444321759</v>
      </c>
      <c r="B845" s="26" t="s">
        <v>80</v>
      </c>
      <c r="C845" s="26" t="s">
        <v>26</v>
      </c>
      <c r="D845" s="26" t="s">
        <v>31</v>
      </c>
      <c r="E845" s="26">
        <v>173.0</v>
      </c>
      <c r="F845" s="26" t="s">
        <v>51</v>
      </c>
      <c r="G845" s="26">
        <v>1.0</v>
      </c>
      <c r="H845" s="26">
        <v>0.0</v>
      </c>
      <c r="I845" s="26">
        <v>116.0</v>
      </c>
      <c r="J845" s="26">
        <v>25.0</v>
      </c>
      <c r="K845" s="26">
        <v>32.0</v>
      </c>
      <c r="M845" s="26" t="s">
        <v>449</v>
      </c>
    </row>
    <row r="846">
      <c r="A846" s="25">
        <v>43258.70066798611</v>
      </c>
      <c r="B846" s="26" t="s">
        <v>319</v>
      </c>
      <c r="C846" s="26" t="s">
        <v>744</v>
      </c>
      <c r="D846" s="26" t="s">
        <v>27</v>
      </c>
      <c r="E846" s="26">
        <v>103.0</v>
      </c>
      <c r="F846" s="26" t="s">
        <v>745</v>
      </c>
      <c r="G846" s="26">
        <v>0.0</v>
      </c>
      <c r="H846" s="26">
        <v>0.0</v>
      </c>
      <c r="M846" s="26" t="s">
        <v>449</v>
      </c>
      <c r="N846" s="26" t="s">
        <v>691</v>
      </c>
    </row>
    <row r="847">
      <c r="A847" s="25">
        <v>43258.71021528935</v>
      </c>
      <c r="B847" s="26" t="s">
        <v>80</v>
      </c>
      <c r="C847" s="26" t="s">
        <v>43</v>
      </c>
      <c r="D847" s="26" t="s">
        <v>31</v>
      </c>
      <c r="E847" s="26">
        <v>310.0</v>
      </c>
      <c r="F847" s="26" t="s">
        <v>550</v>
      </c>
      <c r="G847" s="26">
        <v>16.0</v>
      </c>
      <c r="H847" s="26">
        <v>1.0</v>
      </c>
      <c r="I847" s="26">
        <v>155.0</v>
      </c>
      <c r="J847" s="26">
        <v>470.0</v>
      </c>
      <c r="K847" s="26">
        <v>15.0</v>
      </c>
      <c r="L847" s="26" t="s">
        <v>746</v>
      </c>
      <c r="M847" s="26" t="s">
        <v>449</v>
      </c>
      <c r="N847" s="26" t="s">
        <v>708</v>
      </c>
    </row>
    <row r="848">
      <c r="A848" s="25">
        <v>43258.97159918981</v>
      </c>
      <c r="B848" s="26" t="s">
        <v>747</v>
      </c>
      <c r="C848" s="26" t="s">
        <v>26</v>
      </c>
      <c r="D848" s="26" t="s">
        <v>31</v>
      </c>
      <c r="E848" s="26">
        <v>145.0</v>
      </c>
      <c r="F848" s="26" t="s">
        <v>199</v>
      </c>
      <c r="G848" s="26">
        <v>2.0</v>
      </c>
      <c r="H848" s="26">
        <v>1.0</v>
      </c>
      <c r="I848" s="26">
        <v>145000.0</v>
      </c>
      <c r="J848" s="26">
        <v>1.0</v>
      </c>
      <c r="M848" s="26" t="s">
        <v>449</v>
      </c>
    </row>
    <row r="849">
      <c r="A849" s="25">
        <v>43259.02068616898</v>
      </c>
      <c r="B849" s="26" t="s">
        <v>33</v>
      </c>
      <c r="C849" s="26" t="s">
        <v>73</v>
      </c>
      <c r="D849" s="26" t="s">
        <v>711</v>
      </c>
      <c r="E849" s="26">
        <v>140.0</v>
      </c>
      <c r="F849" s="26" t="s">
        <v>35</v>
      </c>
      <c r="G849" s="26">
        <v>2.0</v>
      </c>
      <c r="H849" s="26">
        <v>2.0</v>
      </c>
      <c r="I849" s="26">
        <v>92000.0</v>
      </c>
      <c r="J849" s="26">
        <v>48000.0</v>
      </c>
      <c r="M849" s="26" t="s">
        <v>449</v>
      </c>
    </row>
    <row r="850">
      <c r="A850" s="25">
        <v>43259.06403152778</v>
      </c>
      <c r="B850" s="26" t="s">
        <v>25</v>
      </c>
      <c r="C850" s="26" t="s">
        <v>486</v>
      </c>
      <c r="D850" s="26" t="s">
        <v>31</v>
      </c>
      <c r="E850" s="26">
        <v>510.0</v>
      </c>
      <c r="F850" s="26" t="s">
        <v>748</v>
      </c>
      <c r="G850" s="26">
        <v>15.0</v>
      </c>
      <c r="H850" s="26">
        <v>3.0</v>
      </c>
      <c r="I850" s="26">
        <v>270.0</v>
      </c>
      <c r="J850" s="26">
        <v>240.0</v>
      </c>
      <c r="M850" s="26" t="s">
        <v>449</v>
      </c>
      <c r="N850" s="26" t="s">
        <v>685</v>
      </c>
    </row>
    <row r="851">
      <c r="A851" s="25">
        <v>43259.27818613426</v>
      </c>
      <c r="B851" s="26" t="s">
        <v>33</v>
      </c>
      <c r="C851" s="26" t="s">
        <v>43</v>
      </c>
      <c r="D851" s="26" t="s">
        <v>31</v>
      </c>
      <c r="E851" s="26">
        <v>210.0</v>
      </c>
      <c r="F851" s="26" t="s">
        <v>161</v>
      </c>
      <c r="G851" s="26">
        <v>12.0</v>
      </c>
      <c r="H851" s="26">
        <v>4.0</v>
      </c>
      <c r="I851" s="26">
        <v>143.0</v>
      </c>
      <c r="J851" s="26">
        <v>180.0</v>
      </c>
      <c r="K851" s="26">
        <v>30.0</v>
      </c>
      <c r="M851" s="26" t="s">
        <v>449</v>
      </c>
      <c r="N851" s="26" t="s">
        <v>685</v>
      </c>
    </row>
    <row r="852">
      <c r="A852" s="25">
        <v>43259.348993101856</v>
      </c>
      <c r="B852" s="26" t="s">
        <v>40</v>
      </c>
      <c r="C852" s="26">
        <v>59.0</v>
      </c>
      <c r="D852" s="26" t="s">
        <v>31</v>
      </c>
      <c r="E852" s="26">
        <v>173.0</v>
      </c>
      <c r="F852" s="26" t="s">
        <v>52</v>
      </c>
      <c r="G852" s="26">
        <v>0.0</v>
      </c>
      <c r="H852" s="26">
        <v>0.0</v>
      </c>
      <c r="I852" s="26">
        <v>108000.0</v>
      </c>
      <c r="J852" s="26">
        <v>30000.0</v>
      </c>
      <c r="K852" s="26">
        <v>35000.0</v>
      </c>
      <c r="M852" s="26" t="s">
        <v>449</v>
      </c>
      <c r="N852" s="26" t="s">
        <v>691</v>
      </c>
    </row>
    <row r="853">
      <c r="A853" s="25">
        <v>43259.40932089121</v>
      </c>
      <c r="B853" s="26" t="s">
        <v>40</v>
      </c>
      <c r="C853" s="26">
        <v>64.0</v>
      </c>
      <c r="D853" s="26" t="s">
        <v>711</v>
      </c>
      <c r="E853" s="26">
        <v>218.0</v>
      </c>
      <c r="F853" s="26" t="s">
        <v>35</v>
      </c>
      <c r="G853" s="26">
        <v>11.0</v>
      </c>
      <c r="H853" s="26">
        <v>11.0</v>
      </c>
      <c r="I853" s="26">
        <v>165.0</v>
      </c>
      <c r="J853" s="26">
        <v>28.0</v>
      </c>
      <c r="K853" s="26">
        <v>23.0</v>
      </c>
      <c r="M853" s="26" t="s">
        <v>449</v>
      </c>
      <c r="N853" s="26" t="s">
        <v>691</v>
      </c>
    </row>
    <row r="854">
      <c r="A854" s="25">
        <v>43259.409333090276</v>
      </c>
      <c r="B854" s="26" t="s">
        <v>407</v>
      </c>
      <c r="C854" s="26" t="s">
        <v>749</v>
      </c>
      <c r="D854" s="26" t="s">
        <v>31</v>
      </c>
      <c r="E854" s="26">
        <v>320.0</v>
      </c>
      <c r="F854" s="26" t="s">
        <v>750</v>
      </c>
      <c r="G854" s="26">
        <v>10.0</v>
      </c>
      <c r="H854" s="26">
        <v>0.0</v>
      </c>
      <c r="I854" s="26">
        <v>190.0</v>
      </c>
      <c r="J854" s="26">
        <v>130.0</v>
      </c>
      <c r="M854" s="26" t="s">
        <v>449</v>
      </c>
      <c r="N854" s="26" t="s">
        <v>683</v>
      </c>
    </row>
    <row r="855">
      <c r="A855" s="25">
        <v>43259.49222295139</v>
      </c>
      <c r="B855" s="26" t="s">
        <v>29</v>
      </c>
      <c r="C855" s="26" t="s">
        <v>65</v>
      </c>
      <c r="D855" s="26" t="s">
        <v>31</v>
      </c>
      <c r="E855" s="26">
        <v>260.0</v>
      </c>
      <c r="F855" s="26" t="s">
        <v>86</v>
      </c>
      <c r="G855" s="26">
        <v>10.0</v>
      </c>
      <c r="H855" s="26">
        <v>2.0</v>
      </c>
      <c r="I855" s="26">
        <v>175000.0</v>
      </c>
      <c r="J855" s="26">
        <v>160000.0</v>
      </c>
      <c r="K855" s="26">
        <v>18000.0</v>
      </c>
      <c r="N855" s="26" t="s">
        <v>685</v>
      </c>
    </row>
    <row r="856">
      <c r="A856" s="25">
        <v>43259.529504942126</v>
      </c>
      <c r="B856" s="26" t="s">
        <v>80</v>
      </c>
      <c r="C856" s="26" t="s">
        <v>179</v>
      </c>
      <c r="D856" s="26" t="s">
        <v>31</v>
      </c>
      <c r="E856" s="26">
        <v>220.0</v>
      </c>
      <c r="F856" s="26" t="s">
        <v>400</v>
      </c>
      <c r="G856" s="26">
        <v>2.0</v>
      </c>
      <c r="H856" s="26">
        <v>0.5</v>
      </c>
      <c r="I856" s="26">
        <v>135000.0</v>
      </c>
      <c r="J856" s="26">
        <v>240000.0</v>
      </c>
      <c r="K856" s="26">
        <v>25000.0</v>
      </c>
      <c r="M856" s="26" t="s">
        <v>449</v>
      </c>
      <c r="N856" s="26" t="s">
        <v>751</v>
      </c>
    </row>
    <row r="857">
      <c r="A857" s="25">
        <v>43259.59875612269</v>
      </c>
      <c r="B857" s="26" t="s">
        <v>752</v>
      </c>
      <c r="C857" s="26" t="s">
        <v>37</v>
      </c>
      <c r="D857" s="26" t="s">
        <v>31</v>
      </c>
      <c r="E857" s="26">
        <v>167.0</v>
      </c>
      <c r="F857" s="26" t="s">
        <v>753</v>
      </c>
      <c r="G857" s="26">
        <v>12.0</v>
      </c>
      <c r="H857" s="26">
        <v>0.5</v>
      </c>
      <c r="I857" s="26">
        <v>145.0</v>
      </c>
      <c r="K857" s="26">
        <v>22.0</v>
      </c>
      <c r="M857" s="26" t="s">
        <v>449</v>
      </c>
      <c r="N857" s="26" t="s">
        <v>704</v>
      </c>
    </row>
    <row r="858">
      <c r="A858" s="25">
        <v>43259.655445798606</v>
      </c>
      <c r="B858" s="26" t="s">
        <v>80</v>
      </c>
      <c r="C858" s="26" t="s">
        <v>26</v>
      </c>
      <c r="D858" s="26" t="s">
        <v>31</v>
      </c>
      <c r="E858" s="26">
        <v>138.0</v>
      </c>
      <c r="F858" s="26" t="s">
        <v>35</v>
      </c>
      <c r="G858" s="26">
        <v>0.0</v>
      </c>
      <c r="H858" s="26">
        <v>0.0</v>
      </c>
      <c r="I858" s="26">
        <v>94.0</v>
      </c>
      <c r="J858" s="26">
        <v>30.0</v>
      </c>
      <c r="K858" s="26">
        <v>14.0</v>
      </c>
      <c r="M858" s="26" t="s">
        <v>449</v>
      </c>
      <c r="N858" s="26" t="s">
        <v>691</v>
      </c>
    </row>
    <row r="859">
      <c r="A859" s="25">
        <v>43259.74663443287</v>
      </c>
      <c r="B859" s="26" t="s">
        <v>341</v>
      </c>
      <c r="C859" s="26">
        <v>26.0</v>
      </c>
      <c r="D859" s="26" t="s">
        <v>711</v>
      </c>
      <c r="E859" s="26">
        <v>180.0</v>
      </c>
      <c r="F859" s="26" t="s">
        <v>238</v>
      </c>
      <c r="G859" s="26">
        <v>10.0</v>
      </c>
      <c r="H859" s="26">
        <v>5.0</v>
      </c>
      <c r="M859" s="26" t="s">
        <v>458</v>
      </c>
    </row>
    <row r="860">
      <c r="A860" s="25">
        <v>43259.78630758102</v>
      </c>
      <c r="B860" s="26" t="s">
        <v>319</v>
      </c>
      <c r="C860" s="26" t="s">
        <v>754</v>
      </c>
      <c r="D860" s="26" t="s">
        <v>31</v>
      </c>
      <c r="E860" s="26">
        <v>96.0</v>
      </c>
      <c r="F860" s="26" t="s">
        <v>413</v>
      </c>
      <c r="G860" s="26">
        <v>1.0</v>
      </c>
      <c r="H860" s="26">
        <v>1.0</v>
      </c>
      <c r="I860" s="26">
        <v>96.0</v>
      </c>
      <c r="M860" s="26" t="s">
        <v>449</v>
      </c>
      <c r="N860" s="26" t="s">
        <v>696</v>
      </c>
    </row>
    <row r="861">
      <c r="A861" s="25">
        <v>43259.7869119213</v>
      </c>
      <c r="B861" s="26" t="s">
        <v>755</v>
      </c>
      <c r="C861" s="26" t="s">
        <v>191</v>
      </c>
      <c r="D861" s="26" t="s">
        <v>31</v>
      </c>
      <c r="E861" s="26">
        <v>215.0</v>
      </c>
      <c r="F861" s="26" t="s">
        <v>32</v>
      </c>
      <c r="G861" s="26">
        <v>1.0</v>
      </c>
      <c r="H861" s="26">
        <v>1.0</v>
      </c>
    </row>
    <row r="862">
      <c r="A862" s="25">
        <v>43259.965779652775</v>
      </c>
      <c r="B862" s="26" t="s">
        <v>119</v>
      </c>
      <c r="C862" s="26" t="s">
        <v>262</v>
      </c>
      <c r="D862" s="26" t="s">
        <v>31</v>
      </c>
      <c r="E862" s="26">
        <v>190.0</v>
      </c>
      <c r="F862" s="26" t="s">
        <v>756</v>
      </c>
      <c r="G862" s="26">
        <v>9.0</v>
      </c>
      <c r="H862" s="26">
        <v>1.0</v>
      </c>
      <c r="I862" s="26">
        <v>190.0</v>
      </c>
      <c r="J862" s="26">
        <v>52.5</v>
      </c>
      <c r="K862" s="26">
        <v>30.0</v>
      </c>
      <c r="M862" s="26" t="s">
        <v>449</v>
      </c>
      <c r="N862" s="26" t="s">
        <v>683</v>
      </c>
    </row>
    <row r="863">
      <c r="A863" s="25">
        <v>43260.02271651621</v>
      </c>
      <c r="B863" s="26" t="s">
        <v>33</v>
      </c>
      <c r="C863" s="26" t="s">
        <v>76</v>
      </c>
      <c r="D863" s="26" t="s">
        <v>31</v>
      </c>
      <c r="E863" s="26">
        <v>275.0</v>
      </c>
      <c r="F863" s="26" t="s">
        <v>35</v>
      </c>
      <c r="G863" s="26">
        <v>4.0</v>
      </c>
      <c r="H863" s="26">
        <v>4.0</v>
      </c>
      <c r="I863" s="26">
        <v>145.0</v>
      </c>
      <c r="J863" s="26">
        <v>135.0</v>
      </c>
      <c r="M863" s="26" t="s">
        <v>449</v>
      </c>
      <c r="N863" s="26" t="s">
        <v>757</v>
      </c>
    </row>
    <row r="864">
      <c r="A864" s="25">
        <v>43260.3130925463</v>
      </c>
      <c r="B864" s="26" t="s">
        <v>80</v>
      </c>
      <c r="C864" s="26">
        <v>7.0</v>
      </c>
      <c r="D864" s="26" t="s">
        <v>27</v>
      </c>
      <c r="E864" s="26">
        <v>814.0</v>
      </c>
      <c r="F864" s="26" t="s">
        <v>578</v>
      </c>
      <c r="G864" s="26">
        <v>16.0</v>
      </c>
      <c r="H864" s="26">
        <v>2.0</v>
      </c>
      <c r="I864" s="26">
        <v>250000.0</v>
      </c>
      <c r="J864" s="26">
        <v>476500.0</v>
      </c>
      <c r="K864" s="26">
        <v>87500.0</v>
      </c>
      <c r="M864" s="26" t="s">
        <v>449</v>
      </c>
      <c r="N864" s="26" t="s">
        <v>757</v>
      </c>
    </row>
    <row r="865">
      <c r="A865" s="25">
        <v>43260.387457731485</v>
      </c>
      <c r="B865" s="26" t="s">
        <v>168</v>
      </c>
      <c r="C865" s="26">
        <v>61.0</v>
      </c>
      <c r="D865" s="26" t="s">
        <v>31</v>
      </c>
      <c r="E865" s="26">
        <v>189.0</v>
      </c>
      <c r="F865" s="26" t="s">
        <v>758</v>
      </c>
      <c r="G865" s="26">
        <v>3.0</v>
      </c>
      <c r="H865" s="26">
        <v>3.0</v>
      </c>
      <c r="N865" s="26" t="s">
        <v>704</v>
      </c>
    </row>
    <row r="866">
      <c r="A866" s="25">
        <v>43260.540559409725</v>
      </c>
      <c r="B866" s="26" t="s">
        <v>124</v>
      </c>
      <c r="C866" s="26" t="s">
        <v>421</v>
      </c>
      <c r="D866" s="26" t="s">
        <v>31</v>
      </c>
      <c r="E866" s="26">
        <v>422.0</v>
      </c>
      <c r="F866" s="26" t="s">
        <v>199</v>
      </c>
      <c r="G866" s="26">
        <v>6.0</v>
      </c>
      <c r="H866" s="26">
        <v>3.0</v>
      </c>
      <c r="I866" s="26">
        <v>203.0</v>
      </c>
      <c r="J866" s="26">
        <v>171.0</v>
      </c>
      <c r="K866" s="26">
        <v>47.0</v>
      </c>
      <c r="M866" s="26" t="s">
        <v>449</v>
      </c>
      <c r="N866" s="26" t="s">
        <v>683</v>
      </c>
    </row>
    <row r="867">
      <c r="A867" s="25">
        <v>43260.540703287035</v>
      </c>
      <c r="B867" s="26" t="s">
        <v>124</v>
      </c>
      <c r="C867" s="26" t="s">
        <v>421</v>
      </c>
      <c r="D867" s="26" t="s">
        <v>31</v>
      </c>
      <c r="E867" s="26">
        <v>422.0</v>
      </c>
      <c r="F867" s="26" t="s">
        <v>199</v>
      </c>
      <c r="G867" s="26">
        <v>6.0</v>
      </c>
      <c r="H867" s="26">
        <v>3.0</v>
      </c>
      <c r="I867" s="26">
        <v>203.0</v>
      </c>
      <c r="J867" s="26">
        <v>171.0</v>
      </c>
      <c r="K867" s="26">
        <v>47.0</v>
      </c>
      <c r="M867" s="26" t="s">
        <v>449</v>
      </c>
      <c r="N867" s="26" t="s">
        <v>683</v>
      </c>
    </row>
    <row r="868">
      <c r="A868" s="25">
        <v>43260.60321454861</v>
      </c>
      <c r="B868" s="26" t="s">
        <v>95</v>
      </c>
      <c r="C868" s="26" t="s">
        <v>336</v>
      </c>
      <c r="D868" s="26" t="s">
        <v>41</v>
      </c>
      <c r="E868" s="26">
        <v>525.0</v>
      </c>
      <c r="F868" s="26" t="s">
        <v>97</v>
      </c>
      <c r="G868" s="26">
        <v>14.0</v>
      </c>
      <c r="H868" s="26">
        <v>1.0</v>
      </c>
      <c r="I868" s="26">
        <v>525000.0</v>
      </c>
      <c r="M868" s="26" t="s">
        <v>449</v>
      </c>
      <c r="N868" s="26" t="s">
        <v>685</v>
      </c>
    </row>
    <row r="869">
      <c r="A869" s="25">
        <v>43260.852942812504</v>
      </c>
      <c r="B869" s="26" t="s">
        <v>80</v>
      </c>
      <c r="C869" s="26" t="s">
        <v>43</v>
      </c>
      <c r="D869" s="26" t="s">
        <v>31</v>
      </c>
      <c r="E869" s="26">
        <v>350.0</v>
      </c>
      <c r="F869" s="26" t="s">
        <v>199</v>
      </c>
      <c r="G869" s="26">
        <v>9.0</v>
      </c>
      <c r="H869" s="26">
        <v>7.0</v>
      </c>
      <c r="I869" s="26">
        <v>170000.0</v>
      </c>
      <c r="J869" s="26">
        <v>145000.0</v>
      </c>
      <c r="K869" s="26">
        <v>35000.0</v>
      </c>
      <c r="M869" s="26" t="s">
        <v>449</v>
      </c>
      <c r="N869" s="26" t="s">
        <v>696</v>
      </c>
    </row>
    <row r="870">
      <c r="A870" s="25">
        <v>43260.89234396991</v>
      </c>
      <c r="B870" s="26" t="s">
        <v>33</v>
      </c>
      <c r="C870" s="26" t="s">
        <v>62</v>
      </c>
      <c r="D870" s="26" t="s">
        <v>41</v>
      </c>
      <c r="E870" s="26">
        <v>319.0</v>
      </c>
      <c r="F870" s="26" t="s">
        <v>35</v>
      </c>
      <c r="G870" s="26">
        <v>6.0</v>
      </c>
      <c r="H870" s="26">
        <v>1.0</v>
      </c>
      <c r="I870" s="26">
        <v>140000.0</v>
      </c>
      <c r="J870" s="26">
        <v>380000.0</v>
      </c>
      <c r="K870" s="26">
        <v>280000.0</v>
      </c>
      <c r="M870" s="26" t="s">
        <v>449</v>
      </c>
      <c r="N870" s="26" t="s">
        <v>708</v>
      </c>
    </row>
    <row r="871">
      <c r="A871" s="25">
        <v>43261.02805422454</v>
      </c>
      <c r="B871" s="27" t="s">
        <v>759</v>
      </c>
      <c r="C871" s="26" t="s">
        <v>760</v>
      </c>
      <c r="D871" s="26" t="s">
        <v>27</v>
      </c>
      <c r="E871" s="26">
        <v>105.0</v>
      </c>
      <c r="F871" s="26" t="s">
        <v>761</v>
      </c>
      <c r="G871" s="26">
        <v>3.0</v>
      </c>
      <c r="H871" s="26">
        <v>1.0</v>
      </c>
      <c r="I871" s="26">
        <v>85.0</v>
      </c>
      <c r="J871" s="26">
        <v>25.0</v>
      </c>
      <c r="K871" s="26">
        <v>10.0</v>
      </c>
      <c r="L871" s="27" t="s">
        <v>700</v>
      </c>
      <c r="M871" s="26" t="s">
        <v>458</v>
      </c>
      <c r="N871" s="26" t="s">
        <v>696</v>
      </c>
    </row>
    <row r="872">
      <c r="A872" s="25">
        <v>43261.44673765046</v>
      </c>
      <c r="B872" s="26" t="s">
        <v>241</v>
      </c>
      <c r="C872" s="26" t="s">
        <v>96</v>
      </c>
      <c r="D872" s="26" t="s">
        <v>31</v>
      </c>
      <c r="E872" s="26">
        <v>230.0</v>
      </c>
      <c r="F872" s="26" t="s">
        <v>58</v>
      </c>
      <c r="G872" s="26">
        <v>11.0</v>
      </c>
      <c r="H872" s="26">
        <v>2.5</v>
      </c>
      <c r="I872" s="26">
        <v>180.0</v>
      </c>
      <c r="J872" s="26">
        <v>50.0</v>
      </c>
      <c r="K872" s="26">
        <v>15.0</v>
      </c>
      <c r="M872" s="26" t="s">
        <v>449</v>
      </c>
      <c r="N872" s="26" t="s">
        <v>685</v>
      </c>
    </row>
    <row r="873">
      <c r="A873" s="25">
        <v>43261.48308290509</v>
      </c>
      <c r="B873" s="26" t="s">
        <v>80</v>
      </c>
      <c r="C873" s="26" t="s">
        <v>73</v>
      </c>
      <c r="D873" s="26" t="s">
        <v>31</v>
      </c>
      <c r="E873" s="26">
        <v>251.0</v>
      </c>
      <c r="F873" s="26" t="s">
        <v>762</v>
      </c>
      <c r="G873" s="26">
        <v>8.0</v>
      </c>
      <c r="H873" s="26">
        <v>6.0</v>
      </c>
      <c r="I873" s="26">
        <v>159.0</v>
      </c>
      <c r="J873" s="26">
        <v>60.0</v>
      </c>
      <c r="K873" s="26">
        <v>32.0</v>
      </c>
      <c r="L873" s="26" t="s">
        <v>763</v>
      </c>
      <c r="M873" s="26" t="s">
        <v>449</v>
      </c>
      <c r="N873" s="26" t="s">
        <v>685</v>
      </c>
    </row>
    <row r="874">
      <c r="A874" s="25">
        <v>43261.81915614584</v>
      </c>
      <c r="B874" s="26" t="s">
        <v>258</v>
      </c>
      <c r="C874" s="26" t="s">
        <v>125</v>
      </c>
      <c r="D874" s="26" t="s">
        <v>711</v>
      </c>
      <c r="E874" s="26">
        <v>500.0</v>
      </c>
      <c r="F874" s="26" t="s">
        <v>58</v>
      </c>
      <c r="G874" s="26">
        <v>4.0</v>
      </c>
      <c r="H874" s="26">
        <v>4.0</v>
      </c>
      <c r="I874" s="26">
        <v>200.0</v>
      </c>
      <c r="J874" s="26">
        <v>280.0</v>
      </c>
      <c r="K874" s="26">
        <v>20.0</v>
      </c>
      <c r="M874" s="26" t="s">
        <v>449</v>
      </c>
      <c r="N874" s="26" t="s">
        <v>691</v>
      </c>
    </row>
    <row r="875">
      <c r="A875" s="25">
        <v>43261.82837628472</v>
      </c>
      <c r="B875" s="26" t="s">
        <v>29</v>
      </c>
      <c r="C875" s="26" t="s">
        <v>764</v>
      </c>
      <c r="D875" s="26" t="s">
        <v>31</v>
      </c>
      <c r="E875" s="26">
        <v>163.0</v>
      </c>
      <c r="F875" s="26" t="s">
        <v>238</v>
      </c>
      <c r="G875" s="26">
        <v>1.0</v>
      </c>
      <c r="H875" s="26">
        <v>0.0</v>
      </c>
      <c r="I875" s="26">
        <v>138.0</v>
      </c>
      <c r="J875" s="26">
        <v>40.0</v>
      </c>
      <c r="K875" s="26">
        <v>13.0</v>
      </c>
      <c r="M875" s="26" t="s">
        <v>449</v>
      </c>
      <c r="N875" s="26" t="s">
        <v>685</v>
      </c>
    </row>
    <row r="876">
      <c r="A876" s="25">
        <v>43261.84972960648</v>
      </c>
      <c r="B876" s="26" t="s">
        <v>33</v>
      </c>
      <c r="C876" s="26" t="s">
        <v>73</v>
      </c>
      <c r="D876" s="26" t="s">
        <v>31</v>
      </c>
      <c r="E876" s="26">
        <v>135.0</v>
      </c>
      <c r="F876" s="26" t="s">
        <v>35</v>
      </c>
      <c r="G876" s="26">
        <v>2.0</v>
      </c>
      <c r="H876" s="26">
        <v>0.0</v>
      </c>
      <c r="I876" s="26">
        <v>105.0</v>
      </c>
      <c r="J876" s="26">
        <v>5.0</v>
      </c>
      <c r="K876" s="26">
        <v>25.0</v>
      </c>
      <c r="M876" s="26" t="s">
        <v>449</v>
      </c>
      <c r="N876" s="26" t="s">
        <v>704</v>
      </c>
    </row>
    <row r="877">
      <c r="A877" s="25">
        <v>43262.01237390046</v>
      </c>
      <c r="B877" s="26" t="s">
        <v>80</v>
      </c>
      <c r="C877" s="26" t="s">
        <v>73</v>
      </c>
      <c r="D877" s="26" t="s">
        <v>31</v>
      </c>
      <c r="E877" s="26">
        <v>210.0</v>
      </c>
      <c r="F877" s="26" t="s">
        <v>175</v>
      </c>
      <c r="G877" s="26">
        <v>6.0</v>
      </c>
      <c r="H877" s="26">
        <v>1.2</v>
      </c>
      <c r="I877" s="26">
        <v>138000.0</v>
      </c>
      <c r="J877" s="26">
        <v>51000.0</v>
      </c>
      <c r="K877" s="26">
        <v>21000.0</v>
      </c>
      <c r="M877" s="26" t="s">
        <v>458</v>
      </c>
      <c r="N877" s="26" t="s">
        <v>751</v>
      </c>
    </row>
    <row r="878">
      <c r="A878" s="25">
        <v>43262.06666652778</v>
      </c>
      <c r="B878" s="26" t="s">
        <v>765</v>
      </c>
      <c r="C878" s="26" t="s">
        <v>737</v>
      </c>
      <c r="D878" s="26" t="s">
        <v>31</v>
      </c>
      <c r="E878" s="26">
        <v>55.0</v>
      </c>
      <c r="F878" s="26" t="s">
        <v>766</v>
      </c>
      <c r="G878" s="26">
        <v>9.0</v>
      </c>
      <c r="H878" s="26">
        <v>0.0</v>
      </c>
      <c r="I878" s="26">
        <v>54900.0</v>
      </c>
      <c r="M878" s="26" t="s">
        <v>449</v>
      </c>
      <c r="N878" s="26" t="s">
        <v>757</v>
      </c>
    </row>
    <row r="879">
      <c r="A879" s="25">
        <v>43262.13555368056</v>
      </c>
      <c r="B879" s="26" t="s">
        <v>48</v>
      </c>
      <c r="C879" s="26" t="s">
        <v>49</v>
      </c>
      <c r="D879" s="26" t="s">
        <v>31</v>
      </c>
      <c r="E879" s="26">
        <v>119.0</v>
      </c>
      <c r="F879" s="26" t="s">
        <v>767</v>
      </c>
      <c r="G879" s="26">
        <v>9.0</v>
      </c>
      <c r="H879" s="26">
        <v>0.0</v>
      </c>
      <c r="I879" s="26">
        <v>78680.0</v>
      </c>
      <c r="J879" s="26">
        <v>13750.0</v>
      </c>
      <c r="K879" s="26">
        <v>7868.0</v>
      </c>
      <c r="M879" s="26" t="s">
        <v>449</v>
      </c>
      <c r="N879" s="26" t="s">
        <v>683</v>
      </c>
    </row>
    <row r="880">
      <c r="A880" s="25">
        <v>43262.137028495374</v>
      </c>
      <c r="B880" s="26" t="s">
        <v>768</v>
      </c>
      <c r="C880" s="26" t="s">
        <v>114</v>
      </c>
      <c r="D880" s="26" t="s">
        <v>31</v>
      </c>
      <c r="E880" s="26">
        <v>74.0</v>
      </c>
      <c r="F880" s="26" t="s">
        <v>766</v>
      </c>
      <c r="G880" s="26">
        <v>9.0</v>
      </c>
      <c r="H880" s="26">
        <v>0.0</v>
      </c>
      <c r="I880" s="26">
        <v>62290.0</v>
      </c>
      <c r="K880" s="26">
        <v>6229.0</v>
      </c>
      <c r="M880" s="26" t="s">
        <v>449</v>
      </c>
      <c r="N880" s="26" t="s">
        <v>683</v>
      </c>
    </row>
    <row r="881">
      <c r="A881" s="25">
        <v>43262.13880890046</v>
      </c>
      <c r="B881" s="26" t="s">
        <v>45</v>
      </c>
      <c r="C881" s="26" t="s">
        <v>102</v>
      </c>
      <c r="D881" s="26" t="s">
        <v>31</v>
      </c>
      <c r="E881" s="26">
        <v>65.0</v>
      </c>
      <c r="F881" s="26" t="s">
        <v>766</v>
      </c>
      <c r="G881" s="26">
        <v>9.0</v>
      </c>
      <c r="H881" s="26">
        <v>0.0</v>
      </c>
      <c r="I881" s="26">
        <v>47460.0</v>
      </c>
      <c r="J881" s="26">
        <v>18375.0</v>
      </c>
      <c r="K881" s="26">
        <v>7415.0</v>
      </c>
      <c r="M881" s="26" t="s">
        <v>449</v>
      </c>
      <c r="N881" s="26" t="s">
        <v>683</v>
      </c>
    </row>
    <row r="882">
      <c r="A882" s="25">
        <v>43262.41336439815</v>
      </c>
      <c r="B882" s="26" t="s">
        <v>80</v>
      </c>
      <c r="C882" s="26" t="s">
        <v>73</v>
      </c>
      <c r="D882" s="26" t="s">
        <v>31</v>
      </c>
      <c r="E882" s="26">
        <v>236.0</v>
      </c>
      <c r="F882" s="26" t="s">
        <v>35</v>
      </c>
      <c r="G882" s="26">
        <v>6.0</v>
      </c>
      <c r="H882" s="26">
        <v>0.0</v>
      </c>
      <c r="I882" s="26">
        <v>133.0</v>
      </c>
      <c r="J882" s="26">
        <v>330.0</v>
      </c>
      <c r="K882" s="26">
        <v>20.0</v>
      </c>
      <c r="M882" s="26" t="s">
        <v>449</v>
      </c>
      <c r="N882" s="26" t="s">
        <v>685</v>
      </c>
    </row>
    <row r="883">
      <c r="A883" s="25">
        <v>43262.49488753472</v>
      </c>
      <c r="B883" s="26" t="s">
        <v>40</v>
      </c>
      <c r="C883" s="26">
        <v>63.0</v>
      </c>
      <c r="D883" s="26" t="s">
        <v>31</v>
      </c>
      <c r="E883" s="26">
        <v>220.0</v>
      </c>
      <c r="F883" s="26" t="s">
        <v>52</v>
      </c>
      <c r="G883" s="26">
        <v>7.0</v>
      </c>
      <c r="H883" s="26">
        <v>4.0</v>
      </c>
      <c r="I883" s="26">
        <v>160.0</v>
      </c>
      <c r="J883" s="26">
        <v>40.0</v>
      </c>
      <c r="K883" s="26">
        <v>20.0</v>
      </c>
      <c r="M883" s="26" t="s">
        <v>449</v>
      </c>
      <c r="N883" s="26" t="s">
        <v>685</v>
      </c>
    </row>
    <row r="884">
      <c r="A884" s="25">
        <v>43262.504350937495</v>
      </c>
      <c r="B884" s="26" t="s">
        <v>80</v>
      </c>
      <c r="C884" s="26" t="s">
        <v>125</v>
      </c>
      <c r="D884" s="26" t="s">
        <v>31</v>
      </c>
      <c r="E884" s="26">
        <v>500.0</v>
      </c>
      <c r="F884" s="26" t="s">
        <v>35</v>
      </c>
      <c r="G884" s="26">
        <v>25.0</v>
      </c>
      <c r="H884" s="26">
        <v>6.0</v>
      </c>
      <c r="I884" s="26">
        <v>220.0</v>
      </c>
      <c r="J884" s="26">
        <v>220.0</v>
      </c>
      <c r="K884" s="26">
        <v>60.0</v>
      </c>
      <c r="M884" s="26" t="s">
        <v>449</v>
      </c>
      <c r="N884" s="26" t="s">
        <v>685</v>
      </c>
    </row>
    <row r="885">
      <c r="A885" s="25">
        <v>43262.66685435185</v>
      </c>
      <c r="B885" s="26" t="s">
        <v>45</v>
      </c>
      <c r="C885" s="26" t="s">
        <v>116</v>
      </c>
      <c r="D885" s="26" t="s">
        <v>31</v>
      </c>
      <c r="E885" s="26">
        <v>271.0</v>
      </c>
      <c r="F885" s="26" t="s">
        <v>92</v>
      </c>
      <c r="G885" s="26">
        <v>12.0</v>
      </c>
      <c r="H885" s="26">
        <v>3.0</v>
      </c>
      <c r="I885" s="26">
        <v>168.0</v>
      </c>
      <c r="J885" s="26">
        <v>93.0</v>
      </c>
      <c r="K885" s="26">
        <v>10.0</v>
      </c>
      <c r="M885" s="26" t="s">
        <v>449</v>
      </c>
      <c r="N885" s="26" t="s">
        <v>687</v>
      </c>
    </row>
    <row r="886">
      <c r="A886" s="25">
        <v>43262.694508761575</v>
      </c>
      <c r="B886" s="26" t="s">
        <v>769</v>
      </c>
      <c r="C886" s="26" t="s">
        <v>770</v>
      </c>
      <c r="D886" s="26" t="s">
        <v>31</v>
      </c>
      <c r="E886" s="26">
        <v>145.0</v>
      </c>
      <c r="F886" s="26" t="s">
        <v>485</v>
      </c>
      <c r="G886" s="26">
        <v>8.0</v>
      </c>
      <c r="H886" s="26">
        <v>3.0</v>
      </c>
      <c r="I886" s="26">
        <v>130000.0</v>
      </c>
      <c r="K886" s="26">
        <v>15000.0</v>
      </c>
      <c r="M886" s="26" t="s">
        <v>449</v>
      </c>
      <c r="N886" s="26" t="s">
        <v>685</v>
      </c>
    </row>
    <row r="887">
      <c r="A887" s="25">
        <v>43262.70562527778</v>
      </c>
      <c r="B887" s="26" t="s">
        <v>771</v>
      </c>
      <c r="C887" s="26" t="s">
        <v>772</v>
      </c>
      <c r="D887" s="26" t="s">
        <v>31</v>
      </c>
      <c r="E887" s="26">
        <v>320.0</v>
      </c>
      <c r="F887" s="26" t="s">
        <v>773</v>
      </c>
      <c r="G887" s="26">
        <v>7.0</v>
      </c>
      <c r="H887" s="26">
        <v>1.0</v>
      </c>
      <c r="I887" s="26">
        <v>165000.0</v>
      </c>
      <c r="J887" s="26">
        <v>125000.0</v>
      </c>
      <c r="K887" s="26">
        <v>16500.0</v>
      </c>
      <c r="M887" s="26" t="s">
        <v>449</v>
      </c>
    </row>
    <row r="888">
      <c r="A888" s="25">
        <v>43262.71606417824</v>
      </c>
      <c r="B888" s="26" t="s">
        <v>48</v>
      </c>
      <c r="C888" s="26" t="s">
        <v>70</v>
      </c>
      <c r="D888" s="26" t="s">
        <v>31</v>
      </c>
      <c r="E888" s="26">
        <v>511.0</v>
      </c>
      <c r="F888" s="26" t="s">
        <v>247</v>
      </c>
      <c r="G888" s="26">
        <v>10.0</v>
      </c>
      <c r="H888" s="26">
        <v>5.0</v>
      </c>
      <c r="M888" s="26" t="s">
        <v>449</v>
      </c>
      <c r="N888" s="26" t="s">
        <v>699</v>
      </c>
    </row>
    <row r="889">
      <c r="A889" s="25">
        <v>43262.81072255787</v>
      </c>
      <c r="B889" s="26" t="s">
        <v>33</v>
      </c>
      <c r="C889" s="26" t="s">
        <v>34</v>
      </c>
      <c r="D889" s="26" t="s">
        <v>27</v>
      </c>
      <c r="E889" s="26">
        <v>325.0</v>
      </c>
      <c r="F889" s="26" t="s">
        <v>35</v>
      </c>
      <c r="G889" s="26">
        <v>12.0</v>
      </c>
      <c r="H889" s="26">
        <v>3.0</v>
      </c>
      <c r="I889" s="26">
        <v>160.0</v>
      </c>
      <c r="J889" s="26">
        <v>165.0</v>
      </c>
      <c r="M889" s="26" t="s">
        <v>449</v>
      </c>
    </row>
    <row r="890">
      <c r="A890" s="25">
        <v>43262.82182269676</v>
      </c>
      <c r="B890" s="26" t="s">
        <v>40</v>
      </c>
      <c r="C890" s="26">
        <v>63.0</v>
      </c>
      <c r="D890" s="26" t="s">
        <v>27</v>
      </c>
      <c r="E890" s="26">
        <v>350.0</v>
      </c>
      <c r="F890" s="26" t="s">
        <v>47</v>
      </c>
      <c r="G890" s="26">
        <v>8.0</v>
      </c>
      <c r="H890" s="26">
        <v>1.0</v>
      </c>
      <c r="N890" s="26" t="s">
        <v>691</v>
      </c>
    </row>
    <row r="891">
      <c r="A891" s="25">
        <v>43262.84873174768</v>
      </c>
      <c r="B891" s="26" t="s">
        <v>80</v>
      </c>
      <c r="C891" s="26" t="s">
        <v>62</v>
      </c>
      <c r="D891" s="26" t="s">
        <v>27</v>
      </c>
      <c r="E891" s="26">
        <v>475.0</v>
      </c>
      <c r="F891" s="26" t="s">
        <v>51</v>
      </c>
      <c r="G891" s="26">
        <v>10.0</v>
      </c>
      <c r="H891" s="26">
        <v>2.0</v>
      </c>
      <c r="I891" s="26">
        <v>196.0</v>
      </c>
      <c r="J891" s="26">
        <v>239.0</v>
      </c>
      <c r="K891" s="26">
        <v>40.0</v>
      </c>
      <c r="M891" s="26" t="s">
        <v>449</v>
      </c>
    </row>
    <row r="892">
      <c r="A892" s="25">
        <v>43262.91581334491</v>
      </c>
      <c r="B892" s="26" t="s">
        <v>119</v>
      </c>
      <c r="C892" s="26" t="s">
        <v>73</v>
      </c>
      <c r="D892" s="26" t="s">
        <v>27</v>
      </c>
      <c r="E892" s="26">
        <v>197.0</v>
      </c>
      <c r="F892" s="26" t="s">
        <v>72</v>
      </c>
      <c r="G892" s="26">
        <v>6.0</v>
      </c>
      <c r="H892" s="26">
        <v>1.0</v>
      </c>
      <c r="I892" s="26">
        <v>156000.0</v>
      </c>
      <c r="J892" s="26">
        <v>47000.0</v>
      </c>
      <c r="K892" s="26">
        <v>23400.0</v>
      </c>
      <c r="M892" s="26" t="s">
        <v>449</v>
      </c>
    </row>
    <row r="893">
      <c r="A893" s="25">
        <v>43263.21117998843</v>
      </c>
      <c r="B893" s="26" t="s">
        <v>473</v>
      </c>
      <c r="C893" s="26" t="s">
        <v>774</v>
      </c>
      <c r="D893" s="26" t="s">
        <v>31</v>
      </c>
      <c r="E893" s="26">
        <v>162.0</v>
      </c>
      <c r="F893" s="26" t="s">
        <v>94</v>
      </c>
      <c r="G893" s="26">
        <v>7.0</v>
      </c>
      <c r="H893" s="26">
        <v>7.0</v>
      </c>
      <c r="I893" s="26">
        <v>1620000.0</v>
      </c>
      <c r="L893" s="26" t="s">
        <v>775</v>
      </c>
      <c r="M893" s="26" t="s">
        <v>449</v>
      </c>
      <c r="N893" s="26" t="s">
        <v>704</v>
      </c>
    </row>
    <row r="894">
      <c r="A894" s="25">
        <v>43263.32362221065</v>
      </c>
      <c r="B894" s="26" t="s">
        <v>80</v>
      </c>
      <c r="C894" s="26" t="s">
        <v>73</v>
      </c>
      <c r="D894" s="26" t="s">
        <v>31</v>
      </c>
      <c r="E894" s="26">
        <v>257.0</v>
      </c>
      <c r="F894" s="26" t="s">
        <v>94</v>
      </c>
      <c r="G894" s="26">
        <v>7.0</v>
      </c>
      <c r="H894" s="26">
        <v>1.0</v>
      </c>
      <c r="I894" s="26">
        <v>156.0</v>
      </c>
      <c r="J894" s="26">
        <v>78.0</v>
      </c>
      <c r="K894" s="26">
        <v>23.0</v>
      </c>
      <c r="M894" s="26" t="s">
        <v>449</v>
      </c>
      <c r="N894" s="26" t="s">
        <v>691</v>
      </c>
    </row>
    <row r="895">
      <c r="A895" s="25">
        <v>43263.40325587963</v>
      </c>
      <c r="B895" s="26" t="s">
        <v>80</v>
      </c>
      <c r="C895" s="26" t="s">
        <v>43</v>
      </c>
      <c r="D895" s="26" t="s">
        <v>31</v>
      </c>
      <c r="E895" s="26">
        <v>450.0</v>
      </c>
      <c r="F895" s="26" t="s">
        <v>63</v>
      </c>
      <c r="G895" s="26">
        <v>8.0</v>
      </c>
      <c r="H895" s="26">
        <v>4.0</v>
      </c>
      <c r="I895" s="26">
        <v>160000.0</v>
      </c>
      <c r="J895" s="26">
        <v>250000.0</v>
      </c>
      <c r="K895" s="26">
        <v>40000.0</v>
      </c>
      <c r="M895" s="26" t="s">
        <v>449</v>
      </c>
      <c r="N895" s="26" t="s">
        <v>757</v>
      </c>
    </row>
    <row r="896">
      <c r="A896" s="25">
        <v>43263.64624079861</v>
      </c>
      <c r="B896" s="26" t="s">
        <v>45</v>
      </c>
      <c r="C896" s="26" t="s">
        <v>98</v>
      </c>
      <c r="D896" s="26" t="s">
        <v>31</v>
      </c>
      <c r="E896" s="26">
        <v>152.5</v>
      </c>
      <c r="F896" s="26" t="s">
        <v>104</v>
      </c>
      <c r="G896" s="26">
        <v>0.0</v>
      </c>
      <c r="H896" s="26">
        <v>0.0</v>
      </c>
      <c r="I896" s="26">
        <v>115.0</v>
      </c>
      <c r="J896" s="26">
        <v>17.5</v>
      </c>
      <c r="K896" s="26">
        <v>20.0</v>
      </c>
      <c r="N896" s="26" t="s">
        <v>699</v>
      </c>
    </row>
    <row r="897">
      <c r="A897" s="25">
        <v>43263.694110462966</v>
      </c>
      <c r="B897" s="26" t="s">
        <v>36</v>
      </c>
      <c r="C897" s="26" t="s">
        <v>73</v>
      </c>
      <c r="D897" s="26" t="s">
        <v>31</v>
      </c>
      <c r="E897" s="26">
        <v>235.0</v>
      </c>
      <c r="F897" s="26" t="s">
        <v>32</v>
      </c>
      <c r="G897" s="26">
        <v>3.0</v>
      </c>
      <c r="H897" s="26">
        <v>0.0</v>
      </c>
      <c r="I897" s="26">
        <v>155000.0</v>
      </c>
      <c r="J897" s="26">
        <v>266000.0</v>
      </c>
      <c r="K897" s="26">
        <v>13500.0</v>
      </c>
      <c r="L897" s="26" t="s">
        <v>776</v>
      </c>
      <c r="M897" s="26" t="s">
        <v>449</v>
      </c>
      <c r="N897" s="26" t="s">
        <v>696</v>
      </c>
    </row>
    <row r="898">
      <c r="A898" s="25">
        <v>43263.71558059027</v>
      </c>
      <c r="B898" s="26" t="s">
        <v>777</v>
      </c>
      <c r="C898" s="26" t="s">
        <v>143</v>
      </c>
      <c r="D898" s="26" t="s">
        <v>713</v>
      </c>
      <c r="E898" s="26">
        <v>200.0</v>
      </c>
      <c r="F898" s="26" t="s">
        <v>778</v>
      </c>
      <c r="G898" s="26">
        <v>6.0</v>
      </c>
      <c r="H898" s="26">
        <v>2.0</v>
      </c>
      <c r="I898" s="26">
        <v>180.0</v>
      </c>
      <c r="K898" s="26">
        <v>25.0</v>
      </c>
      <c r="M898" s="26" t="s">
        <v>449</v>
      </c>
      <c r="N898" s="26" t="s">
        <v>683</v>
      </c>
    </row>
    <row r="899">
      <c r="A899" s="25">
        <v>43263.71640039352</v>
      </c>
      <c r="B899" s="26" t="s">
        <v>779</v>
      </c>
      <c r="C899" s="26" t="s">
        <v>179</v>
      </c>
      <c r="D899" s="26" t="s">
        <v>31</v>
      </c>
      <c r="E899" s="26">
        <v>162.0</v>
      </c>
      <c r="F899" s="26" t="s">
        <v>232</v>
      </c>
      <c r="G899" s="26">
        <v>7.0</v>
      </c>
      <c r="H899" s="26">
        <v>1.5</v>
      </c>
      <c r="I899" s="26">
        <v>120.0</v>
      </c>
      <c r="J899" s="26">
        <v>30.0</v>
      </c>
      <c r="K899" s="26">
        <v>12.0</v>
      </c>
      <c r="N899" s="26" t="s">
        <v>780</v>
      </c>
    </row>
    <row r="900">
      <c r="A900" s="25">
        <v>43263.73153024305</v>
      </c>
      <c r="B900" s="26" t="s">
        <v>256</v>
      </c>
      <c r="C900" s="26" t="s">
        <v>184</v>
      </c>
      <c r="D900" s="26" t="s">
        <v>31</v>
      </c>
      <c r="E900" s="26">
        <v>350.0</v>
      </c>
      <c r="F900" s="26" t="s">
        <v>257</v>
      </c>
      <c r="G900" s="26">
        <v>15.0</v>
      </c>
      <c r="H900" s="26">
        <v>3.0</v>
      </c>
      <c r="I900" s="26">
        <v>196.0</v>
      </c>
      <c r="J900" s="26">
        <v>61.0</v>
      </c>
      <c r="K900" s="26">
        <v>38.0</v>
      </c>
      <c r="M900" s="26" t="s">
        <v>449</v>
      </c>
      <c r="N900" s="26" t="s">
        <v>781</v>
      </c>
    </row>
    <row r="901">
      <c r="A901" s="25">
        <v>43263.787178032406</v>
      </c>
      <c r="B901" s="26" t="s">
        <v>33</v>
      </c>
      <c r="C901" s="26" t="s">
        <v>43</v>
      </c>
      <c r="D901" s="26" t="s">
        <v>31</v>
      </c>
      <c r="E901" s="26">
        <v>169.0</v>
      </c>
      <c r="F901" s="26" t="s">
        <v>782</v>
      </c>
      <c r="G901" s="26">
        <v>15.0</v>
      </c>
      <c r="H901" s="26">
        <v>2.0</v>
      </c>
      <c r="I901" s="26">
        <v>105.0</v>
      </c>
      <c r="J901" s="26">
        <v>64.0</v>
      </c>
      <c r="M901" s="26" t="s">
        <v>449</v>
      </c>
      <c r="N901" s="26" t="s">
        <v>683</v>
      </c>
    </row>
    <row r="902">
      <c r="A902" s="25">
        <v>43263.83604840278</v>
      </c>
      <c r="B902" s="26" t="s">
        <v>783</v>
      </c>
      <c r="C902" s="26" t="s">
        <v>201</v>
      </c>
      <c r="D902" s="26" t="s">
        <v>31</v>
      </c>
      <c r="E902" s="26">
        <v>275.0</v>
      </c>
      <c r="F902" s="26" t="s">
        <v>94</v>
      </c>
      <c r="G902" s="26">
        <v>0.5</v>
      </c>
      <c r="H902" s="26">
        <v>0.0</v>
      </c>
      <c r="I902" s="26">
        <v>150.0</v>
      </c>
      <c r="K902" s="26">
        <v>125.0</v>
      </c>
      <c r="M902" s="26" t="s">
        <v>449</v>
      </c>
      <c r="N902" s="26" t="s">
        <v>685</v>
      </c>
    </row>
    <row r="903">
      <c r="A903" s="25">
        <v>43263.84848366898</v>
      </c>
      <c r="B903" s="26" t="s">
        <v>784</v>
      </c>
      <c r="C903" s="26" t="s">
        <v>43</v>
      </c>
      <c r="D903" s="26" t="s">
        <v>31</v>
      </c>
      <c r="E903" s="26">
        <v>230.0</v>
      </c>
      <c r="F903" s="26" t="s">
        <v>785</v>
      </c>
      <c r="G903" s="26">
        <v>3.0</v>
      </c>
      <c r="H903" s="26">
        <v>3.0</v>
      </c>
      <c r="M903" s="26" t="s">
        <v>449</v>
      </c>
      <c r="N903" s="26" t="s">
        <v>696</v>
      </c>
    </row>
    <row r="904">
      <c r="A904" s="25">
        <v>43263.87089706019</v>
      </c>
      <c r="B904" s="26" t="s">
        <v>80</v>
      </c>
      <c r="C904" s="26" t="s">
        <v>93</v>
      </c>
      <c r="D904" s="26" t="s">
        <v>711</v>
      </c>
      <c r="E904" s="26">
        <v>685.0</v>
      </c>
      <c r="F904" s="26" t="s">
        <v>578</v>
      </c>
      <c r="G904" s="26">
        <v>22.0</v>
      </c>
      <c r="H904" s="26">
        <v>2.0</v>
      </c>
      <c r="I904" s="26">
        <v>221000.0</v>
      </c>
      <c r="J904" s="26">
        <v>296000.0</v>
      </c>
      <c r="K904" s="26">
        <v>55000.0</v>
      </c>
      <c r="M904" s="26" t="s">
        <v>449</v>
      </c>
      <c r="N904" s="26" t="s">
        <v>691</v>
      </c>
    </row>
    <row r="905">
      <c r="A905" s="25">
        <v>43264.00575111111</v>
      </c>
      <c r="B905" s="26" t="s">
        <v>658</v>
      </c>
      <c r="C905" s="26" t="s">
        <v>65</v>
      </c>
      <c r="D905" s="26" t="s">
        <v>31</v>
      </c>
      <c r="E905" s="26">
        <v>195.0</v>
      </c>
      <c r="F905" s="26" t="s">
        <v>58</v>
      </c>
      <c r="G905" s="26">
        <v>12.0</v>
      </c>
      <c r="H905" s="26">
        <v>0.0</v>
      </c>
      <c r="I905" s="26">
        <v>155000.0</v>
      </c>
      <c r="J905" s="26">
        <v>25000.0</v>
      </c>
      <c r="K905" s="26">
        <v>15000.0</v>
      </c>
      <c r="L905" s="26" t="s">
        <v>786</v>
      </c>
      <c r="M905" s="26" t="s">
        <v>449</v>
      </c>
      <c r="N905" s="26" t="s">
        <v>704</v>
      </c>
    </row>
    <row r="906">
      <c r="A906" s="25">
        <v>43264.50206133102</v>
      </c>
      <c r="B906" s="26" t="s">
        <v>123</v>
      </c>
      <c r="C906" s="26" t="s">
        <v>37</v>
      </c>
      <c r="D906" s="26" t="s">
        <v>31</v>
      </c>
      <c r="E906" s="26">
        <v>284.0</v>
      </c>
      <c r="F906" s="26" t="s">
        <v>47</v>
      </c>
      <c r="G906" s="26">
        <v>10.0</v>
      </c>
      <c r="H906" s="26">
        <v>0.0</v>
      </c>
      <c r="I906" s="26">
        <v>190.0</v>
      </c>
      <c r="J906" s="26">
        <v>300.0</v>
      </c>
      <c r="K906" s="26">
        <v>19.0</v>
      </c>
      <c r="M906" s="26" t="s">
        <v>449</v>
      </c>
      <c r="N906" s="26" t="s">
        <v>691</v>
      </c>
    </row>
    <row r="907">
      <c r="A907" s="25">
        <v>43264.75394998843</v>
      </c>
      <c r="B907" s="26" t="s">
        <v>787</v>
      </c>
      <c r="C907" s="26" t="s">
        <v>113</v>
      </c>
      <c r="D907" s="26" t="s">
        <v>713</v>
      </c>
      <c r="E907" s="26">
        <v>195.0</v>
      </c>
      <c r="F907" s="26" t="s">
        <v>58</v>
      </c>
      <c r="G907" s="26">
        <v>12.0</v>
      </c>
      <c r="H907" s="26">
        <v>5.0</v>
      </c>
      <c r="I907" s="26">
        <v>195.0</v>
      </c>
      <c r="M907" s="26" t="s">
        <v>449</v>
      </c>
      <c r="N907" s="26" t="s">
        <v>691</v>
      </c>
    </row>
    <row r="908">
      <c r="A908" s="25">
        <v>43264.79160303241</v>
      </c>
      <c r="B908" s="26" t="s">
        <v>33</v>
      </c>
      <c r="C908" s="26" t="s">
        <v>43</v>
      </c>
      <c r="D908" s="26" t="s">
        <v>31</v>
      </c>
      <c r="E908" s="26">
        <v>202.0</v>
      </c>
      <c r="F908" s="26" t="s">
        <v>136</v>
      </c>
      <c r="G908" s="26">
        <v>2.5</v>
      </c>
      <c r="H908" s="26">
        <v>0.0</v>
      </c>
      <c r="I908" s="26">
        <v>140000.0</v>
      </c>
      <c r="J908" s="26">
        <v>150000.0</v>
      </c>
      <c r="K908" s="26">
        <v>110000.0</v>
      </c>
      <c r="M908" s="26" t="s">
        <v>449</v>
      </c>
      <c r="N908" s="26" t="s">
        <v>685</v>
      </c>
    </row>
    <row r="909">
      <c r="A909" s="25">
        <v>43264.89767219908</v>
      </c>
      <c r="B909" s="26" t="s">
        <v>40</v>
      </c>
      <c r="C909" s="26">
        <v>62.0</v>
      </c>
      <c r="D909" s="26" t="s">
        <v>31</v>
      </c>
      <c r="E909" s="26">
        <v>169.0</v>
      </c>
      <c r="F909" s="26" t="s">
        <v>52</v>
      </c>
      <c r="G909" s="26">
        <v>5.0</v>
      </c>
      <c r="H909" s="26">
        <v>0.0</v>
      </c>
      <c r="I909" s="26">
        <v>137000.0</v>
      </c>
      <c r="J909" s="26">
        <v>75000.0</v>
      </c>
      <c r="K909" s="26">
        <v>13700.0</v>
      </c>
      <c r="N909" s="26" t="s">
        <v>696</v>
      </c>
    </row>
    <row r="910">
      <c r="A910" s="25">
        <v>43264.92622934028</v>
      </c>
      <c r="B910" s="26" t="s">
        <v>40</v>
      </c>
      <c r="C910" s="26">
        <v>63.0</v>
      </c>
      <c r="D910" s="26" t="s">
        <v>31</v>
      </c>
      <c r="E910" s="26">
        <v>190.0</v>
      </c>
      <c r="F910" s="26" t="s">
        <v>75</v>
      </c>
      <c r="G910" s="26">
        <v>6.0</v>
      </c>
      <c r="H910" s="26">
        <v>4.0</v>
      </c>
      <c r="I910" s="26">
        <v>150.0</v>
      </c>
      <c r="J910" s="26">
        <v>20.0</v>
      </c>
      <c r="K910" s="26">
        <v>20.0</v>
      </c>
      <c r="M910" s="26" t="s">
        <v>449</v>
      </c>
      <c r="N910" s="26" t="s">
        <v>788</v>
      </c>
    </row>
    <row r="911">
      <c r="A911" s="25">
        <v>43264.96670099537</v>
      </c>
      <c r="B911" s="26" t="s">
        <v>538</v>
      </c>
      <c r="C911" s="26" t="s">
        <v>789</v>
      </c>
      <c r="D911" s="26" t="s">
        <v>31</v>
      </c>
      <c r="E911" s="26">
        <v>140.0</v>
      </c>
      <c r="F911" s="26" t="s">
        <v>539</v>
      </c>
      <c r="G911" s="26">
        <v>15.0</v>
      </c>
      <c r="H911" s="26">
        <v>9.0</v>
      </c>
      <c r="N911" s="26" t="s">
        <v>685</v>
      </c>
    </row>
    <row r="912">
      <c r="A912" s="25">
        <v>43264.98874361111</v>
      </c>
      <c r="B912" s="26" t="s">
        <v>790</v>
      </c>
      <c r="C912" s="26" t="s">
        <v>184</v>
      </c>
      <c r="D912" s="26" t="s">
        <v>31</v>
      </c>
      <c r="E912" s="26">
        <v>200.0</v>
      </c>
      <c r="F912" s="26" t="s">
        <v>63</v>
      </c>
      <c r="G912" s="26">
        <v>3.0</v>
      </c>
      <c r="H912" s="26">
        <v>3.0</v>
      </c>
      <c r="I912" s="26">
        <v>137.0</v>
      </c>
      <c r="J912" s="26">
        <v>36.0</v>
      </c>
      <c r="K912" s="26">
        <v>27.0</v>
      </c>
      <c r="M912" s="26" t="s">
        <v>449</v>
      </c>
      <c r="N912" s="26" t="s">
        <v>696</v>
      </c>
    </row>
    <row r="913">
      <c r="A913" s="25">
        <v>43265.01029736111</v>
      </c>
      <c r="B913" s="26" t="s">
        <v>80</v>
      </c>
      <c r="C913" s="26" t="s">
        <v>62</v>
      </c>
      <c r="D913" s="26" t="s">
        <v>27</v>
      </c>
      <c r="E913" s="26">
        <v>380.0</v>
      </c>
      <c r="F913" s="26" t="s">
        <v>63</v>
      </c>
      <c r="G913" s="26">
        <v>12.0</v>
      </c>
      <c r="H913" s="26">
        <v>3.0</v>
      </c>
      <c r="I913" s="26">
        <v>185.0</v>
      </c>
      <c r="M913" s="26" t="s">
        <v>449</v>
      </c>
    </row>
    <row r="914">
      <c r="A914" s="25">
        <v>43265.0651815625</v>
      </c>
      <c r="B914" s="26" t="s">
        <v>538</v>
      </c>
      <c r="C914" s="26">
        <v>18.0</v>
      </c>
      <c r="D914" s="26" t="s">
        <v>31</v>
      </c>
      <c r="E914" s="26">
        <v>112.0</v>
      </c>
      <c r="F914" s="26" t="s">
        <v>539</v>
      </c>
      <c r="G914" s="26">
        <v>6.0</v>
      </c>
      <c r="H914" s="26">
        <v>5.0</v>
      </c>
      <c r="I914" s="26">
        <v>48.0</v>
      </c>
      <c r="J914" s="26">
        <v>48.0</v>
      </c>
      <c r="K914" s="26">
        <v>15.0</v>
      </c>
      <c r="M914" s="26" t="s">
        <v>449</v>
      </c>
      <c r="N914" s="26" t="s">
        <v>691</v>
      </c>
    </row>
    <row r="915">
      <c r="A915" s="25">
        <v>43265.170139525464</v>
      </c>
      <c r="B915" s="26" t="s">
        <v>538</v>
      </c>
      <c r="C915" s="26" t="s">
        <v>680</v>
      </c>
      <c r="D915" s="26" t="s">
        <v>31</v>
      </c>
      <c r="E915" s="26">
        <v>35.0</v>
      </c>
      <c r="F915" s="26" t="s">
        <v>681</v>
      </c>
      <c r="G915" s="26">
        <v>7.0</v>
      </c>
      <c r="H915" s="26">
        <v>2.0</v>
      </c>
      <c r="I915" s="26">
        <v>35.0</v>
      </c>
      <c r="M915" s="26" t="s">
        <v>449</v>
      </c>
      <c r="N915" s="26" t="s">
        <v>791</v>
      </c>
    </row>
    <row r="916">
      <c r="A916" s="25">
        <v>43265.35532604167</v>
      </c>
      <c r="B916" s="26" t="s">
        <v>407</v>
      </c>
      <c r="C916" s="26" t="s">
        <v>37</v>
      </c>
      <c r="D916" s="26" t="s">
        <v>31</v>
      </c>
      <c r="E916" s="26">
        <v>185.0</v>
      </c>
      <c r="F916" s="26" t="s">
        <v>28</v>
      </c>
      <c r="G916" s="26">
        <v>12.0</v>
      </c>
      <c r="H916" s="26">
        <v>6.0</v>
      </c>
      <c r="N916" s="26" t="s">
        <v>685</v>
      </c>
    </row>
    <row r="917">
      <c r="A917" s="25">
        <v>43265.36271417824</v>
      </c>
      <c r="B917" s="26" t="s">
        <v>130</v>
      </c>
      <c r="C917" s="26" t="s">
        <v>62</v>
      </c>
      <c r="D917" s="26" t="s">
        <v>31</v>
      </c>
      <c r="E917" s="26">
        <v>350.0</v>
      </c>
      <c r="F917" s="26" t="s">
        <v>792</v>
      </c>
      <c r="G917" s="26">
        <v>9.0</v>
      </c>
      <c r="H917" s="26">
        <v>7.0</v>
      </c>
      <c r="I917" s="26">
        <v>150.0</v>
      </c>
      <c r="J917" s="26">
        <v>200.0</v>
      </c>
      <c r="M917" s="26" t="s">
        <v>449</v>
      </c>
      <c r="N917" s="26" t="s">
        <v>691</v>
      </c>
    </row>
    <row r="918">
      <c r="A918" s="25">
        <v>43265.367924907405</v>
      </c>
      <c r="B918" s="26" t="s">
        <v>45</v>
      </c>
      <c r="C918" s="26" t="s">
        <v>98</v>
      </c>
      <c r="D918" s="26" t="s">
        <v>31</v>
      </c>
      <c r="E918" s="26">
        <v>152.0</v>
      </c>
      <c r="F918" s="26" t="s">
        <v>104</v>
      </c>
      <c r="G918" s="26">
        <v>0.0</v>
      </c>
      <c r="H918" s="26">
        <v>0.0</v>
      </c>
      <c r="I918" s="26">
        <v>120000.0</v>
      </c>
      <c r="J918" s="26">
        <v>50000.0</v>
      </c>
      <c r="K918" s="26">
        <v>20000.0</v>
      </c>
      <c r="M918" s="26" t="s">
        <v>458</v>
      </c>
    </row>
    <row r="919">
      <c r="A919" s="25">
        <v>43265.44362209491</v>
      </c>
      <c r="B919" s="26" t="s">
        <v>33</v>
      </c>
      <c r="C919" s="26" t="s">
        <v>43</v>
      </c>
      <c r="D919" s="26" t="s">
        <v>31</v>
      </c>
      <c r="E919" s="26">
        <v>226.0</v>
      </c>
      <c r="F919" s="26" t="s">
        <v>104</v>
      </c>
      <c r="G919" s="26">
        <v>2.5</v>
      </c>
      <c r="H919" s="26">
        <v>2.5</v>
      </c>
      <c r="I919" s="26">
        <v>147500.0</v>
      </c>
      <c r="J919" s="26">
        <v>78919.0</v>
      </c>
      <c r="M919" s="26" t="s">
        <v>449</v>
      </c>
      <c r="N919" s="26" t="s">
        <v>683</v>
      </c>
    </row>
    <row r="920">
      <c r="A920" s="25">
        <v>43265.74805459491</v>
      </c>
      <c r="B920" s="26" t="s">
        <v>33</v>
      </c>
      <c r="C920" s="26" t="s">
        <v>62</v>
      </c>
      <c r="D920" s="26" t="s">
        <v>27</v>
      </c>
      <c r="E920" s="26">
        <v>217.0</v>
      </c>
      <c r="F920" s="26" t="s">
        <v>35</v>
      </c>
      <c r="G920" s="26">
        <v>10.0</v>
      </c>
      <c r="H920" s="26">
        <v>4.0</v>
      </c>
      <c r="I920" s="26">
        <v>121.0</v>
      </c>
      <c r="J920" s="26">
        <v>96.0</v>
      </c>
      <c r="M920" s="26" t="s">
        <v>449</v>
      </c>
    </row>
    <row r="921">
      <c r="A921" s="25">
        <v>43265.78826736111</v>
      </c>
      <c r="B921" s="26" t="s">
        <v>45</v>
      </c>
      <c r="C921" s="26" t="s">
        <v>98</v>
      </c>
      <c r="D921" s="26" t="s">
        <v>31</v>
      </c>
      <c r="E921" s="26">
        <v>185.0</v>
      </c>
      <c r="F921" s="26" t="s">
        <v>32</v>
      </c>
      <c r="G921" s="26">
        <v>0.0</v>
      </c>
      <c r="H921" s="26">
        <v>0.0</v>
      </c>
      <c r="I921" s="26">
        <v>115.0</v>
      </c>
      <c r="J921" s="26">
        <v>50.0</v>
      </c>
      <c r="K921" s="26">
        <v>20.0</v>
      </c>
      <c r="M921" s="26" t="s">
        <v>449</v>
      </c>
      <c r="N921" s="26" t="s">
        <v>699</v>
      </c>
    </row>
    <row r="922">
      <c r="A922" s="25">
        <v>43265.812089178246</v>
      </c>
      <c r="B922" s="26" t="s">
        <v>64</v>
      </c>
      <c r="C922" s="26" t="s">
        <v>494</v>
      </c>
      <c r="D922" s="26" t="s">
        <v>31</v>
      </c>
      <c r="E922" s="26">
        <v>194.0</v>
      </c>
      <c r="F922" s="26" t="s">
        <v>236</v>
      </c>
      <c r="G922" s="26">
        <v>7.0</v>
      </c>
      <c r="H922" s="26">
        <v>4.5</v>
      </c>
      <c r="I922" s="26">
        <v>138.0</v>
      </c>
      <c r="J922" s="26">
        <v>26.0</v>
      </c>
      <c r="K922" s="26">
        <v>23.46</v>
      </c>
      <c r="L922" s="26" t="s">
        <v>793</v>
      </c>
      <c r="M922" s="26" t="s">
        <v>449</v>
      </c>
      <c r="N922" s="26" t="s">
        <v>794</v>
      </c>
    </row>
    <row r="923">
      <c r="A923" s="25">
        <v>43265.82094229167</v>
      </c>
      <c r="B923" s="26" t="s">
        <v>122</v>
      </c>
      <c r="C923" s="26" t="s">
        <v>73</v>
      </c>
      <c r="D923" s="26" t="s">
        <v>31</v>
      </c>
      <c r="E923" s="26">
        <v>333.0</v>
      </c>
      <c r="F923" s="26" t="s">
        <v>58</v>
      </c>
      <c r="G923" s="26">
        <v>3.0</v>
      </c>
      <c r="H923" s="26">
        <v>0.0</v>
      </c>
      <c r="I923" s="26">
        <v>168.0</v>
      </c>
      <c r="J923" s="26">
        <v>562194.0</v>
      </c>
      <c r="K923" s="26">
        <v>24000.0</v>
      </c>
      <c r="M923" s="26" t="s">
        <v>458</v>
      </c>
      <c r="N923" s="26" t="s">
        <v>691</v>
      </c>
    </row>
    <row r="924">
      <c r="A924" s="25">
        <v>43265.82597133102</v>
      </c>
      <c r="B924" s="26" t="s">
        <v>538</v>
      </c>
      <c r="C924" s="26" t="s">
        <v>789</v>
      </c>
      <c r="D924" s="26" t="s">
        <v>31</v>
      </c>
      <c r="E924" s="26">
        <v>87.6</v>
      </c>
      <c r="F924" s="26" t="s">
        <v>681</v>
      </c>
      <c r="G924" s="26">
        <v>5.0</v>
      </c>
      <c r="H924" s="26">
        <v>5.0</v>
      </c>
      <c r="I924" s="26">
        <v>45.6</v>
      </c>
      <c r="J924" s="26">
        <v>10.5</v>
      </c>
      <c r="K924" s="26">
        <v>31.5</v>
      </c>
      <c r="M924" s="26" t="s">
        <v>449</v>
      </c>
      <c r="N924" s="26" t="s">
        <v>691</v>
      </c>
    </row>
    <row r="925">
      <c r="A925" s="25">
        <v>43265.8480984375</v>
      </c>
      <c r="B925" s="26" t="s">
        <v>124</v>
      </c>
      <c r="C925" s="26" t="s">
        <v>795</v>
      </c>
      <c r="D925" s="26" t="s">
        <v>31</v>
      </c>
      <c r="E925" s="26">
        <v>260.0</v>
      </c>
      <c r="F925" s="26" t="s">
        <v>459</v>
      </c>
      <c r="G925" s="26">
        <v>12.0</v>
      </c>
      <c r="H925" s="26">
        <v>8.0</v>
      </c>
      <c r="I925" s="26">
        <v>167000.0</v>
      </c>
      <c r="J925" s="26">
        <v>60000.0</v>
      </c>
      <c r="K925" s="26">
        <v>45000.0</v>
      </c>
      <c r="M925" s="26" t="s">
        <v>449</v>
      </c>
      <c r="N925" s="26" t="s">
        <v>685</v>
      </c>
    </row>
    <row r="926">
      <c r="A926" s="25">
        <v>43265.86711324074</v>
      </c>
      <c r="B926" s="26" t="s">
        <v>40</v>
      </c>
      <c r="C926" s="26" t="s">
        <v>796</v>
      </c>
      <c r="D926" s="26" t="s">
        <v>31</v>
      </c>
      <c r="E926" s="26">
        <v>167.0</v>
      </c>
      <c r="F926" s="26" t="s">
        <v>75</v>
      </c>
      <c r="G926" s="26">
        <v>7.0</v>
      </c>
      <c r="H926" s="26">
        <v>7.0</v>
      </c>
      <c r="I926" s="26">
        <v>138.0</v>
      </c>
      <c r="J926" s="26">
        <v>16.0</v>
      </c>
      <c r="K926" s="26">
        <v>13.0</v>
      </c>
      <c r="L926" s="26" t="s">
        <v>797</v>
      </c>
      <c r="M926" s="26" t="s">
        <v>449</v>
      </c>
      <c r="N926" s="26" t="s">
        <v>685</v>
      </c>
    </row>
    <row r="927">
      <c r="A927" s="25">
        <v>43266.35483615741</v>
      </c>
      <c r="B927" s="26" t="s">
        <v>48</v>
      </c>
      <c r="C927" s="26" t="s">
        <v>49</v>
      </c>
      <c r="D927" s="26" t="s">
        <v>31</v>
      </c>
      <c r="E927" s="26">
        <v>310.0</v>
      </c>
      <c r="F927" s="26" t="s">
        <v>161</v>
      </c>
      <c r="G927" s="26">
        <v>5.0</v>
      </c>
      <c r="H927" s="26">
        <v>0.0</v>
      </c>
      <c r="I927" s="26">
        <v>140.0</v>
      </c>
      <c r="J927" s="26">
        <v>155.0</v>
      </c>
      <c r="K927" s="26">
        <v>14.0</v>
      </c>
      <c r="M927" s="26" t="s">
        <v>449</v>
      </c>
      <c r="N927" s="26" t="s">
        <v>691</v>
      </c>
    </row>
    <row r="928">
      <c r="A928" s="25">
        <v>43266.563989629634</v>
      </c>
      <c r="B928" s="26" t="s">
        <v>673</v>
      </c>
      <c r="C928" s="26" t="s">
        <v>31</v>
      </c>
      <c r="D928" s="26" t="s">
        <v>31</v>
      </c>
      <c r="E928" s="26">
        <v>160.0</v>
      </c>
      <c r="F928" s="26" t="s">
        <v>58</v>
      </c>
      <c r="G928" s="26">
        <v>2.0</v>
      </c>
      <c r="H928" s="26">
        <v>1.0</v>
      </c>
      <c r="I928" s="26">
        <v>122000.0</v>
      </c>
      <c r="J928" s="26">
        <v>80000.0</v>
      </c>
      <c r="K928" s="26">
        <v>12200.0</v>
      </c>
      <c r="M928" s="26" t="s">
        <v>449</v>
      </c>
      <c r="N928" s="26" t="s">
        <v>696</v>
      </c>
    </row>
    <row r="929">
      <c r="A929" s="25">
        <v>43266.5640040162</v>
      </c>
      <c r="B929" s="26" t="s">
        <v>673</v>
      </c>
      <c r="C929" s="26" t="s">
        <v>737</v>
      </c>
      <c r="D929" s="26" t="s">
        <v>31</v>
      </c>
      <c r="E929" s="26">
        <v>230.0</v>
      </c>
      <c r="F929" s="26" t="s">
        <v>238</v>
      </c>
      <c r="G929" s="26">
        <v>14.0</v>
      </c>
      <c r="H929" s="26">
        <v>1.0</v>
      </c>
      <c r="I929" s="26">
        <v>165.0</v>
      </c>
      <c r="J929" s="26">
        <v>50.0</v>
      </c>
      <c r="K929" s="26">
        <v>8.0</v>
      </c>
      <c r="M929" s="26" t="s">
        <v>449</v>
      </c>
      <c r="N929" s="26" t="s">
        <v>683</v>
      </c>
    </row>
    <row r="930">
      <c r="A930" s="25">
        <v>43266.61491885417</v>
      </c>
      <c r="B930" s="26" t="s">
        <v>33</v>
      </c>
      <c r="C930" s="26" t="s">
        <v>73</v>
      </c>
      <c r="D930" s="26" t="s">
        <v>31</v>
      </c>
      <c r="E930" s="26">
        <v>151.0</v>
      </c>
      <c r="F930" s="26" t="s">
        <v>35</v>
      </c>
      <c r="G930" s="26">
        <v>1.0</v>
      </c>
      <c r="H930" s="26">
        <v>0.0</v>
      </c>
      <c r="I930" s="26">
        <v>130000.0</v>
      </c>
      <c r="J930" s="26">
        <v>1695.0</v>
      </c>
      <c r="K930" s="26">
        <v>19500.0</v>
      </c>
      <c r="M930" s="26" t="s">
        <v>449</v>
      </c>
    </row>
    <row r="931">
      <c r="A931" s="25">
        <v>43266.800009398146</v>
      </c>
      <c r="B931" s="26" t="s">
        <v>234</v>
      </c>
      <c r="C931" s="26" t="s">
        <v>218</v>
      </c>
      <c r="D931" s="26" t="s">
        <v>31</v>
      </c>
      <c r="E931" s="26">
        <v>120.0</v>
      </c>
      <c r="F931" s="26" t="s">
        <v>236</v>
      </c>
      <c r="G931" s="26">
        <v>0.0</v>
      </c>
      <c r="H931" s="26">
        <v>1.5</v>
      </c>
      <c r="I931" s="26">
        <v>113.0</v>
      </c>
      <c r="K931" s="26">
        <v>7.0</v>
      </c>
      <c r="M931" s="26" t="s">
        <v>449</v>
      </c>
      <c r="N931" s="26" t="s">
        <v>704</v>
      </c>
    </row>
    <row r="932">
      <c r="A932" s="25">
        <v>43266.82524280093</v>
      </c>
      <c r="B932" s="26" t="s">
        <v>48</v>
      </c>
      <c r="C932" s="26" t="s">
        <v>49</v>
      </c>
      <c r="D932" s="26" t="s">
        <v>31</v>
      </c>
      <c r="E932" s="26">
        <v>250.0</v>
      </c>
      <c r="F932" s="26" t="s">
        <v>50</v>
      </c>
      <c r="G932" s="26">
        <v>5.0</v>
      </c>
      <c r="H932" s="26">
        <v>0.0</v>
      </c>
      <c r="I932" s="26">
        <v>160.0</v>
      </c>
      <c r="J932" s="26">
        <v>300.0</v>
      </c>
      <c r="K932" s="26">
        <v>1.6</v>
      </c>
      <c r="N932" s="26" t="s">
        <v>683</v>
      </c>
    </row>
    <row r="933">
      <c r="A933" s="25">
        <v>43266.95008480324</v>
      </c>
      <c r="B933" s="26" t="s">
        <v>33</v>
      </c>
      <c r="C933" s="26" t="s">
        <v>43</v>
      </c>
      <c r="D933" s="26" t="s">
        <v>31</v>
      </c>
      <c r="E933" s="26">
        <v>160.0</v>
      </c>
      <c r="F933" s="26" t="s">
        <v>641</v>
      </c>
      <c r="G933" s="26">
        <v>10.0</v>
      </c>
      <c r="H933" s="26">
        <v>1.0</v>
      </c>
      <c r="I933" s="26">
        <v>130.0</v>
      </c>
      <c r="K933" s="26">
        <v>30.0</v>
      </c>
      <c r="M933" s="26" t="s">
        <v>449</v>
      </c>
      <c r="N933" s="26" t="s">
        <v>683</v>
      </c>
    </row>
    <row r="934">
      <c r="A934" s="25">
        <v>43266.9815753125</v>
      </c>
      <c r="B934" s="26" t="s">
        <v>33</v>
      </c>
      <c r="C934" s="26" t="s">
        <v>43</v>
      </c>
      <c r="D934" s="26" t="s">
        <v>31</v>
      </c>
      <c r="E934" s="26">
        <v>200.0</v>
      </c>
      <c r="F934" s="26" t="s">
        <v>798</v>
      </c>
      <c r="G934" s="26">
        <v>6.0</v>
      </c>
      <c r="H934" s="26">
        <v>0.0</v>
      </c>
      <c r="I934" s="26">
        <v>142000.0</v>
      </c>
      <c r="J934" s="26">
        <v>149000.0</v>
      </c>
      <c r="K934" s="26">
        <v>90000.0</v>
      </c>
      <c r="L934" s="26" t="s">
        <v>799</v>
      </c>
      <c r="M934" s="26" t="s">
        <v>449</v>
      </c>
      <c r="N934" s="26" t="s">
        <v>704</v>
      </c>
    </row>
    <row r="935">
      <c r="A935" s="25">
        <v>43267.11359230324</v>
      </c>
      <c r="B935" s="26" t="s">
        <v>319</v>
      </c>
      <c r="C935" s="26" t="s">
        <v>754</v>
      </c>
      <c r="D935" s="26" t="s">
        <v>31</v>
      </c>
      <c r="E935" s="26">
        <v>100.0</v>
      </c>
      <c r="F935" s="26" t="s">
        <v>238</v>
      </c>
      <c r="G935" s="26">
        <v>1.5</v>
      </c>
      <c r="H935" s="26">
        <v>1.5</v>
      </c>
      <c r="I935" s="26">
        <v>100.0</v>
      </c>
      <c r="M935" s="26" t="s">
        <v>449</v>
      </c>
      <c r="N935" s="26" t="s">
        <v>691</v>
      </c>
    </row>
    <row r="936">
      <c r="A936" s="25">
        <v>43267.228954942126</v>
      </c>
      <c r="B936" s="26" t="s">
        <v>157</v>
      </c>
      <c r="C936" s="26" t="s">
        <v>800</v>
      </c>
      <c r="D936" s="26" t="s">
        <v>31</v>
      </c>
      <c r="E936" s="26">
        <v>225.0</v>
      </c>
      <c r="F936" s="26" t="s">
        <v>801</v>
      </c>
      <c r="G936" s="26">
        <v>14.0</v>
      </c>
      <c r="H936" s="26">
        <v>14.0</v>
      </c>
      <c r="M936" s="26" t="s">
        <v>449</v>
      </c>
    </row>
    <row r="937">
      <c r="A937" s="25">
        <v>43267.384660868054</v>
      </c>
      <c r="B937" s="26" t="s">
        <v>25</v>
      </c>
      <c r="C937" s="26" t="s">
        <v>184</v>
      </c>
      <c r="D937" s="26" t="s">
        <v>713</v>
      </c>
      <c r="E937" s="26">
        <v>165.0</v>
      </c>
      <c r="F937" s="26" t="s">
        <v>232</v>
      </c>
      <c r="G937" s="26">
        <v>7.0</v>
      </c>
      <c r="H937" s="26">
        <v>2.0</v>
      </c>
      <c r="M937" s="26" t="s">
        <v>449</v>
      </c>
      <c r="N937" s="26" t="s">
        <v>715</v>
      </c>
    </row>
    <row r="938">
      <c r="A938" s="25">
        <v>43267.41105728009</v>
      </c>
      <c r="B938" s="26" t="s">
        <v>802</v>
      </c>
      <c r="C938" s="26" t="s">
        <v>26</v>
      </c>
      <c r="D938" s="26" t="s">
        <v>31</v>
      </c>
      <c r="E938" s="26">
        <v>142.0</v>
      </c>
      <c r="F938" s="26" t="s">
        <v>35</v>
      </c>
      <c r="G938" s="26">
        <v>1.0</v>
      </c>
      <c r="H938" s="26">
        <v>1.0</v>
      </c>
      <c r="I938" s="26">
        <v>105000.0</v>
      </c>
      <c r="J938" s="26">
        <v>15625.0</v>
      </c>
      <c r="K938" s="26">
        <v>21000.0</v>
      </c>
      <c r="M938" s="26" t="s">
        <v>449</v>
      </c>
      <c r="N938" s="26" t="s">
        <v>757</v>
      </c>
    </row>
    <row r="939">
      <c r="A939" s="25">
        <v>43267.86128336805</v>
      </c>
      <c r="B939" s="26" t="s">
        <v>33</v>
      </c>
      <c r="C939" s="26" t="s">
        <v>73</v>
      </c>
      <c r="D939" s="26" t="s">
        <v>31</v>
      </c>
      <c r="E939" s="26">
        <v>164.0</v>
      </c>
      <c r="F939" s="26" t="s">
        <v>32</v>
      </c>
      <c r="G939" s="26">
        <v>4.0</v>
      </c>
      <c r="H939" s="26">
        <v>2.0</v>
      </c>
      <c r="I939" s="26">
        <v>127.0</v>
      </c>
      <c r="J939" s="26">
        <v>37.0</v>
      </c>
      <c r="L939" s="26" t="s">
        <v>803</v>
      </c>
      <c r="M939" s="26" t="s">
        <v>449</v>
      </c>
      <c r="N939" s="26" t="s">
        <v>704</v>
      </c>
    </row>
    <row r="940">
      <c r="A940" s="25">
        <v>43268.2135774537</v>
      </c>
      <c r="B940" s="26" t="s">
        <v>538</v>
      </c>
      <c r="C940" s="26" t="s">
        <v>804</v>
      </c>
      <c r="D940" s="26" t="s">
        <v>31</v>
      </c>
      <c r="E940" s="26">
        <v>37.0</v>
      </c>
      <c r="F940" s="26" t="s">
        <v>539</v>
      </c>
      <c r="G940" s="26">
        <v>15.0</v>
      </c>
      <c r="H940" s="26">
        <v>1.0</v>
      </c>
      <c r="M940" s="26" t="s">
        <v>449</v>
      </c>
      <c r="N940" s="26" t="s">
        <v>696</v>
      </c>
    </row>
    <row r="941">
      <c r="A941" s="25">
        <v>43268.48265074074</v>
      </c>
      <c r="B941" s="26" t="s">
        <v>538</v>
      </c>
      <c r="C941" s="26" t="s">
        <v>805</v>
      </c>
      <c r="D941" s="26" t="s">
        <v>31</v>
      </c>
      <c r="E941" s="26">
        <v>96.0</v>
      </c>
      <c r="F941" s="26" t="s">
        <v>539</v>
      </c>
      <c r="G941" s="26">
        <v>7.0</v>
      </c>
      <c r="H941" s="26">
        <v>7.0</v>
      </c>
      <c r="I941" s="26">
        <v>53.0</v>
      </c>
      <c r="J941" s="26">
        <v>34.0</v>
      </c>
      <c r="K941" s="26">
        <v>11.0</v>
      </c>
      <c r="M941" s="26" t="s">
        <v>449</v>
      </c>
      <c r="N941" s="26" t="s">
        <v>691</v>
      </c>
    </row>
    <row r="942">
      <c r="A942" s="25">
        <v>43268.48585880787</v>
      </c>
      <c r="B942" s="26" t="s">
        <v>48</v>
      </c>
      <c r="C942" s="26">
        <v>5.0</v>
      </c>
      <c r="D942" s="26" t="s">
        <v>711</v>
      </c>
      <c r="E942" s="26">
        <v>370.0</v>
      </c>
      <c r="F942" s="26" t="s">
        <v>35</v>
      </c>
      <c r="G942" s="26">
        <v>8.0</v>
      </c>
      <c r="H942" s="26">
        <v>3.0</v>
      </c>
      <c r="I942" s="26">
        <v>190.0</v>
      </c>
      <c r="J942" s="26">
        <v>140.0</v>
      </c>
      <c r="K942" s="26">
        <v>40.0</v>
      </c>
      <c r="M942" s="26" t="s">
        <v>449</v>
      </c>
    </row>
    <row r="943">
      <c r="A943" s="25">
        <v>43268.54475055556</v>
      </c>
      <c r="B943" s="26" t="s">
        <v>705</v>
      </c>
      <c r="C943" s="26">
        <v>14.0</v>
      </c>
      <c r="D943" s="26" t="s">
        <v>713</v>
      </c>
      <c r="E943" s="26">
        <v>290.0</v>
      </c>
      <c r="F943" s="26" t="s">
        <v>58</v>
      </c>
      <c r="G943" s="26">
        <v>13.0</v>
      </c>
      <c r="H943" s="26">
        <v>5.0</v>
      </c>
      <c r="I943" s="26">
        <v>185.0</v>
      </c>
      <c r="J943" s="26">
        <v>65.0</v>
      </c>
      <c r="K943" s="26">
        <v>36.0</v>
      </c>
      <c r="M943" s="26" t="s">
        <v>449</v>
      </c>
      <c r="N943" s="26" t="s">
        <v>685</v>
      </c>
    </row>
    <row r="944">
      <c r="A944" s="25">
        <v>43268.65333888889</v>
      </c>
      <c r="B944" s="26" t="s">
        <v>45</v>
      </c>
      <c r="C944" s="26" t="s">
        <v>806</v>
      </c>
      <c r="D944" s="26" t="s">
        <v>41</v>
      </c>
      <c r="E944" s="26">
        <v>495.0</v>
      </c>
      <c r="F944" s="26" t="s">
        <v>104</v>
      </c>
      <c r="G944" s="26">
        <v>10.0</v>
      </c>
      <c r="H944" s="26">
        <v>10.0</v>
      </c>
      <c r="I944" s="26">
        <v>220.0</v>
      </c>
      <c r="J944" s="26">
        <v>250.0</v>
      </c>
      <c r="K944" s="26">
        <v>25.0</v>
      </c>
      <c r="L944" s="26" t="s">
        <v>807</v>
      </c>
      <c r="M944" s="26" t="s">
        <v>449</v>
      </c>
      <c r="N944" s="26" t="s">
        <v>699</v>
      </c>
    </row>
    <row r="945">
      <c r="A945" s="25">
        <v>43268.78263460648</v>
      </c>
      <c r="B945" s="26" t="s">
        <v>256</v>
      </c>
      <c r="C945" s="26" t="s">
        <v>353</v>
      </c>
      <c r="D945" s="26" t="s">
        <v>31</v>
      </c>
      <c r="E945" s="26">
        <v>180.0</v>
      </c>
      <c r="F945" s="26" t="s">
        <v>58</v>
      </c>
      <c r="G945" s="26">
        <v>1.0</v>
      </c>
      <c r="H945" s="26">
        <v>1.0</v>
      </c>
      <c r="M945" s="26" t="s">
        <v>449</v>
      </c>
      <c r="N945" s="26" t="s">
        <v>685</v>
      </c>
    </row>
    <row r="946">
      <c r="A946" s="25">
        <v>43268.79363994213</v>
      </c>
      <c r="B946" s="26" t="s">
        <v>33</v>
      </c>
      <c r="C946" s="26" t="s">
        <v>43</v>
      </c>
      <c r="D946" s="26" t="s">
        <v>711</v>
      </c>
      <c r="E946" s="26">
        <v>200.0</v>
      </c>
      <c r="F946" s="26" t="s">
        <v>63</v>
      </c>
      <c r="G946" s="26">
        <v>3.0</v>
      </c>
      <c r="H946" s="26">
        <v>0.0</v>
      </c>
      <c r="I946" s="26">
        <v>150.0</v>
      </c>
      <c r="J946" s="26">
        <v>105.0</v>
      </c>
      <c r="K946" s="26">
        <v>81.0</v>
      </c>
      <c r="M946" s="26" t="s">
        <v>449</v>
      </c>
      <c r="N946" s="26" t="s">
        <v>691</v>
      </c>
    </row>
    <row r="947">
      <c r="A947" s="25">
        <v>43268.86948353009</v>
      </c>
      <c r="B947" s="26" t="s">
        <v>48</v>
      </c>
      <c r="C947" s="26" t="s">
        <v>69</v>
      </c>
      <c r="D947" s="26" t="s">
        <v>31</v>
      </c>
      <c r="E947" s="26">
        <v>95.0</v>
      </c>
      <c r="F947" s="26" t="s">
        <v>767</v>
      </c>
      <c r="G947" s="26">
        <v>4.0</v>
      </c>
      <c r="H947" s="26">
        <v>0.0</v>
      </c>
      <c r="I947" s="26">
        <v>78.0</v>
      </c>
      <c r="J947" s="26">
        <v>15.0</v>
      </c>
      <c r="K947" s="26">
        <v>8.0</v>
      </c>
      <c r="M947" s="26" t="s">
        <v>449</v>
      </c>
      <c r="N947" s="26" t="s">
        <v>683</v>
      </c>
    </row>
    <row r="948">
      <c r="A948" s="25">
        <v>43268.880067569444</v>
      </c>
      <c r="B948" s="26" t="s">
        <v>48</v>
      </c>
      <c r="C948" s="26" t="s">
        <v>69</v>
      </c>
      <c r="D948" s="26" t="s">
        <v>711</v>
      </c>
      <c r="E948" s="26">
        <v>150.0</v>
      </c>
      <c r="F948" s="26" t="s">
        <v>767</v>
      </c>
      <c r="G948" s="26">
        <v>0.0</v>
      </c>
      <c r="H948" s="26">
        <v>0.0</v>
      </c>
      <c r="I948" s="26">
        <v>150.0</v>
      </c>
      <c r="J948" s="26">
        <v>30000.0</v>
      </c>
      <c r="K948" s="26">
        <v>30000.0</v>
      </c>
      <c r="M948" s="26" t="s">
        <v>458</v>
      </c>
      <c r="N948" s="26" t="s">
        <v>691</v>
      </c>
    </row>
    <row r="949">
      <c r="A949" s="25">
        <v>43268.880771550925</v>
      </c>
      <c r="B949" s="26" t="s">
        <v>48</v>
      </c>
      <c r="C949" s="26" t="s">
        <v>69</v>
      </c>
      <c r="D949" s="26" t="s">
        <v>31</v>
      </c>
      <c r="E949" s="26">
        <v>100.0</v>
      </c>
      <c r="F949" s="26" t="s">
        <v>767</v>
      </c>
      <c r="G949" s="26">
        <v>4.0</v>
      </c>
      <c r="H949" s="26">
        <v>1.0</v>
      </c>
      <c r="I949" s="26">
        <v>80.0</v>
      </c>
      <c r="J949" s="26">
        <v>75000.0</v>
      </c>
      <c r="K949" s="26">
        <v>15000.0</v>
      </c>
      <c r="M949" s="26" t="s">
        <v>449</v>
      </c>
      <c r="N949" s="26" t="s">
        <v>683</v>
      </c>
    </row>
    <row r="950">
      <c r="A950" s="25">
        <v>43268.97589572916</v>
      </c>
      <c r="B950" s="26" t="s">
        <v>139</v>
      </c>
      <c r="C950" s="26" t="s">
        <v>113</v>
      </c>
      <c r="D950" s="26" t="s">
        <v>31</v>
      </c>
      <c r="E950" s="26">
        <v>283.0</v>
      </c>
      <c r="F950" s="26" t="s">
        <v>134</v>
      </c>
      <c r="G950" s="26">
        <v>15.0</v>
      </c>
      <c r="H950" s="26">
        <v>12.0</v>
      </c>
      <c r="I950" s="26">
        <v>193025.0</v>
      </c>
      <c r="J950" s="26">
        <v>61021.25</v>
      </c>
      <c r="K950" s="26">
        <v>28953.75</v>
      </c>
      <c r="M950" s="26" t="s">
        <v>449</v>
      </c>
      <c r="N950" s="26" t="s">
        <v>696</v>
      </c>
    </row>
    <row r="951">
      <c r="A951" s="25">
        <v>43269.02097932871</v>
      </c>
      <c r="B951" s="26" t="s">
        <v>142</v>
      </c>
      <c r="C951" s="26" t="s">
        <v>73</v>
      </c>
      <c r="D951" s="26" t="s">
        <v>27</v>
      </c>
      <c r="E951" s="26">
        <v>275.0</v>
      </c>
      <c r="F951" s="26" t="s">
        <v>32</v>
      </c>
      <c r="G951" s="26">
        <v>5.0</v>
      </c>
      <c r="H951" s="26">
        <v>1.0</v>
      </c>
      <c r="I951" s="26">
        <v>170.0</v>
      </c>
      <c r="J951" s="26">
        <v>80.0</v>
      </c>
      <c r="K951" s="26">
        <v>25.0</v>
      </c>
      <c r="M951" s="26" t="s">
        <v>449</v>
      </c>
      <c r="N951" s="26" t="s">
        <v>687</v>
      </c>
    </row>
    <row r="952">
      <c r="A952" s="25">
        <v>43269.4643344213</v>
      </c>
      <c r="B952" s="26" t="s">
        <v>40</v>
      </c>
      <c r="C952" s="26">
        <v>62.0</v>
      </c>
      <c r="D952" s="26" t="s">
        <v>31</v>
      </c>
      <c r="E952" s="26">
        <v>164.0</v>
      </c>
      <c r="F952" s="26" t="s">
        <v>75</v>
      </c>
      <c r="G952" s="26">
        <v>9.0</v>
      </c>
      <c r="H952" s="26">
        <v>5.5</v>
      </c>
      <c r="I952" s="26">
        <v>135297.0</v>
      </c>
      <c r="J952" s="26">
        <v>13200.0</v>
      </c>
      <c r="K952" s="26">
        <v>15500.0</v>
      </c>
      <c r="M952" s="26" t="s">
        <v>449</v>
      </c>
      <c r="N952" s="26" t="s">
        <v>696</v>
      </c>
    </row>
    <row r="953">
      <c r="A953" s="25">
        <v>43269.76835787037</v>
      </c>
      <c r="B953" s="26" t="s">
        <v>808</v>
      </c>
      <c r="C953" s="26" t="s">
        <v>809</v>
      </c>
      <c r="D953" s="26" t="s">
        <v>31</v>
      </c>
      <c r="E953" s="26">
        <v>128.0</v>
      </c>
      <c r="F953" s="26" t="s">
        <v>810</v>
      </c>
      <c r="G953" s="26">
        <v>1.0</v>
      </c>
      <c r="H953" s="26">
        <v>1.0</v>
      </c>
      <c r="I953" s="26">
        <v>115.0</v>
      </c>
      <c r="K953" s="26">
        <v>13.0</v>
      </c>
      <c r="M953" s="26" t="s">
        <v>449</v>
      </c>
      <c r="N953" s="26" t="s">
        <v>685</v>
      </c>
    </row>
    <row r="954">
      <c r="A954" s="25">
        <v>43269.776637048606</v>
      </c>
      <c r="B954" s="26" t="s">
        <v>40</v>
      </c>
      <c r="C954" s="26">
        <v>62.0</v>
      </c>
      <c r="D954" s="26" t="s">
        <v>27</v>
      </c>
      <c r="E954" s="26">
        <v>140.0</v>
      </c>
      <c r="F954" s="26" t="s">
        <v>75</v>
      </c>
      <c r="G954" s="26">
        <v>5.0</v>
      </c>
      <c r="H954" s="26">
        <v>5.0</v>
      </c>
      <c r="M954" s="26" t="s">
        <v>449</v>
      </c>
      <c r="N954" s="26" t="s">
        <v>708</v>
      </c>
    </row>
    <row r="955">
      <c r="A955" s="25">
        <v>43269.90189163195</v>
      </c>
      <c r="B955" s="26" t="s">
        <v>40</v>
      </c>
      <c r="C955" s="26">
        <v>66.0</v>
      </c>
      <c r="D955" s="26" t="s">
        <v>41</v>
      </c>
      <c r="E955" s="26">
        <v>325.0</v>
      </c>
      <c r="F955" s="26" t="s">
        <v>618</v>
      </c>
      <c r="G955" s="26">
        <v>13.0</v>
      </c>
      <c r="H955" s="26">
        <v>13.0</v>
      </c>
      <c r="I955" s="26">
        <v>190.0</v>
      </c>
      <c r="J955" s="26">
        <v>85.0</v>
      </c>
      <c r="K955" s="26">
        <v>50.0</v>
      </c>
      <c r="M955" s="26" t="s">
        <v>449</v>
      </c>
      <c r="N955" s="26" t="s">
        <v>704</v>
      </c>
    </row>
    <row r="956">
      <c r="A956" s="25">
        <v>43269.931297048606</v>
      </c>
      <c r="B956" s="26" t="s">
        <v>146</v>
      </c>
      <c r="C956" s="26" t="s">
        <v>125</v>
      </c>
      <c r="D956" s="26" t="s">
        <v>31</v>
      </c>
      <c r="E956" s="26">
        <v>367.0</v>
      </c>
      <c r="F956" s="26" t="s">
        <v>47</v>
      </c>
      <c r="G956" s="26">
        <v>15.0</v>
      </c>
      <c r="H956" s="26">
        <v>0.0</v>
      </c>
      <c r="I956" s="26">
        <v>200.0</v>
      </c>
      <c r="J956" s="26">
        <v>137.0</v>
      </c>
      <c r="K956" s="26">
        <v>30.0</v>
      </c>
      <c r="M956" s="26" t="s">
        <v>449</v>
      </c>
      <c r="N956" s="26" t="s">
        <v>811</v>
      </c>
    </row>
    <row r="957">
      <c r="A957" s="25">
        <v>43270.34658917824</v>
      </c>
      <c r="B957" s="26" t="s">
        <v>40</v>
      </c>
      <c r="C957" s="26">
        <v>64.0</v>
      </c>
      <c r="D957" s="26" t="s">
        <v>31</v>
      </c>
      <c r="E957" s="26">
        <v>223.0</v>
      </c>
      <c r="F957" s="26" t="s">
        <v>75</v>
      </c>
      <c r="G957" s="26">
        <v>18.0</v>
      </c>
      <c r="H957" s="26">
        <v>10.0</v>
      </c>
      <c r="I957" s="26">
        <v>169000.0</v>
      </c>
      <c r="J957" s="26">
        <v>28.0</v>
      </c>
      <c r="K957" s="26">
        <v>25.0</v>
      </c>
      <c r="M957" s="26" t="s">
        <v>449</v>
      </c>
      <c r="N957" s="26" t="s">
        <v>708</v>
      </c>
    </row>
    <row r="958">
      <c r="A958" s="25">
        <v>43270.48191753472</v>
      </c>
      <c r="B958" s="26" t="s">
        <v>80</v>
      </c>
      <c r="C958" s="26" t="s">
        <v>73</v>
      </c>
      <c r="D958" s="26" t="s">
        <v>31</v>
      </c>
      <c r="E958" s="26">
        <v>300.0</v>
      </c>
      <c r="F958" s="26" t="s">
        <v>47</v>
      </c>
      <c r="G958" s="26">
        <v>7.0</v>
      </c>
      <c r="H958" s="26">
        <v>0.0</v>
      </c>
      <c r="I958" s="26">
        <v>155.0</v>
      </c>
      <c r="J958" s="26">
        <v>450.0</v>
      </c>
      <c r="K958" s="26">
        <v>23.0</v>
      </c>
      <c r="M958" s="26" t="s">
        <v>449</v>
      </c>
      <c r="N958" s="26" t="s">
        <v>812</v>
      </c>
    </row>
    <row r="959">
      <c r="A959" s="25">
        <v>43270.53039901621</v>
      </c>
      <c r="B959" s="26" t="s">
        <v>813</v>
      </c>
      <c r="C959" s="26" t="s">
        <v>814</v>
      </c>
      <c r="D959" s="26" t="s">
        <v>31</v>
      </c>
      <c r="E959" s="26">
        <v>165.0</v>
      </c>
      <c r="F959" s="26" t="s">
        <v>32</v>
      </c>
      <c r="G959" s="26">
        <v>0.0</v>
      </c>
      <c r="H959" s="26">
        <v>0.0</v>
      </c>
      <c r="N959" s="26" t="s">
        <v>685</v>
      </c>
    </row>
    <row r="960">
      <c r="A960" s="25">
        <v>43270.91999945602</v>
      </c>
      <c r="B960" s="26" t="s">
        <v>33</v>
      </c>
      <c r="C960" s="26" t="s">
        <v>73</v>
      </c>
      <c r="D960" s="26" t="s">
        <v>31</v>
      </c>
      <c r="E960" s="26">
        <v>155.0</v>
      </c>
      <c r="F960" s="26" t="s">
        <v>175</v>
      </c>
      <c r="G960" s="26">
        <v>2.0</v>
      </c>
      <c r="H960" s="26">
        <v>1.0</v>
      </c>
      <c r="I960" s="26">
        <v>122.0</v>
      </c>
      <c r="K960" s="26">
        <v>27.5</v>
      </c>
      <c r="M960" s="26" t="s">
        <v>449</v>
      </c>
      <c r="N960" s="26" t="s">
        <v>683</v>
      </c>
    </row>
    <row r="961">
      <c r="A961" s="25">
        <v>43271.033135543985</v>
      </c>
      <c r="B961" s="26" t="s">
        <v>40</v>
      </c>
      <c r="C961" s="26">
        <v>65.0</v>
      </c>
      <c r="D961" s="26" t="s">
        <v>711</v>
      </c>
      <c r="E961" s="26">
        <v>340.0</v>
      </c>
      <c r="F961" s="26" t="s">
        <v>815</v>
      </c>
      <c r="G961" s="26">
        <v>11.0</v>
      </c>
      <c r="H961" s="26">
        <v>11.0</v>
      </c>
      <c r="I961" s="26">
        <v>200.0</v>
      </c>
      <c r="J961" s="26">
        <v>80.0</v>
      </c>
      <c r="K961" s="26">
        <v>60.0</v>
      </c>
      <c r="M961" s="26" t="s">
        <v>449</v>
      </c>
      <c r="N961" s="26" t="s">
        <v>691</v>
      </c>
    </row>
    <row r="962">
      <c r="A962" s="25">
        <v>43271.034154270834</v>
      </c>
      <c r="B962" s="26" t="s">
        <v>80</v>
      </c>
      <c r="C962" s="26" t="s">
        <v>62</v>
      </c>
      <c r="D962" s="26" t="s">
        <v>711</v>
      </c>
      <c r="E962" s="26">
        <v>690.0</v>
      </c>
      <c r="F962" s="26" t="s">
        <v>578</v>
      </c>
      <c r="G962" s="26">
        <v>10.0</v>
      </c>
      <c r="H962" s="26">
        <v>0.0</v>
      </c>
      <c r="I962" s="26">
        <v>240.0</v>
      </c>
      <c r="J962" s="26">
        <v>298.0</v>
      </c>
      <c r="K962" s="26">
        <v>72.0</v>
      </c>
      <c r="M962" s="26" t="s">
        <v>449</v>
      </c>
      <c r="N962" s="26" t="s">
        <v>691</v>
      </c>
    </row>
    <row r="963">
      <c r="A963" s="25">
        <v>43271.90292403935</v>
      </c>
      <c r="B963" s="26" t="s">
        <v>170</v>
      </c>
      <c r="C963" s="26" t="s">
        <v>816</v>
      </c>
      <c r="D963" s="26" t="s">
        <v>31</v>
      </c>
      <c r="E963" s="26">
        <v>200.0</v>
      </c>
      <c r="F963" s="26" t="s">
        <v>327</v>
      </c>
      <c r="G963" s="26">
        <v>18.0</v>
      </c>
      <c r="H963" s="26">
        <v>3.0</v>
      </c>
      <c r="I963" s="26">
        <v>150000.0</v>
      </c>
      <c r="J963" s="26">
        <v>18.0</v>
      </c>
      <c r="K963" s="26">
        <v>30.0</v>
      </c>
      <c r="M963" s="26" t="s">
        <v>449</v>
      </c>
      <c r="N963" s="26" t="s">
        <v>817</v>
      </c>
    </row>
    <row r="964">
      <c r="A964" s="25">
        <v>43271.92223351852</v>
      </c>
      <c r="B964" s="26" t="s">
        <v>256</v>
      </c>
      <c r="C964" s="26" t="s">
        <v>184</v>
      </c>
      <c r="D964" s="26" t="s">
        <v>31</v>
      </c>
      <c r="E964" s="26">
        <v>350.0</v>
      </c>
      <c r="F964" s="26" t="s">
        <v>32</v>
      </c>
      <c r="G964" s="26">
        <v>10.0</v>
      </c>
      <c r="H964" s="26">
        <v>1.0</v>
      </c>
      <c r="M964" s="26" t="s">
        <v>449</v>
      </c>
      <c r="N964" s="26" t="s">
        <v>683</v>
      </c>
    </row>
    <row r="965">
      <c r="A965" s="25">
        <v>43272.011455775464</v>
      </c>
      <c r="B965" s="26" t="s">
        <v>258</v>
      </c>
      <c r="C965" s="26" t="s">
        <v>818</v>
      </c>
      <c r="D965" s="26" t="s">
        <v>31</v>
      </c>
      <c r="E965" s="26">
        <v>205.0</v>
      </c>
      <c r="F965" s="26" t="s">
        <v>32</v>
      </c>
      <c r="G965" s="26">
        <v>1.6</v>
      </c>
      <c r="H965" s="26">
        <v>0.4</v>
      </c>
      <c r="I965" s="26">
        <v>140.0</v>
      </c>
      <c r="J965" s="26">
        <v>44.0</v>
      </c>
      <c r="K965" s="26">
        <v>21.0</v>
      </c>
      <c r="M965" s="26" t="s">
        <v>449</v>
      </c>
      <c r="N965" s="26" t="s">
        <v>683</v>
      </c>
    </row>
    <row r="966">
      <c r="A966" s="25">
        <v>43272.22469993056</v>
      </c>
      <c r="B966" s="26" t="s">
        <v>40</v>
      </c>
      <c r="C966" s="26" t="s">
        <v>796</v>
      </c>
      <c r="D966" s="26" t="s">
        <v>31</v>
      </c>
      <c r="E966" s="26">
        <v>325.0</v>
      </c>
      <c r="F966" s="26" t="s">
        <v>302</v>
      </c>
      <c r="G966" s="26">
        <v>4.0</v>
      </c>
      <c r="H966" s="26">
        <v>1.0</v>
      </c>
      <c r="I966" s="26">
        <v>150000.0</v>
      </c>
      <c r="J966" s="26">
        <v>125000.0</v>
      </c>
      <c r="K966" s="26">
        <v>50000.0</v>
      </c>
      <c r="M966" s="26" t="s">
        <v>449</v>
      </c>
      <c r="N966" s="26" t="s">
        <v>751</v>
      </c>
    </row>
    <row r="967">
      <c r="A967" s="25">
        <v>43272.39626863426</v>
      </c>
      <c r="B967" s="26" t="s">
        <v>819</v>
      </c>
      <c r="C967" s="26" t="s">
        <v>110</v>
      </c>
      <c r="D967" s="26" t="s">
        <v>31</v>
      </c>
      <c r="E967" s="26">
        <v>181.0</v>
      </c>
      <c r="F967" s="26" t="s">
        <v>236</v>
      </c>
      <c r="G967" s="26">
        <v>0.0</v>
      </c>
      <c r="H967" s="26">
        <v>0.0</v>
      </c>
      <c r="I967" s="26">
        <v>125000.0</v>
      </c>
      <c r="J967" s="26">
        <v>37500.0</v>
      </c>
      <c r="K967" s="26">
        <v>30000.0</v>
      </c>
      <c r="M967" s="26" t="s">
        <v>449</v>
      </c>
      <c r="N967" s="26" t="s">
        <v>704</v>
      </c>
    </row>
    <row r="968">
      <c r="A968" s="25">
        <v>43272.432453761576</v>
      </c>
      <c r="B968" s="26" t="s">
        <v>820</v>
      </c>
      <c r="C968" s="26" t="s">
        <v>125</v>
      </c>
      <c r="D968" s="26" t="s">
        <v>31</v>
      </c>
      <c r="E968" s="26">
        <v>106.0</v>
      </c>
      <c r="F968" s="26" t="s">
        <v>821</v>
      </c>
      <c r="G968" s="26">
        <v>3.0</v>
      </c>
      <c r="H968" s="26">
        <v>3.0</v>
      </c>
      <c r="I968" s="26">
        <v>98900.0</v>
      </c>
      <c r="K968" s="26">
        <v>8000.0</v>
      </c>
      <c r="M968" s="26" t="s">
        <v>449</v>
      </c>
      <c r="N968" s="26" t="s">
        <v>704</v>
      </c>
    </row>
    <row r="969">
      <c r="A969" s="25">
        <v>43272.454570636575</v>
      </c>
      <c r="B969" s="26" t="s">
        <v>95</v>
      </c>
      <c r="C969" s="26" t="s">
        <v>37</v>
      </c>
      <c r="D969" s="26" t="s">
        <v>711</v>
      </c>
      <c r="E969" s="26">
        <v>600.0</v>
      </c>
      <c r="F969" s="26" t="s">
        <v>97</v>
      </c>
      <c r="G969" s="26">
        <v>3.0</v>
      </c>
      <c r="H969" s="26">
        <v>1.0</v>
      </c>
      <c r="I969" s="26">
        <v>600.0</v>
      </c>
      <c r="M969" s="26" t="s">
        <v>449</v>
      </c>
      <c r="N969" s="26" t="s">
        <v>691</v>
      </c>
    </row>
    <row r="970">
      <c r="A970" s="25">
        <v>43272.66161547454</v>
      </c>
      <c r="B970" s="26" t="s">
        <v>33</v>
      </c>
      <c r="C970" s="26" t="s">
        <v>43</v>
      </c>
      <c r="D970" s="26" t="s">
        <v>31</v>
      </c>
      <c r="E970" s="26">
        <v>210.0</v>
      </c>
      <c r="F970" s="26" t="s">
        <v>63</v>
      </c>
      <c r="G970" s="26">
        <v>9.0</v>
      </c>
      <c r="H970" s="26">
        <v>6.0</v>
      </c>
      <c r="I970" s="26">
        <v>118.0</v>
      </c>
      <c r="J970" s="26">
        <v>87.0</v>
      </c>
      <c r="M970" s="26" t="s">
        <v>449</v>
      </c>
      <c r="N970" s="26" t="s">
        <v>704</v>
      </c>
    </row>
    <row r="971">
      <c r="A971" s="25">
        <v>43272.67645461806</v>
      </c>
      <c r="B971" s="26" t="s">
        <v>822</v>
      </c>
      <c r="C971" s="26" t="s">
        <v>125</v>
      </c>
      <c r="D971" s="26" t="s">
        <v>31</v>
      </c>
      <c r="E971" s="26">
        <v>142.0</v>
      </c>
      <c r="F971" s="26" t="s">
        <v>459</v>
      </c>
      <c r="G971" s="26">
        <v>7.0</v>
      </c>
      <c r="H971" s="26">
        <v>0.0</v>
      </c>
      <c r="N971" s="26" t="s">
        <v>685</v>
      </c>
    </row>
    <row r="972">
      <c r="A972" s="25">
        <v>43272.918180127315</v>
      </c>
      <c r="B972" s="26" t="s">
        <v>823</v>
      </c>
      <c r="C972" s="26" t="s">
        <v>824</v>
      </c>
      <c r="D972" s="26" t="s">
        <v>31</v>
      </c>
      <c r="E972" s="26">
        <v>93.0</v>
      </c>
      <c r="F972" s="26" t="s">
        <v>86</v>
      </c>
      <c r="G972" s="26">
        <v>2.0</v>
      </c>
      <c r="H972" s="26">
        <v>1.0</v>
      </c>
      <c r="I972" s="26">
        <v>93.0</v>
      </c>
      <c r="M972" s="26" t="s">
        <v>449</v>
      </c>
      <c r="N972" s="26" t="s">
        <v>696</v>
      </c>
    </row>
    <row r="973">
      <c r="A973" s="25">
        <v>43272.92461560185</v>
      </c>
      <c r="B973" s="26" t="s">
        <v>319</v>
      </c>
      <c r="C973" s="26">
        <v>6.0</v>
      </c>
      <c r="D973" s="26" t="s">
        <v>31</v>
      </c>
      <c r="E973" s="26">
        <v>83.0</v>
      </c>
      <c r="F973" s="26" t="s">
        <v>320</v>
      </c>
      <c r="G973" s="26">
        <v>3.0</v>
      </c>
      <c r="H973" s="26">
        <v>3.0</v>
      </c>
      <c r="I973" s="26">
        <v>82.0</v>
      </c>
      <c r="M973" s="26" t="s">
        <v>449</v>
      </c>
      <c r="N973" s="26" t="s">
        <v>696</v>
      </c>
    </row>
    <row r="974">
      <c r="A974" s="25">
        <v>43272.962819444445</v>
      </c>
      <c r="B974" s="26" t="s">
        <v>387</v>
      </c>
      <c r="C974" s="26" t="s">
        <v>825</v>
      </c>
      <c r="D974" s="26" t="s">
        <v>31</v>
      </c>
      <c r="E974" s="26">
        <v>325.0</v>
      </c>
      <c r="F974" s="26" t="s">
        <v>612</v>
      </c>
      <c r="G974" s="26">
        <v>8.0</v>
      </c>
      <c r="H974" s="26">
        <v>1.0</v>
      </c>
      <c r="I974" s="26">
        <v>200.0</v>
      </c>
      <c r="J974" s="26">
        <v>500.0</v>
      </c>
      <c r="M974" s="26" t="s">
        <v>449</v>
      </c>
      <c r="N974" s="26" t="s">
        <v>683</v>
      </c>
    </row>
    <row r="975">
      <c r="A975" s="25">
        <v>43272.99066251157</v>
      </c>
      <c r="B975" s="26" t="s">
        <v>119</v>
      </c>
      <c r="C975" s="26" t="s">
        <v>43</v>
      </c>
      <c r="D975" s="26" t="s">
        <v>31</v>
      </c>
      <c r="E975" s="26">
        <v>260.0</v>
      </c>
      <c r="F975" s="26" t="s">
        <v>72</v>
      </c>
      <c r="G975" s="26">
        <v>7.0</v>
      </c>
      <c r="H975" s="26">
        <v>2.5</v>
      </c>
      <c r="N975" s="26" t="s">
        <v>696</v>
      </c>
    </row>
    <row r="976">
      <c r="A976" s="25">
        <v>43273.346646817125</v>
      </c>
      <c r="B976" s="26" t="s">
        <v>40</v>
      </c>
      <c r="C976" s="26">
        <v>63.0</v>
      </c>
      <c r="D976" s="26" t="s">
        <v>31</v>
      </c>
      <c r="E976" s="26">
        <v>188.0</v>
      </c>
      <c r="F976" s="26" t="s">
        <v>108</v>
      </c>
      <c r="G976" s="26">
        <v>14.0</v>
      </c>
      <c r="H976" s="26">
        <v>4.0</v>
      </c>
      <c r="I976" s="26">
        <v>151000.0</v>
      </c>
      <c r="J976" s="26">
        <v>17000.0</v>
      </c>
      <c r="K976" s="26">
        <v>20600.0</v>
      </c>
      <c r="M976" s="26" t="s">
        <v>449</v>
      </c>
      <c r="N976" s="26" t="s">
        <v>685</v>
      </c>
    </row>
    <row r="977">
      <c r="A977" s="25">
        <v>43273.5213777662</v>
      </c>
      <c r="B977" s="26" t="s">
        <v>33</v>
      </c>
      <c r="C977" s="26" t="s">
        <v>43</v>
      </c>
      <c r="D977" s="26" t="s">
        <v>31</v>
      </c>
      <c r="E977" s="26">
        <v>390.0</v>
      </c>
      <c r="F977" s="26" t="s">
        <v>104</v>
      </c>
      <c r="G977" s="26">
        <v>4.5</v>
      </c>
      <c r="H977" s="26">
        <v>4.5</v>
      </c>
      <c r="I977" s="26">
        <v>179000.0</v>
      </c>
      <c r="J977" s="26">
        <v>211000.0</v>
      </c>
      <c r="M977" s="26" t="s">
        <v>449</v>
      </c>
      <c r="N977" s="26" t="s">
        <v>683</v>
      </c>
    </row>
    <row r="978">
      <c r="A978" s="25">
        <v>43273.734075625005</v>
      </c>
      <c r="B978" s="26" t="s">
        <v>204</v>
      </c>
      <c r="C978" s="26" t="s">
        <v>73</v>
      </c>
      <c r="D978" s="26" t="s">
        <v>31</v>
      </c>
      <c r="E978" s="26">
        <v>238.0</v>
      </c>
      <c r="F978" s="26" t="s">
        <v>32</v>
      </c>
      <c r="G978" s="26">
        <v>2.0</v>
      </c>
      <c r="H978" s="26">
        <v>2.0</v>
      </c>
      <c r="I978" s="26">
        <v>146.0</v>
      </c>
      <c r="J978" s="26">
        <v>358.0</v>
      </c>
      <c r="L978" s="26" t="s">
        <v>826</v>
      </c>
      <c r="M978" s="26" t="s">
        <v>449</v>
      </c>
      <c r="N978" s="26" t="s">
        <v>751</v>
      </c>
    </row>
    <row r="979">
      <c r="A979" s="25">
        <v>43274.39365241898</v>
      </c>
      <c r="B979" s="26" t="s">
        <v>727</v>
      </c>
      <c r="C979" s="26" t="s">
        <v>37</v>
      </c>
      <c r="D979" s="26" t="s">
        <v>31</v>
      </c>
      <c r="E979" s="26">
        <v>250.0</v>
      </c>
      <c r="F979" s="26" t="s">
        <v>47</v>
      </c>
      <c r="G979" s="26">
        <v>12.0</v>
      </c>
      <c r="H979" s="26">
        <v>4.0</v>
      </c>
      <c r="N979" s="26" t="s">
        <v>683</v>
      </c>
    </row>
    <row r="980">
      <c r="A980" s="25">
        <v>43274.83149131945</v>
      </c>
      <c r="B980" s="26" t="s">
        <v>33</v>
      </c>
      <c r="C980" s="26">
        <v>6.0</v>
      </c>
      <c r="D980" s="26" t="s">
        <v>27</v>
      </c>
      <c r="E980" s="26">
        <v>240.0</v>
      </c>
      <c r="F980" s="26" t="s">
        <v>63</v>
      </c>
      <c r="G980" s="26">
        <v>13.0</v>
      </c>
      <c r="H980" s="26">
        <v>1.0</v>
      </c>
      <c r="I980" s="26">
        <v>160.0</v>
      </c>
      <c r="J980" s="26">
        <v>20.0</v>
      </c>
      <c r="K980" s="26">
        <v>60.0</v>
      </c>
      <c r="M980" s="26" t="s">
        <v>449</v>
      </c>
      <c r="N980" s="26" t="s">
        <v>685</v>
      </c>
    </row>
    <row r="981">
      <c r="A981" s="25">
        <v>43274.906529768516</v>
      </c>
      <c r="B981" s="26" t="s">
        <v>146</v>
      </c>
      <c r="C981" s="26" t="s">
        <v>31</v>
      </c>
      <c r="D981" s="26" t="s">
        <v>31</v>
      </c>
      <c r="E981" s="26">
        <v>245.0</v>
      </c>
      <c r="F981" s="26" t="s">
        <v>134</v>
      </c>
      <c r="G981" s="26">
        <v>2.0</v>
      </c>
      <c r="H981" s="26">
        <v>1.0</v>
      </c>
      <c r="I981" s="26">
        <v>145000.0</v>
      </c>
      <c r="J981" s="26">
        <v>85000.0</v>
      </c>
      <c r="K981" s="26">
        <v>15000.0</v>
      </c>
      <c r="M981" s="26" t="s">
        <v>449</v>
      </c>
      <c r="N981" s="26" t="s">
        <v>704</v>
      </c>
    </row>
    <row r="982">
      <c r="A982" s="25">
        <v>43275.03192511574</v>
      </c>
      <c r="B982" s="26" t="s">
        <v>80</v>
      </c>
      <c r="C982" s="26" t="s">
        <v>26</v>
      </c>
      <c r="D982" s="26" t="s">
        <v>31</v>
      </c>
      <c r="E982" s="26">
        <v>222.0</v>
      </c>
      <c r="F982" s="26" t="s">
        <v>35</v>
      </c>
      <c r="G982" s="26">
        <v>2.0</v>
      </c>
      <c r="H982" s="26">
        <v>2.0</v>
      </c>
      <c r="I982" s="26">
        <v>122.0</v>
      </c>
      <c r="J982" s="26">
        <v>61.0</v>
      </c>
      <c r="K982" s="26">
        <v>38.0</v>
      </c>
      <c r="M982" s="26" t="s">
        <v>449</v>
      </c>
      <c r="N982" s="26" t="s">
        <v>704</v>
      </c>
    </row>
    <row r="983">
      <c r="A983" s="25">
        <v>43275.593293125</v>
      </c>
      <c r="B983" s="26" t="s">
        <v>123</v>
      </c>
      <c r="C983" s="26" t="s">
        <v>37</v>
      </c>
      <c r="D983" s="26" t="s">
        <v>31</v>
      </c>
      <c r="E983" s="26">
        <v>295.0</v>
      </c>
      <c r="F983" s="26" t="s">
        <v>32</v>
      </c>
      <c r="G983" s="26">
        <v>2.0</v>
      </c>
      <c r="H983" s="26">
        <v>2.0</v>
      </c>
      <c r="I983" s="26">
        <v>165.0</v>
      </c>
      <c r="J983" s="26">
        <v>110.0</v>
      </c>
      <c r="K983" s="26">
        <v>20.0</v>
      </c>
    </row>
    <row r="984">
      <c r="A984" s="25">
        <v>43276.36492078703</v>
      </c>
      <c r="B984" s="26" t="s">
        <v>387</v>
      </c>
      <c r="C984" s="26" t="s">
        <v>541</v>
      </c>
      <c r="D984" s="26" t="s">
        <v>711</v>
      </c>
      <c r="E984" s="26">
        <v>168.0</v>
      </c>
      <c r="F984" s="26" t="s">
        <v>175</v>
      </c>
      <c r="G984" s="26">
        <v>8.0</v>
      </c>
      <c r="H984" s="26">
        <v>3.0</v>
      </c>
      <c r="I984" s="26">
        <v>118.0</v>
      </c>
      <c r="J984" s="26">
        <v>50.0</v>
      </c>
      <c r="L984" s="26" t="s">
        <v>827</v>
      </c>
      <c r="M984" s="26" t="s">
        <v>449</v>
      </c>
      <c r="N984" s="26" t="s">
        <v>828</v>
      </c>
    </row>
    <row r="985">
      <c r="A985" s="25">
        <v>43276.48760446759</v>
      </c>
      <c r="B985" s="26" t="s">
        <v>40</v>
      </c>
      <c r="C985" s="26">
        <v>62.0</v>
      </c>
      <c r="D985" s="26" t="s">
        <v>31</v>
      </c>
      <c r="E985" s="26">
        <v>154.0</v>
      </c>
      <c r="F985" s="26" t="s">
        <v>75</v>
      </c>
      <c r="G985" s="26">
        <v>6.0</v>
      </c>
      <c r="H985" s="26">
        <v>3.0</v>
      </c>
      <c r="I985" s="26">
        <v>132.0</v>
      </c>
      <c r="J985" s="26">
        <v>8.0</v>
      </c>
      <c r="K985" s="26">
        <v>14.0</v>
      </c>
      <c r="M985" s="26" t="s">
        <v>458</v>
      </c>
      <c r="N985" s="26" t="s">
        <v>683</v>
      </c>
    </row>
    <row r="986">
      <c r="A986" s="25">
        <v>43276.55913527778</v>
      </c>
      <c r="B986" s="26" t="s">
        <v>139</v>
      </c>
      <c r="C986" s="26" t="s">
        <v>78</v>
      </c>
      <c r="D986" s="26" t="s">
        <v>31</v>
      </c>
      <c r="E986" s="26">
        <v>171.0</v>
      </c>
      <c r="F986" s="26" t="s">
        <v>491</v>
      </c>
      <c r="G986" s="26">
        <v>7.5</v>
      </c>
      <c r="H986" s="26">
        <v>2.0</v>
      </c>
      <c r="I986" s="26">
        <v>171000.0</v>
      </c>
      <c r="J986" s="26">
        <v>25.0</v>
      </c>
      <c r="K986" s="26">
        <v>25.0</v>
      </c>
      <c r="M986" s="26" t="s">
        <v>449</v>
      </c>
      <c r="N986" s="26" t="s">
        <v>685</v>
      </c>
    </row>
    <row r="987">
      <c r="A987" s="25">
        <v>43276.56083152778</v>
      </c>
      <c r="B987" s="26" t="s">
        <v>119</v>
      </c>
      <c r="C987" s="26" t="s">
        <v>262</v>
      </c>
      <c r="D987" s="26" t="s">
        <v>31</v>
      </c>
      <c r="E987" s="26">
        <v>325.0</v>
      </c>
      <c r="F987" s="26" t="s">
        <v>32</v>
      </c>
      <c r="G987" s="26">
        <v>8.0</v>
      </c>
      <c r="H987" s="26">
        <v>0.0</v>
      </c>
      <c r="I987" s="26">
        <v>216.0</v>
      </c>
      <c r="J987" s="26">
        <v>75.0</v>
      </c>
      <c r="K987" s="26">
        <v>32.0</v>
      </c>
      <c r="M987" s="26" t="s">
        <v>449</v>
      </c>
      <c r="N987" s="26" t="s">
        <v>715</v>
      </c>
    </row>
    <row r="988">
      <c r="A988" s="25">
        <v>43276.572966377316</v>
      </c>
      <c r="B988" s="26" t="s">
        <v>319</v>
      </c>
      <c r="C988" s="26" t="s">
        <v>829</v>
      </c>
      <c r="D988" s="26" t="s">
        <v>31</v>
      </c>
      <c r="E988" s="26">
        <v>110.0</v>
      </c>
      <c r="F988" s="26" t="s">
        <v>320</v>
      </c>
      <c r="G988" s="26">
        <v>8.0</v>
      </c>
      <c r="H988" s="26">
        <v>3.0</v>
      </c>
      <c r="I988" s="26">
        <v>108.0</v>
      </c>
      <c r="K988" s="26">
        <v>2.0</v>
      </c>
      <c r="N988" s="26" t="s">
        <v>696</v>
      </c>
    </row>
    <row r="989">
      <c r="A989" s="25">
        <v>43276.6977475</v>
      </c>
      <c r="B989" s="26" t="s">
        <v>45</v>
      </c>
      <c r="C989" s="26" t="s">
        <v>102</v>
      </c>
      <c r="D989" s="26" t="s">
        <v>31</v>
      </c>
      <c r="E989" s="26">
        <v>255.0</v>
      </c>
      <c r="F989" s="26" t="s">
        <v>104</v>
      </c>
      <c r="G989" s="26">
        <v>3.0</v>
      </c>
      <c r="H989" s="26">
        <v>3.0</v>
      </c>
      <c r="I989" s="26">
        <v>130.0</v>
      </c>
      <c r="J989" s="26">
        <v>100.0</v>
      </c>
      <c r="K989" s="26">
        <v>25.0</v>
      </c>
      <c r="M989" s="26" t="s">
        <v>458</v>
      </c>
      <c r="N989" s="26" t="s">
        <v>685</v>
      </c>
    </row>
    <row r="990">
      <c r="A990" s="25">
        <v>43276.72777424769</v>
      </c>
      <c r="B990" s="26" t="s">
        <v>124</v>
      </c>
      <c r="C990" s="26">
        <v>2.0</v>
      </c>
      <c r="D990" s="26" t="s">
        <v>31</v>
      </c>
      <c r="E990" s="26">
        <v>130.0</v>
      </c>
      <c r="F990" s="26" t="s">
        <v>32</v>
      </c>
      <c r="G990" s="26">
        <v>3.0</v>
      </c>
      <c r="H990" s="26">
        <v>2.0</v>
      </c>
      <c r="I990" s="26">
        <v>118000.0</v>
      </c>
      <c r="J990" s="26">
        <v>9365.0</v>
      </c>
      <c r="K990" s="26">
        <v>11000.0</v>
      </c>
      <c r="M990" s="26" t="s">
        <v>458</v>
      </c>
      <c r="N990" s="26" t="s">
        <v>696</v>
      </c>
    </row>
    <row r="991">
      <c r="A991" s="25">
        <v>43276.76558694444</v>
      </c>
      <c r="B991" s="26" t="s">
        <v>33</v>
      </c>
      <c r="C991" s="26">
        <v>7.0</v>
      </c>
      <c r="D991" s="26" t="s">
        <v>27</v>
      </c>
      <c r="E991" s="26">
        <v>460.0</v>
      </c>
      <c r="F991" s="26" t="s">
        <v>35</v>
      </c>
      <c r="G991" s="26">
        <v>20.0</v>
      </c>
      <c r="H991" s="26">
        <v>4.0</v>
      </c>
      <c r="I991" s="26">
        <v>160.0</v>
      </c>
      <c r="J991" s="26">
        <v>300.0</v>
      </c>
      <c r="L991" s="26" t="s">
        <v>830</v>
      </c>
      <c r="M991" s="26" t="s">
        <v>449</v>
      </c>
      <c r="N991" s="26" t="s">
        <v>683</v>
      </c>
    </row>
    <row r="992">
      <c r="A992" s="25">
        <v>43276.77559664352</v>
      </c>
      <c r="B992" s="26" t="s">
        <v>40</v>
      </c>
      <c r="C992" s="26" t="s">
        <v>374</v>
      </c>
      <c r="D992" s="26" t="s">
        <v>41</v>
      </c>
      <c r="E992" s="26">
        <v>208.0</v>
      </c>
      <c r="F992" s="26" t="s">
        <v>75</v>
      </c>
      <c r="G992" s="26">
        <v>16.0</v>
      </c>
      <c r="H992" s="26">
        <v>0.0</v>
      </c>
      <c r="I992" s="26">
        <v>160000.0</v>
      </c>
      <c r="J992" s="26">
        <v>50000.0</v>
      </c>
      <c r="K992" s="26">
        <v>30000.0</v>
      </c>
      <c r="M992" s="26" t="s">
        <v>449</v>
      </c>
    </row>
    <row r="993">
      <c r="A993" s="25">
        <v>43276.83025106481</v>
      </c>
      <c r="B993" s="26" t="s">
        <v>33</v>
      </c>
      <c r="C993" s="26" t="s">
        <v>62</v>
      </c>
      <c r="D993" s="26" t="s">
        <v>41</v>
      </c>
      <c r="E993" s="26">
        <v>220.0</v>
      </c>
      <c r="F993" s="26" t="s">
        <v>63</v>
      </c>
      <c r="G993" s="26">
        <v>12.0</v>
      </c>
      <c r="H993" s="26">
        <v>6.0</v>
      </c>
      <c r="I993" s="26">
        <v>150.0</v>
      </c>
      <c r="J993" s="26">
        <v>70.0</v>
      </c>
      <c r="K993" s="26">
        <v>5.0</v>
      </c>
      <c r="M993" s="26" t="s">
        <v>449</v>
      </c>
      <c r="N993" s="26" t="s">
        <v>685</v>
      </c>
    </row>
    <row r="994">
      <c r="A994" s="25">
        <v>43277.04855359954</v>
      </c>
      <c r="B994" s="26" t="s">
        <v>146</v>
      </c>
      <c r="C994" s="26" t="s">
        <v>831</v>
      </c>
      <c r="D994" s="26" t="s">
        <v>31</v>
      </c>
      <c r="E994" s="26">
        <v>620.0</v>
      </c>
      <c r="F994" s="26" t="s">
        <v>134</v>
      </c>
      <c r="G994" s="26">
        <v>8.0</v>
      </c>
      <c r="H994" s="26">
        <v>5.0</v>
      </c>
      <c r="M994" s="26" t="s">
        <v>449</v>
      </c>
      <c r="N994" s="26" t="s">
        <v>715</v>
      </c>
    </row>
    <row r="995">
      <c r="A995" s="25">
        <v>43277.318245057875</v>
      </c>
      <c r="B995" s="26" t="s">
        <v>832</v>
      </c>
      <c r="C995" s="26" t="s">
        <v>833</v>
      </c>
      <c r="D995" s="26" t="s">
        <v>31</v>
      </c>
      <c r="E995" s="26">
        <v>184.0</v>
      </c>
      <c r="F995" s="26" t="s">
        <v>834</v>
      </c>
      <c r="G995" s="26">
        <v>8.0</v>
      </c>
      <c r="H995" s="26">
        <v>1.0</v>
      </c>
      <c r="I995" s="26">
        <v>160000.0</v>
      </c>
      <c r="J995" s="26">
        <v>8000.0</v>
      </c>
      <c r="K995" s="26">
        <v>24000.0</v>
      </c>
      <c r="M995" s="26" t="s">
        <v>449</v>
      </c>
      <c r="N995" s="26" t="s">
        <v>683</v>
      </c>
    </row>
    <row r="996">
      <c r="A996" s="25">
        <v>43277.332614178245</v>
      </c>
      <c r="B996" s="26" t="s">
        <v>835</v>
      </c>
      <c r="C996" s="26" t="s">
        <v>117</v>
      </c>
      <c r="D996" s="26" t="s">
        <v>31</v>
      </c>
      <c r="E996" s="26">
        <v>125.0</v>
      </c>
      <c r="F996" s="26" t="s">
        <v>58</v>
      </c>
      <c r="G996" s="26">
        <v>3.0</v>
      </c>
      <c r="H996" s="26">
        <v>0.25</v>
      </c>
      <c r="I996" s="26">
        <v>115000.0</v>
      </c>
      <c r="J996" s="26">
        <v>0.1</v>
      </c>
      <c r="K996" s="26">
        <v>10000.0</v>
      </c>
      <c r="M996" s="26" t="s">
        <v>449</v>
      </c>
      <c r="N996" s="26" t="s">
        <v>751</v>
      </c>
    </row>
    <row r="997">
      <c r="A997" s="25">
        <v>43277.664709687495</v>
      </c>
      <c r="B997" s="26" t="s">
        <v>256</v>
      </c>
      <c r="C997" s="26" t="s">
        <v>117</v>
      </c>
      <c r="D997" s="26" t="s">
        <v>31</v>
      </c>
      <c r="E997" s="26">
        <v>257.0</v>
      </c>
      <c r="F997" s="26" t="s">
        <v>63</v>
      </c>
      <c r="G997" s="26">
        <v>3.0</v>
      </c>
      <c r="H997" s="26">
        <v>3.0</v>
      </c>
      <c r="I997" s="26">
        <v>170000.0</v>
      </c>
      <c r="J997" s="26">
        <v>250000.0</v>
      </c>
      <c r="K997" s="26">
        <v>17000.0</v>
      </c>
      <c r="N997" s="26" t="s">
        <v>757</v>
      </c>
    </row>
    <row r="998">
      <c r="A998" s="25">
        <v>43277.69279725694</v>
      </c>
      <c r="B998" s="26" t="s">
        <v>836</v>
      </c>
      <c r="C998" s="26">
        <v>6.0</v>
      </c>
      <c r="D998" s="26" t="s">
        <v>31</v>
      </c>
      <c r="E998" s="26">
        <v>85.0</v>
      </c>
      <c r="F998" s="26" t="s">
        <v>837</v>
      </c>
      <c r="G998" s="26">
        <v>1.0</v>
      </c>
      <c r="H998" s="26">
        <v>1.0</v>
      </c>
      <c r="I998" s="26">
        <v>85000.0</v>
      </c>
      <c r="K998" s="26">
        <v>1000.0</v>
      </c>
      <c r="L998" s="26" t="s">
        <v>838</v>
      </c>
      <c r="M998" s="26" t="s">
        <v>449</v>
      </c>
      <c r="N998" s="26" t="s">
        <v>704</v>
      </c>
    </row>
    <row r="999">
      <c r="A999" s="25">
        <v>43277.694810810186</v>
      </c>
      <c r="B999" s="26" t="s">
        <v>350</v>
      </c>
      <c r="C999" s="26" t="s">
        <v>96</v>
      </c>
      <c r="D999" s="26" t="s">
        <v>31</v>
      </c>
      <c r="E999" s="26">
        <v>120.0</v>
      </c>
      <c r="F999" s="26" t="s">
        <v>485</v>
      </c>
      <c r="G999" s="26">
        <v>7.0</v>
      </c>
      <c r="H999" s="26">
        <v>3.0</v>
      </c>
      <c r="M999" s="26" t="s">
        <v>449</v>
      </c>
      <c r="N999" s="26" t="s">
        <v>704</v>
      </c>
    </row>
    <row r="1000">
      <c r="A1000" s="25">
        <v>43277.7138259375</v>
      </c>
      <c r="B1000" s="26" t="s">
        <v>356</v>
      </c>
      <c r="C1000" s="26" t="s">
        <v>73</v>
      </c>
      <c r="D1000" s="26" t="s">
        <v>31</v>
      </c>
      <c r="E1000" s="26">
        <v>165.0</v>
      </c>
      <c r="F1000" s="26" t="s">
        <v>129</v>
      </c>
      <c r="G1000" s="26">
        <v>3.0</v>
      </c>
      <c r="H1000" s="26">
        <v>1.0</v>
      </c>
      <c r="I1000" s="26">
        <v>165.0</v>
      </c>
      <c r="J1000" s="26">
        <v>250.0</v>
      </c>
      <c r="K1000" s="26">
        <v>3.0</v>
      </c>
      <c r="M1000" s="26" t="s">
        <v>449</v>
      </c>
      <c r="N1000" s="26" t="s">
        <v>687</v>
      </c>
    </row>
    <row r="1001">
      <c r="A1001" s="25">
        <v>43277.735162233796</v>
      </c>
      <c r="B1001" s="26" t="s">
        <v>25</v>
      </c>
      <c r="C1001" s="26" t="s">
        <v>89</v>
      </c>
      <c r="D1001" s="26" t="s">
        <v>41</v>
      </c>
      <c r="E1001" s="26">
        <v>470.0</v>
      </c>
      <c r="F1001" s="26" t="s">
        <v>63</v>
      </c>
      <c r="G1001" s="26">
        <v>15.0</v>
      </c>
      <c r="H1001" s="26">
        <v>1.0</v>
      </c>
      <c r="I1001" s="26">
        <v>220.0</v>
      </c>
      <c r="J1001" s="26">
        <v>1000000.0</v>
      </c>
      <c r="K1001" s="26">
        <v>1.0</v>
      </c>
      <c r="M1001" s="26" t="s">
        <v>449</v>
      </c>
      <c r="N1001" s="26" t="s">
        <v>685</v>
      </c>
    </row>
    <row r="1002">
      <c r="A1002" s="25">
        <v>43277.74607392361</v>
      </c>
      <c r="B1002" s="26" t="s">
        <v>80</v>
      </c>
      <c r="C1002" s="26" t="s">
        <v>26</v>
      </c>
      <c r="D1002" s="26" t="s">
        <v>31</v>
      </c>
      <c r="E1002" s="26">
        <v>195.0</v>
      </c>
      <c r="F1002" s="26" t="s">
        <v>51</v>
      </c>
      <c r="G1002" s="26">
        <v>5.0</v>
      </c>
      <c r="H1002" s="26">
        <v>5.0</v>
      </c>
      <c r="I1002" s="26">
        <v>140.0</v>
      </c>
      <c r="J1002" s="26">
        <v>200.0</v>
      </c>
      <c r="K1002" s="26">
        <v>20.0</v>
      </c>
      <c r="M1002" s="26" t="s">
        <v>449</v>
      </c>
      <c r="N1002" s="26" t="s">
        <v>683</v>
      </c>
    </row>
    <row r="1003">
      <c r="A1003" s="25">
        <v>43277.747984814814</v>
      </c>
      <c r="B1003" s="26" t="s">
        <v>33</v>
      </c>
      <c r="C1003" s="26" t="s">
        <v>110</v>
      </c>
      <c r="D1003" s="26" t="s">
        <v>31</v>
      </c>
      <c r="E1003" s="26">
        <v>200.0</v>
      </c>
      <c r="F1003" s="26" t="s">
        <v>32</v>
      </c>
      <c r="G1003" s="26">
        <v>5.0</v>
      </c>
      <c r="H1003" s="26">
        <v>5.0</v>
      </c>
      <c r="I1003" s="26">
        <v>155.0</v>
      </c>
      <c r="J1003" s="26">
        <v>120.0</v>
      </c>
      <c r="K1003" s="26">
        <v>60.0</v>
      </c>
      <c r="M1003" s="26" t="s">
        <v>449</v>
      </c>
      <c r="N1003" s="26" t="s">
        <v>683</v>
      </c>
    </row>
    <row r="1004">
      <c r="A1004" s="25">
        <v>43277.90122509259</v>
      </c>
      <c r="B1004" s="26" t="s">
        <v>839</v>
      </c>
      <c r="C1004" s="26" t="s">
        <v>101</v>
      </c>
      <c r="D1004" s="26" t="s">
        <v>711</v>
      </c>
      <c r="E1004" s="26">
        <v>187.0</v>
      </c>
      <c r="F1004" s="26" t="s">
        <v>94</v>
      </c>
      <c r="G1004" s="26">
        <v>4.0</v>
      </c>
      <c r="H1004" s="26">
        <v>1.0</v>
      </c>
      <c r="I1004" s="26">
        <v>150.0</v>
      </c>
      <c r="J1004" s="26">
        <v>145.0</v>
      </c>
      <c r="K1004" s="26">
        <v>10.0</v>
      </c>
      <c r="M1004" s="26" t="s">
        <v>449</v>
      </c>
      <c r="N1004" s="26" t="s">
        <v>691</v>
      </c>
    </row>
    <row r="1005">
      <c r="A1005" s="25">
        <v>43277.90262828703</v>
      </c>
      <c r="B1005" s="26" t="s">
        <v>722</v>
      </c>
      <c r="C1005" s="26" t="s">
        <v>840</v>
      </c>
      <c r="D1005" s="26" t="s">
        <v>27</v>
      </c>
      <c r="E1005" s="26">
        <v>159.0</v>
      </c>
      <c r="F1005" s="26" t="s">
        <v>86</v>
      </c>
      <c r="G1005" s="26">
        <v>10.0</v>
      </c>
      <c r="H1005" s="26">
        <v>4.0</v>
      </c>
      <c r="I1005" s="26">
        <v>120000.0</v>
      </c>
      <c r="J1005" s="26">
        <v>15000.0</v>
      </c>
      <c r="K1005" s="26">
        <v>24000.0</v>
      </c>
      <c r="L1005" s="26" t="s">
        <v>841</v>
      </c>
      <c r="M1005" s="26" t="s">
        <v>449</v>
      </c>
      <c r="N1005" s="26" t="s">
        <v>842</v>
      </c>
    </row>
    <row r="1006">
      <c r="A1006" s="25">
        <v>43277.997436840276</v>
      </c>
      <c r="B1006" s="26" t="s">
        <v>25</v>
      </c>
      <c r="C1006" s="26" t="s">
        <v>78</v>
      </c>
      <c r="D1006" s="26" t="s">
        <v>27</v>
      </c>
      <c r="E1006" s="26">
        <v>375.0</v>
      </c>
      <c r="F1006" s="26" t="s">
        <v>63</v>
      </c>
      <c r="G1006" s="26">
        <v>5.0</v>
      </c>
      <c r="H1006" s="26">
        <v>1.0</v>
      </c>
      <c r="I1006" s="26">
        <v>175.0</v>
      </c>
      <c r="J1006" s="26">
        <v>75.0</v>
      </c>
      <c r="K1006" s="26">
        <v>125.0</v>
      </c>
      <c r="M1006" s="26" t="s">
        <v>449</v>
      </c>
      <c r="N1006" s="26" t="s">
        <v>726</v>
      </c>
    </row>
    <row r="1007">
      <c r="A1007" s="25">
        <v>43278.4993940162</v>
      </c>
      <c r="B1007" s="26" t="s">
        <v>204</v>
      </c>
      <c r="C1007" s="26" t="s">
        <v>73</v>
      </c>
      <c r="D1007" s="26" t="s">
        <v>31</v>
      </c>
      <c r="E1007" s="26">
        <v>214.0</v>
      </c>
      <c r="F1007" s="26" t="s">
        <v>32</v>
      </c>
      <c r="G1007" s="26">
        <v>2.0</v>
      </c>
      <c r="H1007" s="26">
        <v>2.0</v>
      </c>
      <c r="I1007" s="26">
        <v>146000.0</v>
      </c>
      <c r="J1007" s="26">
        <v>68000.0</v>
      </c>
      <c r="M1007" s="26" t="s">
        <v>458</v>
      </c>
      <c r="N1007" s="26" t="s">
        <v>704</v>
      </c>
    </row>
    <row r="1008">
      <c r="A1008" s="25">
        <v>43278.91781738426</v>
      </c>
      <c r="B1008" s="26" t="s">
        <v>380</v>
      </c>
      <c r="C1008" s="26" t="s">
        <v>455</v>
      </c>
      <c r="D1008" s="26" t="s">
        <v>31</v>
      </c>
      <c r="E1008" s="26">
        <v>135.0</v>
      </c>
      <c r="F1008" s="26" t="s">
        <v>599</v>
      </c>
      <c r="G1008" s="26">
        <v>2.0</v>
      </c>
      <c r="H1008" s="26">
        <v>2.0</v>
      </c>
      <c r="I1008" s="26">
        <v>113.0</v>
      </c>
      <c r="J1008" s="26">
        <v>17.0</v>
      </c>
      <c r="K1008" s="26">
        <v>5.0</v>
      </c>
      <c r="M1008" s="26" t="s">
        <v>449</v>
      </c>
    </row>
    <row r="1009">
      <c r="A1009" s="25">
        <v>43278.97630365741</v>
      </c>
      <c r="B1009" s="26" t="s">
        <v>40</v>
      </c>
      <c r="C1009" s="26">
        <v>68.0</v>
      </c>
      <c r="D1009" s="26" t="s">
        <v>27</v>
      </c>
      <c r="E1009" s="26">
        <v>930.0</v>
      </c>
      <c r="F1009" s="26" t="s">
        <v>63</v>
      </c>
      <c r="G1009" s="26">
        <v>20.0</v>
      </c>
      <c r="H1009" s="26">
        <v>3.0</v>
      </c>
      <c r="I1009" s="26">
        <v>250.0</v>
      </c>
      <c r="J1009" s="26">
        <v>550.0</v>
      </c>
      <c r="K1009" s="26">
        <v>130.0</v>
      </c>
      <c r="M1009" s="26" t="s">
        <v>449</v>
      </c>
      <c r="N1009" s="26" t="s">
        <v>683</v>
      </c>
    </row>
    <row r="1010">
      <c r="A1010" s="25">
        <v>43279.33142833333</v>
      </c>
      <c r="B1010" s="26" t="s">
        <v>843</v>
      </c>
      <c r="C1010" s="26" t="s">
        <v>610</v>
      </c>
      <c r="D1010" s="26" t="s">
        <v>31</v>
      </c>
      <c r="E1010" s="26">
        <v>215.0</v>
      </c>
      <c r="F1010" s="26" t="s">
        <v>225</v>
      </c>
      <c r="G1010" s="26">
        <v>5.0</v>
      </c>
      <c r="H1010" s="26">
        <v>0.0</v>
      </c>
      <c r="I1010" s="26">
        <v>165000.0</v>
      </c>
      <c r="J1010" s="26">
        <v>50000.0</v>
      </c>
      <c r="M1010" s="26" t="s">
        <v>449</v>
      </c>
      <c r="N1010" s="26" t="s">
        <v>685</v>
      </c>
    </row>
    <row r="1011">
      <c r="A1011" s="25">
        <v>43279.56123378473</v>
      </c>
      <c r="B1011" s="26" t="s">
        <v>40</v>
      </c>
      <c r="C1011" s="26">
        <v>63.0</v>
      </c>
      <c r="D1011" s="26" t="s">
        <v>27</v>
      </c>
      <c r="E1011" s="26">
        <v>196.0</v>
      </c>
      <c r="F1011" s="26" t="s">
        <v>75</v>
      </c>
      <c r="G1011" s="26">
        <v>10.0</v>
      </c>
      <c r="H1011" s="26">
        <v>3.0</v>
      </c>
      <c r="I1011" s="26">
        <v>157622.0</v>
      </c>
      <c r="J1011" s="26">
        <v>20400.0</v>
      </c>
      <c r="K1011" s="26">
        <v>17800.0</v>
      </c>
      <c r="L1011" s="26" t="s">
        <v>844</v>
      </c>
      <c r="M1011" s="26" t="s">
        <v>449</v>
      </c>
      <c r="N1011" s="26" t="s">
        <v>715</v>
      </c>
    </row>
    <row r="1012">
      <c r="A1012" s="25">
        <v>43279.92334517361</v>
      </c>
      <c r="B1012" s="26" t="s">
        <v>371</v>
      </c>
      <c r="C1012" s="26" t="s">
        <v>37</v>
      </c>
      <c r="D1012" s="26" t="s">
        <v>31</v>
      </c>
      <c r="E1012" s="26">
        <v>140.0</v>
      </c>
      <c r="F1012" s="26" t="s">
        <v>459</v>
      </c>
      <c r="G1012" s="26">
        <v>5.0</v>
      </c>
      <c r="H1012" s="26">
        <v>5.0</v>
      </c>
      <c r="I1012" s="26">
        <v>110.0</v>
      </c>
      <c r="J1012" s="26">
        <v>10.0</v>
      </c>
      <c r="K1012" s="26">
        <v>19.0</v>
      </c>
      <c r="M1012" s="26" t="s">
        <v>449</v>
      </c>
      <c r="N1012" s="26" t="s">
        <v>728</v>
      </c>
    </row>
    <row r="1013">
      <c r="A1013" s="25">
        <v>43280.02680987268</v>
      </c>
      <c r="B1013" s="26" t="s">
        <v>845</v>
      </c>
      <c r="C1013" s="26" t="s">
        <v>166</v>
      </c>
      <c r="D1013" s="26" t="s">
        <v>31</v>
      </c>
      <c r="E1013" s="26">
        <v>415.0</v>
      </c>
      <c r="F1013" s="26" t="s">
        <v>846</v>
      </c>
      <c r="G1013" s="26">
        <v>6.0</v>
      </c>
      <c r="H1013" s="26">
        <v>0.0</v>
      </c>
      <c r="I1013" s="26">
        <v>185.0</v>
      </c>
      <c r="J1013" s="26">
        <v>800000.0</v>
      </c>
      <c r="K1013" s="26">
        <v>100000.0</v>
      </c>
      <c r="M1013" s="26" t="s">
        <v>449</v>
      </c>
    </row>
    <row r="1014">
      <c r="A1014" s="25">
        <v>43280.26847519676</v>
      </c>
      <c r="B1014" s="26" t="s">
        <v>705</v>
      </c>
      <c r="C1014" s="26" t="s">
        <v>847</v>
      </c>
      <c r="D1014" s="26" t="s">
        <v>31</v>
      </c>
      <c r="E1014" s="26">
        <v>300.0</v>
      </c>
      <c r="F1014" s="26" t="s">
        <v>58</v>
      </c>
      <c r="G1014" s="26">
        <v>12.0</v>
      </c>
      <c r="H1014" s="26">
        <v>6.0</v>
      </c>
      <c r="I1014" s="26">
        <v>205.0</v>
      </c>
      <c r="J1014" s="26">
        <v>65.0</v>
      </c>
      <c r="K1014" s="26">
        <v>40.0</v>
      </c>
      <c r="M1014" s="26" t="s">
        <v>449</v>
      </c>
      <c r="N1014" s="26" t="s">
        <v>683</v>
      </c>
    </row>
    <row r="1015">
      <c r="A1015" s="25">
        <v>43280.300140775464</v>
      </c>
      <c r="B1015" s="26" t="s">
        <v>124</v>
      </c>
      <c r="C1015" s="26" t="s">
        <v>504</v>
      </c>
      <c r="D1015" s="26" t="s">
        <v>27</v>
      </c>
      <c r="E1015" s="26">
        <v>290.0</v>
      </c>
      <c r="F1015" s="26" t="s">
        <v>51</v>
      </c>
      <c r="G1015" s="26" t="s">
        <v>848</v>
      </c>
      <c r="H1015" s="26">
        <v>2.0</v>
      </c>
      <c r="I1015" s="26">
        <v>175000.0</v>
      </c>
      <c r="J1015" s="26">
        <v>150000.0</v>
      </c>
      <c r="K1015" s="26">
        <v>60000.0</v>
      </c>
      <c r="L1015" s="26" t="s">
        <v>849</v>
      </c>
      <c r="N1015" s="26" t="s">
        <v>687</v>
      </c>
    </row>
    <row r="1016">
      <c r="A1016" s="25">
        <v>43280.37967833334</v>
      </c>
      <c r="B1016" s="26" t="s">
        <v>33</v>
      </c>
      <c r="C1016" s="26" t="s">
        <v>73</v>
      </c>
      <c r="D1016" s="26" t="s">
        <v>31</v>
      </c>
      <c r="E1016" s="26">
        <v>168.0</v>
      </c>
      <c r="F1016" s="26" t="s">
        <v>850</v>
      </c>
      <c r="G1016" s="26">
        <v>5.0</v>
      </c>
      <c r="H1016" s="26">
        <v>1.0</v>
      </c>
      <c r="I1016" s="26">
        <v>125.0</v>
      </c>
      <c r="J1016" s="26">
        <v>5.0</v>
      </c>
      <c r="K1016" s="26">
        <v>40.0</v>
      </c>
      <c r="M1016" s="26" t="s">
        <v>449</v>
      </c>
      <c r="N1016" s="26" t="s">
        <v>757</v>
      </c>
    </row>
    <row r="1017">
      <c r="A1017" s="25">
        <v>43280.4210710301</v>
      </c>
      <c r="B1017" s="26" t="s">
        <v>80</v>
      </c>
      <c r="C1017" s="26" t="s">
        <v>93</v>
      </c>
      <c r="D1017" s="26" t="s">
        <v>31</v>
      </c>
      <c r="E1017" s="26">
        <v>505.0</v>
      </c>
      <c r="F1017" s="26" t="s">
        <v>51</v>
      </c>
      <c r="G1017" s="26">
        <v>11.0</v>
      </c>
      <c r="H1017" s="26">
        <v>2.0</v>
      </c>
      <c r="I1017" s="26">
        <v>220.0</v>
      </c>
      <c r="J1017" s="26">
        <v>45.0</v>
      </c>
      <c r="K1017" s="26">
        <v>265.0</v>
      </c>
      <c r="M1017" s="26" t="s">
        <v>449</v>
      </c>
      <c r="N1017" s="26" t="s">
        <v>691</v>
      </c>
    </row>
    <row r="1018">
      <c r="A1018" s="25">
        <v>43280.73350096065</v>
      </c>
      <c r="B1018" s="26" t="s">
        <v>187</v>
      </c>
      <c r="C1018" s="26" t="s">
        <v>430</v>
      </c>
      <c r="D1018" s="26" t="s">
        <v>31</v>
      </c>
      <c r="E1018" s="26">
        <v>300.0</v>
      </c>
      <c r="F1018" s="26" t="s">
        <v>851</v>
      </c>
      <c r="G1018" s="26">
        <v>4.0</v>
      </c>
      <c r="H1018" s="26">
        <v>0.0</v>
      </c>
      <c r="I1018" s="26">
        <v>1750000.0</v>
      </c>
      <c r="J1018" s="26">
        <v>400000.0</v>
      </c>
      <c r="K1018" s="26">
        <v>20000.0</v>
      </c>
      <c r="M1018" s="26" t="s">
        <v>449</v>
      </c>
      <c r="N1018" s="26" t="s">
        <v>685</v>
      </c>
    </row>
    <row r="1019">
      <c r="A1019" s="25">
        <v>43280.82892467592</v>
      </c>
      <c r="B1019" s="26" t="s">
        <v>852</v>
      </c>
      <c r="C1019" s="26" t="s">
        <v>853</v>
      </c>
      <c r="D1019" s="26" t="s">
        <v>31</v>
      </c>
      <c r="E1019" s="26">
        <v>115.0</v>
      </c>
      <c r="F1019" s="26" t="s">
        <v>710</v>
      </c>
      <c r="G1019" s="26">
        <v>0.0</v>
      </c>
      <c r="H1019" s="26">
        <v>0.0</v>
      </c>
      <c r="I1019" s="26">
        <v>95.0</v>
      </c>
      <c r="K1019" s="26">
        <v>10.0</v>
      </c>
      <c r="M1019" s="26" t="s">
        <v>449</v>
      </c>
      <c r="N1019" s="26" t="s">
        <v>704</v>
      </c>
    </row>
    <row r="1020">
      <c r="A1020" s="25">
        <v>43281.4181405787</v>
      </c>
      <c r="B1020" s="26" t="s">
        <v>268</v>
      </c>
      <c r="C1020" s="26">
        <v>13.0</v>
      </c>
      <c r="D1020" s="26" t="s">
        <v>713</v>
      </c>
      <c r="E1020" s="26">
        <v>360.0</v>
      </c>
      <c r="F1020" s="26" t="s">
        <v>238</v>
      </c>
      <c r="G1020" s="26">
        <v>17.0</v>
      </c>
      <c r="H1020" s="26">
        <v>4.0</v>
      </c>
      <c r="I1020" s="26">
        <v>220000.0</v>
      </c>
      <c r="J1020" s="26">
        <v>60000.0</v>
      </c>
      <c r="K1020" s="26">
        <v>80000.0</v>
      </c>
      <c r="M1020" s="26" t="s">
        <v>449</v>
      </c>
      <c r="N1020" s="26" t="s">
        <v>715</v>
      </c>
    </row>
    <row r="1021">
      <c r="A1021" s="25">
        <v>43281.44257359953</v>
      </c>
      <c r="B1021" s="26" t="s">
        <v>33</v>
      </c>
      <c r="C1021" s="26" t="s">
        <v>43</v>
      </c>
      <c r="D1021" s="26" t="s">
        <v>27</v>
      </c>
      <c r="E1021" s="26">
        <v>190.0</v>
      </c>
      <c r="F1021" s="26" t="s">
        <v>35</v>
      </c>
      <c r="G1021" s="26">
        <v>9.0</v>
      </c>
      <c r="H1021" s="26">
        <v>2.0</v>
      </c>
      <c r="I1021" s="26">
        <v>110.0</v>
      </c>
      <c r="J1021" s="26">
        <v>80.0</v>
      </c>
      <c r="M1021" s="26" t="s">
        <v>449</v>
      </c>
      <c r="N1021" s="26" t="s">
        <v>854</v>
      </c>
    </row>
    <row r="1022">
      <c r="A1022" s="25">
        <v>43281.5316040162</v>
      </c>
      <c r="B1022" s="26" t="s">
        <v>33</v>
      </c>
      <c r="C1022" s="26" t="s">
        <v>43</v>
      </c>
      <c r="D1022" s="26" t="s">
        <v>31</v>
      </c>
      <c r="E1022" s="26">
        <v>190.0</v>
      </c>
      <c r="F1022" s="26" t="s">
        <v>44</v>
      </c>
      <c r="G1022" s="26">
        <v>3.0</v>
      </c>
      <c r="H1022" s="26">
        <v>2.0</v>
      </c>
      <c r="I1022" s="26">
        <v>122000.0</v>
      </c>
      <c r="J1022" s="26">
        <v>68000.0</v>
      </c>
      <c r="K1022" s="26">
        <v>1.0</v>
      </c>
      <c r="M1022" s="26" t="s">
        <v>449</v>
      </c>
      <c r="N1022" s="26" t="s">
        <v>704</v>
      </c>
    </row>
    <row r="1023">
      <c r="A1023" s="25">
        <v>43281.56843976852</v>
      </c>
      <c r="B1023" s="26" t="s">
        <v>80</v>
      </c>
      <c r="C1023" s="26" t="s">
        <v>179</v>
      </c>
      <c r="D1023" s="26" t="s">
        <v>31</v>
      </c>
      <c r="E1023" s="26">
        <v>143.0</v>
      </c>
      <c r="F1023" s="26" t="s">
        <v>161</v>
      </c>
      <c r="G1023" s="26">
        <v>0.0</v>
      </c>
      <c r="H1023" s="26">
        <v>0.0</v>
      </c>
      <c r="I1023" s="26">
        <v>105000.0</v>
      </c>
      <c r="J1023" s="26">
        <v>22500.0</v>
      </c>
      <c r="K1023" s="26">
        <v>15750.0</v>
      </c>
      <c r="L1023" s="26" t="s">
        <v>855</v>
      </c>
      <c r="M1023" s="26" t="s">
        <v>449</v>
      </c>
      <c r="N1023" s="26" t="s">
        <v>708</v>
      </c>
    </row>
    <row r="1024">
      <c r="A1024" s="25">
        <v>43281.649704930554</v>
      </c>
      <c r="B1024" s="26" t="s">
        <v>168</v>
      </c>
      <c r="C1024" s="26">
        <v>63.0</v>
      </c>
      <c r="D1024" s="26" t="s">
        <v>31</v>
      </c>
      <c r="E1024" s="26">
        <v>207.0</v>
      </c>
      <c r="F1024" s="26" t="s">
        <v>133</v>
      </c>
      <c r="G1024" s="26">
        <v>13.0</v>
      </c>
      <c r="H1024" s="26">
        <v>6.5</v>
      </c>
      <c r="I1024" s="26">
        <v>165000.0</v>
      </c>
      <c r="J1024" s="26">
        <v>17000.0</v>
      </c>
      <c r="K1024" s="26">
        <v>25000.0</v>
      </c>
      <c r="M1024" s="26" t="s">
        <v>449</v>
      </c>
      <c r="N1024" s="26" t="s">
        <v>856</v>
      </c>
    </row>
    <row r="1025">
      <c r="A1025" s="25">
        <v>43281.824863587965</v>
      </c>
      <c r="B1025" s="26" t="s">
        <v>119</v>
      </c>
      <c r="C1025" s="26" t="s">
        <v>82</v>
      </c>
      <c r="D1025" s="26" t="s">
        <v>31</v>
      </c>
      <c r="E1025" s="26">
        <v>190.0</v>
      </c>
      <c r="F1025" s="26" t="s">
        <v>111</v>
      </c>
      <c r="G1025" s="26">
        <v>4.0</v>
      </c>
      <c r="H1025" s="26">
        <v>4.0</v>
      </c>
      <c r="I1025" s="26">
        <v>150000.0</v>
      </c>
      <c r="J1025" s="26">
        <v>20000.0</v>
      </c>
      <c r="K1025" s="26">
        <v>21000.0</v>
      </c>
      <c r="M1025" s="26" t="s">
        <v>449</v>
      </c>
      <c r="N1025" s="26" t="s">
        <v>683</v>
      </c>
    </row>
    <row r="1026">
      <c r="A1026" s="25">
        <v>43281.87345248843</v>
      </c>
      <c r="B1026" s="26" t="s">
        <v>40</v>
      </c>
      <c r="C1026" s="26">
        <v>63.0</v>
      </c>
      <c r="D1026" s="26" t="s">
        <v>31</v>
      </c>
      <c r="E1026" s="26">
        <v>215.0</v>
      </c>
      <c r="F1026" s="26" t="s">
        <v>35</v>
      </c>
      <c r="G1026" s="26">
        <v>15.0</v>
      </c>
      <c r="H1026" s="26">
        <v>1.0</v>
      </c>
      <c r="I1026" s="26">
        <v>165.0</v>
      </c>
      <c r="J1026" s="26">
        <v>200.0</v>
      </c>
      <c r="K1026" s="26">
        <v>50.0</v>
      </c>
      <c r="M1026" s="26" t="s">
        <v>449</v>
      </c>
      <c r="N1026" s="26" t="s">
        <v>696</v>
      </c>
    </row>
    <row r="1027">
      <c r="A1027" s="25">
        <v>43281.87500298611</v>
      </c>
      <c r="B1027" s="26" t="s">
        <v>40</v>
      </c>
      <c r="C1027" s="26">
        <v>64.0</v>
      </c>
      <c r="D1027" s="26" t="s">
        <v>41</v>
      </c>
      <c r="E1027" s="26">
        <v>82.0</v>
      </c>
      <c r="F1027" s="26" t="s">
        <v>198</v>
      </c>
      <c r="G1027" s="26">
        <v>11.0</v>
      </c>
      <c r="H1027" s="26">
        <v>4.0</v>
      </c>
      <c r="I1027" s="26">
        <v>55.0</v>
      </c>
      <c r="J1027" s="26">
        <v>17.0</v>
      </c>
      <c r="K1027" s="26">
        <v>10.0</v>
      </c>
      <c r="M1027" s="26" t="s">
        <v>449</v>
      </c>
      <c r="N1027" s="26" t="s">
        <v>857</v>
      </c>
    </row>
    <row r="1028">
      <c r="A1028" s="25">
        <v>43281.94198275463</v>
      </c>
      <c r="B1028" s="26" t="s">
        <v>36</v>
      </c>
      <c r="C1028" s="26" t="s">
        <v>165</v>
      </c>
      <c r="D1028" s="26" t="s">
        <v>31</v>
      </c>
      <c r="E1028" s="26">
        <v>230.0</v>
      </c>
      <c r="F1028" s="26" t="s">
        <v>58</v>
      </c>
      <c r="G1028" s="26">
        <v>3.0</v>
      </c>
      <c r="H1028" s="26">
        <v>3.0</v>
      </c>
      <c r="I1028" s="26">
        <v>160.0</v>
      </c>
      <c r="J1028" s="26">
        <v>200.0</v>
      </c>
      <c r="K1028" s="26">
        <v>20.0</v>
      </c>
      <c r="L1028" s="26" t="s">
        <v>858</v>
      </c>
      <c r="M1028" s="26" t="s">
        <v>449</v>
      </c>
      <c r="N1028" s="26" t="s">
        <v>691</v>
      </c>
    </row>
    <row r="1029">
      <c r="A1029" s="25">
        <v>43281.94500157407</v>
      </c>
      <c r="B1029" s="26" t="s">
        <v>80</v>
      </c>
      <c r="C1029" s="26" t="s">
        <v>73</v>
      </c>
      <c r="D1029" s="26" t="s">
        <v>31</v>
      </c>
      <c r="E1029" s="26">
        <v>284.0</v>
      </c>
      <c r="F1029" s="26" t="s">
        <v>47</v>
      </c>
      <c r="G1029" s="26">
        <v>3.0</v>
      </c>
      <c r="H1029" s="26">
        <v>3.0</v>
      </c>
      <c r="I1029" s="26">
        <v>160.0</v>
      </c>
      <c r="J1029" s="26">
        <v>400.0</v>
      </c>
      <c r="K1029" s="26">
        <v>24.0</v>
      </c>
      <c r="M1029" s="26" t="s">
        <v>449</v>
      </c>
      <c r="N1029" s="26" t="s">
        <v>859</v>
      </c>
    </row>
    <row r="1030">
      <c r="A1030" s="25">
        <v>43281.9800046412</v>
      </c>
      <c r="B1030" s="26" t="s">
        <v>268</v>
      </c>
      <c r="C1030" s="26" t="s">
        <v>572</v>
      </c>
      <c r="D1030" s="26" t="s">
        <v>31</v>
      </c>
      <c r="E1030" s="26">
        <v>120.0</v>
      </c>
      <c r="F1030" s="26" t="s">
        <v>641</v>
      </c>
      <c r="G1030" s="26">
        <v>5.0</v>
      </c>
      <c r="H1030" s="26">
        <v>1.0</v>
      </c>
      <c r="I1030" s="26">
        <v>105.0</v>
      </c>
      <c r="J1030" s="26">
        <v>5.0</v>
      </c>
      <c r="K1030" s="26">
        <v>10.0</v>
      </c>
      <c r="M1030" s="26" t="s">
        <v>449</v>
      </c>
      <c r="N1030" s="26" t="s">
        <v>704</v>
      </c>
    </row>
    <row r="1031">
      <c r="A1031" s="25">
        <v>43282.02323474537</v>
      </c>
      <c r="B1031" s="26" t="s">
        <v>170</v>
      </c>
      <c r="C1031" s="26">
        <v>8.0</v>
      </c>
      <c r="D1031" s="26" t="s">
        <v>31</v>
      </c>
      <c r="E1031" s="26">
        <v>180.0</v>
      </c>
      <c r="F1031" s="26" t="s">
        <v>860</v>
      </c>
      <c r="G1031" s="26">
        <v>18.0</v>
      </c>
      <c r="H1031" s="26">
        <v>15.0</v>
      </c>
      <c r="I1031" s="26">
        <v>130.0</v>
      </c>
      <c r="J1031" s="26">
        <v>20.0</v>
      </c>
      <c r="K1031" s="26">
        <v>30.0</v>
      </c>
      <c r="M1031" s="26" t="s">
        <v>449</v>
      </c>
      <c r="N1031" s="26" t="s">
        <v>715</v>
      </c>
    </row>
    <row r="1032">
      <c r="A1032" s="25">
        <v>43282.16441266204</v>
      </c>
      <c r="B1032" s="26" t="s">
        <v>538</v>
      </c>
      <c r="C1032" s="26" t="s">
        <v>861</v>
      </c>
      <c r="D1032" s="26" t="s">
        <v>31</v>
      </c>
      <c r="E1032" s="26">
        <v>25.0</v>
      </c>
      <c r="F1032" s="26" t="s">
        <v>681</v>
      </c>
      <c r="G1032" s="26">
        <v>2.0</v>
      </c>
      <c r="H1032" s="26">
        <v>1.0</v>
      </c>
      <c r="I1032" s="26">
        <v>23.0</v>
      </c>
      <c r="K1032" s="26">
        <v>2.0</v>
      </c>
      <c r="M1032" s="26" t="s">
        <v>449</v>
      </c>
      <c r="N1032" s="26" t="s">
        <v>708</v>
      </c>
    </row>
    <row r="1033">
      <c r="A1033" s="25">
        <v>43282.31837988426</v>
      </c>
      <c r="B1033" s="26" t="s">
        <v>40</v>
      </c>
      <c r="C1033" s="26">
        <v>61.0</v>
      </c>
      <c r="D1033" s="26" t="s">
        <v>31</v>
      </c>
      <c r="E1033" s="26">
        <v>144.0</v>
      </c>
      <c r="F1033" s="26" t="s">
        <v>75</v>
      </c>
      <c r="G1033" s="26">
        <v>2.0</v>
      </c>
      <c r="H1033" s="26">
        <v>2.0</v>
      </c>
      <c r="I1033" s="26">
        <v>122000.0</v>
      </c>
      <c r="J1033" s="26">
        <v>25000.0</v>
      </c>
      <c r="K1033" s="26">
        <v>25000.0</v>
      </c>
      <c r="M1033" s="26" t="s">
        <v>449</v>
      </c>
      <c r="N1033" s="26" t="s">
        <v>704</v>
      </c>
    </row>
    <row r="1034">
      <c r="A1034" s="25">
        <v>43282.384615312505</v>
      </c>
      <c r="B1034" s="26" t="s">
        <v>80</v>
      </c>
      <c r="C1034" s="26" t="s">
        <v>179</v>
      </c>
      <c r="D1034" s="26" t="s">
        <v>31</v>
      </c>
      <c r="E1034" s="26">
        <v>185.0</v>
      </c>
      <c r="F1034" s="26" t="s">
        <v>35</v>
      </c>
      <c r="G1034" s="26">
        <v>1.5</v>
      </c>
      <c r="H1034" s="26">
        <v>0.0</v>
      </c>
      <c r="I1034" s="26">
        <v>118.0</v>
      </c>
      <c r="J1034" s="26">
        <v>50.0</v>
      </c>
      <c r="K1034" s="26">
        <v>17.0</v>
      </c>
      <c r="M1034" s="26" t="s">
        <v>449</v>
      </c>
      <c r="N1034" s="26" t="s">
        <v>685</v>
      </c>
    </row>
    <row r="1035">
      <c r="A1035" s="25">
        <v>43282.51284091435</v>
      </c>
      <c r="B1035" s="26" t="s">
        <v>80</v>
      </c>
      <c r="C1035" s="26" t="s">
        <v>26</v>
      </c>
      <c r="D1035" s="26" t="s">
        <v>31</v>
      </c>
      <c r="E1035" s="26">
        <v>207.0</v>
      </c>
      <c r="F1035" s="26" t="s">
        <v>108</v>
      </c>
      <c r="G1035" s="26">
        <v>2.5</v>
      </c>
      <c r="H1035" s="26">
        <v>0.0</v>
      </c>
      <c r="I1035" s="26">
        <v>131000.0</v>
      </c>
      <c r="J1035" s="26">
        <v>225000.0</v>
      </c>
      <c r="K1035" s="26">
        <v>19650.0</v>
      </c>
      <c r="M1035" s="26" t="s">
        <v>449</v>
      </c>
      <c r="N1035" s="26" t="s">
        <v>683</v>
      </c>
    </row>
    <row r="1036">
      <c r="A1036" s="25">
        <v>43282.51976894676</v>
      </c>
      <c r="B1036" s="26" t="s">
        <v>80</v>
      </c>
      <c r="C1036" s="26" t="s">
        <v>26</v>
      </c>
      <c r="D1036" s="26" t="s">
        <v>31</v>
      </c>
      <c r="E1036" s="26">
        <v>237.0</v>
      </c>
      <c r="F1036" s="26" t="s">
        <v>51</v>
      </c>
      <c r="G1036" s="26">
        <v>1.0</v>
      </c>
      <c r="H1036" s="26">
        <v>1.0</v>
      </c>
      <c r="N1036" s="26" t="s">
        <v>691</v>
      </c>
    </row>
    <row r="1037">
      <c r="A1037" s="25">
        <v>43282.54549240741</v>
      </c>
      <c r="B1037" s="26" t="s">
        <v>80</v>
      </c>
      <c r="C1037" s="26" t="s">
        <v>73</v>
      </c>
      <c r="D1037" s="26" t="s">
        <v>31</v>
      </c>
      <c r="E1037" s="26">
        <v>400.0</v>
      </c>
      <c r="F1037" s="26" t="s">
        <v>199</v>
      </c>
      <c r="G1037" s="26">
        <v>6.0</v>
      </c>
      <c r="H1037" s="26">
        <v>3.0</v>
      </c>
      <c r="I1037" s="26">
        <v>160.0</v>
      </c>
      <c r="J1037" s="26">
        <v>205.0</v>
      </c>
      <c r="K1037" s="26">
        <v>35.0</v>
      </c>
      <c r="M1037" s="26" t="s">
        <v>449</v>
      </c>
      <c r="N1037" s="26" t="s">
        <v>704</v>
      </c>
    </row>
    <row r="1038">
      <c r="A1038" s="25">
        <v>43282.55864982639</v>
      </c>
      <c r="B1038" s="26" t="s">
        <v>173</v>
      </c>
      <c r="C1038" s="26" t="s">
        <v>862</v>
      </c>
      <c r="D1038" s="26" t="s">
        <v>31</v>
      </c>
      <c r="E1038" s="26">
        <v>175.0</v>
      </c>
      <c r="F1038" s="26" t="s">
        <v>654</v>
      </c>
      <c r="G1038" s="26">
        <v>7.0</v>
      </c>
      <c r="H1038" s="26">
        <v>4.0</v>
      </c>
      <c r="I1038" s="26">
        <v>150.0</v>
      </c>
      <c r="K1038" s="26">
        <v>25.0</v>
      </c>
      <c r="L1038" s="26" t="s">
        <v>863</v>
      </c>
      <c r="M1038" s="26" t="s">
        <v>449</v>
      </c>
      <c r="N1038" s="26" t="s">
        <v>685</v>
      </c>
    </row>
    <row r="1039">
      <c r="A1039" s="25">
        <v>43282.56769394676</v>
      </c>
      <c r="B1039" s="26" t="s">
        <v>170</v>
      </c>
      <c r="C1039" s="26" t="s">
        <v>864</v>
      </c>
      <c r="D1039" s="26" t="s">
        <v>31</v>
      </c>
      <c r="E1039" s="26">
        <v>105.0</v>
      </c>
      <c r="F1039" s="26" t="s">
        <v>865</v>
      </c>
      <c r="G1039" s="26">
        <v>2.0</v>
      </c>
      <c r="H1039" s="26">
        <v>2.0</v>
      </c>
      <c r="I1039" s="26">
        <v>90000.0</v>
      </c>
      <c r="J1039" s="26">
        <v>3000.0</v>
      </c>
      <c r="K1039" s="26">
        <v>7000.0</v>
      </c>
      <c r="M1039" s="26" t="s">
        <v>449</v>
      </c>
      <c r="N1039" s="26" t="s">
        <v>866</v>
      </c>
    </row>
    <row r="1040">
      <c r="A1040" s="25">
        <v>43282.724566261575</v>
      </c>
      <c r="B1040" s="26" t="s">
        <v>33</v>
      </c>
      <c r="C1040" s="26" t="s">
        <v>73</v>
      </c>
      <c r="D1040" s="26" t="s">
        <v>31</v>
      </c>
      <c r="E1040" s="26">
        <v>144.0</v>
      </c>
      <c r="F1040" s="26" t="s">
        <v>161</v>
      </c>
      <c r="G1040" s="26">
        <v>3.0</v>
      </c>
      <c r="H1040" s="26">
        <v>1.5</v>
      </c>
      <c r="I1040" s="26">
        <v>110000.0</v>
      </c>
      <c r="K1040" s="26">
        <v>26000.0</v>
      </c>
      <c r="M1040" s="26" t="s">
        <v>449</v>
      </c>
      <c r="N1040" s="26" t="s">
        <v>704</v>
      </c>
    </row>
    <row r="1041">
      <c r="A1041" s="25">
        <v>43282.76424582176</v>
      </c>
      <c r="B1041" s="26" t="s">
        <v>509</v>
      </c>
      <c r="C1041" s="26" t="s">
        <v>43</v>
      </c>
      <c r="D1041" s="26" t="s">
        <v>41</v>
      </c>
      <c r="E1041" s="26">
        <v>192.0</v>
      </c>
      <c r="F1041" s="26" t="s">
        <v>247</v>
      </c>
      <c r="G1041" s="26">
        <v>10.0</v>
      </c>
      <c r="H1041" s="26">
        <v>1.0</v>
      </c>
      <c r="I1041" s="26">
        <v>192.0</v>
      </c>
      <c r="J1041" s="26">
        <v>450.0</v>
      </c>
      <c r="M1041" s="26" t="s">
        <v>449</v>
      </c>
      <c r="N1041" s="26" t="s">
        <v>683</v>
      </c>
    </row>
    <row r="1042">
      <c r="A1042" s="25">
        <v>43282.779571736115</v>
      </c>
      <c r="B1042" s="26" t="s">
        <v>33</v>
      </c>
      <c r="C1042" s="26" t="s">
        <v>43</v>
      </c>
      <c r="D1042" s="26" t="s">
        <v>31</v>
      </c>
      <c r="E1042" s="26">
        <v>310.0</v>
      </c>
      <c r="F1042" s="26" t="s">
        <v>35</v>
      </c>
      <c r="G1042" s="26">
        <v>8.0</v>
      </c>
      <c r="H1042" s="26">
        <v>3.0</v>
      </c>
      <c r="I1042" s="26">
        <v>146.0</v>
      </c>
      <c r="J1042" s="26">
        <v>164.0</v>
      </c>
      <c r="M1042" s="26" t="s">
        <v>449</v>
      </c>
      <c r="N1042" s="26" t="s">
        <v>685</v>
      </c>
    </row>
    <row r="1043">
      <c r="A1043" s="25">
        <v>43282.82537633102</v>
      </c>
      <c r="B1043" s="26" t="s">
        <v>40</v>
      </c>
      <c r="C1043" s="26">
        <v>63.0</v>
      </c>
      <c r="D1043" s="26" t="s">
        <v>27</v>
      </c>
      <c r="E1043" s="26">
        <v>185.0</v>
      </c>
      <c r="F1043" s="26" t="s">
        <v>35</v>
      </c>
      <c r="G1043" s="26">
        <v>5.0</v>
      </c>
      <c r="H1043" s="26">
        <v>5.0</v>
      </c>
      <c r="I1043" s="26">
        <v>148000.0</v>
      </c>
      <c r="J1043" s="26">
        <v>15000.0</v>
      </c>
      <c r="K1043" s="26">
        <v>22000.0</v>
      </c>
      <c r="M1043" s="26" t="s">
        <v>449</v>
      </c>
    </row>
    <row r="1044">
      <c r="A1044" s="25">
        <v>43282.85668030093</v>
      </c>
      <c r="B1044" s="26" t="s">
        <v>80</v>
      </c>
      <c r="C1044" s="26" t="s">
        <v>26</v>
      </c>
      <c r="D1044" s="26" t="s">
        <v>31</v>
      </c>
      <c r="E1044" s="26">
        <v>222.0</v>
      </c>
      <c r="F1044" s="26" t="s">
        <v>199</v>
      </c>
      <c r="G1044" s="26">
        <v>2.0</v>
      </c>
      <c r="H1044" s="26">
        <v>0.0</v>
      </c>
      <c r="I1044" s="26">
        <v>140.0</v>
      </c>
      <c r="J1044" s="26">
        <v>61.0</v>
      </c>
      <c r="K1044" s="26">
        <v>21.0</v>
      </c>
      <c r="M1044" s="26" t="s">
        <v>449</v>
      </c>
      <c r="N1044" s="26" t="s">
        <v>699</v>
      </c>
    </row>
    <row r="1045">
      <c r="A1045" s="25">
        <v>43283.73338333333</v>
      </c>
      <c r="B1045" s="26" t="s">
        <v>25</v>
      </c>
      <c r="C1045" s="26" t="s">
        <v>184</v>
      </c>
      <c r="D1045" s="26" t="s">
        <v>31</v>
      </c>
      <c r="E1045" s="26">
        <v>217.5</v>
      </c>
      <c r="F1045" s="26" t="s">
        <v>232</v>
      </c>
      <c r="G1045" s="26">
        <v>6.0</v>
      </c>
      <c r="H1045" s="26">
        <v>2.0</v>
      </c>
      <c r="I1045" s="26">
        <v>155000.0</v>
      </c>
      <c r="J1045" s="26">
        <v>62500.0</v>
      </c>
      <c r="M1045" s="26" t="s">
        <v>449</v>
      </c>
      <c r="N1045" s="26" t="s">
        <v>685</v>
      </c>
    </row>
    <row r="1046">
      <c r="A1046" s="25">
        <v>43283.78826256945</v>
      </c>
      <c r="B1046" s="26" t="s">
        <v>867</v>
      </c>
      <c r="C1046" s="26" t="s">
        <v>73</v>
      </c>
      <c r="D1046" s="26" t="s">
        <v>31</v>
      </c>
      <c r="E1046" s="26">
        <v>170.0</v>
      </c>
      <c r="F1046" s="26" t="s">
        <v>32</v>
      </c>
      <c r="G1046" s="26">
        <v>7.0</v>
      </c>
      <c r="H1046" s="26">
        <v>7.0</v>
      </c>
      <c r="I1046" s="26">
        <v>140.0</v>
      </c>
      <c r="J1046" s="26">
        <v>10.0</v>
      </c>
      <c r="K1046" s="26">
        <v>25.0</v>
      </c>
      <c r="L1046" s="26" t="s">
        <v>868</v>
      </c>
      <c r="M1046" s="26" t="s">
        <v>449</v>
      </c>
      <c r="N1046" s="26" t="s">
        <v>869</v>
      </c>
    </row>
    <row r="1047">
      <c r="A1047" s="25">
        <v>43283.966473981476</v>
      </c>
      <c r="B1047" s="26" t="s">
        <v>40</v>
      </c>
      <c r="C1047" s="26">
        <v>65.0</v>
      </c>
      <c r="D1047" s="26" t="s">
        <v>41</v>
      </c>
      <c r="E1047" s="26">
        <v>440.0</v>
      </c>
      <c r="F1047" s="26" t="s">
        <v>35</v>
      </c>
      <c r="G1047" s="26">
        <v>20.0</v>
      </c>
      <c r="H1047" s="26">
        <v>0.0</v>
      </c>
      <c r="I1047" s="26">
        <v>200.0</v>
      </c>
      <c r="J1047" s="26">
        <v>350.0</v>
      </c>
      <c r="K1047" s="26">
        <v>150.0</v>
      </c>
      <c r="N1047" s="26" t="s">
        <v>685</v>
      </c>
    </row>
    <row r="1048">
      <c r="A1048" s="25">
        <v>43284.289395520835</v>
      </c>
      <c r="B1048" s="26" t="s">
        <v>40</v>
      </c>
      <c r="C1048" s="26">
        <v>62.0</v>
      </c>
      <c r="D1048" s="26" t="s">
        <v>31</v>
      </c>
      <c r="E1048" s="26">
        <v>188.0</v>
      </c>
      <c r="F1048" s="26" t="s">
        <v>870</v>
      </c>
      <c r="G1048" s="26">
        <v>8.0</v>
      </c>
      <c r="H1048" s="26">
        <v>1.0</v>
      </c>
      <c r="I1048" s="26">
        <v>143000.0</v>
      </c>
      <c r="J1048" s="26">
        <v>25000.0</v>
      </c>
      <c r="K1048" s="26">
        <v>20000.0</v>
      </c>
      <c r="M1048" s="26" t="s">
        <v>449</v>
      </c>
      <c r="N1048" s="26" t="s">
        <v>726</v>
      </c>
    </row>
    <row r="1049">
      <c r="A1049" s="25">
        <v>43284.319351701386</v>
      </c>
      <c r="B1049" s="26" t="s">
        <v>871</v>
      </c>
      <c r="C1049" s="26" t="s">
        <v>96</v>
      </c>
      <c r="D1049" s="26" t="s">
        <v>31</v>
      </c>
      <c r="E1049" s="26">
        <v>90.0</v>
      </c>
      <c r="F1049" s="26" t="s">
        <v>872</v>
      </c>
      <c r="G1049" s="26">
        <v>7.0</v>
      </c>
      <c r="H1049" s="26">
        <v>2.0</v>
      </c>
      <c r="M1049" s="26" t="s">
        <v>449</v>
      </c>
      <c r="N1049" s="26" t="s">
        <v>704</v>
      </c>
    </row>
    <row r="1050">
      <c r="A1050" s="25">
        <v>43284.488254641205</v>
      </c>
      <c r="B1050" s="26" t="s">
        <v>40</v>
      </c>
      <c r="C1050" s="26">
        <v>62.0</v>
      </c>
      <c r="D1050" s="26" t="s">
        <v>31</v>
      </c>
      <c r="E1050" s="26">
        <v>160.0</v>
      </c>
      <c r="F1050" s="26" t="s">
        <v>75</v>
      </c>
      <c r="G1050" s="26">
        <v>6.0</v>
      </c>
      <c r="H1050" s="26">
        <v>3.0</v>
      </c>
      <c r="I1050" s="26">
        <v>130.0</v>
      </c>
      <c r="J1050" s="26">
        <v>20.0</v>
      </c>
      <c r="K1050" s="26">
        <v>10.0</v>
      </c>
      <c r="M1050" s="26" t="s">
        <v>449</v>
      </c>
      <c r="N1050" s="26" t="s">
        <v>683</v>
      </c>
    </row>
    <row r="1051">
      <c r="A1051" s="25">
        <v>43284.50688325231</v>
      </c>
      <c r="B1051" s="26" t="s">
        <v>873</v>
      </c>
      <c r="C1051" s="26" t="s">
        <v>37</v>
      </c>
      <c r="D1051" s="26" t="s">
        <v>31</v>
      </c>
      <c r="E1051" s="26">
        <v>225.0</v>
      </c>
      <c r="F1051" s="26" t="s">
        <v>602</v>
      </c>
      <c r="G1051" s="26">
        <v>10.0</v>
      </c>
      <c r="H1051" s="26">
        <v>1.0</v>
      </c>
      <c r="I1051" s="26">
        <v>225.0</v>
      </c>
      <c r="J1051" s="26">
        <v>300.0</v>
      </c>
      <c r="M1051" s="26" t="s">
        <v>458</v>
      </c>
      <c r="N1051" s="26" t="s">
        <v>696</v>
      </c>
    </row>
    <row r="1052">
      <c r="A1052" s="25">
        <v>43284.79918552084</v>
      </c>
      <c r="B1052" s="26" t="s">
        <v>874</v>
      </c>
      <c r="C1052" s="26" t="s">
        <v>504</v>
      </c>
      <c r="D1052" s="26" t="s">
        <v>27</v>
      </c>
      <c r="E1052" s="26">
        <v>190.0</v>
      </c>
      <c r="F1052" s="26" t="s">
        <v>32</v>
      </c>
      <c r="G1052" s="26">
        <v>5.0</v>
      </c>
      <c r="H1052" s="26">
        <v>5.0</v>
      </c>
      <c r="I1052" s="26">
        <v>133000.0</v>
      </c>
      <c r="J1052" s="26">
        <v>40000.0</v>
      </c>
      <c r="K1052" s="26">
        <v>15960.0</v>
      </c>
      <c r="M1052" s="26" t="s">
        <v>449</v>
      </c>
    </row>
    <row r="1053">
      <c r="A1053" s="25">
        <v>43285.00683773148</v>
      </c>
      <c r="B1053" s="26" t="s">
        <v>33</v>
      </c>
      <c r="C1053" s="26" t="s">
        <v>76</v>
      </c>
      <c r="D1053" s="26" t="s">
        <v>31</v>
      </c>
      <c r="E1053" s="26">
        <v>190.0</v>
      </c>
      <c r="F1053" s="26" t="s">
        <v>875</v>
      </c>
      <c r="G1053" s="26">
        <v>13.0</v>
      </c>
      <c r="H1053" s="26">
        <v>2.0</v>
      </c>
      <c r="I1053" s="26">
        <v>140000.0</v>
      </c>
      <c r="J1053" s="26">
        <v>31000.0</v>
      </c>
      <c r="K1053" s="26">
        <v>15000.0</v>
      </c>
      <c r="M1053" s="26" t="s">
        <v>449</v>
      </c>
      <c r="N1053" s="26" t="s">
        <v>685</v>
      </c>
    </row>
    <row r="1054">
      <c r="A1054" s="25">
        <v>43285.4025324074</v>
      </c>
      <c r="B1054" s="26" t="s">
        <v>80</v>
      </c>
      <c r="C1054" s="26" t="s">
        <v>73</v>
      </c>
      <c r="D1054" s="26" t="s">
        <v>31</v>
      </c>
      <c r="E1054" s="26">
        <v>283.0</v>
      </c>
      <c r="F1054" s="26" t="s">
        <v>134</v>
      </c>
      <c r="G1054" s="26">
        <v>5.0</v>
      </c>
      <c r="H1054" s="26">
        <v>1.0</v>
      </c>
      <c r="I1054" s="26">
        <v>170.0</v>
      </c>
      <c r="J1054" s="26">
        <v>350.0</v>
      </c>
      <c r="K1054" s="26">
        <v>25.0</v>
      </c>
      <c r="M1054" s="26" t="s">
        <v>449</v>
      </c>
      <c r="N1054" s="26" t="s">
        <v>696</v>
      </c>
    </row>
    <row r="1055">
      <c r="A1055" s="25">
        <v>43285.421309212965</v>
      </c>
      <c r="B1055" s="26" t="s">
        <v>876</v>
      </c>
      <c r="C1055" s="26" t="s">
        <v>877</v>
      </c>
      <c r="D1055" s="26" t="s">
        <v>41</v>
      </c>
      <c r="E1055" s="26">
        <v>145.0</v>
      </c>
      <c r="F1055" s="26" t="s">
        <v>878</v>
      </c>
      <c r="G1055" s="26">
        <v>20.0</v>
      </c>
      <c r="H1055" s="26">
        <v>20.0</v>
      </c>
      <c r="I1055" s="26">
        <v>140000.0</v>
      </c>
      <c r="K1055" s="26">
        <v>5000.0</v>
      </c>
      <c r="M1055" s="26" t="s">
        <v>449</v>
      </c>
      <c r="N1055" s="26" t="s">
        <v>879</v>
      </c>
    </row>
    <row r="1056">
      <c r="A1056" s="25">
        <v>43285.5653871875</v>
      </c>
      <c r="B1056" s="26" t="s">
        <v>880</v>
      </c>
      <c r="C1056" s="26" t="s">
        <v>117</v>
      </c>
      <c r="D1056" s="26" t="s">
        <v>31</v>
      </c>
      <c r="E1056" s="26">
        <v>178.0</v>
      </c>
      <c r="F1056" s="26" t="s">
        <v>175</v>
      </c>
      <c r="G1056" s="26">
        <v>3.0</v>
      </c>
      <c r="H1056" s="26">
        <v>3.0</v>
      </c>
      <c r="I1056" s="26">
        <v>115.0</v>
      </c>
      <c r="J1056" s="26">
        <v>50.0</v>
      </c>
      <c r="K1056" s="26">
        <v>13.0</v>
      </c>
      <c r="M1056" s="26" t="s">
        <v>449</v>
      </c>
      <c r="N1056" s="26" t="s">
        <v>685</v>
      </c>
    </row>
    <row r="1057">
      <c r="A1057" s="25">
        <v>43285.56660994213</v>
      </c>
      <c r="B1057" s="26" t="s">
        <v>880</v>
      </c>
      <c r="C1057" s="26" t="s">
        <v>184</v>
      </c>
      <c r="D1057" s="26" t="s">
        <v>31</v>
      </c>
      <c r="E1057" s="26">
        <v>265.0</v>
      </c>
      <c r="F1057" s="26" t="s">
        <v>236</v>
      </c>
      <c r="G1057" s="26">
        <v>5.0</v>
      </c>
      <c r="H1057" s="26">
        <v>3.0</v>
      </c>
      <c r="I1057" s="26">
        <v>140.0</v>
      </c>
      <c r="J1057" s="26">
        <v>100.0</v>
      </c>
      <c r="K1057" s="26">
        <v>15.0</v>
      </c>
      <c r="M1057" s="26" t="s">
        <v>449</v>
      </c>
      <c r="N1057" s="26" t="s">
        <v>685</v>
      </c>
    </row>
    <row r="1058">
      <c r="A1058" s="25">
        <v>43285.567607731486</v>
      </c>
      <c r="B1058" s="26" t="s">
        <v>880</v>
      </c>
      <c r="C1058" s="26" t="s">
        <v>78</v>
      </c>
      <c r="D1058" s="26" t="s">
        <v>31</v>
      </c>
      <c r="E1058" s="26">
        <v>310.0</v>
      </c>
      <c r="F1058" s="26" t="s">
        <v>175</v>
      </c>
      <c r="G1058" s="26">
        <v>9.0</v>
      </c>
      <c r="H1058" s="26">
        <v>3.0</v>
      </c>
      <c r="I1058" s="26">
        <v>165.0</v>
      </c>
      <c r="J1058" s="26">
        <v>120.0</v>
      </c>
      <c r="K1058" s="26">
        <v>25.0</v>
      </c>
      <c r="M1058" s="26" t="s">
        <v>449</v>
      </c>
      <c r="N1058" s="26" t="s">
        <v>685</v>
      </c>
    </row>
    <row r="1059">
      <c r="A1059" s="25">
        <v>43285.78627070602</v>
      </c>
      <c r="B1059" s="26" t="s">
        <v>40</v>
      </c>
      <c r="C1059" s="26">
        <v>64.0</v>
      </c>
      <c r="D1059" s="26" t="s">
        <v>31</v>
      </c>
      <c r="E1059" s="26">
        <v>228.0</v>
      </c>
      <c r="F1059" s="26" t="s">
        <v>47</v>
      </c>
      <c r="G1059" s="26">
        <v>11.0</v>
      </c>
      <c r="H1059" s="26">
        <v>6.0</v>
      </c>
      <c r="I1059" s="26">
        <v>178.0</v>
      </c>
      <c r="J1059" s="26">
        <v>30.0</v>
      </c>
      <c r="K1059" s="26">
        <v>30.0</v>
      </c>
      <c r="M1059" s="26" t="s">
        <v>449</v>
      </c>
      <c r="N1059" s="26" t="s">
        <v>699</v>
      </c>
    </row>
    <row r="1060">
      <c r="A1060" s="25">
        <v>43285.92517011574</v>
      </c>
      <c r="B1060" s="26" t="s">
        <v>40</v>
      </c>
      <c r="C1060" s="26" t="s">
        <v>818</v>
      </c>
      <c r="D1060" s="26" t="s">
        <v>31</v>
      </c>
      <c r="E1060" s="26">
        <v>152.5</v>
      </c>
      <c r="F1060" s="26" t="s">
        <v>63</v>
      </c>
      <c r="G1060" s="26">
        <v>1.0</v>
      </c>
      <c r="H1060" s="26">
        <v>0.0</v>
      </c>
      <c r="I1060" s="26">
        <v>125000.0</v>
      </c>
      <c r="J1060" s="26">
        <v>30000.0</v>
      </c>
      <c r="K1060" s="26">
        <v>20000.0</v>
      </c>
      <c r="M1060" s="26" t="s">
        <v>449</v>
      </c>
      <c r="N1060" s="26" t="s">
        <v>704</v>
      </c>
    </row>
    <row r="1061">
      <c r="A1061" s="25">
        <v>43286.55945648148</v>
      </c>
      <c r="B1061" s="26" t="s">
        <v>319</v>
      </c>
      <c r="C1061" s="26" t="s">
        <v>881</v>
      </c>
      <c r="D1061" s="26" t="s">
        <v>31</v>
      </c>
      <c r="E1061" s="26">
        <v>225.0</v>
      </c>
      <c r="F1061" s="26" t="s">
        <v>882</v>
      </c>
      <c r="G1061" s="26">
        <v>21.0</v>
      </c>
      <c r="H1061" s="26">
        <v>21.0</v>
      </c>
      <c r="I1061" s="26">
        <v>210.0</v>
      </c>
      <c r="J1061" s="26">
        <v>10.0</v>
      </c>
      <c r="K1061" s="26">
        <v>5.0</v>
      </c>
      <c r="M1061" s="26" t="s">
        <v>449</v>
      </c>
    </row>
    <row r="1062">
      <c r="A1062" s="25">
        <v>43286.57198119213</v>
      </c>
      <c r="B1062" s="26" t="s">
        <v>48</v>
      </c>
      <c r="C1062" s="26" t="s">
        <v>113</v>
      </c>
      <c r="D1062" s="26" t="s">
        <v>711</v>
      </c>
      <c r="E1062" s="26">
        <v>225.0</v>
      </c>
      <c r="F1062" s="26" t="s">
        <v>50</v>
      </c>
      <c r="G1062" s="26">
        <v>11.0</v>
      </c>
      <c r="H1062" s="26">
        <v>6.0</v>
      </c>
      <c r="I1062" s="26">
        <v>155.0</v>
      </c>
    </row>
    <row r="1063">
      <c r="A1063" s="25">
        <v>43286.69829619213</v>
      </c>
      <c r="B1063" s="26" t="s">
        <v>80</v>
      </c>
      <c r="C1063" s="26" t="s">
        <v>73</v>
      </c>
      <c r="D1063" s="26" t="s">
        <v>31</v>
      </c>
      <c r="E1063" s="26">
        <v>240.0</v>
      </c>
      <c r="F1063" s="26" t="s">
        <v>178</v>
      </c>
      <c r="G1063" s="26">
        <v>8.0</v>
      </c>
      <c r="H1063" s="26">
        <v>0.0</v>
      </c>
      <c r="I1063" s="26">
        <v>133000.0</v>
      </c>
      <c r="J1063" s="26">
        <v>350000.0</v>
      </c>
      <c r="K1063" s="26">
        <v>20000.0</v>
      </c>
      <c r="M1063" s="26" t="s">
        <v>449</v>
      </c>
      <c r="N1063" s="26" t="s">
        <v>685</v>
      </c>
    </row>
    <row r="1064">
      <c r="A1064" s="25">
        <v>43286.74656078704</v>
      </c>
      <c r="B1064" s="26" t="s">
        <v>36</v>
      </c>
      <c r="C1064" s="26" t="s">
        <v>883</v>
      </c>
      <c r="D1064" s="26" t="s">
        <v>31</v>
      </c>
      <c r="E1064" s="26">
        <v>215.0</v>
      </c>
      <c r="F1064" s="26" t="s">
        <v>94</v>
      </c>
      <c r="G1064" s="26">
        <v>4.0</v>
      </c>
      <c r="H1064" s="26">
        <v>0.5</v>
      </c>
      <c r="I1064" s="26">
        <v>131000.0</v>
      </c>
      <c r="J1064" s="26">
        <v>75000.0</v>
      </c>
      <c r="K1064" s="26">
        <v>17000.0</v>
      </c>
      <c r="M1064" s="26" t="s">
        <v>449</v>
      </c>
      <c r="N1064" s="26" t="s">
        <v>683</v>
      </c>
    </row>
    <row r="1065">
      <c r="A1065" s="25">
        <v>43286.851021574075</v>
      </c>
      <c r="B1065" s="26" t="s">
        <v>146</v>
      </c>
      <c r="C1065" s="26" t="s">
        <v>125</v>
      </c>
      <c r="D1065" s="26" t="s">
        <v>31</v>
      </c>
      <c r="E1065" s="26">
        <v>500.0</v>
      </c>
      <c r="F1065" s="26" t="s">
        <v>51</v>
      </c>
      <c r="G1065" s="26">
        <v>6.0</v>
      </c>
      <c r="H1065" s="26">
        <v>6.0</v>
      </c>
      <c r="I1065" s="26">
        <v>200.0</v>
      </c>
      <c r="J1065" s="26">
        <v>250.0</v>
      </c>
      <c r="K1065" s="26">
        <v>50.0</v>
      </c>
      <c r="M1065" s="26" t="s">
        <v>449</v>
      </c>
      <c r="N1065" s="26" t="s">
        <v>685</v>
      </c>
    </row>
    <row r="1066">
      <c r="A1066" s="25">
        <v>43287.060793599536</v>
      </c>
      <c r="B1066" s="26" t="s">
        <v>884</v>
      </c>
      <c r="C1066" s="26" t="s">
        <v>885</v>
      </c>
      <c r="D1066" s="26" t="s">
        <v>31</v>
      </c>
      <c r="E1066" s="26">
        <v>160.0</v>
      </c>
      <c r="F1066" s="26" t="s">
        <v>886</v>
      </c>
      <c r="G1066" s="26">
        <v>10.0</v>
      </c>
      <c r="H1066" s="26">
        <v>10.0</v>
      </c>
      <c r="I1066" s="26">
        <v>133.0</v>
      </c>
      <c r="J1066" s="26">
        <v>15.0</v>
      </c>
      <c r="K1066" s="26">
        <v>12.0</v>
      </c>
      <c r="M1066" s="26" t="s">
        <v>449</v>
      </c>
      <c r="N1066" s="26" t="s">
        <v>687</v>
      </c>
    </row>
    <row r="1067">
      <c r="A1067" s="25">
        <v>43287.1983140625</v>
      </c>
      <c r="B1067" s="26" t="s">
        <v>887</v>
      </c>
      <c r="C1067" s="26" t="s">
        <v>306</v>
      </c>
      <c r="D1067" s="26" t="s">
        <v>711</v>
      </c>
      <c r="E1067" s="26">
        <v>125.0</v>
      </c>
      <c r="F1067" s="26" t="s">
        <v>489</v>
      </c>
      <c r="G1067" s="26">
        <v>1.0</v>
      </c>
      <c r="H1067" s="26">
        <v>3.0</v>
      </c>
      <c r="I1067" s="26">
        <v>100000.0</v>
      </c>
      <c r="K1067" s="26">
        <v>25000.0</v>
      </c>
      <c r="L1067" s="26" t="s">
        <v>888</v>
      </c>
      <c r="M1067" s="26" t="s">
        <v>458</v>
      </c>
      <c r="N1067" s="26" t="s">
        <v>691</v>
      </c>
    </row>
    <row r="1068">
      <c r="A1068" s="25">
        <v>43287.19942614583</v>
      </c>
      <c r="B1068" s="26" t="s">
        <v>887</v>
      </c>
      <c r="C1068" s="26" t="s">
        <v>716</v>
      </c>
      <c r="D1068" s="26" t="s">
        <v>711</v>
      </c>
      <c r="E1068" s="26">
        <v>80.0</v>
      </c>
      <c r="F1068" s="26" t="s">
        <v>889</v>
      </c>
      <c r="G1068" s="26">
        <v>3.0</v>
      </c>
      <c r="H1068" s="26">
        <v>3.0</v>
      </c>
      <c r="I1068" s="26">
        <v>80000.0</v>
      </c>
      <c r="L1068" s="26" t="s">
        <v>890</v>
      </c>
      <c r="M1068" s="26" t="s">
        <v>458</v>
      </c>
      <c r="N1068" s="26" t="s">
        <v>691</v>
      </c>
    </row>
    <row r="1069">
      <c r="A1069" s="25">
        <v>43287.385321828704</v>
      </c>
      <c r="B1069" s="26" t="s">
        <v>371</v>
      </c>
      <c r="C1069" s="26" t="s">
        <v>37</v>
      </c>
      <c r="D1069" s="26" t="s">
        <v>31</v>
      </c>
      <c r="E1069" s="26">
        <v>147.0</v>
      </c>
      <c r="F1069" s="26" t="s">
        <v>327</v>
      </c>
      <c r="G1069" s="26">
        <v>4.0</v>
      </c>
      <c r="H1069" s="26">
        <v>4.0</v>
      </c>
      <c r="I1069" s="26">
        <v>110.0</v>
      </c>
      <c r="J1069" s="26">
        <v>27.0</v>
      </c>
      <c r="K1069" s="26">
        <v>10.0</v>
      </c>
      <c r="M1069" s="26" t="s">
        <v>458</v>
      </c>
      <c r="N1069" s="26" t="s">
        <v>757</v>
      </c>
    </row>
    <row r="1070">
      <c r="A1070" s="25">
        <v>43287.397000509256</v>
      </c>
      <c r="B1070" s="26" t="s">
        <v>40</v>
      </c>
      <c r="C1070" s="26" t="s">
        <v>527</v>
      </c>
      <c r="D1070" s="26" t="s">
        <v>41</v>
      </c>
      <c r="E1070" s="26">
        <v>422.0</v>
      </c>
      <c r="F1070" s="26" t="s">
        <v>52</v>
      </c>
      <c r="G1070" s="26">
        <v>19.0</v>
      </c>
      <c r="H1070" s="26">
        <v>16.0</v>
      </c>
      <c r="I1070" s="26">
        <v>203000.0</v>
      </c>
      <c r="J1070" s="26">
        <v>90000.0</v>
      </c>
      <c r="K1070" s="26">
        <v>49000.0</v>
      </c>
      <c r="M1070" s="26" t="s">
        <v>449</v>
      </c>
      <c r="N1070" s="26" t="s">
        <v>685</v>
      </c>
    </row>
    <row r="1071">
      <c r="A1071" s="25">
        <v>43287.58843456018</v>
      </c>
      <c r="B1071" s="26" t="s">
        <v>802</v>
      </c>
      <c r="C1071" s="26" t="s">
        <v>891</v>
      </c>
      <c r="D1071" s="26" t="s">
        <v>31</v>
      </c>
      <c r="E1071" s="26">
        <v>172.0</v>
      </c>
      <c r="F1071" s="26" t="s">
        <v>35</v>
      </c>
      <c r="G1071" s="26">
        <v>10.0</v>
      </c>
      <c r="H1071" s="26">
        <v>1.0</v>
      </c>
      <c r="I1071" s="26">
        <v>145000.0</v>
      </c>
      <c r="J1071" s="26">
        <v>30000.0</v>
      </c>
      <c r="K1071" s="26">
        <v>15000.0</v>
      </c>
      <c r="M1071" s="26" t="s">
        <v>449</v>
      </c>
      <c r="N1071" s="26" t="s">
        <v>683</v>
      </c>
    </row>
    <row r="1072">
      <c r="A1072" s="25">
        <v>43287.610807164354</v>
      </c>
      <c r="B1072" s="26" t="s">
        <v>350</v>
      </c>
      <c r="C1072" s="26" t="s">
        <v>351</v>
      </c>
      <c r="D1072" s="26" t="s">
        <v>31</v>
      </c>
      <c r="E1072" s="26">
        <v>122.0</v>
      </c>
      <c r="F1072" s="26" t="s">
        <v>35</v>
      </c>
      <c r="G1072" s="26">
        <v>2.0</v>
      </c>
      <c r="H1072" s="26">
        <v>2.0</v>
      </c>
      <c r="I1072" s="26">
        <v>117.0</v>
      </c>
      <c r="K1072" s="26">
        <v>10000.0</v>
      </c>
      <c r="M1072" s="26" t="s">
        <v>449</v>
      </c>
      <c r="N1072" s="26" t="s">
        <v>683</v>
      </c>
    </row>
    <row r="1073">
      <c r="A1073" s="25">
        <v>43287.766436238424</v>
      </c>
      <c r="B1073" s="26" t="s">
        <v>80</v>
      </c>
      <c r="C1073" s="26">
        <v>7.0</v>
      </c>
      <c r="D1073" s="26" t="s">
        <v>147</v>
      </c>
      <c r="E1073" s="26">
        <v>400.0</v>
      </c>
      <c r="F1073" s="26" t="s">
        <v>47</v>
      </c>
      <c r="G1073" s="26">
        <v>15.0</v>
      </c>
      <c r="H1073" s="26">
        <v>1.0</v>
      </c>
      <c r="I1073" s="26">
        <v>240000.0</v>
      </c>
      <c r="J1073" s="26">
        <v>400000.0</v>
      </c>
      <c r="K1073" s="26">
        <v>60000.0</v>
      </c>
      <c r="M1073" s="26" t="s">
        <v>458</v>
      </c>
      <c r="N1073" s="26" t="s">
        <v>842</v>
      </c>
    </row>
    <row r="1074">
      <c r="A1074" s="25">
        <v>43287.928426087965</v>
      </c>
      <c r="B1074" s="26" t="s">
        <v>40</v>
      </c>
      <c r="C1074" s="26" t="s">
        <v>892</v>
      </c>
      <c r="D1074" s="26" t="s">
        <v>27</v>
      </c>
      <c r="E1074" s="26">
        <v>345.0</v>
      </c>
      <c r="F1074" s="26" t="s">
        <v>75</v>
      </c>
      <c r="G1074" s="26">
        <v>16.0</v>
      </c>
      <c r="H1074" s="26">
        <v>0.0</v>
      </c>
      <c r="I1074" s="26">
        <v>200000.0</v>
      </c>
      <c r="J1074" s="26">
        <v>300000.0</v>
      </c>
      <c r="K1074" s="26">
        <v>100000.0</v>
      </c>
      <c r="M1074" s="26" t="s">
        <v>449</v>
      </c>
    </row>
    <row r="1075">
      <c r="A1075" s="25">
        <v>43288.04260325231</v>
      </c>
      <c r="B1075" s="26" t="s">
        <v>45</v>
      </c>
      <c r="C1075" s="26" t="s">
        <v>116</v>
      </c>
      <c r="D1075" s="26" t="s">
        <v>31</v>
      </c>
      <c r="E1075" s="26">
        <v>205.0</v>
      </c>
      <c r="F1075" s="26" t="s">
        <v>47</v>
      </c>
      <c r="G1075" s="26">
        <v>10.0</v>
      </c>
      <c r="H1075" s="26">
        <v>1.0</v>
      </c>
      <c r="I1075" s="26">
        <v>146000.0</v>
      </c>
      <c r="J1075" s="26">
        <v>160000.0</v>
      </c>
      <c r="K1075" s="26">
        <v>20000.0</v>
      </c>
      <c r="M1075" s="26" t="s">
        <v>449</v>
      </c>
      <c r="N1075" s="26" t="s">
        <v>704</v>
      </c>
    </row>
    <row r="1076">
      <c r="A1076" s="25">
        <v>43288.84859828703</v>
      </c>
      <c r="B1076" s="26" t="s">
        <v>80</v>
      </c>
      <c r="C1076" s="26" t="s">
        <v>73</v>
      </c>
      <c r="D1076" s="26" t="s">
        <v>27</v>
      </c>
      <c r="E1076" s="26">
        <v>230.0</v>
      </c>
      <c r="F1076" s="26" t="s">
        <v>51</v>
      </c>
      <c r="G1076" s="26">
        <v>8.0</v>
      </c>
      <c r="H1076" s="26">
        <v>1.0</v>
      </c>
      <c r="I1076" s="26">
        <v>140.0</v>
      </c>
      <c r="J1076" s="26">
        <v>65.0</v>
      </c>
      <c r="K1076" s="26">
        <v>25.0</v>
      </c>
      <c r="M1076" s="26" t="s">
        <v>449</v>
      </c>
    </row>
    <row r="1077">
      <c r="A1077" s="25">
        <v>43289.3325503588</v>
      </c>
      <c r="B1077" s="26" t="s">
        <v>40</v>
      </c>
      <c r="C1077" s="26" t="s">
        <v>893</v>
      </c>
      <c r="D1077" s="26" t="s">
        <v>31</v>
      </c>
      <c r="E1077" s="26">
        <v>205.0</v>
      </c>
      <c r="F1077" s="26" t="s">
        <v>894</v>
      </c>
      <c r="G1077" s="26">
        <v>3.0</v>
      </c>
      <c r="H1077" s="26">
        <v>1.0</v>
      </c>
      <c r="I1077" s="26">
        <v>148000.0</v>
      </c>
      <c r="J1077" s="26">
        <v>130000.0</v>
      </c>
      <c r="K1077" s="26">
        <v>25000.0</v>
      </c>
      <c r="M1077" s="26" t="s">
        <v>449</v>
      </c>
      <c r="N1077" s="26" t="s">
        <v>685</v>
      </c>
    </row>
    <row r="1078">
      <c r="A1078" s="25">
        <v>43289.37229803241</v>
      </c>
      <c r="B1078" s="26" t="s">
        <v>40</v>
      </c>
      <c r="C1078" s="26" t="s">
        <v>83</v>
      </c>
      <c r="D1078" s="26" t="s">
        <v>27</v>
      </c>
      <c r="E1078" s="26">
        <v>77.0</v>
      </c>
      <c r="F1078" s="26" t="s">
        <v>895</v>
      </c>
      <c r="G1078" s="26">
        <v>13.0</v>
      </c>
      <c r="H1078" s="26">
        <v>3.0</v>
      </c>
      <c r="I1078" s="26">
        <v>50.0</v>
      </c>
      <c r="J1078" s="26">
        <v>20.0</v>
      </c>
      <c r="K1078" s="26">
        <v>7.0</v>
      </c>
      <c r="M1078" s="26" t="s">
        <v>449</v>
      </c>
      <c r="N1078" s="26" t="s">
        <v>699</v>
      </c>
    </row>
    <row r="1079">
      <c r="A1079" s="25">
        <v>43289.4073602662</v>
      </c>
      <c r="B1079" s="26" t="s">
        <v>896</v>
      </c>
      <c r="C1079" s="26" t="s">
        <v>37</v>
      </c>
      <c r="D1079" s="26" t="s">
        <v>31</v>
      </c>
      <c r="E1079" s="26">
        <v>360.0</v>
      </c>
      <c r="F1079" s="26" t="s">
        <v>97</v>
      </c>
      <c r="G1079" s="26">
        <v>5.0</v>
      </c>
      <c r="H1079" s="26">
        <v>1.0</v>
      </c>
      <c r="I1079" s="26">
        <v>360000.0</v>
      </c>
      <c r="M1079" s="26" t="s">
        <v>458</v>
      </c>
      <c r="N1079" s="26" t="s">
        <v>704</v>
      </c>
    </row>
    <row r="1080">
      <c r="A1080" s="25">
        <v>43289.761727916666</v>
      </c>
      <c r="B1080" s="26" t="s">
        <v>29</v>
      </c>
      <c r="C1080" s="26">
        <v>27.0</v>
      </c>
      <c r="D1080" s="26" t="s">
        <v>41</v>
      </c>
      <c r="E1080" s="26">
        <v>390.0</v>
      </c>
      <c r="F1080" s="26" t="s">
        <v>238</v>
      </c>
      <c r="G1080" s="26">
        <v>10.0</v>
      </c>
      <c r="H1080" s="26">
        <v>10.0</v>
      </c>
      <c r="I1080" s="26">
        <v>220000.0</v>
      </c>
      <c r="J1080" s="26">
        <v>480000.0</v>
      </c>
      <c r="K1080" s="26">
        <v>44000.0</v>
      </c>
      <c r="M1080" s="26" t="s">
        <v>449</v>
      </c>
      <c r="N1080" s="26" t="s">
        <v>685</v>
      </c>
    </row>
    <row r="1081">
      <c r="A1081" s="25">
        <v>43289.802264756945</v>
      </c>
      <c r="B1081" s="26" t="s">
        <v>80</v>
      </c>
      <c r="C1081" s="26" t="s">
        <v>73</v>
      </c>
      <c r="D1081" s="26" t="s">
        <v>31</v>
      </c>
      <c r="E1081" s="26">
        <v>260.0</v>
      </c>
      <c r="F1081" s="26" t="s">
        <v>679</v>
      </c>
      <c r="G1081" s="26">
        <v>4.0</v>
      </c>
      <c r="H1081" s="26">
        <v>4.0</v>
      </c>
      <c r="I1081" s="26">
        <v>152000.0</v>
      </c>
      <c r="J1081" s="26">
        <v>80000.0</v>
      </c>
      <c r="K1081" s="26">
        <v>27000.0</v>
      </c>
      <c r="M1081" s="26" t="s">
        <v>458</v>
      </c>
      <c r="N1081" s="26" t="s">
        <v>704</v>
      </c>
    </row>
    <row r="1082">
      <c r="A1082" s="25">
        <v>43289.92668464121</v>
      </c>
      <c r="B1082" s="26" t="s">
        <v>319</v>
      </c>
      <c r="C1082" s="26">
        <v>8.0</v>
      </c>
      <c r="D1082" s="26" t="s">
        <v>31</v>
      </c>
      <c r="E1082" s="26">
        <v>167.0</v>
      </c>
      <c r="F1082" s="26" t="s">
        <v>238</v>
      </c>
      <c r="G1082" s="26">
        <v>10.0</v>
      </c>
      <c r="H1082" s="26">
        <v>1.0</v>
      </c>
      <c r="I1082" s="26">
        <v>162.0</v>
      </c>
      <c r="K1082" s="26">
        <v>5.0</v>
      </c>
      <c r="M1082" s="26" t="s">
        <v>449</v>
      </c>
      <c r="N1082" s="26" t="s">
        <v>685</v>
      </c>
    </row>
    <row r="1083">
      <c r="A1083" s="25">
        <v>43290.46062116898</v>
      </c>
      <c r="B1083" s="26" t="s">
        <v>80</v>
      </c>
      <c r="C1083" s="26" t="s">
        <v>73</v>
      </c>
      <c r="D1083" s="26" t="s">
        <v>31</v>
      </c>
      <c r="E1083" s="26">
        <v>326.0</v>
      </c>
      <c r="F1083" s="26" t="s">
        <v>35</v>
      </c>
      <c r="G1083" s="26">
        <v>10.0</v>
      </c>
      <c r="H1083" s="26">
        <v>4.0</v>
      </c>
      <c r="I1083" s="26">
        <v>150.0</v>
      </c>
      <c r="J1083" s="26">
        <v>144.0</v>
      </c>
      <c r="K1083" s="26">
        <v>32.0</v>
      </c>
      <c r="M1083" s="26" t="s">
        <v>449</v>
      </c>
      <c r="N1083" s="26" t="s">
        <v>699</v>
      </c>
    </row>
    <row r="1084">
      <c r="A1084" s="25">
        <v>43290.544107037036</v>
      </c>
      <c r="B1084" s="26" t="s">
        <v>119</v>
      </c>
      <c r="C1084" s="26" t="s">
        <v>897</v>
      </c>
      <c r="D1084" s="26" t="s">
        <v>31</v>
      </c>
      <c r="E1084" s="26">
        <v>540.0</v>
      </c>
      <c r="F1084" s="26" t="s">
        <v>32</v>
      </c>
      <c r="G1084" s="26">
        <v>12.0</v>
      </c>
      <c r="H1084" s="26">
        <v>1.0</v>
      </c>
      <c r="M1084" s="26" t="s">
        <v>458</v>
      </c>
      <c r="N1084" s="26" t="s">
        <v>683</v>
      </c>
    </row>
    <row r="1085">
      <c r="A1085" s="25">
        <v>43290.894928229165</v>
      </c>
      <c r="B1085" s="26" t="s">
        <v>45</v>
      </c>
      <c r="C1085" s="26" t="s">
        <v>898</v>
      </c>
      <c r="D1085" s="26" t="s">
        <v>31</v>
      </c>
      <c r="E1085" s="26">
        <v>200.0</v>
      </c>
      <c r="F1085" s="26" t="s">
        <v>92</v>
      </c>
      <c r="G1085" s="26">
        <v>10.0</v>
      </c>
      <c r="H1085" s="26">
        <v>0.0</v>
      </c>
      <c r="N1085" s="26" t="s">
        <v>699</v>
      </c>
    </row>
    <row r="1086">
      <c r="A1086" s="25">
        <v>43291.43067271991</v>
      </c>
      <c r="B1086" s="26" t="s">
        <v>505</v>
      </c>
      <c r="C1086" s="26" t="s">
        <v>37</v>
      </c>
      <c r="D1086" s="26" t="s">
        <v>31</v>
      </c>
      <c r="E1086" s="26">
        <v>86.0</v>
      </c>
      <c r="F1086" s="26" t="s">
        <v>899</v>
      </c>
      <c r="G1086" s="26">
        <v>7.0</v>
      </c>
      <c r="H1086" s="26">
        <v>1.0</v>
      </c>
      <c r="I1086" s="26">
        <v>85.0</v>
      </c>
      <c r="K1086" s="26">
        <v>2.0</v>
      </c>
      <c r="M1086" s="26" t="s">
        <v>449</v>
      </c>
      <c r="N1086" s="26" t="s">
        <v>708</v>
      </c>
    </row>
    <row r="1087">
      <c r="A1087" s="25">
        <v>43291.46869613426</v>
      </c>
      <c r="B1087" s="26" t="s">
        <v>411</v>
      </c>
      <c r="C1087" s="26" t="s">
        <v>37</v>
      </c>
      <c r="D1087" s="26" t="s">
        <v>31</v>
      </c>
      <c r="E1087" s="26">
        <v>115.0</v>
      </c>
      <c r="F1087" s="26" t="s">
        <v>900</v>
      </c>
      <c r="G1087" s="26">
        <v>4.0</v>
      </c>
      <c r="H1087" s="26">
        <v>1.5</v>
      </c>
      <c r="I1087" s="26">
        <v>100000.0</v>
      </c>
      <c r="K1087" s="26">
        <v>15000.0</v>
      </c>
      <c r="M1087" s="26" t="s">
        <v>449</v>
      </c>
      <c r="N1087" s="26" t="s">
        <v>708</v>
      </c>
    </row>
    <row r="1088">
      <c r="A1088" s="25">
        <v>43291.65325516203</v>
      </c>
      <c r="B1088" s="26" t="s">
        <v>426</v>
      </c>
      <c r="C1088" s="26" t="s">
        <v>427</v>
      </c>
      <c r="D1088" s="26" t="s">
        <v>147</v>
      </c>
      <c r="E1088" s="26">
        <v>235.0</v>
      </c>
      <c r="F1088" s="26" t="s">
        <v>247</v>
      </c>
      <c r="G1088" s="26">
        <v>4.0</v>
      </c>
      <c r="H1088" s="26">
        <v>4.0</v>
      </c>
      <c r="I1088" s="26">
        <v>125000.0</v>
      </c>
      <c r="J1088" s="26">
        <v>1.0</v>
      </c>
      <c r="K1088" s="26">
        <v>11000.0</v>
      </c>
      <c r="M1088" s="26" t="s">
        <v>449</v>
      </c>
      <c r="N1088" s="26" t="s">
        <v>901</v>
      </c>
    </row>
    <row r="1089">
      <c r="A1089" s="25">
        <v>43291.87116625</v>
      </c>
      <c r="B1089" s="26" t="s">
        <v>33</v>
      </c>
      <c r="C1089" s="26" t="s">
        <v>62</v>
      </c>
      <c r="D1089" s="26" t="s">
        <v>31</v>
      </c>
      <c r="E1089" s="26">
        <v>417.0</v>
      </c>
      <c r="F1089" s="26" t="s">
        <v>550</v>
      </c>
      <c r="G1089" s="26">
        <v>7.0</v>
      </c>
      <c r="H1089" s="26">
        <v>6.0</v>
      </c>
      <c r="I1089" s="26">
        <v>185000.0</v>
      </c>
      <c r="J1089" s="26">
        <v>232000.0</v>
      </c>
      <c r="M1089" s="26" t="s">
        <v>449</v>
      </c>
      <c r="N1089" s="26" t="s">
        <v>751</v>
      </c>
    </row>
    <row r="1090">
      <c r="A1090" s="25">
        <v>43291.931676203705</v>
      </c>
      <c r="B1090" s="26" t="s">
        <v>268</v>
      </c>
      <c r="C1090" s="26" t="s">
        <v>572</v>
      </c>
      <c r="D1090" s="26" t="s">
        <v>31</v>
      </c>
      <c r="E1090" s="26">
        <v>135.0</v>
      </c>
      <c r="F1090" s="26" t="s">
        <v>238</v>
      </c>
      <c r="G1090" s="26">
        <v>6.0</v>
      </c>
      <c r="H1090" s="26">
        <v>2.0</v>
      </c>
      <c r="I1090" s="26">
        <v>120000.0</v>
      </c>
      <c r="J1090" s="26">
        <v>1.0</v>
      </c>
      <c r="K1090" s="26">
        <v>14400.0</v>
      </c>
      <c r="M1090" s="26" t="s">
        <v>449</v>
      </c>
      <c r="N1090" s="26" t="s">
        <v>728</v>
      </c>
    </row>
    <row r="1091">
      <c r="A1091" s="25">
        <v>43291.95414282408</v>
      </c>
      <c r="B1091" s="26" t="s">
        <v>170</v>
      </c>
      <c r="C1091" s="26" t="s">
        <v>902</v>
      </c>
      <c r="D1091" s="26" t="s">
        <v>31</v>
      </c>
      <c r="E1091" s="26">
        <v>110.0</v>
      </c>
      <c r="F1091" s="26" t="s">
        <v>575</v>
      </c>
      <c r="G1091" s="26">
        <v>2.0</v>
      </c>
      <c r="H1091" s="26">
        <v>2.0</v>
      </c>
      <c r="I1091" s="26">
        <v>93000.0</v>
      </c>
      <c r="M1091" s="26" t="s">
        <v>449</v>
      </c>
      <c r="N1091" s="26" t="s">
        <v>685</v>
      </c>
    </row>
    <row r="1092">
      <c r="A1092" s="25">
        <v>43292.28726712963</v>
      </c>
      <c r="B1092" s="26" t="s">
        <v>48</v>
      </c>
      <c r="C1092" s="26" t="s">
        <v>49</v>
      </c>
      <c r="D1092" s="26" t="s">
        <v>31</v>
      </c>
      <c r="E1092" s="26">
        <v>350.0</v>
      </c>
      <c r="F1092" s="26" t="s">
        <v>50</v>
      </c>
      <c r="G1092" s="26">
        <v>0.0</v>
      </c>
      <c r="H1092" s="26">
        <v>0.0</v>
      </c>
      <c r="I1092" s="26">
        <v>140000.0</v>
      </c>
      <c r="J1092" s="26">
        <v>80000.0</v>
      </c>
      <c r="K1092" s="26">
        <v>35000.0</v>
      </c>
      <c r="M1092" s="26" t="s">
        <v>449</v>
      </c>
      <c r="N1092" s="26" t="s">
        <v>859</v>
      </c>
    </row>
    <row r="1093">
      <c r="A1093" s="25">
        <v>43292.38521165509</v>
      </c>
      <c r="B1093" s="26" t="s">
        <v>48</v>
      </c>
      <c r="C1093" s="26" t="s">
        <v>166</v>
      </c>
      <c r="D1093" s="26" t="s">
        <v>31</v>
      </c>
      <c r="E1093" s="26">
        <v>390.0</v>
      </c>
      <c r="F1093" s="26" t="s">
        <v>108</v>
      </c>
      <c r="G1093" s="26">
        <v>17.0</v>
      </c>
      <c r="H1093" s="26">
        <v>1.0</v>
      </c>
      <c r="I1093" s="26">
        <v>192.0</v>
      </c>
      <c r="J1093" s="26">
        <v>120.0</v>
      </c>
      <c r="K1093" s="26">
        <v>29.0</v>
      </c>
      <c r="M1093" s="26" t="s">
        <v>449</v>
      </c>
      <c r="N1093" s="26" t="s">
        <v>704</v>
      </c>
    </row>
    <row r="1094">
      <c r="A1094" s="25">
        <v>43292.52429731481</v>
      </c>
      <c r="B1094" s="26" t="s">
        <v>256</v>
      </c>
      <c r="C1094" s="26" t="s">
        <v>43</v>
      </c>
      <c r="D1094" s="26" t="s">
        <v>41</v>
      </c>
      <c r="E1094" s="26">
        <v>800.0</v>
      </c>
      <c r="F1094" s="26" t="s">
        <v>58</v>
      </c>
      <c r="G1094" s="26">
        <v>8.0</v>
      </c>
      <c r="H1094" s="26">
        <v>6.0</v>
      </c>
      <c r="N1094" s="26" t="s">
        <v>683</v>
      </c>
    </row>
    <row r="1095">
      <c r="A1095" s="25">
        <v>43292.54234944444</v>
      </c>
      <c r="B1095" s="26" t="s">
        <v>80</v>
      </c>
      <c r="C1095" s="26" t="s">
        <v>26</v>
      </c>
      <c r="D1095" s="26" t="s">
        <v>31</v>
      </c>
      <c r="E1095" s="26">
        <v>190.0</v>
      </c>
      <c r="F1095" s="26" t="s">
        <v>94</v>
      </c>
      <c r="G1095" s="26">
        <v>1.0</v>
      </c>
      <c r="H1095" s="26">
        <v>0.0</v>
      </c>
      <c r="I1095" s="26">
        <v>120000.0</v>
      </c>
      <c r="J1095" s="26">
        <v>32.0</v>
      </c>
      <c r="K1095" s="26">
        <v>18.0</v>
      </c>
      <c r="M1095" s="26" t="s">
        <v>449</v>
      </c>
      <c r="N1095" s="26" t="s">
        <v>683</v>
      </c>
    </row>
    <row r="1096">
      <c r="A1096" s="25">
        <v>43292.58084329861</v>
      </c>
      <c r="B1096" s="26" t="s">
        <v>33</v>
      </c>
      <c r="C1096" s="26" t="s">
        <v>43</v>
      </c>
      <c r="D1096" s="26" t="s">
        <v>31</v>
      </c>
      <c r="E1096" s="26">
        <v>219.0</v>
      </c>
      <c r="F1096" s="26" t="s">
        <v>35</v>
      </c>
      <c r="G1096" s="26">
        <v>7.0</v>
      </c>
      <c r="H1096" s="26">
        <v>2.0</v>
      </c>
      <c r="I1096" s="26">
        <v>134000.0</v>
      </c>
      <c r="J1096" s="26">
        <v>31000.0</v>
      </c>
      <c r="M1096" s="26" t="s">
        <v>449</v>
      </c>
      <c r="N1096" s="26" t="s">
        <v>685</v>
      </c>
    </row>
    <row r="1097">
      <c r="A1097" s="25">
        <v>43292.60985704861</v>
      </c>
      <c r="B1097" s="26" t="s">
        <v>33</v>
      </c>
      <c r="C1097" s="26" t="s">
        <v>43</v>
      </c>
      <c r="D1097" s="26" t="s">
        <v>31</v>
      </c>
      <c r="E1097" s="26">
        <v>192.0</v>
      </c>
      <c r="F1097" s="26" t="s">
        <v>432</v>
      </c>
      <c r="G1097" s="26">
        <v>2.5</v>
      </c>
      <c r="H1097" s="26">
        <v>2.5</v>
      </c>
      <c r="I1097" s="26">
        <v>131.0</v>
      </c>
      <c r="J1097" s="26">
        <v>61.0</v>
      </c>
      <c r="M1097" s="26" t="s">
        <v>449</v>
      </c>
      <c r="N1097" s="26" t="s">
        <v>687</v>
      </c>
    </row>
    <row r="1098">
      <c r="A1098" s="25">
        <v>43292.80322579861</v>
      </c>
      <c r="B1098" s="26" t="s">
        <v>33</v>
      </c>
      <c r="C1098" s="26" t="s">
        <v>43</v>
      </c>
      <c r="D1098" s="26" t="s">
        <v>903</v>
      </c>
      <c r="E1098" s="26">
        <v>200.0</v>
      </c>
      <c r="F1098" s="26" t="s">
        <v>35</v>
      </c>
      <c r="G1098" s="26">
        <v>10.0</v>
      </c>
      <c r="H1098" s="26">
        <v>1.0</v>
      </c>
      <c r="I1098" s="26">
        <v>143000.0</v>
      </c>
      <c r="J1098" s="26">
        <v>80.0</v>
      </c>
      <c r="K1098" s="26">
        <v>56.0</v>
      </c>
      <c r="M1098" s="26" t="s">
        <v>449</v>
      </c>
      <c r="N1098" s="26" t="s">
        <v>904</v>
      </c>
    </row>
    <row r="1099">
      <c r="A1099" s="25">
        <v>43292.84151195602</v>
      </c>
      <c r="B1099" s="27" t="s">
        <v>87</v>
      </c>
      <c r="C1099" s="26" t="s">
        <v>62</v>
      </c>
      <c r="D1099" s="26" t="s">
        <v>31</v>
      </c>
      <c r="E1099" s="26">
        <v>315.0</v>
      </c>
      <c r="F1099" s="26" t="s">
        <v>35</v>
      </c>
      <c r="G1099" s="26">
        <v>11.0</v>
      </c>
      <c r="H1099" s="26">
        <v>6.0</v>
      </c>
      <c r="I1099" s="26">
        <v>155000.0</v>
      </c>
      <c r="J1099" s="26">
        <v>160000.0</v>
      </c>
      <c r="M1099" s="26" t="s">
        <v>449</v>
      </c>
      <c r="N1099" s="26" t="s">
        <v>685</v>
      </c>
    </row>
    <row r="1100">
      <c r="A1100" s="25">
        <v>43292.870658078704</v>
      </c>
      <c r="B1100" s="26" t="s">
        <v>33</v>
      </c>
      <c r="C1100" s="26" t="s">
        <v>43</v>
      </c>
      <c r="D1100" s="26" t="s">
        <v>31</v>
      </c>
      <c r="E1100" s="26">
        <v>185.0</v>
      </c>
      <c r="F1100" s="26" t="s">
        <v>905</v>
      </c>
      <c r="G1100" s="26">
        <v>2.0</v>
      </c>
      <c r="H1100" s="26">
        <v>1.0</v>
      </c>
      <c r="I1100" s="26">
        <v>130000.0</v>
      </c>
      <c r="J1100" s="26">
        <v>50000.0</v>
      </c>
      <c r="M1100" s="26" t="s">
        <v>449</v>
      </c>
      <c r="N1100" s="26" t="s">
        <v>685</v>
      </c>
    </row>
    <row r="1101">
      <c r="A1101" s="25">
        <v>43292.90828413195</v>
      </c>
      <c r="B1101" s="26" t="s">
        <v>664</v>
      </c>
      <c r="C1101" s="26" t="s">
        <v>37</v>
      </c>
      <c r="D1101" s="26" t="s">
        <v>31</v>
      </c>
      <c r="E1101" s="26">
        <v>270.0</v>
      </c>
      <c r="F1101" s="26" t="s">
        <v>32</v>
      </c>
      <c r="G1101" s="26">
        <v>4.0</v>
      </c>
      <c r="H1101" s="26">
        <v>1.0</v>
      </c>
      <c r="M1101" s="26" t="s">
        <v>449</v>
      </c>
      <c r="N1101" s="26" t="s">
        <v>696</v>
      </c>
    </row>
    <row r="1102">
      <c r="A1102" s="25">
        <v>43292.94105443287</v>
      </c>
      <c r="B1102" s="26" t="s">
        <v>80</v>
      </c>
      <c r="C1102" s="26" t="s">
        <v>906</v>
      </c>
      <c r="D1102" s="26" t="s">
        <v>31</v>
      </c>
      <c r="E1102" s="26">
        <v>388.0</v>
      </c>
      <c r="F1102" s="26" t="s">
        <v>35</v>
      </c>
      <c r="G1102" s="26">
        <v>6.0</v>
      </c>
      <c r="H1102" s="26">
        <v>5.0</v>
      </c>
      <c r="I1102" s="26">
        <v>198000.0</v>
      </c>
      <c r="J1102" s="26">
        <v>150000.0</v>
      </c>
      <c r="K1102" s="26">
        <v>40000.0</v>
      </c>
      <c r="M1102" s="26" t="s">
        <v>449</v>
      </c>
      <c r="N1102" s="26" t="s">
        <v>685</v>
      </c>
    </row>
    <row r="1103">
      <c r="A1103" s="25">
        <v>43293.29695174769</v>
      </c>
      <c r="B1103" s="26" t="s">
        <v>48</v>
      </c>
      <c r="C1103" s="26" t="s">
        <v>70</v>
      </c>
      <c r="D1103" s="26" t="s">
        <v>31</v>
      </c>
      <c r="E1103" s="26">
        <v>660.0</v>
      </c>
      <c r="F1103" s="26" t="s">
        <v>415</v>
      </c>
      <c r="G1103" s="26">
        <v>10.0</v>
      </c>
      <c r="H1103" s="26">
        <v>5.0</v>
      </c>
      <c r="I1103" s="26">
        <v>210.0</v>
      </c>
      <c r="J1103" s="26">
        <v>400.0</v>
      </c>
      <c r="K1103" s="26">
        <v>50.0</v>
      </c>
      <c r="M1103" s="26" t="s">
        <v>449</v>
      </c>
      <c r="N1103" s="26" t="s">
        <v>683</v>
      </c>
    </row>
    <row r="1104">
      <c r="A1104" s="25">
        <v>43293.415250868056</v>
      </c>
      <c r="B1104" s="26" t="s">
        <v>256</v>
      </c>
      <c r="C1104" s="26" t="s">
        <v>117</v>
      </c>
      <c r="D1104" s="26" t="s">
        <v>31</v>
      </c>
      <c r="E1104" s="26">
        <v>320.0</v>
      </c>
      <c r="F1104" s="26" t="s">
        <v>32</v>
      </c>
      <c r="G1104" s="26">
        <v>5.0</v>
      </c>
      <c r="H1104" s="26">
        <v>2.0</v>
      </c>
      <c r="I1104" s="26">
        <v>180000.0</v>
      </c>
      <c r="J1104" s="26">
        <v>150000.0</v>
      </c>
      <c r="K1104" s="26">
        <v>18000.0</v>
      </c>
      <c r="M1104" s="26" t="s">
        <v>449</v>
      </c>
      <c r="N1104" s="26" t="s">
        <v>907</v>
      </c>
    </row>
    <row r="1105">
      <c r="A1105" s="25">
        <v>43293.69342116898</v>
      </c>
      <c r="B1105" s="26" t="s">
        <v>40</v>
      </c>
      <c r="C1105" s="26">
        <v>61.0</v>
      </c>
      <c r="D1105" s="26" t="s">
        <v>31</v>
      </c>
      <c r="E1105" s="26">
        <v>180.0</v>
      </c>
      <c r="F1105" s="26" t="s">
        <v>75</v>
      </c>
      <c r="G1105" s="26">
        <v>2.0</v>
      </c>
      <c r="H1105" s="26">
        <v>0.0</v>
      </c>
      <c r="I1105" s="26">
        <v>130000.0</v>
      </c>
      <c r="J1105" s="26">
        <v>30000.0</v>
      </c>
      <c r="K1105" s="26">
        <v>20000.0</v>
      </c>
      <c r="M1105" s="26" t="s">
        <v>449</v>
      </c>
      <c r="N1105" s="26" t="s">
        <v>685</v>
      </c>
    </row>
    <row r="1106">
      <c r="A1106" s="25">
        <v>43293.85699177084</v>
      </c>
      <c r="B1106" s="26" t="s">
        <v>124</v>
      </c>
      <c r="C1106" s="26" t="s">
        <v>37</v>
      </c>
      <c r="D1106" s="26" t="s">
        <v>31</v>
      </c>
      <c r="E1106" s="26">
        <v>200.0</v>
      </c>
      <c r="F1106" s="26" t="s">
        <v>199</v>
      </c>
      <c r="G1106" s="26">
        <v>3.0</v>
      </c>
      <c r="H1106" s="26">
        <v>3.0</v>
      </c>
      <c r="I1106" s="26">
        <v>142.0</v>
      </c>
      <c r="J1106" s="26">
        <v>37.0</v>
      </c>
      <c r="K1106" s="26">
        <v>21.0</v>
      </c>
      <c r="M1106" s="26" t="s">
        <v>449</v>
      </c>
      <c r="N1106" s="26" t="s">
        <v>683</v>
      </c>
    </row>
    <row r="1107">
      <c r="A1107" s="25">
        <v>43293.8757953125</v>
      </c>
      <c r="B1107" s="26" t="s">
        <v>256</v>
      </c>
      <c r="C1107" s="26" t="s">
        <v>43</v>
      </c>
      <c r="D1107" s="26" t="s">
        <v>31</v>
      </c>
      <c r="E1107" s="26">
        <v>425.0</v>
      </c>
      <c r="F1107" s="26" t="s">
        <v>35</v>
      </c>
      <c r="G1107" s="26">
        <v>12.0</v>
      </c>
      <c r="H1107" s="26">
        <v>1.0</v>
      </c>
      <c r="I1107" s="26">
        <v>200.0</v>
      </c>
      <c r="J1107" s="26">
        <v>175.0</v>
      </c>
      <c r="K1107" s="26">
        <v>50.0</v>
      </c>
      <c r="N1107" s="26" t="s">
        <v>685</v>
      </c>
    </row>
    <row r="1108">
      <c r="A1108" s="25">
        <v>43293.88265201389</v>
      </c>
      <c r="B1108" s="26" t="s">
        <v>33</v>
      </c>
      <c r="C1108" s="26" t="s">
        <v>110</v>
      </c>
      <c r="D1108" s="26" t="s">
        <v>31</v>
      </c>
      <c r="E1108" s="26">
        <v>195.0</v>
      </c>
      <c r="F1108" s="26" t="s">
        <v>320</v>
      </c>
      <c r="G1108" s="26">
        <v>8.0</v>
      </c>
      <c r="H1108" s="26">
        <v>0.0</v>
      </c>
      <c r="I1108" s="26">
        <v>145.0</v>
      </c>
      <c r="K1108" s="26">
        <v>50.0</v>
      </c>
      <c r="M1108" s="26" t="s">
        <v>449</v>
      </c>
      <c r="N1108" s="26" t="s">
        <v>699</v>
      </c>
    </row>
    <row r="1109">
      <c r="A1109" s="25">
        <v>43293.96117487269</v>
      </c>
      <c r="B1109" s="26" t="s">
        <v>57</v>
      </c>
      <c r="C1109" s="26" t="s">
        <v>908</v>
      </c>
      <c r="D1109" s="26" t="s">
        <v>31</v>
      </c>
      <c r="E1109" s="26">
        <v>182.0</v>
      </c>
      <c r="F1109" s="26" t="s">
        <v>58</v>
      </c>
      <c r="G1109" s="26">
        <v>2.0</v>
      </c>
      <c r="H1109" s="26">
        <v>2.0</v>
      </c>
      <c r="I1109" s="26">
        <v>145.0</v>
      </c>
      <c r="J1109" s="26">
        <v>13.0</v>
      </c>
      <c r="K1109" s="26">
        <v>10.0</v>
      </c>
      <c r="M1109" s="26" t="s">
        <v>449</v>
      </c>
      <c r="N1109" s="26" t="s">
        <v>683</v>
      </c>
    </row>
    <row r="1110">
      <c r="A1110" s="25">
        <v>43294.43425517361</v>
      </c>
      <c r="B1110" s="26" t="s">
        <v>80</v>
      </c>
      <c r="C1110" s="26" t="s">
        <v>26</v>
      </c>
      <c r="D1110" s="26" t="s">
        <v>31</v>
      </c>
      <c r="E1110" s="26">
        <v>220.0</v>
      </c>
      <c r="F1110" s="26" t="s">
        <v>909</v>
      </c>
      <c r="G1110" s="26">
        <v>2.0</v>
      </c>
      <c r="H1110" s="26">
        <v>0.0</v>
      </c>
      <c r="I1110" s="26">
        <v>125000.0</v>
      </c>
      <c r="J1110" s="26">
        <v>75000.0</v>
      </c>
      <c r="K1110" s="26">
        <v>18750.0</v>
      </c>
      <c r="M1110" s="26" t="s">
        <v>458</v>
      </c>
      <c r="N1110" s="26" t="s">
        <v>683</v>
      </c>
    </row>
    <row r="1111">
      <c r="A1111" s="25">
        <v>43294.52739688657</v>
      </c>
      <c r="B1111" s="26" t="s">
        <v>249</v>
      </c>
      <c r="C1111" s="26" t="s">
        <v>43</v>
      </c>
      <c r="D1111" s="26" t="s">
        <v>27</v>
      </c>
      <c r="E1111" s="26">
        <v>160.0</v>
      </c>
      <c r="F1111" s="26" t="s">
        <v>910</v>
      </c>
      <c r="G1111" s="26">
        <v>5.0</v>
      </c>
      <c r="H1111" s="26">
        <v>2.0</v>
      </c>
      <c r="I1111" s="26">
        <v>125.0</v>
      </c>
      <c r="J1111" s="26">
        <v>20.0</v>
      </c>
      <c r="K1111" s="26">
        <v>15.0</v>
      </c>
      <c r="M1111" s="26" t="s">
        <v>458</v>
      </c>
      <c r="N1111" s="26" t="s">
        <v>696</v>
      </c>
    </row>
    <row r="1112">
      <c r="A1112" s="25">
        <v>43294.61003708333</v>
      </c>
      <c r="B1112" s="26" t="s">
        <v>33</v>
      </c>
      <c r="C1112" s="26">
        <v>6.0</v>
      </c>
      <c r="D1112" s="26" t="s">
        <v>41</v>
      </c>
      <c r="E1112" s="26">
        <v>500.0</v>
      </c>
      <c r="F1112" s="26" t="s">
        <v>35</v>
      </c>
      <c r="G1112" s="26">
        <v>20.0</v>
      </c>
      <c r="H1112" s="26">
        <v>16.0</v>
      </c>
      <c r="I1112" s="26">
        <v>160000.0</v>
      </c>
      <c r="J1112" s="26">
        <v>340000.0</v>
      </c>
      <c r="M1112" s="26" t="s">
        <v>449</v>
      </c>
      <c r="N1112" s="26" t="s">
        <v>699</v>
      </c>
    </row>
    <row r="1113">
      <c r="A1113" s="25">
        <v>43294.62060094907</v>
      </c>
      <c r="B1113" s="26" t="s">
        <v>911</v>
      </c>
      <c r="C1113" s="26" t="s">
        <v>912</v>
      </c>
      <c r="D1113" s="26" t="s">
        <v>31</v>
      </c>
      <c r="E1113" s="26">
        <v>800.0</v>
      </c>
      <c r="F1113" s="26" t="s">
        <v>238</v>
      </c>
      <c r="G1113" s="26">
        <v>18.0</v>
      </c>
      <c r="H1113" s="26">
        <v>18.0</v>
      </c>
      <c r="I1113" s="26">
        <v>250.0</v>
      </c>
      <c r="J1113" s="26">
        <v>400.0</v>
      </c>
      <c r="K1113" s="26">
        <v>150.0</v>
      </c>
      <c r="M1113" s="26" t="s">
        <v>449</v>
      </c>
      <c r="N1113" s="26" t="s">
        <v>715</v>
      </c>
    </row>
    <row r="1114">
      <c r="A1114" s="25">
        <v>43294.71227773148</v>
      </c>
      <c r="B1114" s="26" t="s">
        <v>40</v>
      </c>
      <c r="C1114" s="26">
        <v>59.0</v>
      </c>
      <c r="D1114" s="26" t="s">
        <v>31</v>
      </c>
      <c r="E1114" s="26">
        <v>163.0</v>
      </c>
      <c r="F1114" s="26" t="s">
        <v>913</v>
      </c>
      <c r="G1114" s="26">
        <v>1.0</v>
      </c>
      <c r="H1114" s="26">
        <v>0.0</v>
      </c>
      <c r="I1114" s="26">
        <v>108000.0</v>
      </c>
      <c r="J1114" s="26">
        <v>30000.0</v>
      </c>
      <c r="K1114" s="26">
        <v>25000.0</v>
      </c>
      <c r="M1114" s="26" t="s">
        <v>449</v>
      </c>
      <c r="N1114" s="26" t="s">
        <v>757</v>
      </c>
    </row>
    <row r="1115">
      <c r="A1115" s="25">
        <v>43294.88053434028</v>
      </c>
      <c r="B1115" s="26" t="s">
        <v>914</v>
      </c>
      <c r="C1115" s="26" t="s">
        <v>915</v>
      </c>
      <c r="D1115" s="26" t="s">
        <v>31</v>
      </c>
      <c r="E1115" s="26">
        <v>107.0</v>
      </c>
      <c r="F1115" s="26" t="s">
        <v>916</v>
      </c>
      <c r="G1115" s="26">
        <v>1.0</v>
      </c>
      <c r="H1115" s="26">
        <v>1.0</v>
      </c>
      <c r="I1115" s="26">
        <v>98.0</v>
      </c>
      <c r="J1115" s="26">
        <v>1.0E-7</v>
      </c>
      <c r="K1115" s="26">
        <v>9.0</v>
      </c>
      <c r="L1115" s="26" t="s">
        <v>917</v>
      </c>
      <c r="M1115" s="26" t="s">
        <v>449</v>
      </c>
      <c r="N1115" s="26" t="s">
        <v>685</v>
      </c>
    </row>
    <row r="1116">
      <c r="A1116" s="25">
        <v>43294.97286292824</v>
      </c>
      <c r="B1116" s="26" t="s">
        <v>170</v>
      </c>
      <c r="C1116" s="26">
        <v>8.0</v>
      </c>
      <c r="D1116" s="26" t="s">
        <v>41</v>
      </c>
      <c r="E1116" s="26">
        <v>215.0</v>
      </c>
      <c r="F1116" s="26" t="s">
        <v>918</v>
      </c>
      <c r="G1116" s="26">
        <v>13.0</v>
      </c>
      <c r="H1116" s="26">
        <v>13.0</v>
      </c>
      <c r="I1116" s="26">
        <v>155.0</v>
      </c>
      <c r="J1116" s="26">
        <v>30.0</v>
      </c>
      <c r="K1116" s="26">
        <v>30.0</v>
      </c>
      <c r="M1116" s="26" t="s">
        <v>449</v>
      </c>
    </row>
    <row r="1117">
      <c r="A1117" s="25">
        <v>43295.398100810184</v>
      </c>
      <c r="B1117" s="26" t="s">
        <v>919</v>
      </c>
      <c r="C1117" s="26" t="s">
        <v>69</v>
      </c>
      <c r="D1117" s="26" t="s">
        <v>31</v>
      </c>
      <c r="E1117" s="26">
        <v>120.0</v>
      </c>
      <c r="F1117" s="26" t="s">
        <v>920</v>
      </c>
      <c r="G1117" s="26">
        <v>3.5</v>
      </c>
      <c r="H1117" s="26">
        <v>0.5</v>
      </c>
      <c r="I1117" s="26">
        <v>95.0</v>
      </c>
      <c r="J1117" s="26">
        <v>25.0</v>
      </c>
      <c r="M1117" s="26" t="s">
        <v>449</v>
      </c>
      <c r="N1117" s="26" t="s">
        <v>683</v>
      </c>
    </row>
    <row r="1118">
      <c r="A1118" s="25">
        <v>43295.40346074074</v>
      </c>
      <c r="B1118" s="26" t="s">
        <v>921</v>
      </c>
      <c r="C1118" s="26">
        <v>4.0</v>
      </c>
      <c r="D1118" s="26" t="s">
        <v>31</v>
      </c>
      <c r="E1118" s="26">
        <v>333.0</v>
      </c>
      <c r="F1118" s="26" t="s">
        <v>58</v>
      </c>
      <c r="G1118" s="26">
        <v>3.0</v>
      </c>
      <c r="H1118" s="26">
        <v>1.0</v>
      </c>
      <c r="I1118" s="26">
        <v>168000.0</v>
      </c>
      <c r="J1118" s="26">
        <v>140549.0</v>
      </c>
      <c r="K1118" s="26">
        <v>24000.0</v>
      </c>
      <c r="M1118" s="26" t="s">
        <v>458</v>
      </c>
      <c r="N1118" s="26" t="s">
        <v>691</v>
      </c>
    </row>
    <row r="1119">
      <c r="A1119" s="25">
        <v>43295.53106390046</v>
      </c>
      <c r="B1119" s="26" t="s">
        <v>80</v>
      </c>
      <c r="C1119" s="26" t="s">
        <v>34</v>
      </c>
      <c r="D1119" s="26" t="s">
        <v>27</v>
      </c>
      <c r="E1119" s="26">
        <v>670.0</v>
      </c>
      <c r="F1119" s="26" t="s">
        <v>63</v>
      </c>
      <c r="G1119" s="26">
        <v>12.0</v>
      </c>
      <c r="H1119" s="26">
        <v>7.0</v>
      </c>
      <c r="I1119" s="26">
        <v>225000.0</v>
      </c>
      <c r="J1119" s="26">
        <v>275000.0</v>
      </c>
      <c r="K1119" s="26">
        <v>75000.0</v>
      </c>
      <c r="M1119" s="26" t="s">
        <v>449</v>
      </c>
    </row>
    <row r="1120">
      <c r="A1120" s="25">
        <v>43295.54107015046</v>
      </c>
      <c r="B1120" s="26" t="s">
        <v>45</v>
      </c>
      <c r="C1120" s="26" t="s">
        <v>116</v>
      </c>
      <c r="D1120" s="26" t="s">
        <v>31</v>
      </c>
      <c r="E1120" s="26">
        <v>270.0</v>
      </c>
      <c r="F1120" s="26" t="s">
        <v>92</v>
      </c>
      <c r="G1120" s="26">
        <v>10.0</v>
      </c>
      <c r="H1120" s="26">
        <v>1.0</v>
      </c>
      <c r="I1120" s="26">
        <v>170.0</v>
      </c>
      <c r="J1120" s="26">
        <v>80.0</v>
      </c>
      <c r="K1120" s="26">
        <v>20.0</v>
      </c>
      <c r="M1120" s="26" t="s">
        <v>449</v>
      </c>
      <c r="N1120" s="26" t="s">
        <v>691</v>
      </c>
    </row>
    <row r="1121">
      <c r="A1121" s="25">
        <v>43295.65609104167</v>
      </c>
      <c r="B1121" s="26" t="s">
        <v>33</v>
      </c>
      <c r="C1121" s="26" t="s">
        <v>922</v>
      </c>
      <c r="D1121" s="26" t="s">
        <v>31</v>
      </c>
      <c r="E1121" s="26">
        <v>280.0</v>
      </c>
      <c r="F1121" s="26" t="s">
        <v>63</v>
      </c>
      <c r="G1121" s="26">
        <v>15.0</v>
      </c>
      <c r="H1121" s="26">
        <v>1.0</v>
      </c>
      <c r="I1121" s="26">
        <v>160000.0</v>
      </c>
      <c r="J1121" s="26">
        <v>40000.0</v>
      </c>
      <c r="K1121" s="26">
        <v>120000.0</v>
      </c>
      <c r="M1121" s="26" t="s">
        <v>449</v>
      </c>
      <c r="N1121" s="26" t="s">
        <v>685</v>
      </c>
    </row>
    <row r="1122">
      <c r="A1122" s="25">
        <v>43295.765984537036</v>
      </c>
      <c r="B1122" s="26" t="s">
        <v>923</v>
      </c>
      <c r="C1122" s="26" t="s">
        <v>43</v>
      </c>
      <c r="D1122" s="26" t="s">
        <v>31</v>
      </c>
      <c r="E1122" s="26">
        <v>203.0</v>
      </c>
      <c r="F1122" s="26" t="s">
        <v>32</v>
      </c>
      <c r="G1122" s="26">
        <v>6.0</v>
      </c>
      <c r="H1122" s="26">
        <v>1.5</v>
      </c>
      <c r="I1122" s="26">
        <v>150000.0</v>
      </c>
      <c r="K1122" s="26">
        <v>27000.0</v>
      </c>
      <c r="L1122" s="26" t="s">
        <v>924</v>
      </c>
      <c r="M1122" s="26" t="s">
        <v>449</v>
      </c>
      <c r="N1122" s="26" t="s">
        <v>685</v>
      </c>
    </row>
    <row r="1123">
      <c r="A1123" s="25">
        <v>43296.01034975694</v>
      </c>
      <c r="B1123" s="26" t="s">
        <v>33</v>
      </c>
      <c r="C1123" s="26" t="s">
        <v>76</v>
      </c>
      <c r="D1123" s="26" t="s">
        <v>31</v>
      </c>
      <c r="E1123" s="26">
        <v>210.0</v>
      </c>
      <c r="F1123" s="26" t="s">
        <v>925</v>
      </c>
      <c r="G1123" s="26">
        <v>8.0</v>
      </c>
      <c r="H1123" s="26">
        <v>0.0</v>
      </c>
      <c r="I1123" s="26">
        <v>150000.0</v>
      </c>
      <c r="K1123" s="26">
        <v>50000.0</v>
      </c>
      <c r="M1123" s="26" t="s">
        <v>449</v>
      </c>
      <c r="N1123" s="26" t="s">
        <v>683</v>
      </c>
    </row>
    <row r="1124">
      <c r="A1124" s="25">
        <v>43296.04183618056</v>
      </c>
      <c r="B1124" s="26" t="s">
        <v>268</v>
      </c>
      <c r="C1124" s="26">
        <v>10.0</v>
      </c>
      <c r="D1124" s="26" t="s">
        <v>31</v>
      </c>
      <c r="E1124" s="26">
        <v>180.0</v>
      </c>
      <c r="F1124" s="26" t="s">
        <v>238</v>
      </c>
      <c r="G1124" s="26">
        <v>13.0</v>
      </c>
      <c r="H1124" s="26">
        <v>6.0</v>
      </c>
      <c r="I1124" s="26">
        <v>155.0</v>
      </c>
      <c r="J1124" s="26">
        <v>10.0</v>
      </c>
      <c r="K1124" s="26">
        <v>15.0</v>
      </c>
      <c r="M1124" s="26" t="s">
        <v>458</v>
      </c>
      <c r="N1124" s="26" t="s">
        <v>704</v>
      </c>
    </row>
    <row r="1125">
      <c r="A1125" s="25">
        <v>43296.13436423611</v>
      </c>
      <c r="B1125" s="26" t="s">
        <v>45</v>
      </c>
      <c r="C1125" s="26" t="s">
        <v>117</v>
      </c>
      <c r="D1125" s="26" t="s">
        <v>31</v>
      </c>
      <c r="E1125" s="26">
        <v>205.0</v>
      </c>
      <c r="F1125" s="26" t="s">
        <v>104</v>
      </c>
      <c r="G1125" s="26">
        <v>0.0</v>
      </c>
      <c r="H1125" s="26">
        <v>0.0</v>
      </c>
      <c r="I1125" s="26">
        <v>125.0</v>
      </c>
      <c r="J1125" s="26">
        <v>70.0</v>
      </c>
      <c r="K1125" s="26">
        <v>10.0</v>
      </c>
      <c r="M1125" s="26" t="s">
        <v>449</v>
      </c>
      <c r="N1125" s="26" t="s">
        <v>704</v>
      </c>
    </row>
    <row r="1126">
      <c r="A1126" s="25">
        <v>43296.38141685185</v>
      </c>
      <c r="B1126" s="26" t="s">
        <v>548</v>
      </c>
      <c r="C1126" s="26" t="s">
        <v>496</v>
      </c>
      <c r="D1126" s="26" t="s">
        <v>31</v>
      </c>
      <c r="E1126" s="26">
        <v>171.0</v>
      </c>
      <c r="F1126" s="26" t="s">
        <v>926</v>
      </c>
      <c r="G1126" s="26">
        <v>20.0</v>
      </c>
      <c r="H1126" s="26">
        <v>8.0</v>
      </c>
      <c r="I1126" s="26">
        <v>154.0</v>
      </c>
      <c r="K1126" s="26">
        <v>17.0</v>
      </c>
      <c r="M1126" s="26" t="s">
        <v>449</v>
      </c>
      <c r="N1126" s="26" t="s">
        <v>708</v>
      </c>
    </row>
    <row r="1127">
      <c r="A1127" s="25">
        <v>43296.40434959491</v>
      </c>
      <c r="B1127" s="26" t="s">
        <v>927</v>
      </c>
      <c r="C1127" s="26" t="s">
        <v>125</v>
      </c>
      <c r="D1127" s="26" t="s">
        <v>31</v>
      </c>
      <c r="E1127" s="26">
        <v>350.0</v>
      </c>
      <c r="F1127" s="26" t="s">
        <v>928</v>
      </c>
      <c r="G1127" s="26">
        <v>13.0</v>
      </c>
      <c r="H1127" s="26">
        <v>1.0</v>
      </c>
      <c r="I1127" s="26">
        <v>220.0</v>
      </c>
      <c r="K1127" s="26">
        <v>130.0</v>
      </c>
      <c r="M1127" s="26" t="s">
        <v>449</v>
      </c>
      <c r="N1127" s="26" t="s">
        <v>685</v>
      </c>
    </row>
    <row r="1128">
      <c r="A1128" s="25">
        <v>43296.44724028935</v>
      </c>
      <c r="B1128" s="26" t="s">
        <v>36</v>
      </c>
      <c r="C1128" s="26" t="s">
        <v>73</v>
      </c>
      <c r="D1128" s="26" t="s">
        <v>31</v>
      </c>
      <c r="E1128" s="26">
        <v>210.0</v>
      </c>
      <c r="F1128" s="26" t="s">
        <v>929</v>
      </c>
      <c r="G1128" s="26">
        <v>4.0</v>
      </c>
      <c r="H1128" s="26">
        <v>0.1</v>
      </c>
      <c r="I1128" s="26">
        <v>150.0</v>
      </c>
      <c r="J1128" s="26">
        <v>50.0</v>
      </c>
      <c r="K1128" s="26">
        <v>15.0</v>
      </c>
      <c r="M1128" s="26" t="s">
        <v>449</v>
      </c>
      <c r="N1128" s="26" t="s">
        <v>683</v>
      </c>
    </row>
    <row r="1129">
      <c r="A1129" s="25">
        <v>43296.49836106482</v>
      </c>
      <c r="B1129" s="26" t="s">
        <v>268</v>
      </c>
      <c r="C1129" s="26" t="s">
        <v>424</v>
      </c>
      <c r="D1129" s="26" t="s">
        <v>31</v>
      </c>
      <c r="E1129" s="26">
        <v>107.0</v>
      </c>
      <c r="F1129" s="26" t="s">
        <v>238</v>
      </c>
      <c r="G1129" s="26">
        <v>1.5</v>
      </c>
      <c r="H1129" s="26">
        <v>1.5</v>
      </c>
      <c r="I1129" s="26">
        <v>102.0</v>
      </c>
      <c r="K1129" s="26">
        <v>5.0</v>
      </c>
      <c r="L1129" s="26" t="s">
        <v>930</v>
      </c>
      <c r="M1129" s="26" t="s">
        <v>449</v>
      </c>
      <c r="N1129" s="26" t="s">
        <v>704</v>
      </c>
    </row>
    <row r="1130">
      <c r="A1130" s="25">
        <v>43296.91236967593</v>
      </c>
      <c r="B1130" s="26" t="s">
        <v>33</v>
      </c>
      <c r="C1130" s="26" t="s">
        <v>43</v>
      </c>
      <c r="D1130" s="26" t="s">
        <v>31</v>
      </c>
      <c r="E1130" s="26">
        <v>190.0</v>
      </c>
      <c r="F1130" s="26" t="s">
        <v>44</v>
      </c>
      <c r="G1130" s="26">
        <v>12.0</v>
      </c>
      <c r="H1130" s="26">
        <v>4.0</v>
      </c>
      <c r="I1130" s="26">
        <v>120.0</v>
      </c>
      <c r="J1130" s="26">
        <v>70.0</v>
      </c>
      <c r="M1130" s="26" t="s">
        <v>449</v>
      </c>
      <c r="N1130" s="26" t="s">
        <v>685</v>
      </c>
    </row>
    <row r="1131">
      <c r="A1131" s="25">
        <v>43296.912792303236</v>
      </c>
      <c r="B1131" s="26" t="s">
        <v>80</v>
      </c>
      <c r="C1131" s="26" t="s">
        <v>43</v>
      </c>
      <c r="D1131" s="26" t="s">
        <v>27</v>
      </c>
      <c r="E1131" s="26">
        <v>298.0</v>
      </c>
      <c r="F1131" s="26" t="s">
        <v>58</v>
      </c>
      <c r="G1131" s="26">
        <v>11.0</v>
      </c>
      <c r="H1131" s="26">
        <v>0.0</v>
      </c>
      <c r="I1131" s="26">
        <v>164000.0</v>
      </c>
      <c r="J1131" s="26">
        <v>110000.0</v>
      </c>
      <c r="K1131" s="26">
        <v>24600.0</v>
      </c>
      <c r="M1131" s="26" t="s">
        <v>458</v>
      </c>
    </row>
    <row r="1132">
      <c r="A1132" s="25">
        <v>43297.3692790625</v>
      </c>
      <c r="B1132" s="27" t="s">
        <v>931</v>
      </c>
      <c r="C1132" s="26" t="s">
        <v>421</v>
      </c>
      <c r="D1132" s="26" t="s">
        <v>31</v>
      </c>
      <c r="E1132" s="26">
        <v>305.0</v>
      </c>
      <c r="F1132" s="26" t="s">
        <v>232</v>
      </c>
      <c r="G1132" s="26">
        <v>12.0</v>
      </c>
      <c r="H1132" s="26">
        <v>1.0</v>
      </c>
      <c r="M1132" s="26" t="s">
        <v>449</v>
      </c>
      <c r="N1132" s="26" t="s">
        <v>696</v>
      </c>
    </row>
    <row r="1133">
      <c r="A1133" s="25">
        <v>43297.385977812504</v>
      </c>
      <c r="B1133" s="26" t="s">
        <v>40</v>
      </c>
      <c r="C1133" s="26">
        <v>63.0</v>
      </c>
      <c r="D1133" s="26" t="s">
        <v>27</v>
      </c>
      <c r="E1133" s="26">
        <v>234.0</v>
      </c>
      <c r="F1133" s="26" t="s">
        <v>75</v>
      </c>
      <c r="G1133" s="26">
        <v>3.0</v>
      </c>
      <c r="H1133" s="26">
        <v>0.0</v>
      </c>
      <c r="I1133" s="26">
        <v>160000.0</v>
      </c>
      <c r="J1133" s="26">
        <v>50000.0</v>
      </c>
      <c r="K1133" s="26">
        <v>24000.0</v>
      </c>
      <c r="L1133" s="26" t="s">
        <v>932</v>
      </c>
      <c r="M1133" s="26" t="s">
        <v>449</v>
      </c>
      <c r="N1133" s="26" t="s">
        <v>685</v>
      </c>
    </row>
    <row r="1134">
      <c r="A1134" s="25">
        <v>43297.60582873842</v>
      </c>
      <c r="B1134" s="26" t="s">
        <v>933</v>
      </c>
      <c r="C1134" s="26" t="s">
        <v>877</v>
      </c>
      <c r="D1134" s="26" t="s">
        <v>31</v>
      </c>
      <c r="E1134" s="26">
        <v>199.0</v>
      </c>
      <c r="F1134" s="26" t="s">
        <v>934</v>
      </c>
      <c r="G1134" s="26">
        <v>19.0</v>
      </c>
      <c r="H1134" s="26">
        <v>2.0</v>
      </c>
      <c r="I1134" s="26">
        <v>167000.0</v>
      </c>
      <c r="K1134" s="26">
        <v>20.0</v>
      </c>
      <c r="M1134" s="26" t="s">
        <v>449</v>
      </c>
      <c r="N1134" s="26" t="s">
        <v>685</v>
      </c>
    </row>
    <row r="1135">
      <c r="A1135" s="25">
        <v>43297.64805604167</v>
      </c>
      <c r="B1135" s="26" t="s">
        <v>187</v>
      </c>
      <c r="C1135" s="26">
        <v>5.0</v>
      </c>
      <c r="D1135" s="26" t="s">
        <v>31</v>
      </c>
      <c r="E1135" s="26">
        <v>205.0</v>
      </c>
      <c r="F1135" s="26" t="s">
        <v>58</v>
      </c>
      <c r="G1135" s="26">
        <v>10.0</v>
      </c>
      <c r="H1135" s="26">
        <v>4.0</v>
      </c>
      <c r="I1135" s="26">
        <v>125.0</v>
      </c>
      <c r="J1135" s="26">
        <v>80.0</v>
      </c>
      <c r="K1135" s="26">
        <v>1.0</v>
      </c>
      <c r="L1135" s="26" t="s">
        <v>935</v>
      </c>
      <c r="M1135" s="26" t="s">
        <v>449</v>
      </c>
      <c r="N1135" s="26" t="s">
        <v>936</v>
      </c>
    </row>
    <row r="1136">
      <c r="A1136" s="25">
        <v>43297.84143959491</v>
      </c>
      <c r="B1136" s="26" t="s">
        <v>937</v>
      </c>
      <c r="C1136" s="26" t="s">
        <v>938</v>
      </c>
      <c r="D1136" s="26" t="s">
        <v>711</v>
      </c>
      <c r="E1136" s="26">
        <v>185.0</v>
      </c>
      <c r="F1136" s="26" t="s">
        <v>939</v>
      </c>
      <c r="G1136" s="26">
        <v>8.0</v>
      </c>
      <c r="H1136" s="26">
        <v>2.0</v>
      </c>
      <c r="I1136" s="26">
        <v>150.0</v>
      </c>
      <c r="J1136" s="26">
        <v>20000.0</v>
      </c>
      <c r="K1136" s="26">
        <v>15000.0</v>
      </c>
      <c r="M1136" s="26" t="s">
        <v>449</v>
      </c>
      <c r="N1136" s="26" t="s">
        <v>940</v>
      </c>
    </row>
    <row r="1137">
      <c r="A1137" s="25">
        <v>43297.96576042824</v>
      </c>
      <c r="B1137" s="26" t="s">
        <v>33</v>
      </c>
      <c r="C1137" s="26" t="s">
        <v>62</v>
      </c>
      <c r="D1137" s="26" t="s">
        <v>31</v>
      </c>
      <c r="E1137" s="26">
        <v>275.0</v>
      </c>
      <c r="F1137" s="26" t="s">
        <v>63</v>
      </c>
      <c r="G1137" s="26">
        <v>8.0</v>
      </c>
      <c r="H1137" s="26">
        <v>6.0</v>
      </c>
      <c r="I1137" s="26">
        <v>145.0</v>
      </c>
      <c r="J1137" s="26">
        <v>130.0</v>
      </c>
      <c r="M1137" s="26" t="s">
        <v>449</v>
      </c>
      <c r="N1137" s="26" t="s">
        <v>685</v>
      </c>
    </row>
    <row r="1138">
      <c r="A1138" s="25">
        <v>43298.310619502314</v>
      </c>
      <c r="B1138" s="26" t="s">
        <v>168</v>
      </c>
      <c r="C1138" s="26" t="s">
        <v>374</v>
      </c>
      <c r="D1138" s="26" t="s">
        <v>31</v>
      </c>
      <c r="E1138" s="26">
        <v>182.0</v>
      </c>
      <c r="F1138" s="26" t="s">
        <v>133</v>
      </c>
      <c r="G1138" s="26">
        <v>10.0</v>
      </c>
      <c r="H1138" s="26">
        <v>8.0</v>
      </c>
      <c r="I1138" s="26">
        <v>155000.0</v>
      </c>
      <c r="J1138" s="26">
        <v>7000.0</v>
      </c>
      <c r="K1138" s="26">
        <v>20000.0</v>
      </c>
      <c r="M1138" s="26" t="s">
        <v>449</v>
      </c>
      <c r="N1138" s="26" t="s">
        <v>683</v>
      </c>
    </row>
    <row r="1139">
      <c r="A1139" s="25">
        <v>43298.32339855324</v>
      </c>
      <c r="B1139" s="26" t="s">
        <v>941</v>
      </c>
      <c r="C1139" s="26" t="s">
        <v>496</v>
      </c>
      <c r="D1139" s="26" t="s">
        <v>713</v>
      </c>
      <c r="E1139" s="26">
        <v>260.0</v>
      </c>
      <c r="F1139" s="26" t="s">
        <v>94</v>
      </c>
      <c r="G1139" s="26">
        <v>20.0</v>
      </c>
      <c r="H1139" s="26">
        <v>3.0</v>
      </c>
      <c r="I1139" s="26">
        <v>250000.0</v>
      </c>
      <c r="K1139" s="26">
        <v>10000.0</v>
      </c>
      <c r="M1139" s="26" t="s">
        <v>449</v>
      </c>
      <c r="N1139" s="26" t="s">
        <v>726</v>
      </c>
    </row>
    <row r="1140">
      <c r="A1140" s="25">
        <v>43298.36460238426</v>
      </c>
      <c r="B1140" s="26" t="s">
        <v>40</v>
      </c>
      <c r="C1140" s="26" t="s">
        <v>110</v>
      </c>
      <c r="D1140" s="26" t="s">
        <v>31</v>
      </c>
      <c r="E1140" s="26">
        <v>162.0</v>
      </c>
      <c r="F1140" s="26" t="s">
        <v>52</v>
      </c>
      <c r="G1140" s="26">
        <v>4.0</v>
      </c>
      <c r="H1140" s="26">
        <v>4.0</v>
      </c>
      <c r="I1140" s="26">
        <v>126.0</v>
      </c>
      <c r="J1140" s="26">
        <v>20.0</v>
      </c>
      <c r="K1140" s="26">
        <v>16.0</v>
      </c>
      <c r="M1140" s="26" t="s">
        <v>449</v>
      </c>
      <c r="N1140" s="26" t="s">
        <v>942</v>
      </c>
    </row>
    <row r="1141">
      <c r="A1141" s="25">
        <v>43298.59731216435</v>
      </c>
      <c r="B1141" s="26" t="s">
        <v>350</v>
      </c>
      <c r="C1141" s="26" t="s">
        <v>351</v>
      </c>
      <c r="D1141" s="26" t="s">
        <v>31</v>
      </c>
      <c r="E1141" s="26">
        <v>130.0</v>
      </c>
      <c r="F1141" s="26" t="s">
        <v>571</v>
      </c>
      <c r="G1141" s="26">
        <v>2.0</v>
      </c>
      <c r="H1141" s="26">
        <v>1.0</v>
      </c>
      <c r="I1141" s="26">
        <v>115.0</v>
      </c>
      <c r="K1141" s="26">
        <v>15.0</v>
      </c>
      <c r="M1141" s="26" t="s">
        <v>449</v>
      </c>
      <c r="N1141" s="26" t="s">
        <v>685</v>
      </c>
    </row>
    <row r="1142">
      <c r="A1142" s="25">
        <v>43298.6971746412</v>
      </c>
      <c r="B1142" s="26" t="s">
        <v>33</v>
      </c>
      <c r="C1142" s="26" t="s">
        <v>73</v>
      </c>
      <c r="D1142" s="26" t="s">
        <v>31</v>
      </c>
      <c r="E1142" s="26">
        <v>129.0</v>
      </c>
      <c r="F1142" s="26" t="s">
        <v>360</v>
      </c>
      <c r="G1142" s="26">
        <v>3.0</v>
      </c>
      <c r="H1142" s="26">
        <v>1.0</v>
      </c>
      <c r="I1142" s="26">
        <v>107.0</v>
      </c>
      <c r="J1142" s="26">
        <v>9.0</v>
      </c>
      <c r="K1142" s="26">
        <v>20.0</v>
      </c>
      <c r="M1142" s="26" t="s">
        <v>449</v>
      </c>
      <c r="N1142" s="26" t="s">
        <v>757</v>
      </c>
    </row>
    <row r="1143">
      <c r="A1143" s="25">
        <v>43298.75971378472</v>
      </c>
      <c r="B1143" s="26" t="s">
        <v>40</v>
      </c>
      <c r="C1143" s="26">
        <v>62.0</v>
      </c>
      <c r="D1143" s="26" t="s">
        <v>31</v>
      </c>
      <c r="E1143" s="26">
        <v>200.0</v>
      </c>
      <c r="F1143" s="26" t="s">
        <v>63</v>
      </c>
      <c r="G1143" s="26">
        <v>5.0</v>
      </c>
      <c r="H1143" s="26">
        <v>3.5</v>
      </c>
      <c r="M1143" s="26" t="s">
        <v>449</v>
      </c>
      <c r="N1143" s="26" t="s">
        <v>685</v>
      </c>
    </row>
    <row r="1144">
      <c r="A1144" s="25">
        <v>43298.78433091435</v>
      </c>
      <c r="B1144" s="26" t="s">
        <v>256</v>
      </c>
      <c r="C1144" s="26" t="s">
        <v>353</v>
      </c>
      <c r="D1144" s="26" t="s">
        <v>31</v>
      </c>
      <c r="E1144" s="26">
        <v>185.0</v>
      </c>
      <c r="F1144" s="26" t="s">
        <v>32</v>
      </c>
      <c r="G1144" s="26">
        <v>1.0</v>
      </c>
      <c r="H1144" s="26">
        <v>1.0</v>
      </c>
      <c r="I1144" s="26">
        <v>119400.0</v>
      </c>
      <c r="J1144" s="26">
        <v>60000.0</v>
      </c>
      <c r="K1144" s="26">
        <v>6000.0</v>
      </c>
      <c r="M1144" s="26" t="s">
        <v>449</v>
      </c>
      <c r="N1144" s="26" t="s">
        <v>685</v>
      </c>
    </row>
    <row r="1145">
      <c r="A1145" s="25">
        <v>43298.97755576389</v>
      </c>
      <c r="B1145" s="26" t="s">
        <v>33</v>
      </c>
      <c r="C1145" s="26" t="s">
        <v>73</v>
      </c>
      <c r="D1145" s="26" t="s">
        <v>31</v>
      </c>
      <c r="E1145" s="26">
        <v>150.0</v>
      </c>
      <c r="F1145" s="26" t="s">
        <v>35</v>
      </c>
      <c r="G1145" s="26">
        <v>2.5</v>
      </c>
      <c r="H1145" s="26">
        <v>2.5</v>
      </c>
      <c r="I1145" s="26">
        <v>100000.0</v>
      </c>
      <c r="J1145" s="26">
        <v>50000.0</v>
      </c>
      <c r="M1145" s="26" t="s">
        <v>449</v>
      </c>
      <c r="N1145" s="26" t="s">
        <v>685</v>
      </c>
    </row>
    <row r="1146">
      <c r="A1146" s="25">
        <v>43299.026344108795</v>
      </c>
      <c r="B1146" s="26" t="s">
        <v>473</v>
      </c>
      <c r="C1146" s="26" t="s">
        <v>943</v>
      </c>
      <c r="D1146" s="26" t="s">
        <v>31</v>
      </c>
      <c r="E1146" s="26">
        <v>162.0</v>
      </c>
      <c r="F1146" s="26" t="s">
        <v>94</v>
      </c>
      <c r="G1146" s="26">
        <v>7.0</v>
      </c>
      <c r="H1146" s="26">
        <v>7.0</v>
      </c>
      <c r="I1146" s="26">
        <v>162000.0</v>
      </c>
      <c r="M1146" s="26" t="s">
        <v>449</v>
      </c>
      <c r="N1146" s="26" t="s">
        <v>685</v>
      </c>
    </row>
    <row r="1147">
      <c r="A1147" s="25">
        <v>43299.245965243055</v>
      </c>
      <c r="B1147" s="26" t="s">
        <v>944</v>
      </c>
      <c r="C1147" s="26" t="s">
        <v>306</v>
      </c>
      <c r="D1147" s="26" t="s">
        <v>41</v>
      </c>
      <c r="E1147" s="26">
        <v>132.0</v>
      </c>
      <c r="F1147" s="26" t="s">
        <v>945</v>
      </c>
      <c r="G1147" s="26">
        <v>6.5</v>
      </c>
      <c r="H1147" s="26">
        <v>6.5</v>
      </c>
      <c r="I1147" s="26">
        <v>125.0</v>
      </c>
      <c r="K1147" s="26">
        <v>10000.0</v>
      </c>
      <c r="M1147" s="26" t="s">
        <v>458</v>
      </c>
      <c r="N1147" s="26" t="s">
        <v>946</v>
      </c>
    </row>
    <row r="1148">
      <c r="A1148" s="25">
        <v>43299.376262060185</v>
      </c>
      <c r="B1148" s="26" t="s">
        <v>40</v>
      </c>
      <c r="C1148" s="26">
        <v>63.0</v>
      </c>
      <c r="D1148" s="26" t="s">
        <v>31</v>
      </c>
      <c r="E1148" s="26">
        <v>200.0</v>
      </c>
      <c r="F1148" s="26" t="s">
        <v>75</v>
      </c>
      <c r="G1148" s="26">
        <v>6.0</v>
      </c>
      <c r="H1148" s="26">
        <v>6.0</v>
      </c>
      <c r="I1148" s="26">
        <v>160000.0</v>
      </c>
      <c r="J1148" s="26">
        <v>22000.0</v>
      </c>
      <c r="K1148" s="26">
        <v>18000.0</v>
      </c>
      <c r="M1148" s="26" t="s">
        <v>449</v>
      </c>
      <c r="N1148" s="26" t="s">
        <v>685</v>
      </c>
    </row>
    <row r="1149">
      <c r="A1149" s="25">
        <v>43299.45804172454</v>
      </c>
      <c r="B1149" s="26" t="s">
        <v>33</v>
      </c>
      <c r="C1149" s="26" t="s">
        <v>73</v>
      </c>
      <c r="D1149" s="26" t="s">
        <v>31</v>
      </c>
      <c r="E1149" s="26">
        <v>180.0</v>
      </c>
      <c r="F1149" s="26" t="s">
        <v>175</v>
      </c>
      <c r="G1149" s="26">
        <v>0.0</v>
      </c>
      <c r="H1149" s="26">
        <v>1.0</v>
      </c>
      <c r="I1149" s="26">
        <v>140.0</v>
      </c>
      <c r="M1149" s="26" t="s">
        <v>449</v>
      </c>
      <c r="N1149" s="26" t="s">
        <v>691</v>
      </c>
    </row>
    <row r="1150">
      <c r="A1150" s="25">
        <v>43299.58616331019</v>
      </c>
      <c r="B1150" s="26" t="s">
        <v>123</v>
      </c>
      <c r="C1150" s="26" t="s">
        <v>37</v>
      </c>
      <c r="D1150" s="26" t="s">
        <v>31</v>
      </c>
      <c r="E1150" s="26">
        <v>260.0</v>
      </c>
      <c r="F1150" s="26" t="s">
        <v>58</v>
      </c>
      <c r="G1150" s="26">
        <v>8.0</v>
      </c>
      <c r="H1150" s="26">
        <v>0.0</v>
      </c>
      <c r="I1150" s="26">
        <v>160.0</v>
      </c>
      <c r="J1150" s="26">
        <v>300.0</v>
      </c>
      <c r="K1150" s="26">
        <v>16.0</v>
      </c>
      <c r="M1150" s="26" t="s">
        <v>449</v>
      </c>
      <c r="N1150" s="26" t="s">
        <v>683</v>
      </c>
    </row>
    <row r="1151">
      <c r="A1151" s="25">
        <v>43299.61649195602</v>
      </c>
      <c r="B1151" s="26" t="s">
        <v>270</v>
      </c>
      <c r="C1151" s="26" t="s">
        <v>947</v>
      </c>
      <c r="D1151" s="26" t="s">
        <v>31</v>
      </c>
      <c r="E1151" s="26">
        <v>535.0</v>
      </c>
      <c r="F1151" s="26" t="s">
        <v>32</v>
      </c>
      <c r="G1151" s="26">
        <v>18.0</v>
      </c>
      <c r="H1151" s="26">
        <v>2.0</v>
      </c>
      <c r="I1151" s="26">
        <v>191000.0</v>
      </c>
      <c r="J1151" s="26">
        <v>154000.0</v>
      </c>
      <c r="K1151" s="26">
        <v>38200.0</v>
      </c>
      <c r="M1151" s="26" t="s">
        <v>449</v>
      </c>
      <c r="N1151" s="26" t="s">
        <v>685</v>
      </c>
    </row>
    <row r="1152">
      <c r="A1152" s="25">
        <v>43299.70273200232</v>
      </c>
      <c r="B1152" s="26" t="s">
        <v>40</v>
      </c>
      <c r="C1152" s="26">
        <v>65.0</v>
      </c>
      <c r="D1152" s="26" t="s">
        <v>41</v>
      </c>
      <c r="E1152" s="26">
        <v>310.0</v>
      </c>
      <c r="F1152" s="26" t="s">
        <v>63</v>
      </c>
      <c r="G1152" s="26">
        <v>15.0</v>
      </c>
      <c r="H1152" s="26">
        <v>12.0</v>
      </c>
      <c r="I1152" s="26">
        <v>190.0</v>
      </c>
      <c r="J1152" s="26">
        <v>56.0</v>
      </c>
      <c r="K1152" s="26">
        <v>57.0</v>
      </c>
      <c r="M1152" s="26" t="s">
        <v>449</v>
      </c>
      <c r="N1152" s="26" t="s">
        <v>685</v>
      </c>
    </row>
    <row r="1153">
      <c r="A1153" s="25">
        <v>43299.76116334491</v>
      </c>
      <c r="B1153" s="26" t="s">
        <v>463</v>
      </c>
      <c r="C1153" s="26" t="s">
        <v>78</v>
      </c>
      <c r="D1153" s="26" t="s">
        <v>31</v>
      </c>
      <c r="E1153" s="26">
        <v>210.0</v>
      </c>
      <c r="F1153" s="26" t="s">
        <v>948</v>
      </c>
      <c r="G1153" s="26">
        <v>8.0</v>
      </c>
      <c r="H1153" s="26">
        <v>2.5</v>
      </c>
      <c r="I1153" s="26">
        <v>170.0</v>
      </c>
      <c r="J1153" s="26">
        <v>40.0</v>
      </c>
      <c r="M1153" s="26" t="s">
        <v>449</v>
      </c>
      <c r="N1153" s="26" t="s">
        <v>817</v>
      </c>
    </row>
    <row r="1154">
      <c r="A1154" s="25">
        <v>43299.78050097222</v>
      </c>
      <c r="B1154" s="26" t="s">
        <v>77</v>
      </c>
      <c r="C1154" s="26" t="s">
        <v>184</v>
      </c>
      <c r="D1154" s="26" t="s">
        <v>31</v>
      </c>
      <c r="E1154" s="26">
        <v>140.0</v>
      </c>
      <c r="F1154" s="26" t="s">
        <v>32</v>
      </c>
      <c r="G1154" s="26">
        <v>7.0</v>
      </c>
      <c r="H1154" s="26">
        <v>3.0</v>
      </c>
      <c r="I1154" s="26">
        <v>117500.0</v>
      </c>
      <c r="J1154" s="26">
        <v>5000.0</v>
      </c>
      <c r="K1154" s="26">
        <v>17625.0</v>
      </c>
      <c r="M1154" s="26" t="s">
        <v>449</v>
      </c>
      <c r="N1154" s="26" t="s">
        <v>857</v>
      </c>
    </row>
    <row r="1155">
      <c r="A1155" s="25">
        <v>43299.81774557871</v>
      </c>
      <c r="B1155" s="26" t="s">
        <v>200</v>
      </c>
      <c r="C1155" s="26" t="s">
        <v>949</v>
      </c>
      <c r="D1155" s="26" t="s">
        <v>31</v>
      </c>
      <c r="E1155" s="26">
        <v>292.0</v>
      </c>
      <c r="F1155" s="26" t="s">
        <v>72</v>
      </c>
      <c r="G1155" s="26">
        <v>6.0</v>
      </c>
      <c r="H1155" s="26">
        <v>3.5</v>
      </c>
      <c r="I1155" s="26">
        <v>163000.0</v>
      </c>
      <c r="J1155" s="26">
        <v>117.5</v>
      </c>
      <c r="M1155" s="26" t="s">
        <v>449</v>
      </c>
      <c r="N1155" s="26" t="s">
        <v>685</v>
      </c>
    </row>
    <row r="1156">
      <c r="A1156" s="25">
        <v>43299.901759768516</v>
      </c>
      <c r="B1156" s="26" t="s">
        <v>263</v>
      </c>
      <c r="C1156" s="26" t="s">
        <v>37</v>
      </c>
      <c r="D1156" s="26" t="s">
        <v>31</v>
      </c>
      <c r="E1156" s="26">
        <v>227.0</v>
      </c>
      <c r="F1156" s="26" t="s">
        <v>35</v>
      </c>
      <c r="G1156" s="26">
        <v>4.0</v>
      </c>
      <c r="H1156" s="26">
        <v>3.0</v>
      </c>
      <c r="I1156" s="26">
        <v>140000.0</v>
      </c>
      <c r="J1156" s="26">
        <v>73000.0</v>
      </c>
      <c r="K1156" s="26">
        <v>14000.0</v>
      </c>
      <c r="M1156" s="26" t="s">
        <v>449</v>
      </c>
    </row>
    <row r="1157">
      <c r="A1157" s="25">
        <v>43299.9644605787</v>
      </c>
      <c r="B1157" s="26" t="s">
        <v>950</v>
      </c>
      <c r="C1157" s="26" t="s">
        <v>116</v>
      </c>
      <c r="D1157" s="26" t="s">
        <v>31</v>
      </c>
      <c r="E1157" s="26">
        <v>400.0</v>
      </c>
      <c r="F1157" s="26" t="s">
        <v>92</v>
      </c>
      <c r="G1157" s="26">
        <v>10.0</v>
      </c>
      <c r="H1157" s="26">
        <v>5.0</v>
      </c>
      <c r="I1157" s="26">
        <v>180.0</v>
      </c>
      <c r="K1157" s="26">
        <v>16.0</v>
      </c>
      <c r="M1157" s="26" t="s">
        <v>458</v>
      </c>
      <c r="N1157" s="26" t="s">
        <v>699</v>
      </c>
    </row>
    <row r="1158">
      <c r="A1158" s="25">
        <v>43299.98331459491</v>
      </c>
      <c r="B1158" s="26" t="s">
        <v>819</v>
      </c>
      <c r="C1158" s="26" t="s">
        <v>141</v>
      </c>
      <c r="D1158" s="26" t="s">
        <v>31</v>
      </c>
      <c r="E1158" s="26">
        <v>190.0</v>
      </c>
      <c r="F1158" s="26" t="s">
        <v>35</v>
      </c>
      <c r="G1158" s="26">
        <v>5.0</v>
      </c>
      <c r="H1158" s="26">
        <v>3.5</v>
      </c>
      <c r="I1158" s="26">
        <v>140.0</v>
      </c>
      <c r="J1158" s="26">
        <v>30.0</v>
      </c>
      <c r="K1158" s="26">
        <v>20.0</v>
      </c>
      <c r="M1158" s="26" t="s">
        <v>449</v>
      </c>
      <c r="N1158" s="26" t="s">
        <v>685</v>
      </c>
    </row>
    <row r="1159">
      <c r="A1159" s="25">
        <v>43300.43315773148</v>
      </c>
      <c r="B1159" s="26" t="s">
        <v>48</v>
      </c>
      <c r="C1159" s="26" t="s">
        <v>69</v>
      </c>
      <c r="D1159" s="26" t="s">
        <v>31</v>
      </c>
      <c r="E1159" s="26">
        <v>203.0</v>
      </c>
      <c r="F1159" s="26" t="s">
        <v>50</v>
      </c>
      <c r="G1159" s="26">
        <v>1.0</v>
      </c>
      <c r="H1159" s="26">
        <v>0.0</v>
      </c>
      <c r="I1159" s="26">
        <v>115.0</v>
      </c>
      <c r="J1159" s="26">
        <v>37.5</v>
      </c>
      <c r="K1159" s="26">
        <v>50.0</v>
      </c>
      <c r="M1159" s="26" t="s">
        <v>449</v>
      </c>
      <c r="N1159" s="26" t="s">
        <v>685</v>
      </c>
    </row>
    <row r="1160">
      <c r="A1160" s="25">
        <v>43300.44769505787</v>
      </c>
      <c r="B1160" s="26" t="s">
        <v>146</v>
      </c>
      <c r="C1160" s="26">
        <v>3.0</v>
      </c>
      <c r="D1160" s="26" t="s">
        <v>31</v>
      </c>
      <c r="E1160" s="26">
        <v>215.0</v>
      </c>
      <c r="F1160" s="26" t="s">
        <v>47</v>
      </c>
      <c r="G1160" s="26">
        <v>4.0</v>
      </c>
      <c r="H1160" s="26">
        <v>0.0</v>
      </c>
      <c r="I1160" s="26">
        <v>150.0</v>
      </c>
      <c r="J1160" s="26">
        <v>50.0</v>
      </c>
      <c r="K1160" s="26">
        <v>15.0</v>
      </c>
      <c r="M1160" s="26" t="s">
        <v>449</v>
      </c>
    </row>
    <row r="1161">
      <c r="A1161" s="25">
        <v>43300.76515839121</v>
      </c>
      <c r="B1161" s="26" t="s">
        <v>40</v>
      </c>
      <c r="C1161" s="26">
        <v>61.0</v>
      </c>
      <c r="D1161" s="26" t="s">
        <v>31</v>
      </c>
      <c r="E1161" s="26">
        <v>196.0</v>
      </c>
      <c r="F1161" s="26" t="s">
        <v>550</v>
      </c>
      <c r="G1161" s="26">
        <v>5.0</v>
      </c>
      <c r="H1161" s="26">
        <v>1.0</v>
      </c>
      <c r="M1161" s="26" t="s">
        <v>449</v>
      </c>
      <c r="N1161" s="26" t="s">
        <v>715</v>
      </c>
    </row>
    <row r="1162">
      <c r="A1162" s="25">
        <v>43300.793272118055</v>
      </c>
      <c r="B1162" s="26" t="s">
        <v>48</v>
      </c>
      <c r="C1162" s="26" t="s">
        <v>166</v>
      </c>
      <c r="D1162" s="26" t="s">
        <v>31</v>
      </c>
      <c r="E1162" s="26">
        <v>350.0</v>
      </c>
      <c r="F1162" s="26" t="s">
        <v>63</v>
      </c>
      <c r="G1162" s="26">
        <v>10.0</v>
      </c>
      <c r="H1162" s="26">
        <v>1.0</v>
      </c>
      <c r="I1162" s="26">
        <v>180000.0</v>
      </c>
      <c r="J1162" s="26">
        <v>150000.0</v>
      </c>
      <c r="K1162" s="26">
        <v>27000.0</v>
      </c>
      <c r="L1162" s="26" t="s">
        <v>951</v>
      </c>
      <c r="M1162" s="26" t="s">
        <v>449</v>
      </c>
      <c r="N1162" s="26" t="s">
        <v>683</v>
      </c>
    </row>
    <row r="1163">
      <c r="A1163" s="25">
        <v>43300.807583333335</v>
      </c>
      <c r="B1163" s="26" t="s">
        <v>119</v>
      </c>
      <c r="C1163" s="26" t="s">
        <v>82</v>
      </c>
      <c r="D1163" s="26" t="s">
        <v>31</v>
      </c>
      <c r="E1163" s="26">
        <v>200.0</v>
      </c>
      <c r="F1163" s="26" t="s">
        <v>35</v>
      </c>
      <c r="G1163" s="26">
        <v>7.0</v>
      </c>
      <c r="H1163" s="26">
        <v>2.0</v>
      </c>
      <c r="I1163" s="26">
        <v>154500.0</v>
      </c>
      <c r="M1163" s="26" t="s">
        <v>449</v>
      </c>
      <c r="N1163" s="26" t="s">
        <v>704</v>
      </c>
    </row>
    <row r="1164">
      <c r="A1164" s="25">
        <v>43300.84280802083</v>
      </c>
      <c r="B1164" s="26" t="s">
        <v>33</v>
      </c>
      <c r="C1164" s="26" t="s">
        <v>34</v>
      </c>
      <c r="D1164" s="26" t="s">
        <v>27</v>
      </c>
      <c r="E1164" s="26">
        <v>373.0</v>
      </c>
      <c r="F1164" s="26" t="s">
        <v>63</v>
      </c>
      <c r="G1164" s="26">
        <v>15.0</v>
      </c>
      <c r="H1164" s="26">
        <v>0.0</v>
      </c>
      <c r="I1164" s="26">
        <v>160.0</v>
      </c>
      <c r="M1164" s="26" t="s">
        <v>449</v>
      </c>
      <c r="N1164" s="26" t="s">
        <v>704</v>
      </c>
    </row>
    <row r="1165">
      <c r="A1165" s="25">
        <v>43301.0357146875</v>
      </c>
      <c r="B1165" s="26" t="s">
        <v>350</v>
      </c>
      <c r="C1165" s="26" t="s">
        <v>952</v>
      </c>
      <c r="D1165" s="26" t="s">
        <v>41</v>
      </c>
      <c r="E1165" s="26">
        <v>278.0</v>
      </c>
      <c r="F1165" s="26" t="s">
        <v>32</v>
      </c>
      <c r="G1165" s="26">
        <v>13.0</v>
      </c>
      <c r="H1165" s="26">
        <v>3.0</v>
      </c>
      <c r="I1165" s="26">
        <v>230.0</v>
      </c>
      <c r="J1165" s="26">
        <v>7.0</v>
      </c>
      <c r="K1165" s="26">
        <v>50.0</v>
      </c>
      <c r="M1165" s="26" t="s">
        <v>449</v>
      </c>
      <c r="N1165" s="26" t="s">
        <v>683</v>
      </c>
    </row>
    <row r="1166">
      <c r="A1166" s="25">
        <v>43301.06960265046</v>
      </c>
      <c r="B1166" s="26" t="s">
        <v>48</v>
      </c>
      <c r="C1166" s="26" t="s">
        <v>953</v>
      </c>
      <c r="D1166" s="26" t="s">
        <v>27</v>
      </c>
      <c r="E1166" s="26">
        <v>650.0</v>
      </c>
      <c r="F1166" s="26" t="s">
        <v>50</v>
      </c>
      <c r="G1166" s="26">
        <v>13.0</v>
      </c>
      <c r="H1166" s="26">
        <v>6.5</v>
      </c>
      <c r="N1166" s="26" t="s">
        <v>683</v>
      </c>
    </row>
    <row r="1167">
      <c r="A1167" s="25">
        <v>43301.07085069444</v>
      </c>
      <c r="B1167" s="26" t="s">
        <v>258</v>
      </c>
      <c r="C1167" s="26" t="s">
        <v>954</v>
      </c>
      <c r="D1167" s="26" t="s">
        <v>27</v>
      </c>
      <c r="E1167" s="26">
        <v>585.0</v>
      </c>
      <c r="F1167" s="26" t="s">
        <v>58</v>
      </c>
      <c r="G1167" s="26">
        <v>13.0</v>
      </c>
      <c r="H1167" s="26">
        <v>0.0</v>
      </c>
      <c r="N1167" s="26" t="s">
        <v>683</v>
      </c>
    </row>
    <row r="1168">
      <c r="A1168" s="25">
        <v>43301.47967289352</v>
      </c>
      <c r="B1168" s="26" t="s">
        <v>40</v>
      </c>
      <c r="C1168" s="26" t="s">
        <v>592</v>
      </c>
      <c r="D1168" s="26" t="s">
        <v>31</v>
      </c>
      <c r="E1168" s="26">
        <v>163.0</v>
      </c>
      <c r="F1168" s="26" t="s">
        <v>75</v>
      </c>
      <c r="G1168" s="26">
        <v>0.0</v>
      </c>
      <c r="H1168" s="26">
        <v>0.0</v>
      </c>
      <c r="I1168" s="26">
        <v>108.0</v>
      </c>
      <c r="J1168" s="26">
        <v>30.0</v>
      </c>
      <c r="K1168" s="26">
        <v>20.0</v>
      </c>
      <c r="L1168" s="26" t="s">
        <v>955</v>
      </c>
      <c r="M1168" s="26" t="s">
        <v>449</v>
      </c>
      <c r="N1168" s="26" t="s">
        <v>683</v>
      </c>
    </row>
    <row r="1169">
      <c r="A1169" s="25">
        <v>43301.50069059028</v>
      </c>
      <c r="B1169" s="26" t="s">
        <v>371</v>
      </c>
      <c r="C1169" s="26" t="s">
        <v>369</v>
      </c>
      <c r="D1169" s="26" t="s">
        <v>31</v>
      </c>
      <c r="E1169" s="26">
        <v>145.0</v>
      </c>
      <c r="F1169" s="26" t="s">
        <v>956</v>
      </c>
      <c r="G1169" s="26">
        <v>4.0</v>
      </c>
      <c r="H1169" s="26">
        <v>4.0</v>
      </c>
      <c r="I1169" s="26">
        <v>110000.0</v>
      </c>
      <c r="J1169" s="26">
        <v>27000.0</v>
      </c>
      <c r="K1169" s="26">
        <v>8000.0</v>
      </c>
      <c r="M1169" s="26" t="s">
        <v>449</v>
      </c>
    </row>
    <row r="1170">
      <c r="A1170" s="25">
        <v>43301.50285135416</v>
      </c>
      <c r="B1170" s="26" t="s">
        <v>371</v>
      </c>
      <c r="C1170" s="26" t="s">
        <v>831</v>
      </c>
      <c r="D1170" s="26" t="s">
        <v>31</v>
      </c>
      <c r="E1170" s="26">
        <v>204.0</v>
      </c>
      <c r="F1170" s="26" t="s">
        <v>327</v>
      </c>
      <c r="G1170" s="26">
        <v>10.0</v>
      </c>
      <c r="H1170" s="26">
        <v>10.0</v>
      </c>
      <c r="I1170" s="26">
        <v>147000.0</v>
      </c>
      <c r="J1170" s="26">
        <v>45000.0</v>
      </c>
      <c r="K1170" s="26">
        <v>12000.0</v>
      </c>
      <c r="M1170" s="26" t="s">
        <v>458</v>
      </c>
    </row>
    <row r="1171">
      <c r="A1171" s="25">
        <v>43301.70304112269</v>
      </c>
      <c r="B1171" s="26" t="s">
        <v>40</v>
      </c>
      <c r="C1171" s="26">
        <v>61.0</v>
      </c>
      <c r="D1171" s="26" t="s">
        <v>31</v>
      </c>
      <c r="E1171" s="26">
        <v>185.0</v>
      </c>
      <c r="F1171" s="26" t="s">
        <v>63</v>
      </c>
      <c r="G1171" s="26">
        <v>4.0</v>
      </c>
      <c r="H1171" s="26">
        <v>0.0</v>
      </c>
      <c r="I1171" s="26">
        <v>133000.0</v>
      </c>
      <c r="J1171" s="26">
        <v>18500.0</v>
      </c>
      <c r="K1171" s="26">
        <v>33300.0</v>
      </c>
      <c r="L1171" s="26" t="s">
        <v>957</v>
      </c>
      <c r="M1171" s="26" t="s">
        <v>449</v>
      </c>
      <c r="N1171" s="26" t="s">
        <v>683</v>
      </c>
    </row>
    <row r="1172">
      <c r="A1172" s="25">
        <v>43301.85548788194</v>
      </c>
      <c r="B1172" s="26" t="s">
        <v>33</v>
      </c>
      <c r="C1172" s="26" t="s">
        <v>73</v>
      </c>
      <c r="D1172" s="26" t="s">
        <v>31</v>
      </c>
      <c r="E1172" s="26">
        <v>255.0</v>
      </c>
      <c r="F1172" s="26" t="s">
        <v>35</v>
      </c>
      <c r="G1172" s="26">
        <v>6.0</v>
      </c>
      <c r="H1172" s="26">
        <v>6.0</v>
      </c>
      <c r="I1172" s="26">
        <v>150000.0</v>
      </c>
      <c r="J1172" s="26">
        <v>200000.0</v>
      </c>
      <c r="K1172" s="26">
        <v>95000.0</v>
      </c>
      <c r="M1172" s="26" t="s">
        <v>449</v>
      </c>
      <c r="N1172" s="26" t="s">
        <v>817</v>
      </c>
    </row>
    <row r="1173">
      <c r="A1173" s="25">
        <v>43302.2612219213</v>
      </c>
      <c r="B1173" s="26" t="s">
        <v>48</v>
      </c>
      <c r="C1173" s="26" t="s">
        <v>49</v>
      </c>
      <c r="D1173" s="26" t="s">
        <v>31</v>
      </c>
      <c r="E1173" s="26">
        <v>257.0</v>
      </c>
      <c r="F1173" s="26" t="s">
        <v>415</v>
      </c>
      <c r="G1173" s="26">
        <v>4.0</v>
      </c>
      <c r="H1173" s="26">
        <v>1.0</v>
      </c>
      <c r="I1173" s="26">
        <v>161.0</v>
      </c>
      <c r="J1173" s="26">
        <v>80.0</v>
      </c>
      <c r="K1173" s="26">
        <v>16.0</v>
      </c>
      <c r="M1173" s="26" t="s">
        <v>449</v>
      </c>
      <c r="N1173" s="26" t="s">
        <v>691</v>
      </c>
    </row>
    <row r="1174">
      <c r="A1174" s="25">
        <v>43302.41783960648</v>
      </c>
      <c r="B1174" s="26" t="s">
        <v>33</v>
      </c>
      <c r="C1174" s="26" t="s">
        <v>62</v>
      </c>
      <c r="D1174" s="26" t="s">
        <v>31</v>
      </c>
      <c r="E1174" s="26">
        <v>280.0</v>
      </c>
      <c r="F1174" s="26" t="s">
        <v>35</v>
      </c>
      <c r="G1174" s="26">
        <v>5.0</v>
      </c>
      <c r="H1174" s="26">
        <v>5.0</v>
      </c>
      <c r="I1174" s="26">
        <v>145.0</v>
      </c>
      <c r="J1174" s="26">
        <v>135.0</v>
      </c>
      <c r="M1174" s="26" t="s">
        <v>449</v>
      </c>
      <c r="N1174" s="26" t="s">
        <v>685</v>
      </c>
    </row>
    <row r="1175">
      <c r="A1175" s="25">
        <v>43302.421976840276</v>
      </c>
      <c r="B1175" s="26" t="s">
        <v>204</v>
      </c>
      <c r="C1175" s="26" t="s">
        <v>43</v>
      </c>
      <c r="D1175" s="26" t="s">
        <v>31</v>
      </c>
      <c r="E1175" s="26">
        <v>400.0</v>
      </c>
      <c r="F1175" s="26" t="s">
        <v>58</v>
      </c>
      <c r="G1175" s="26">
        <v>3.0</v>
      </c>
      <c r="H1175" s="26">
        <v>3.0</v>
      </c>
      <c r="I1175" s="26">
        <v>185000.0</v>
      </c>
      <c r="J1175" s="26">
        <v>200000.0</v>
      </c>
      <c r="M1175" s="26" t="s">
        <v>449</v>
      </c>
    </row>
    <row r="1176">
      <c r="A1176" s="25">
        <v>43302.46942770833</v>
      </c>
      <c r="B1176" s="26" t="s">
        <v>64</v>
      </c>
      <c r="C1176" s="26" t="s">
        <v>206</v>
      </c>
      <c r="D1176" s="26" t="s">
        <v>31</v>
      </c>
      <c r="E1176" s="26">
        <v>170.0</v>
      </c>
      <c r="F1176" s="26" t="s">
        <v>958</v>
      </c>
      <c r="G1176" s="26">
        <v>2.0</v>
      </c>
      <c r="H1176" s="26">
        <v>1.0</v>
      </c>
    </row>
    <row r="1177">
      <c r="A1177" s="25">
        <v>43302.60987555556</v>
      </c>
      <c r="B1177" s="26" t="s">
        <v>45</v>
      </c>
      <c r="C1177" s="26" t="s">
        <v>959</v>
      </c>
      <c r="D1177" s="26" t="s">
        <v>31</v>
      </c>
      <c r="E1177" s="26">
        <v>420.0</v>
      </c>
      <c r="F1177" s="26" t="s">
        <v>400</v>
      </c>
      <c r="G1177" s="26">
        <v>5.0</v>
      </c>
      <c r="H1177" s="26">
        <v>1.0</v>
      </c>
      <c r="I1177" s="26">
        <v>220.0</v>
      </c>
      <c r="J1177" s="26">
        <v>160.0</v>
      </c>
      <c r="K1177" s="26">
        <v>30.0</v>
      </c>
      <c r="L1177" s="26" t="s">
        <v>960</v>
      </c>
      <c r="M1177" s="26" t="s">
        <v>449</v>
      </c>
    </row>
    <row r="1178">
      <c r="A1178" s="25">
        <v>43302.6362771412</v>
      </c>
      <c r="B1178" s="26" t="s">
        <v>122</v>
      </c>
      <c r="C1178" s="26" t="s">
        <v>26</v>
      </c>
      <c r="D1178" s="26" t="s">
        <v>31</v>
      </c>
      <c r="E1178" s="26">
        <v>211.0</v>
      </c>
      <c r="F1178" s="26" t="s">
        <v>58</v>
      </c>
      <c r="G1178" s="26">
        <v>2.0</v>
      </c>
      <c r="H1178" s="26">
        <v>1.0</v>
      </c>
      <c r="I1178" s="26">
        <v>132500.0</v>
      </c>
      <c r="J1178" s="26">
        <v>78750.0</v>
      </c>
      <c r="M1178" s="26" t="s">
        <v>449</v>
      </c>
      <c r="N1178" s="26" t="s">
        <v>691</v>
      </c>
    </row>
    <row r="1179">
      <c r="A1179" s="25">
        <v>43302.72747922454</v>
      </c>
      <c r="B1179" s="26" t="s">
        <v>961</v>
      </c>
      <c r="C1179" s="26" t="s">
        <v>962</v>
      </c>
      <c r="D1179" s="26" t="s">
        <v>31</v>
      </c>
      <c r="E1179" s="26">
        <v>97.0</v>
      </c>
      <c r="F1179" s="26" t="s">
        <v>963</v>
      </c>
      <c r="G1179" s="26">
        <v>6.0</v>
      </c>
      <c r="H1179" s="26">
        <v>4.0</v>
      </c>
      <c r="I1179" s="26">
        <v>97514.25</v>
      </c>
      <c r="M1179" s="26" t="s">
        <v>449</v>
      </c>
    </row>
    <row r="1180">
      <c r="A1180" s="25">
        <v>43302.77142153935</v>
      </c>
      <c r="B1180" s="26" t="s">
        <v>964</v>
      </c>
      <c r="C1180" s="26">
        <v>3.0</v>
      </c>
      <c r="D1180" s="26" t="s">
        <v>31</v>
      </c>
      <c r="E1180" s="26">
        <v>270.0</v>
      </c>
      <c r="F1180" s="26" t="s">
        <v>274</v>
      </c>
      <c r="G1180" s="26">
        <v>5.0</v>
      </c>
      <c r="H1180" s="26">
        <v>3.0</v>
      </c>
      <c r="I1180" s="26">
        <v>165.0</v>
      </c>
      <c r="J1180" s="26">
        <v>1.0</v>
      </c>
      <c r="K1180" s="26">
        <v>100.0</v>
      </c>
      <c r="L1180" s="26" t="s">
        <v>965</v>
      </c>
      <c r="M1180" s="26" t="s">
        <v>449</v>
      </c>
      <c r="N1180" s="26" t="s">
        <v>685</v>
      </c>
    </row>
    <row r="1181">
      <c r="A1181" s="25">
        <v>43302.9687471412</v>
      </c>
      <c r="B1181" s="26" t="s">
        <v>45</v>
      </c>
      <c r="C1181" s="26" t="s">
        <v>46</v>
      </c>
      <c r="D1181" s="26" t="s">
        <v>41</v>
      </c>
      <c r="E1181" s="26">
        <v>379.0</v>
      </c>
      <c r="F1181" s="26" t="s">
        <v>104</v>
      </c>
      <c r="G1181" s="26">
        <v>12.0</v>
      </c>
      <c r="H1181" s="26">
        <v>8.0</v>
      </c>
      <c r="I1181" s="26">
        <v>182.0</v>
      </c>
      <c r="J1181" s="26">
        <v>170.0</v>
      </c>
      <c r="K1181" s="26">
        <v>27.0</v>
      </c>
      <c r="M1181" s="26" t="s">
        <v>449</v>
      </c>
      <c r="N1181" s="26" t="s">
        <v>904</v>
      </c>
    </row>
    <row r="1182">
      <c r="A1182" s="25">
        <v>43303.02661778935</v>
      </c>
      <c r="B1182" s="26" t="s">
        <v>170</v>
      </c>
      <c r="C1182" s="26" t="s">
        <v>864</v>
      </c>
      <c r="D1182" s="26" t="s">
        <v>903</v>
      </c>
      <c r="E1182" s="26">
        <v>60.0</v>
      </c>
      <c r="F1182" s="26" t="s">
        <v>860</v>
      </c>
      <c r="G1182" s="26">
        <v>5.0</v>
      </c>
      <c r="H1182" s="26">
        <v>5.0</v>
      </c>
      <c r="I1182" s="26">
        <v>55.0</v>
      </c>
      <c r="J1182" s="26">
        <v>1.0</v>
      </c>
      <c r="K1182" s="26">
        <v>4.0</v>
      </c>
      <c r="M1182" s="26" t="s">
        <v>449</v>
      </c>
      <c r="N1182" s="26" t="s">
        <v>904</v>
      </c>
    </row>
    <row r="1183">
      <c r="A1183" s="25">
        <v>43303.14448549769</v>
      </c>
      <c r="B1183" s="26" t="s">
        <v>168</v>
      </c>
      <c r="C1183" s="26">
        <v>66.0</v>
      </c>
      <c r="D1183" s="26" t="s">
        <v>27</v>
      </c>
      <c r="E1183" s="26">
        <v>350.0</v>
      </c>
      <c r="F1183" s="26" t="s">
        <v>133</v>
      </c>
      <c r="G1183" s="26">
        <v>15.0</v>
      </c>
      <c r="H1183" s="26">
        <v>15.0</v>
      </c>
      <c r="I1183" s="26">
        <v>230.0</v>
      </c>
      <c r="J1183" s="26">
        <v>90.0</v>
      </c>
      <c r="K1183" s="26">
        <v>30.0</v>
      </c>
      <c r="M1183" s="26" t="s">
        <v>449</v>
      </c>
      <c r="N1183" s="26" t="s">
        <v>726</v>
      </c>
    </row>
    <row r="1184">
      <c r="A1184" s="25">
        <v>43303.51936798611</v>
      </c>
      <c r="B1184" s="26" t="s">
        <v>268</v>
      </c>
      <c r="C1184" s="26" t="s">
        <v>966</v>
      </c>
      <c r="D1184" s="26" t="s">
        <v>31</v>
      </c>
      <c r="E1184" s="26">
        <v>350.0</v>
      </c>
      <c r="F1184" s="26" t="s">
        <v>272</v>
      </c>
      <c r="G1184" s="26">
        <v>12.0</v>
      </c>
      <c r="H1184" s="26">
        <v>12.0</v>
      </c>
      <c r="I1184" s="26">
        <v>200.0</v>
      </c>
      <c r="J1184" s="26">
        <v>100.0</v>
      </c>
      <c r="K1184" s="26">
        <v>50.0</v>
      </c>
      <c r="N1184" s="26" t="s">
        <v>715</v>
      </c>
    </row>
    <row r="1185">
      <c r="A1185" s="25">
        <v>43303.6123556713</v>
      </c>
      <c r="B1185" s="26" t="s">
        <v>188</v>
      </c>
      <c r="C1185" s="26" t="s">
        <v>191</v>
      </c>
      <c r="D1185" s="26" t="s">
        <v>31</v>
      </c>
      <c r="E1185" s="26">
        <v>170.0</v>
      </c>
      <c r="F1185" s="26" t="s">
        <v>32</v>
      </c>
      <c r="G1185" s="26">
        <v>9.0</v>
      </c>
      <c r="H1185" s="26">
        <v>1.0</v>
      </c>
      <c r="I1185" s="26">
        <v>140.0</v>
      </c>
      <c r="J1185" s="26">
        <v>30.0</v>
      </c>
      <c r="M1185" s="26" t="s">
        <v>449</v>
      </c>
      <c r="N1185" s="26" t="s">
        <v>751</v>
      </c>
    </row>
    <row r="1186">
      <c r="A1186" s="25">
        <v>43303.92811862269</v>
      </c>
      <c r="B1186" s="26" t="s">
        <v>967</v>
      </c>
      <c r="C1186" s="26" t="s">
        <v>968</v>
      </c>
      <c r="D1186" s="26" t="s">
        <v>31</v>
      </c>
      <c r="E1186" s="26">
        <v>182.0</v>
      </c>
      <c r="F1186" s="26" t="s">
        <v>969</v>
      </c>
      <c r="G1186" s="26">
        <v>7.5</v>
      </c>
      <c r="H1186" s="26">
        <v>7.5</v>
      </c>
      <c r="I1186" s="26">
        <v>120.0</v>
      </c>
      <c r="K1186" s="26">
        <v>62000.0</v>
      </c>
      <c r="M1186" s="26" t="s">
        <v>449</v>
      </c>
      <c r="N1186" s="26" t="s">
        <v>970</v>
      </c>
    </row>
    <row r="1187">
      <c r="A1187" s="25">
        <v>43303.977811979166</v>
      </c>
      <c r="B1187" s="26" t="s">
        <v>45</v>
      </c>
      <c r="C1187" s="26" t="s">
        <v>102</v>
      </c>
      <c r="D1187" s="26" t="s">
        <v>971</v>
      </c>
      <c r="E1187" s="26">
        <v>158.0</v>
      </c>
      <c r="F1187" s="26" t="s">
        <v>134</v>
      </c>
      <c r="G1187" s="26">
        <v>2.0</v>
      </c>
      <c r="H1187" s="26">
        <v>2.0</v>
      </c>
      <c r="I1187" s="26">
        <v>123000.0</v>
      </c>
      <c r="J1187" s="26">
        <v>95000.0</v>
      </c>
      <c r="K1187" s="26">
        <v>10000.0</v>
      </c>
      <c r="M1187" s="26" t="s">
        <v>449</v>
      </c>
      <c r="N1187" s="26" t="s">
        <v>728</v>
      </c>
    </row>
    <row r="1188">
      <c r="A1188" s="25">
        <v>43304.52480050926</v>
      </c>
      <c r="B1188" s="26" t="s">
        <v>241</v>
      </c>
      <c r="C1188" s="26" t="s">
        <v>191</v>
      </c>
      <c r="D1188" s="26" t="s">
        <v>31</v>
      </c>
      <c r="E1188" s="26">
        <v>170.0</v>
      </c>
      <c r="F1188" s="26" t="s">
        <v>32</v>
      </c>
      <c r="G1188" s="26">
        <v>4.0</v>
      </c>
      <c r="H1188" s="26">
        <v>2.0</v>
      </c>
      <c r="I1188" s="26">
        <v>170.0</v>
      </c>
      <c r="J1188" s="26">
        <v>80.0</v>
      </c>
      <c r="K1188" s="26">
        <v>25.0</v>
      </c>
      <c r="M1188" s="26" t="s">
        <v>449</v>
      </c>
      <c r="N1188" s="26" t="s">
        <v>757</v>
      </c>
    </row>
    <row r="1189">
      <c r="A1189" s="25">
        <v>43304.87018545139</v>
      </c>
      <c r="B1189" s="26" t="s">
        <v>33</v>
      </c>
      <c r="C1189" s="26" t="s">
        <v>43</v>
      </c>
      <c r="D1189" s="26" t="s">
        <v>31</v>
      </c>
      <c r="E1189" s="26">
        <v>311.0</v>
      </c>
      <c r="F1189" s="26" t="s">
        <v>32</v>
      </c>
      <c r="G1189" s="26">
        <v>10.0</v>
      </c>
      <c r="H1189" s="26">
        <v>4.0</v>
      </c>
      <c r="I1189" s="26">
        <v>147000.0</v>
      </c>
      <c r="J1189" s="26">
        <v>161000.0</v>
      </c>
      <c r="K1189" s="26">
        <v>3000.0</v>
      </c>
      <c r="M1189" s="26" t="s">
        <v>449</v>
      </c>
      <c r="N1189" s="26" t="s">
        <v>683</v>
      </c>
    </row>
    <row r="1190">
      <c r="A1190" s="25">
        <v>43304.88495861111</v>
      </c>
      <c r="B1190" s="26" t="s">
        <v>428</v>
      </c>
      <c r="C1190" s="26" t="s">
        <v>43</v>
      </c>
      <c r="D1190" s="26" t="s">
        <v>31</v>
      </c>
      <c r="E1190" s="26">
        <v>250.0</v>
      </c>
      <c r="F1190" s="26" t="s">
        <v>58</v>
      </c>
      <c r="G1190" s="26">
        <v>3.5</v>
      </c>
      <c r="H1190" s="26">
        <v>0.0</v>
      </c>
      <c r="I1190" s="26">
        <v>170.0</v>
      </c>
      <c r="J1190" s="26">
        <v>80.0</v>
      </c>
    </row>
    <row r="1191">
      <c r="A1191" s="25">
        <v>43304.88783204861</v>
      </c>
      <c r="B1191" s="26" t="s">
        <v>972</v>
      </c>
      <c r="C1191" s="26" t="s">
        <v>62</v>
      </c>
      <c r="D1191" s="26" t="s">
        <v>31</v>
      </c>
      <c r="E1191" s="26">
        <v>250.0</v>
      </c>
      <c r="F1191" s="26" t="s">
        <v>35</v>
      </c>
      <c r="G1191" s="26">
        <v>8.0</v>
      </c>
      <c r="H1191" s="26">
        <v>6.0</v>
      </c>
      <c r="I1191" s="26">
        <v>150000.0</v>
      </c>
      <c r="J1191" s="26">
        <v>100000.0</v>
      </c>
      <c r="M1191" s="26" t="s">
        <v>449</v>
      </c>
      <c r="N1191" s="26" t="s">
        <v>715</v>
      </c>
    </row>
    <row r="1192">
      <c r="A1192" s="25">
        <v>43304.921553761575</v>
      </c>
      <c r="B1192" s="26" t="s">
        <v>45</v>
      </c>
      <c r="C1192" s="26" t="s">
        <v>149</v>
      </c>
      <c r="D1192" s="26" t="s">
        <v>31</v>
      </c>
      <c r="E1192" s="26">
        <v>580.0</v>
      </c>
      <c r="F1192" s="26" t="s">
        <v>92</v>
      </c>
      <c r="G1192" s="26">
        <v>7.0</v>
      </c>
      <c r="H1192" s="26">
        <v>4.0</v>
      </c>
      <c r="I1192" s="26">
        <v>210.0</v>
      </c>
      <c r="J1192" s="26">
        <v>300.0</v>
      </c>
      <c r="K1192" s="26">
        <v>70.0</v>
      </c>
      <c r="M1192" s="26" t="s">
        <v>449</v>
      </c>
      <c r="N1192" s="26" t="s">
        <v>699</v>
      </c>
    </row>
    <row r="1193">
      <c r="A1193" s="25">
        <v>43305.01262028935</v>
      </c>
      <c r="B1193" s="26" t="s">
        <v>973</v>
      </c>
      <c r="C1193" s="26" t="s">
        <v>610</v>
      </c>
      <c r="D1193" s="26" t="s">
        <v>31</v>
      </c>
      <c r="E1193" s="26">
        <v>90.0</v>
      </c>
      <c r="F1193" s="26" t="s">
        <v>140</v>
      </c>
      <c r="G1193" s="26">
        <v>5.0</v>
      </c>
      <c r="H1193" s="26">
        <v>4.0</v>
      </c>
      <c r="I1193" s="26">
        <v>90000.0</v>
      </c>
      <c r="M1193" s="26" t="s">
        <v>449</v>
      </c>
      <c r="N1193" s="26" t="s">
        <v>683</v>
      </c>
    </row>
    <row r="1194">
      <c r="A1194" s="25">
        <v>43305.551170763894</v>
      </c>
      <c r="B1194" s="26" t="s">
        <v>974</v>
      </c>
      <c r="C1194" s="26" t="s">
        <v>113</v>
      </c>
      <c r="D1194" s="26" t="s">
        <v>31</v>
      </c>
      <c r="E1194" s="26">
        <v>350.0</v>
      </c>
      <c r="F1194" s="26" t="s">
        <v>272</v>
      </c>
      <c r="G1194" s="26">
        <v>6.0</v>
      </c>
      <c r="H1194" s="26">
        <v>1.0</v>
      </c>
    </row>
    <row r="1195">
      <c r="A1195" s="25">
        <v>43305.59372855324</v>
      </c>
      <c r="B1195" s="26" t="s">
        <v>48</v>
      </c>
      <c r="C1195" s="26" t="s">
        <v>166</v>
      </c>
      <c r="D1195" s="26" t="s">
        <v>31</v>
      </c>
      <c r="E1195" s="26">
        <v>420.0</v>
      </c>
      <c r="F1195" s="26" t="s">
        <v>35</v>
      </c>
      <c r="G1195" s="26">
        <v>8.0</v>
      </c>
      <c r="H1195" s="26">
        <v>2.0</v>
      </c>
      <c r="I1195" s="26">
        <v>192.0</v>
      </c>
      <c r="J1195" s="26">
        <v>220.0</v>
      </c>
      <c r="K1195" s="26">
        <v>20.0</v>
      </c>
      <c r="M1195" s="26" t="s">
        <v>449</v>
      </c>
      <c r="N1195" s="26" t="s">
        <v>683</v>
      </c>
    </row>
    <row r="1196">
      <c r="A1196" s="25">
        <v>43305.632339930555</v>
      </c>
      <c r="B1196" s="26" t="s">
        <v>975</v>
      </c>
      <c r="C1196" s="26" t="s">
        <v>976</v>
      </c>
      <c r="D1196" s="26" t="s">
        <v>31</v>
      </c>
      <c r="E1196" s="26">
        <v>57.0</v>
      </c>
      <c r="F1196" s="26" t="s">
        <v>977</v>
      </c>
      <c r="G1196" s="26">
        <v>2.0</v>
      </c>
      <c r="H1196" s="26">
        <v>2.0</v>
      </c>
      <c r="I1196" s="26">
        <v>57.0</v>
      </c>
      <c r="M1196" s="26" t="s">
        <v>449</v>
      </c>
      <c r="N1196" s="26" t="s">
        <v>704</v>
      </c>
    </row>
    <row r="1197">
      <c r="A1197" s="25">
        <v>43305.867892326394</v>
      </c>
      <c r="B1197" s="26" t="s">
        <v>978</v>
      </c>
      <c r="C1197" s="26" t="s">
        <v>421</v>
      </c>
      <c r="D1197" s="26" t="s">
        <v>31</v>
      </c>
      <c r="E1197" s="26">
        <v>116.0</v>
      </c>
      <c r="F1197" s="26" t="s">
        <v>979</v>
      </c>
      <c r="G1197" s="26">
        <v>16.0</v>
      </c>
      <c r="H1197" s="26">
        <v>11.0</v>
      </c>
      <c r="M1197" s="26" t="s">
        <v>449</v>
      </c>
      <c r="N1197" s="26" t="s">
        <v>757</v>
      </c>
    </row>
    <row r="1198">
      <c r="A1198" s="25">
        <v>43305.91694384259</v>
      </c>
      <c r="B1198" s="26" t="s">
        <v>119</v>
      </c>
      <c r="C1198" s="26" t="s">
        <v>484</v>
      </c>
      <c r="D1198" s="26" t="s">
        <v>31</v>
      </c>
      <c r="E1198" s="26">
        <v>195.0</v>
      </c>
      <c r="F1198" s="26" t="s">
        <v>58</v>
      </c>
      <c r="G1198" s="26">
        <v>4.0</v>
      </c>
      <c r="H1198" s="26">
        <v>2.0</v>
      </c>
      <c r="I1198" s="26">
        <v>140.0</v>
      </c>
      <c r="J1198" s="26">
        <v>38.0</v>
      </c>
      <c r="K1198" s="26">
        <v>14.0</v>
      </c>
      <c r="L1198" s="26" t="s">
        <v>980</v>
      </c>
      <c r="M1198" s="26" t="s">
        <v>449</v>
      </c>
      <c r="N1198" s="26" t="s">
        <v>981</v>
      </c>
    </row>
    <row r="1199">
      <c r="A1199" s="25">
        <v>43306.35441914352</v>
      </c>
      <c r="B1199" s="26" t="s">
        <v>33</v>
      </c>
      <c r="C1199" s="26" t="s">
        <v>275</v>
      </c>
      <c r="D1199" s="26" t="s">
        <v>31</v>
      </c>
      <c r="E1199" s="26">
        <v>810.0</v>
      </c>
      <c r="F1199" s="26" t="s">
        <v>916</v>
      </c>
      <c r="G1199" s="26">
        <v>0.0</v>
      </c>
      <c r="H1199" s="26">
        <v>1.0</v>
      </c>
      <c r="I1199" s="26">
        <v>6500000.0</v>
      </c>
      <c r="J1199" s="26">
        <v>1000000.0</v>
      </c>
      <c r="L1199" s="26" t="s">
        <v>982</v>
      </c>
      <c r="M1199" s="26" t="s">
        <v>449</v>
      </c>
      <c r="N1199" s="26" t="s">
        <v>704</v>
      </c>
    </row>
    <row r="1200">
      <c r="A1200" s="25">
        <v>43306.41255275463</v>
      </c>
      <c r="B1200" s="26" t="s">
        <v>33</v>
      </c>
      <c r="C1200" s="26" t="s">
        <v>43</v>
      </c>
      <c r="D1200" s="26" t="s">
        <v>31</v>
      </c>
      <c r="E1200" s="26">
        <v>173.0</v>
      </c>
      <c r="F1200" s="26" t="s">
        <v>63</v>
      </c>
      <c r="G1200" s="26">
        <v>1.0</v>
      </c>
      <c r="H1200" s="26">
        <v>1.0</v>
      </c>
      <c r="I1200" s="26">
        <v>132000.0</v>
      </c>
      <c r="J1200" s="26">
        <v>41400.0</v>
      </c>
      <c r="M1200" s="26" t="s">
        <v>449</v>
      </c>
      <c r="N1200" s="26" t="s">
        <v>685</v>
      </c>
    </row>
    <row r="1201">
      <c r="A1201" s="25">
        <v>43306.522635625</v>
      </c>
      <c r="B1201" s="26" t="s">
        <v>319</v>
      </c>
      <c r="C1201" s="26" t="s">
        <v>829</v>
      </c>
      <c r="D1201" s="26" t="s">
        <v>31</v>
      </c>
      <c r="E1201" s="26">
        <v>125.0</v>
      </c>
      <c r="F1201" s="26" t="s">
        <v>320</v>
      </c>
      <c r="G1201" s="26">
        <v>6.0</v>
      </c>
      <c r="H1201" s="26">
        <v>3.0</v>
      </c>
      <c r="I1201" s="26">
        <v>125.0</v>
      </c>
      <c r="K1201" s="26">
        <v>1000.0</v>
      </c>
      <c r="L1201" s="26" t="s">
        <v>983</v>
      </c>
      <c r="M1201" s="26" t="s">
        <v>449</v>
      </c>
      <c r="N1201" s="26" t="s">
        <v>696</v>
      </c>
    </row>
    <row r="1202">
      <c r="A1202" s="25">
        <v>43306.54125491898</v>
      </c>
      <c r="B1202" s="26" t="s">
        <v>984</v>
      </c>
      <c r="C1202" s="26" t="s">
        <v>985</v>
      </c>
      <c r="D1202" s="26" t="s">
        <v>27</v>
      </c>
      <c r="E1202" s="26">
        <v>235.0</v>
      </c>
      <c r="F1202" s="26" t="s">
        <v>986</v>
      </c>
      <c r="G1202" s="26">
        <v>20.0</v>
      </c>
      <c r="H1202" s="26">
        <v>3.0</v>
      </c>
      <c r="I1202" s="26">
        <v>205.0</v>
      </c>
      <c r="K1202" s="26">
        <v>30.0</v>
      </c>
      <c r="M1202" s="26" t="s">
        <v>449</v>
      </c>
      <c r="N1202" s="26" t="s">
        <v>726</v>
      </c>
    </row>
    <row r="1203">
      <c r="A1203" s="25">
        <v>43306.80281570602</v>
      </c>
      <c r="B1203" s="26" t="s">
        <v>77</v>
      </c>
      <c r="C1203" s="26">
        <v>4.0</v>
      </c>
      <c r="D1203" s="26" t="s">
        <v>31</v>
      </c>
      <c r="E1203" s="26">
        <v>250.0</v>
      </c>
      <c r="F1203" s="26" t="s">
        <v>969</v>
      </c>
      <c r="G1203" s="26">
        <v>4.0</v>
      </c>
      <c r="H1203" s="26">
        <v>1.0</v>
      </c>
      <c r="N1203" s="26" t="s">
        <v>691</v>
      </c>
    </row>
    <row r="1204">
      <c r="A1204" s="25">
        <v>43306.80425434028</v>
      </c>
      <c r="B1204" s="26" t="s">
        <v>987</v>
      </c>
      <c r="C1204" s="26" t="s">
        <v>369</v>
      </c>
      <c r="D1204" s="26" t="s">
        <v>31</v>
      </c>
      <c r="E1204" s="26">
        <v>180.0</v>
      </c>
      <c r="F1204" s="26" t="s">
        <v>988</v>
      </c>
      <c r="G1204" s="26">
        <v>4.0</v>
      </c>
      <c r="H1204" s="26">
        <v>1.0</v>
      </c>
      <c r="N1204" s="26" t="s">
        <v>691</v>
      </c>
    </row>
    <row r="1205">
      <c r="A1205" s="25">
        <v>43307.4252965625</v>
      </c>
      <c r="B1205" s="26" t="s">
        <v>319</v>
      </c>
      <c r="C1205" s="26">
        <v>7.0</v>
      </c>
      <c r="D1205" s="26" t="s">
        <v>31</v>
      </c>
      <c r="E1205" s="26">
        <v>106.0</v>
      </c>
      <c r="F1205" s="26" t="s">
        <v>320</v>
      </c>
      <c r="G1205" s="26">
        <v>3.0</v>
      </c>
      <c r="H1205" s="26">
        <v>3.0</v>
      </c>
      <c r="M1205" s="26" t="s">
        <v>449</v>
      </c>
      <c r="N1205" s="26" t="s">
        <v>696</v>
      </c>
    </row>
    <row r="1206">
      <c r="A1206" s="25">
        <v>43307.49661277777</v>
      </c>
      <c r="B1206" s="26" t="s">
        <v>33</v>
      </c>
      <c r="C1206" s="26" t="s">
        <v>43</v>
      </c>
      <c r="D1206" s="26" t="s">
        <v>31</v>
      </c>
      <c r="E1206" s="26">
        <v>173.0</v>
      </c>
      <c r="F1206" s="26" t="s">
        <v>140</v>
      </c>
      <c r="G1206" s="26">
        <v>6.0</v>
      </c>
      <c r="H1206" s="26">
        <v>1.0</v>
      </c>
      <c r="I1206" s="26">
        <v>150.0</v>
      </c>
      <c r="J1206" s="26">
        <v>20.0</v>
      </c>
      <c r="K1206" s="26">
        <v>3.0</v>
      </c>
      <c r="M1206" s="26" t="s">
        <v>449</v>
      </c>
    </row>
    <row r="1207">
      <c r="A1207" s="25">
        <v>43307.5948961574</v>
      </c>
      <c r="B1207" s="26" t="s">
        <v>170</v>
      </c>
      <c r="C1207" s="26">
        <v>6.0</v>
      </c>
      <c r="D1207" s="26" t="s">
        <v>31</v>
      </c>
      <c r="E1207" s="26">
        <v>120.0</v>
      </c>
      <c r="F1207" s="26" t="s">
        <v>989</v>
      </c>
      <c r="G1207" s="26">
        <v>7.0</v>
      </c>
      <c r="H1207" s="26">
        <v>7.0</v>
      </c>
      <c r="I1207" s="26">
        <v>100.0</v>
      </c>
      <c r="J1207" s="26">
        <v>10.0</v>
      </c>
      <c r="K1207" s="26">
        <v>10.0</v>
      </c>
      <c r="M1207" s="26" t="s">
        <v>449</v>
      </c>
      <c r="N1207" s="26" t="s">
        <v>683</v>
      </c>
    </row>
    <row r="1208">
      <c r="A1208" s="25">
        <v>43307.65978800926</v>
      </c>
      <c r="B1208" s="26" t="s">
        <v>33</v>
      </c>
      <c r="C1208" s="26" t="s">
        <v>73</v>
      </c>
      <c r="D1208" s="26" t="s">
        <v>31</v>
      </c>
      <c r="E1208" s="26">
        <v>155.0</v>
      </c>
      <c r="F1208" s="26" t="s">
        <v>63</v>
      </c>
      <c r="G1208" s="26">
        <v>0.0</v>
      </c>
      <c r="H1208" s="26">
        <v>0.0</v>
      </c>
      <c r="I1208" s="26">
        <v>106.0</v>
      </c>
      <c r="J1208" s="26">
        <v>16.0</v>
      </c>
      <c r="K1208" s="26">
        <v>45.0</v>
      </c>
      <c r="M1208" s="26" t="s">
        <v>449</v>
      </c>
      <c r="N1208" s="26" t="s">
        <v>704</v>
      </c>
    </row>
    <row r="1209">
      <c r="A1209" s="25">
        <v>43307.79565155093</v>
      </c>
      <c r="B1209" s="26" t="s">
        <v>33</v>
      </c>
      <c r="C1209" s="26" t="s">
        <v>43</v>
      </c>
      <c r="D1209" s="26" t="s">
        <v>31</v>
      </c>
      <c r="E1209" s="26">
        <v>177.0</v>
      </c>
      <c r="F1209" s="26" t="s">
        <v>35</v>
      </c>
      <c r="G1209" s="26">
        <v>2.0</v>
      </c>
      <c r="H1209" s="26">
        <v>2.0</v>
      </c>
      <c r="I1209" s="26">
        <v>130000.0</v>
      </c>
      <c r="J1209" s="26">
        <v>47000.0</v>
      </c>
      <c r="M1209" s="26" t="s">
        <v>449</v>
      </c>
      <c r="N1209" s="26" t="s">
        <v>683</v>
      </c>
    </row>
    <row r="1210">
      <c r="A1210" s="25">
        <v>43307.8225529051</v>
      </c>
      <c r="B1210" s="26" t="s">
        <v>40</v>
      </c>
      <c r="C1210" s="26">
        <v>69.0</v>
      </c>
      <c r="D1210" s="26" t="s">
        <v>27</v>
      </c>
      <c r="E1210" s="26">
        <v>1240.0</v>
      </c>
      <c r="F1210" s="26" t="s">
        <v>35</v>
      </c>
      <c r="G1210" s="26">
        <v>25.0</v>
      </c>
      <c r="H1210" s="26">
        <v>9.0</v>
      </c>
      <c r="I1210" s="26">
        <v>310000.0</v>
      </c>
      <c r="J1210" s="26">
        <v>550000.0</v>
      </c>
      <c r="K1210" s="26">
        <v>180000.0</v>
      </c>
      <c r="M1210" s="26" t="s">
        <v>449</v>
      </c>
      <c r="N1210" s="26" t="s">
        <v>683</v>
      </c>
    </row>
    <row r="1211">
      <c r="A1211" s="25">
        <v>43308.16619503472</v>
      </c>
      <c r="B1211" s="26" t="s">
        <v>29</v>
      </c>
      <c r="C1211" s="26" t="s">
        <v>562</v>
      </c>
      <c r="D1211" s="26" t="s">
        <v>31</v>
      </c>
      <c r="E1211" s="26">
        <v>149.0</v>
      </c>
      <c r="F1211" s="26" t="s">
        <v>238</v>
      </c>
      <c r="G1211" s="26">
        <v>2.0</v>
      </c>
      <c r="H1211" s="26">
        <v>2.0</v>
      </c>
      <c r="I1211" s="26">
        <v>122000.0</v>
      </c>
      <c r="J1211" s="26">
        <v>15000.0</v>
      </c>
      <c r="K1211" s="26">
        <v>12000.0</v>
      </c>
      <c r="M1211" s="26" t="s">
        <v>449</v>
      </c>
      <c r="N1211" s="26" t="s">
        <v>696</v>
      </c>
    </row>
    <row r="1212">
      <c r="A1212" s="25">
        <v>43308.28106224537</v>
      </c>
      <c r="B1212" s="26" t="s">
        <v>990</v>
      </c>
      <c r="C1212" s="26" t="s">
        <v>991</v>
      </c>
      <c r="D1212" s="26" t="s">
        <v>31</v>
      </c>
      <c r="E1212" s="26">
        <v>81.0</v>
      </c>
      <c r="F1212" s="26" t="s">
        <v>992</v>
      </c>
      <c r="G1212" s="26">
        <v>3.0</v>
      </c>
      <c r="H1212" s="26">
        <v>0.0</v>
      </c>
      <c r="I1212" s="26">
        <v>81.0</v>
      </c>
      <c r="M1212" s="26" t="s">
        <v>449</v>
      </c>
      <c r="N1212" s="26" t="s">
        <v>704</v>
      </c>
    </row>
    <row r="1213">
      <c r="A1213" s="25">
        <v>43308.36303483797</v>
      </c>
      <c r="B1213" s="26" t="s">
        <v>157</v>
      </c>
      <c r="C1213" s="26" t="s">
        <v>993</v>
      </c>
      <c r="D1213" s="26" t="s">
        <v>31</v>
      </c>
      <c r="E1213" s="26">
        <v>188.0</v>
      </c>
      <c r="F1213" s="26" t="s">
        <v>994</v>
      </c>
      <c r="G1213" s="26">
        <v>9.0</v>
      </c>
      <c r="H1213" s="26">
        <v>9.0</v>
      </c>
      <c r="I1213" s="26">
        <v>152000.0</v>
      </c>
      <c r="J1213" s="26">
        <v>15000.0</v>
      </c>
      <c r="K1213" s="26">
        <v>22700.0</v>
      </c>
      <c r="M1213" s="26" t="s">
        <v>449</v>
      </c>
      <c r="N1213" s="26" t="s">
        <v>904</v>
      </c>
    </row>
    <row r="1214">
      <c r="A1214" s="25">
        <v>43308.5034916088</v>
      </c>
      <c r="B1214" s="26" t="s">
        <v>130</v>
      </c>
      <c r="C1214" s="26" t="s">
        <v>62</v>
      </c>
      <c r="D1214" s="26" t="s">
        <v>27</v>
      </c>
      <c r="E1214" s="26">
        <v>400.0</v>
      </c>
      <c r="F1214" s="26" t="s">
        <v>133</v>
      </c>
      <c r="G1214" s="26">
        <v>15.0</v>
      </c>
      <c r="H1214" s="26">
        <v>10.0</v>
      </c>
      <c r="N1214" s="26" t="s">
        <v>995</v>
      </c>
    </row>
    <row r="1215">
      <c r="A1215" s="25">
        <v>43308.613809710645</v>
      </c>
      <c r="B1215" s="26" t="s">
        <v>319</v>
      </c>
      <c r="C1215" s="26" t="s">
        <v>372</v>
      </c>
      <c r="D1215" s="26" t="s">
        <v>31</v>
      </c>
      <c r="E1215" s="26">
        <v>110.0</v>
      </c>
      <c r="F1215" s="26" t="s">
        <v>320</v>
      </c>
      <c r="G1215" s="26">
        <v>2.0</v>
      </c>
      <c r="H1215" s="26">
        <v>2.0</v>
      </c>
      <c r="I1215" s="26">
        <v>110000.0</v>
      </c>
      <c r="M1215" s="26" t="s">
        <v>449</v>
      </c>
      <c r="N1215" s="26" t="s">
        <v>704</v>
      </c>
    </row>
    <row r="1216">
      <c r="A1216" s="25">
        <v>43308.65178114583</v>
      </c>
      <c r="B1216" s="26" t="s">
        <v>45</v>
      </c>
      <c r="C1216" s="26" t="s">
        <v>116</v>
      </c>
      <c r="D1216" s="26" t="s">
        <v>31</v>
      </c>
      <c r="E1216" s="26">
        <v>250.0</v>
      </c>
      <c r="F1216" s="26" t="s">
        <v>47</v>
      </c>
      <c r="G1216" s="26">
        <v>21.0</v>
      </c>
      <c r="H1216" s="26">
        <v>1.0</v>
      </c>
      <c r="I1216" s="26">
        <v>200.0</v>
      </c>
      <c r="J1216" s="26">
        <v>40.0</v>
      </c>
      <c r="K1216" s="26">
        <v>10.0</v>
      </c>
      <c r="M1216" s="26" t="s">
        <v>449</v>
      </c>
      <c r="N1216" s="26" t="s">
        <v>996</v>
      </c>
    </row>
    <row r="1217">
      <c r="A1217" s="25">
        <v>43309.008660011576</v>
      </c>
      <c r="B1217" s="26" t="s">
        <v>80</v>
      </c>
      <c r="C1217" s="26" t="s">
        <v>26</v>
      </c>
      <c r="D1217" s="26" t="s">
        <v>31</v>
      </c>
      <c r="E1217" s="26">
        <v>190.0</v>
      </c>
      <c r="F1217" s="26" t="s">
        <v>51</v>
      </c>
      <c r="G1217" s="26">
        <v>7.0</v>
      </c>
      <c r="H1217" s="26">
        <v>4.0</v>
      </c>
      <c r="I1217" s="26">
        <v>120.0</v>
      </c>
      <c r="K1217" s="26">
        <v>18000.0</v>
      </c>
      <c r="M1217" s="26" t="s">
        <v>449</v>
      </c>
      <c r="N1217" s="26" t="s">
        <v>685</v>
      </c>
    </row>
    <row r="1218">
      <c r="A1218" s="25">
        <v>43309.295712175925</v>
      </c>
      <c r="B1218" s="26" t="s">
        <v>36</v>
      </c>
      <c r="C1218" s="26" t="s">
        <v>43</v>
      </c>
      <c r="D1218" s="26" t="s">
        <v>31</v>
      </c>
      <c r="E1218" s="26">
        <v>400.0</v>
      </c>
      <c r="F1218" s="26" t="s">
        <v>32</v>
      </c>
      <c r="G1218" s="26">
        <v>8.0</v>
      </c>
      <c r="H1218" s="26">
        <v>2.0</v>
      </c>
      <c r="I1218" s="26">
        <v>183000.0</v>
      </c>
      <c r="J1218" s="26">
        <v>18000.0</v>
      </c>
      <c r="K1218" s="26">
        <v>30000.0</v>
      </c>
      <c r="M1218" s="26" t="s">
        <v>449</v>
      </c>
      <c r="N1218" s="26" t="s">
        <v>683</v>
      </c>
    </row>
    <row r="1219">
      <c r="A1219" s="25">
        <v>43309.6411937963</v>
      </c>
      <c r="B1219" s="26" t="s">
        <v>33</v>
      </c>
      <c r="C1219" s="26" t="s">
        <v>73</v>
      </c>
      <c r="D1219" s="26" t="s">
        <v>31</v>
      </c>
      <c r="E1219" s="26">
        <v>151.0</v>
      </c>
      <c r="F1219" s="26" t="s">
        <v>175</v>
      </c>
      <c r="G1219" s="26">
        <v>1.0</v>
      </c>
      <c r="H1219" s="26">
        <v>1.0</v>
      </c>
      <c r="I1219" s="26">
        <v>113000.0</v>
      </c>
      <c r="J1219" s="26">
        <v>7500.0</v>
      </c>
      <c r="K1219" s="26">
        <v>30000.0</v>
      </c>
      <c r="M1219" s="26" t="s">
        <v>449</v>
      </c>
      <c r="N1219" s="26" t="s">
        <v>683</v>
      </c>
    </row>
    <row r="1220">
      <c r="A1220" s="25">
        <v>43309.6837204051</v>
      </c>
      <c r="B1220" s="26" t="s">
        <v>997</v>
      </c>
      <c r="C1220" s="26" t="s">
        <v>427</v>
      </c>
      <c r="D1220" s="26" t="s">
        <v>31</v>
      </c>
      <c r="E1220" s="26">
        <v>80.0</v>
      </c>
      <c r="F1220" s="26" t="s">
        <v>86</v>
      </c>
      <c r="G1220" s="26">
        <v>0.0</v>
      </c>
      <c r="H1220" s="26">
        <v>0.0</v>
      </c>
      <c r="I1220" s="26">
        <v>80.0</v>
      </c>
      <c r="J1220" s="26">
        <v>3.0</v>
      </c>
      <c r="K1220" s="26">
        <v>10.0</v>
      </c>
      <c r="M1220" s="26" t="s">
        <v>458</v>
      </c>
      <c r="N1220" s="26" t="s">
        <v>704</v>
      </c>
    </row>
    <row r="1221">
      <c r="A1221" s="25">
        <v>43309.933102152776</v>
      </c>
      <c r="B1221" s="26" t="s">
        <v>109</v>
      </c>
      <c r="C1221" s="26" t="s">
        <v>998</v>
      </c>
      <c r="D1221" s="26" t="s">
        <v>31</v>
      </c>
      <c r="E1221" s="26">
        <v>300.0</v>
      </c>
      <c r="F1221" s="26" t="s">
        <v>35</v>
      </c>
      <c r="G1221" s="26">
        <v>10.0</v>
      </c>
      <c r="H1221" s="26">
        <v>3.0</v>
      </c>
      <c r="I1221" s="26">
        <v>156.0</v>
      </c>
      <c r="J1221" s="26">
        <v>150.0</v>
      </c>
      <c r="M1221" s="26" t="s">
        <v>449</v>
      </c>
      <c r="N1221" s="26" t="s">
        <v>683</v>
      </c>
    </row>
    <row r="1222">
      <c r="A1222" s="25">
        <v>43310.00277377314</v>
      </c>
      <c r="B1222" s="26" t="s">
        <v>45</v>
      </c>
      <c r="C1222" s="26" t="s">
        <v>465</v>
      </c>
      <c r="D1222" s="26" t="s">
        <v>31</v>
      </c>
      <c r="E1222" s="26">
        <v>175.0</v>
      </c>
      <c r="F1222" s="26" t="s">
        <v>63</v>
      </c>
      <c r="G1222" s="26">
        <v>2.0</v>
      </c>
      <c r="H1222" s="26">
        <v>0.0</v>
      </c>
      <c r="I1222" s="26">
        <v>135000.0</v>
      </c>
      <c r="J1222" s="26">
        <v>26000.0</v>
      </c>
      <c r="K1222" s="26">
        <v>30000.0</v>
      </c>
      <c r="M1222" s="26" t="s">
        <v>449</v>
      </c>
      <c r="N1222" s="26" t="s">
        <v>708</v>
      </c>
    </row>
    <row r="1223">
      <c r="A1223" s="25">
        <v>43310.00319230324</v>
      </c>
      <c r="B1223" s="26" t="s">
        <v>319</v>
      </c>
      <c r="C1223" s="26" t="s">
        <v>306</v>
      </c>
      <c r="D1223" s="26" t="s">
        <v>147</v>
      </c>
      <c r="E1223" s="26">
        <v>185.0</v>
      </c>
      <c r="F1223" s="26" t="s">
        <v>247</v>
      </c>
      <c r="G1223" s="26">
        <v>5.0</v>
      </c>
      <c r="H1223" s="26">
        <v>3.0</v>
      </c>
      <c r="N1223" s="26" t="s">
        <v>757</v>
      </c>
    </row>
    <row r="1224">
      <c r="A1224" s="25">
        <v>43310.11725734954</v>
      </c>
      <c r="B1224" s="26" t="s">
        <v>380</v>
      </c>
      <c r="C1224" s="26" t="s">
        <v>37</v>
      </c>
      <c r="D1224" s="26" t="s">
        <v>31</v>
      </c>
      <c r="E1224" s="26">
        <v>220.0</v>
      </c>
      <c r="F1224" s="26" t="s">
        <v>599</v>
      </c>
      <c r="G1224" s="26">
        <v>10.0</v>
      </c>
      <c r="H1224" s="26">
        <v>3.0</v>
      </c>
      <c r="I1224" s="26">
        <v>150.0</v>
      </c>
      <c r="J1224" s="26">
        <v>70.0</v>
      </c>
      <c r="M1224" s="26" t="s">
        <v>458</v>
      </c>
      <c r="N1224" s="26" t="s">
        <v>708</v>
      </c>
    </row>
    <row r="1225">
      <c r="A1225" s="25">
        <v>43310.41427109954</v>
      </c>
      <c r="B1225" s="26" t="s">
        <v>40</v>
      </c>
      <c r="C1225" s="26">
        <v>59.0</v>
      </c>
      <c r="D1225" s="26" t="s">
        <v>31</v>
      </c>
      <c r="E1225" s="26">
        <v>151.0</v>
      </c>
      <c r="F1225" s="26" t="s">
        <v>75</v>
      </c>
      <c r="G1225" s="26">
        <v>1.0</v>
      </c>
      <c r="H1225" s="26">
        <v>0.0</v>
      </c>
      <c r="I1225" s="26">
        <v>111000.0</v>
      </c>
      <c r="J1225" s="26">
        <v>20000.0</v>
      </c>
      <c r="M1225" s="26" t="s">
        <v>458</v>
      </c>
    </row>
    <row r="1226">
      <c r="A1226" s="25">
        <v>43310.43243666667</v>
      </c>
      <c r="B1226" s="26" t="s">
        <v>40</v>
      </c>
      <c r="C1226" s="26" t="s">
        <v>999</v>
      </c>
      <c r="D1226" s="26" t="s">
        <v>31</v>
      </c>
      <c r="E1226" s="26">
        <v>185.0</v>
      </c>
      <c r="F1226" s="26" t="s">
        <v>47</v>
      </c>
      <c r="G1226" s="26">
        <v>6.0</v>
      </c>
      <c r="H1226" s="26">
        <v>3.0</v>
      </c>
      <c r="I1226" s="26">
        <v>170.0</v>
      </c>
      <c r="J1226" s="26">
        <v>11000.0</v>
      </c>
      <c r="K1226" s="26">
        <v>14000.0</v>
      </c>
      <c r="M1226" s="26" t="s">
        <v>449</v>
      </c>
      <c r="N1226" s="26" t="s">
        <v>715</v>
      </c>
    </row>
    <row r="1227">
      <c r="A1227" s="25">
        <v>43310.50116638889</v>
      </c>
      <c r="B1227" s="26" t="s">
        <v>123</v>
      </c>
      <c r="C1227" s="26" t="s">
        <v>125</v>
      </c>
      <c r="D1227" s="26" t="s">
        <v>31</v>
      </c>
      <c r="E1227" s="26">
        <v>425.0</v>
      </c>
      <c r="F1227" s="26" t="s">
        <v>47</v>
      </c>
      <c r="G1227" s="26">
        <v>11.0</v>
      </c>
      <c r="H1227" s="26">
        <v>3.0</v>
      </c>
      <c r="I1227" s="26">
        <v>189000.0</v>
      </c>
      <c r="J1227" s="26">
        <v>210000.0</v>
      </c>
      <c r="K1227" s="26">
        <v>28000.0</v>
      </c>
      <c r="M1227" s="26" t="s">
        <v>449</v>
      </c>
      <c r="N1227" s="26" t="s">
        <v>685</v>
      </c>
    </row>
    <row r="1228">
      <c r="A1228" s="25">
        <v>43310.59589600694</v>
      </c>
      <c r="B1228" s="26" t="s">
        <v>40</v>
      </c>
      <c r="C1228" s="26">
        <v>60.0</v>
      </c>
      <c r="D1228" s="26" t="s">
        <v>27</v>
      </c>
      <c r="E1228" s="26">
        <v>176.0</v>
      </c>
      <c r="F1228" s="26" t="s">
        <v>133</v>
      </c>
      <c r="G1228" s="26">
        <v>1.0</v>
      </c>
      <c r="H1228" s="26">
        <v>1.0</v>
      </c>
      <c r="I1228" s="26">
        <v>116.0</v>
      </c>
      <c r="J1228" s="26">
        <v>20.0</v>
      </c>
      <c r="K1228" s="26">
        <v>20.0</v>
      </c>
      <c r="L1228" s="26" t="s">
        <v>1000</v>
      </c>
      <c r="M1228" s="26" t="s">
        <v>449</v>
      </c>
      <c r="N1228" s="26" t="s">
        <v>904</v>
      </c>
    </row>
    <row r="1229">
      <c r="A1229" s="25">
        <v>43310.847276875</v>
      </c>
      <c r="B1229" s="26" t="s">
        <v>40</v>
      </c>
      <c r="C1229" s="26">
        <v>61.0</v>
      </c>
      <c r="D1229" s="26" t="s">
        <v>31</v>
      </c>
      <c r="E1229" s="26">
        <v>148.0</v>
      </c>
      <c r="F1229" s="26" t="s">
        <v>63</v>
      </c>
      <c r="G1229" s="26">
        <v>5.0</v>
      </c>
      <c r="H1229" s="26">
        <v>4.0</v>
      </c>
      <c r="M1229" s="26" t="s">
        <v>449</v>
      </c>
      <c r="N1229" s="26" t="s">
        <v>685</v>
      </c>
    </row>
    <row r="1230">
      <c r="A1230" s="25">
        <v>43310.90055990741</v>
      </c>
      <c r="B1230" s="26" t="s">
        <v>802</v>
      </c>
      <c r="C1230" s="26" t="s">
        <v>891</v>
      </c>
      <c r="D1230" s="26" t="s">
        <v>31</v>
      </c>
      <c r="E1230" s="26">
        <v>185.0</v>
      </c>
      <c r="F1230" s="26" t="s">
        <v>35</v>
      </c>
      <c r="G1230" s="26">
        <v>5.0</v>
      </c>
      <c r="H1230" s="26">
        <v>2.0</v>
      </c>
      <c r="I1230" s="26">
        <v>140000.0</v>
      </c>
      <c r="J1230" s="26">
        <v>30000.0</v>
      </c>
      <c r="K1230" s="26">
        <v>15000.0</v>
      </c>
      <c r="M1230" s="26" t="s">
        <v>449</v>
      </c>
      <c r="N1230" s="26" t="s">
        <v>685</v>
      </c>
    </row>
    <row r="1231">
      <c r="A1231" s="25">
        <v>43310.91674554398</v>
      </c>
      <c r="B1231" s="26" t="s">
        <v>1001</v>
      </c>
      <c r="C1231" s="26" t="s">
        <v>1002</v>
      </c>
      <c r="D1231" s="26" t="s">
        <v>31</v>
      </c>
      <c r="E1231" s="26">
        <v>210.0</v>
      </c>
      <c r="F1231" s="26" t="s">
        <v>597</v>
      </c>
      <c r="G1231" s="26">
        <v>6.0</v>
      </c>
      <c r="H1231" s="26">
        <v>1.0</v>
      </c>
      <c r="I1231" s="26">
        <v>165000.0</v>
      </c>
      <c r="J1231" s="26">
        <v>25000.0</v>
      </c>
      <c r="K1231" s="26">
        <v>16500.0</v>
      </c>
      <c r="M1231" s="26" t="s">
        <v>449</v>
      </c>
      <c r="N1231" s="26" t="s">
        <v>685</v>
      </c>
    </row>
    <row r="1232">
      <c r="A1232" s="25">
        <v>43310.97395989583</v>
      </c>
      <c r="B1232" s="26" t="s">
        <v>168</v>
      </c>
      <c r="C1232" s="26">
        <v>58.0</v>
      </c>
      <c r="D1232" s="26" t="s">
        <v>31</v>
      </c>
      <c r="E1232" s="26">
        <v>135.0</v>
      </c>
      <c r="F1232" s="26" t="s">
        <v>758</v>
      </c>
      <c r="G1232" s="26">
        <v>1.0</v>
      </c>
      <c r="H1232" s="26">
        <v>1.0</v>
      </c>
      <c r="I1232" s="26">
        <v>106000.0</v>
      </c>
      <c r="J1232" s="26">
        <v>7500.0</v>
      </c>
      <c r="K1232" s="26">
        <v>10000.0</v>
      </c>
      <c r="M1232" s="26" t="s">
        <v>458</v>
      </c>
      <c r="N1232" s="26" t="s">
        <v>683</v>
      </c>
    </row>
    <row r="1233">
      <c r="A1233" s="25">
        <v>43311.40630188657</v>
      </c>
      <c r="B1233" s="26" t="s">
        <v>40</v>
      </c>
      <c r="C1233" s="26">
        <v>62.0</v>
      </c>
      <c r="D1233" s="26" t="s">
        <v>27</v>
      </c>
      <c r="E1233" s="26">
        <v>176.0</v>
      </c>
      <c r="F1233" s="26" t="s">
        <v>725</v>
      </c>
      <c r="G1233" s="26">
        <v>8.0</v>
      </c>
      <c r="H1233" s="26">
        <v>5.0</v>
      </c>
      <c r="I1233" s="26">
        <v>121.0</v>
      </c>
      <c r="J1233" s="26">
        <v>16500.0</v>
      </c>
      <c r="K1233" s="26">
        <v>40000.0</v>
      </c>
      <c r="M1233" s="26" t="s">
        <v>449</v>
      </c>
      <c r="N1233" s="26" t="s">
        <v>726</v>
      </c>
    </row>
    <row r="1234">
      <c r="A1234" s="25">
        <v>43311.54578678241</v>
      </c>
      <c r="B1234" s="26" t="s">
        <v>619</v>
      </c>
      <c r="C1234" s="26" t="s">
        <v>1003</v>
      </c>
      <c r="D1234" s="26" t="s">
        <v>31</v>
      </c>
      <c r="E1234" s="26">
        <v>225.0</v>
      </c>
      <c r="F1234" s="26" t="s">
        <v>140</v>
      </c>
      <c r="G1234" s="26">
        <v>8.0</v>
      </c>
      <c r="H1234" s="26">
        <v>0.0</v>
      </c>
      <c r="I1234" s="26">
        <v>170000.0</v>
      </c>
      <c r="J1234" s="26">
        <v>200000.0</v>
      </c>
      <c r="K1234" s="26">
        <v>20000.0</v>
      </c>
      <c r="L1234" s="26" t="s">
        <v>1004</v>
      </c>
      <c r="M1234" s="26" t="s">
        <v>449</v>
      </c>
      <c r="N1234" s="26" t="s">
        <v>751</v>
      </c>
    </row>
    <row r="1235">
      <c r="A1235" s="25">
        <v>43311.6731065625</v>
      </c>
      <c r="B1235" s="26" t="s">
        <v>25</v>
      </c>
      <c r="C1235" s="26" t="s">
        <v>78</v>
      </c>
      <c r="D1235" s="26" t="s">
        <v>31</v>
      </c>
      <c r="E1235" s="26">
        <v>220.0</v>
      </c>
      <c r="F1235" s="26" t="s">
        <v>1005</v>
      </c>
      <c r="G1235" s="26">
        <v>19.0</v>
      </c>
      <c r="H1235" s="26">
        <v>10.0</v>
      </c>
      <c r="I1235" s="26">
        <v>185.0</v>
      </c>
      <c r="J1235" s="26">
        <v>30.0</v>
      </c>
      <c r="K1235" s="26">
        <v>5.0</v>
      </c>
      <c r="M1235" s="26" t="s">
        <v>449</v>
      </c>
      <c r="N1235" s="26" t="s">
        <v>704</v>
      </c>
    </row>
    <row r="1236">
      <c r="A1236" s="25">
        <v>43311.74557724537</v>
      </c>
      <c r="B1236" s="26" t="s">
        <v>80</v>
      </c>
      <c r="C1236" s="26">
        <v>5.0</v>
      </c>
      <c r="D1236" s="26" t="s">
        <v>31</v>
      </c>
      <c r="E1236" s="26">
        <v>765.0</v>
      </c>
      <c r="F1236" s="26" t="s">
        <v>47</v>
      </c>
      <c r="G1236" s="26">
        <v>16.0</v>
      </c>
      <c r="H1236" s="26">
        <v>3.5</v>
      </c>
      <c r="I1236" s="26">
        <v>180000.0</v>
      </c>
      <c r="J1236" s="26">
        <v>550000.0</v>
      </c>
      <c r="K1236" s="26">
        <v>35000.0</v>
      </c>
      <c r="L1236" s="26" t="s">
        <v>1006</v>
      </c>
      <c r="M1236" s="26" t="s">
        <v>449</v>
      </c>
      <c r="N1236" s="26" t="s">
        <v>685</v>
      </c>
    </row>
    <row r="1237">
      <c r="A1237" s="25">
        <v>43311.77447991898</v>
      </c>
      <c r="B1237" s="26" t="s">
        <v>1007</v>
      </c>
      <c r="C1237" s="26" t="s">
        <v>1008</v>
      </c>
      <c r="D1237" s="26" t="s">
        <v>41</v>
      </c>
      <c r="E1237" s="26">
        <v>140.0</v>
      </c>
      <c r="F1237" s="26" t="s">
        <v>1009</v>
      </c>
      <c r="G1237" s="26">
        <v>14.0</v>
      </c>
      <c r="H1237" s="26">
        <v>16.0</v>
      </c>
      <c r="M1237" s="26" t="s">
        <v>449</v>
      </c>
      <c r="N1237" s="26" t="s">
        <v>704</v>
      </c>
    </row>
    <row r="1238">
      <c r="A1238" s="25">
        <v>43311.795333761576</v>
      </c>
      <c r="B1238" s="26" t="s">
        <v>752</v>
      </c>
      <c r="C1238" s="26" t="s">
        <v>125</v>
      </c>
      <c r="D1238" s="26" t="s">
        <v>31</v>
      </c>
      <c r="E1238" s="26">
        <v>173.0</v>
      </c>
      <c r="F1238" s="26" t="s">
        <v>753</v>
      </c>
      <c r="G1238" s="26">
        <v>16.0</v>
      </c>
      <c r="H1238" s="26">
        <v>5.0</v>
      </c>
      <c r="I1238" s="26">
        <v>147.0</v>
      </c>
      <c r="K1238" s="26">
        <v>16.0</v>
      </c>
      <c r="M1238" s="26" t="s">
        <v>449</v>
      </c>
      <c r="N1238" s="26" t="s">
        <v>704</v>
      </c>
    </row>
    <row r="1239">
      <c r="A1239" s="25">
        <v>43311.96964581018</v>
      </c>
      <c r="B1239" s="26" t="s">
        <v>80</v>
      </c>
      <c r="C1239" s="26" t="s">
        <v>26</v>
      </c>
      <c r="D1239" s="26" t="s">
        <v>31</v>
      </c>
      <c r="E1239" s="26">
        <v>190.0</v>
      </c>
      <c r="F1239" s="26" t="s">
        <v>32</v>
      </c>
      <c r="G1239" s="26">
        <v>2.0</v>
      </c>
      <c r="H1239" s="26">
        <v>0.0</v>
      </c>
      <c r="I1239" s="26">
        <v>125000.0</v>
      </c>
      <c r="J1239" s="26">
        <v>45.0</v>
      </c>
      <c r="K1239" s="26">
        <v>18.0</v>
      </c>
      <c r="M1239" s="26" t="s">
        <v>449</v>
      </c>
      <c r="N1239" s="26" t="s">
        <v>704</v>
      </c>
    </row>
    <row r="1240">
      <c r="A1240" s="25">
        <v>43311.97959474537</v>
      </c>
      <c r="B1240" s="26" t="s">
        <v>80</v>
      </c>
      <c r="C1240" s="26">
        <v>3.0</v>
      </c>
      <c r="D1240" s="26" t="s">
        <v>31</v>
      </c>
      <c r="E1240" s="26">
        <v>240.0</v>
      </c>
      <c r="F1240" s="26" t="s">
        <v>273</v>
      </c>
      <c r="G1240" s="26">
        <v>2.5</v>
      </c>
      <c r="H1240" s="26">
        <v>2.5</v>
      </c>
      <c r="I1240" s="26">
        <v>122.0</v>
      </c>
      <c r="J1240" s="26">
        <v>96.0</v>
      </c>
      <c r="K1240" s="26">
        <v>20.0</v>
      </c>
      <c r="M1240" s="26" t="s">
        <v>458</v>
      </c>
    </row>
    <row r="1241">
      <c r="A1241" s="25">
        <v>43312.0611015625</v>
      </c>
      <c r="B1241" s="26" t="s">
        <v>33</v>
      </c>
      <c r="C1241" s="26" t="s">
        <v>43</v>
      </c>
      <c r="D1241" s="26" t="s">
        <v>31</v>
      </c>
      <c r="E1241" s="26">
        <v>192.0</v>
      </c>
      <c r="F1241" s="26" t="s">
        <v>63</v>
      </c>
      <c r="G1241" s="26">
        <v>3.0</v>
      </c>
      <c r="H1241" s="26">
        <v>3.0</v>
      </c>
      <c r="I1241" s="26">
        <v>132.0</v>
      </c>
      <c r="J1241" s="26">
        <v>60.0</v>
      </c>
      <c r="K1241" s="26">
        <v>1.0</v>
      </c>
      <c r="M1241" s="26" t="s">
        <v>449</v>
      </c>
      <c r="N1241" s="26" t="s">
        <v>685</v>
      </c>
    </row>
    <row r="1242">
      <c r="A1242" s="25">
        <v>43312.642471238425</v>
      </c>
      <c r="B1242" s="26" t="s">
        <v>33</v>
      </c>
      <c r="C1242" s="26" t="s">
        <v>76</v>
      </c>
      <c r="D1242" s="26" t="s">
        <v>31</v>
      </c>
      <c r="E1242" s="26">
        <v>207.0</v>
      </c>
      <c r="F1242" s="26" t="s">
        <v>35</v>
      </c>
      <c r="G1242" s="26">
        <v>3.0</v>
      </c>
      <c r="H1242" s="26">
        <v>3.0</v>
      </c>
      <c r="I1242" s="26">
        <v>131000.0</v>
      </c>
      <c r="J1242" s="26">
        <v>76000.0</v>
      </c>
      <c r="M1242" s="26" t="s">
        <v>449</v>
      </c>
      <c r="N1242" s="26" t="s">
        <v>685</v>
      </c>
    </row>
    <row r="1243">
      <c r="A1243" s="25">
        <v>43312.77050827546</v>
      </c>
      <c r="B1243" s="26" t="s">
        <v>33</v>
      </c>
      <c r="C1243" s="26">
        <v>6.0</v>
      </c>
      <c r="D1243" s="26" t="s">
        <v>31</v>
      </c>
      <c r="E1243" s="26">
        <v>240.0</v>
      </c>
      <c r="F1243" s="26" t="s">
        <v>178</v>
      </c>
      <c r="G1243" s="26">
        <v>7.0</v>
      </c>
      <c r="H1243" s="26">
        <v>7.0</v>
      </c>
      <c r="I1243" s="26">
        <v>140.0</v>
      </c>
      <c r="M1243" s="26" t="s">
        <v>449</v>
      </c>
      <c r="N1243" s="26" t="s">
        <v>685</v>
      </c>
    </row>
    <row r="1244">
      <c r="A1244" s="25">
        <v>43313.05946059027</v>
      </c>
      <c r="B1244" s="26" t="s">
        <v>80</v>
      </c>
      <c r="C1244" s="26" t="s">
        <v>26</v>
      </c>
      <c r="D1244" s="26" t="s">
        <v>31</v>
      </c>
      <c r="E1244" s="26">
        <v>238.0</v>
      </c>
      <c r="F1244" s="26" t="s">
        <v>35</v>
      </c>
      <c r="G1244" s="26">
        <v>2.0</v>
      </c>
      <c r="H1244" s="26">
        <v>0.0</v>
      </c>
      <c r="I1244" s="26">
        <v>131000.0</v>
      </c>
      <c r="J1244" s="26">
        <v>87500.0</v>
      </c>
      <c r="K1244" s="26">
        <v>19650.0</v>
      </c>
      <c r="M1244" s="26" t="s">
        <v>449</v>
      </c>
      <c r="N1244" s="26" t="s">
        <v>704</v>
      </c>
    </row>
    <row r="1245">
      <c r="A1245" s="25">
        <v>43313.342801886574</v>
      </c>
      <c r="B1245" s="26" t="s">
        <v>36</v>
      </c>
      <c r="C1245" s="26" t="s">
        <v>73</v>
      </c>
      <c r="D1245" s="26" t="s">
        <v>31</v>
      </c>
      <c r="E1245" s="26">
        <v>105.0</v>
      </c>
      <c r="F1245" s="26" t="s">
        <v>761</v>
      </c>
      <c r="G1245" s="26">
        <v>3.0</v>
      </c>
      <c r="H1245" s="26">
        <v>0.0</v>
      </c>
      <c r="I1245" s="26">
        <v>81.0</v>
      </c>
      <c r="J1245" s="26">
        <v>24.0</v>
      </c>
      <c r="L1245" s="26" t="s">
        <v>1010</v>
      </c>
      <c r="N1245" s="26" t="s">
        <v>704</v>
      </c>
    </row>
    <row r="1246">
      <c r="A1246" s="25">
        <v>43313.4122175463</v>
      </c>
      <c r="B1246" s="26" t="s">
        <v>33</v>
      </c>
      <c r="C1246" s="26" t="s">
        <v>43</v>
      </c>
      <c r="D1246" s="26" t="s">
        <v>31</v>
      </c>
      <c r="E1246" s="26">
        <v>189.0</v>
      </c>
      <c r="F1246" s="26" t="s">
        <v>1011</v>
      </c>
      <c r="G1246" s="26">
        <v>5.0</v>
      </c>
      <c r="H1246" s="26">
        <v>4.4</v>
      </c>
      <c r="I1246" s="26">
        <v>144.0</v>
      </c>
      <c r="J1246" s="26">
        <v>45.0</v>
      </c>
      <c r="M1246" s="26" t="s">
        <v>449</v>
      </c>
      <c r="N1246" s="26" t="s">
        <v>685</v>
      </c>
    </row>
    <row r="1247">
      <c r="A1247" s="25">
        <v>43313.494850856485</v>
      </c>
      <c r="B1247" s="26" t="s">
        <v>40</v>
      </c>
      <c r="C1247" s="26">
        <v>65.0</v>
      </c>
      <c r="D1247" s="26" t="s">
        <v>713</v>
      </c>
      <c r="E1247" s="26">
        <v>340.0</v>
      </c>
      <c r="F1247" s="26" t="s">
        <v>238</v>
      </c>
      <c r="G1247" s="26">
        <v>23.0</v>
      </c>
      <c r="H1247" s="26">
        <v>13.0</v>
      </c>
      <c r="I1247" s="26">
        <v>200000.0</v>
      </c>
      <c r="J1247" s="26">
        <v>60000.0</v>
      </c>
      <c r="K1247" s="26">
        <v>80000.0</v>
      </c>
      <c r="M1247" s="26" t="s">
        <v>449</v>
      </c>
      <c r="N1247" s="26" t="s">
        <v>685</v>
      </c>
    </row>
    <row r="1248">
      <c r="A1248" s="25">
        <v>43313.67738403935</v>
      </c>
      <c r="B1248" s="26" t="s">
        <v>1012</v>
      </c>
      <c r="C1248" s="26" t="s">
        <v>26</v>
      </c>
      <c r="D1248" s="26" t="s">
        <v>31</v>
      </c>
      <c r="E1248" s="26">
        <v>155.0</v>
      </c>
      <c r="F1248" s="26" t="s">
        <v>35</v>
      </c>
      <c r="G1248" s="26">
        <v>9.0</v>
      </c>
      <c r="H1248" s="26">
        <v>4.0</v>
      </c>
      <c r="I1248" s="26">
        <v>140.0</v>
      </c>
      <c r="J1248" s="26">
        <v>15.0</v>
      </c>
      <c r="K1248" s="26">
        <v>1.0</v>
      </c>
      <c r="M1248" s="26" t="s">
        <v>449</v>
      </c>
      <c r="N1248" s="26" t="s">
        <v>708</v>
      </c>
    </row>
    <row r="1249">
      <c r="A1249" s="25">
        <v>43313.711659849534</v>
      </c>
      <c r="B1249" s="26" t="s">
        <v>268</v>
      </c>
      <c r="C1249" s="26" t="s">
        <v>366</v>
      </c>
      <c r="D1249" s="26" t="s">
        <v>27</v>
      </c>
      <c r="E1249" s="26">
        <v>210.0</v>
      </c>
      <c r="F1249" s="26" t="s">
        <v>272</v>
      </c>
      <c r="G1249" s="26">
        <v>10.0</v>
      </c>
      <c r="H1249" s="26">
        <v>7.0</v>
      </c>
      <c r="I1249" s="26">
        <v>160.0</v>
      </c>
      <c r="J1249" s="26">
        <v>25.0</v>
      </c>
      <c r="K1249" s="26">
        <v>25.0</v>
      </c>
      <c r="M1249" s="26" t="s">
        <v>449</v>
      </c>
      <c r="N1249" s="26" t="s">
        <v>715</v>
      </c>
    </row>
    <row r="1250">
      <c r="A1250" s="25">
        <v>43313.73593351852</v>
      </c>
      <c r="B1250" s="26" t="s">
        <v>33</v>
      </c>
      <c r="C1250" s="26" t="s">
        <v>43</v>
      </c>
      <c r="D1250" s="26" t="s">
        <v>31</v>
      </c>
      <c r="E1250" s="26">
        <v>255.0</v>
      </c>
      <c r="F1250" s="26" t="s">
        <v>35</v>
      </c>
      <c r="G1250" s="26">
        <v>6.0</v>
      </c>
      <c r="H1250" s="26">
        <v>0.0</v>
      </c>
      <c r="I1250" s="26">
        <v>150.0</v>
      </c>
      <c r="J1250" s="26">
        <v>50.0</v>
      </c>
      <c r="K1250" s="26">
        <v>97.0</v>
      </c>
      <c r="M1250" s="26" t="s">
        <v>449</v>
      </c>
      <c r="N1250" s="26" t="s">
        <v>817</v>
      </c>
    </row>
    <row r="1251">
      <c r="A1251" s="25">
        <v>43313.816072546295</v>
      </c>
      <c r="B1251" s="26" t="s">
        <v>80</v>
      </c>
      <c r="C1251" s="26" t="s">
        <v>179</v>
      </c>
      <c r="D1251" s="26" t="s">
        <v>31</v>
      </c>
      <c r="E1251" s="26">
        <v>220.0</v>
      </c>
      <c r="F1251" s="26" t="s">
        <v>1013</v>
      </c>
      <c r="G1251" s="26">
        <v>2.0</v>
      </c>
      <c r="H1251" s="26">
        <v>0.0</v>
      </c>
      <c r="I1251" s="26">
        <v>140000.0</v>
      </c>
      <c r="J1251" s="26">
        <v>40000.0</v>
      </c>
      <c r="K1251" s="26">
        <v>28000.0</v>
      </c>
      <c r="M1251" s="26" t="s">
        <v>449</v>
      </c>
      <c r="N1251" s="26" t="s">
        <v>683</v>
      </c>
    </row>
    <row r="1252">
      <c r="A1252" s="25">
        <v>43314.4738081713</v>
      </c>
      <c r="B1252" s="26" t="s">
        <v>33</v>
      </c>
      <c r="C1252" s="26" t="s">
        <v>76</v>
      </c>
      <c r="D1252" s="26" t="s">
        <v>31</v>
      </c>
      <c r="E1252" s="26">
        <v>230.0</v>
      </c>
      <c r="F1252" s="26" t="s">
        <v>175</v>
      </c>
      <c r="G1252" s="26">
        <v>4.0</v>
      </c>
      <c r="H1252" s="26">
        <v>2.0</v>
      </c>
      <c r="N1252" s="26" t="s">
        <v>685</v>
      </c>
    </row>
    <row r="1253">
      <c r="A1253" s="25">
        <v>43314.51522728009</v>
      </c>
      <c r="B1253" s="26" t="s">
        <v>40</v>
      </c>
      <c r="C1253" s="26">
        <v>64.0</v>
      </c>
      <c r="D1253" s="26" t="s">
        <v>31</v>
      </c>
      <c r="E1253" s="26">
        <v>194.0</v>
      </c>
      <c r="F1253" s="26" t="s">
        <v>1014</v>
      </c>
      <c r="G1253" s="26">
        <v>13.0</v>
      </c>
      <c r="H1253" s="26">
        <v>6.0</v>
      </c>
      <c r="I1253" s="26">
        <v>140000.0</v>
      </c>
      <c r="J1253" s="26">
        <v>29000.0</v>
      </c>
      <c r="K1253" s="26">
        <v>25000.0</v>
      </c>
      <c r="M1253" s="26" t="s">
        <v>449</v>
      </c>
      <c r="N1253" s="26" t="s">
        <v>683</v>
      </c>
    </row>
    <row r="1254">
      <c r="A1254" s="25">
        <v>43314.532366354164</v>
      </c>
      <c r="B1254" s="26" t="s">
        <v>40</v>
      </c>
      <c r="C1254" s="26">
        <v>63.0</v>
      </c>
      <c r="D1254" s="26" t="s">
        <v>31</v>
      </c>
      <c r="E1254" s="26">
        <v>194.0</v>
      </c>
      <c r="F1254" s="26" t="s">
        <v>35</v>
      </c>
      <c r="G1254" s="26">
        <v>6.0</v>
      </c>
      <c r="H1254" s="26">
        <v>4.0</v>
      </c>
      <c r="I1254" s="26">
        <v>147.0</v>
      </c>
      <c r="J1254" s="26">
        <v>14.0</v>
      </c>
      <c r="K1254" s="26">
        <v>25.0</v>
      </c>
      <c r="N1254" s="26" t="s">
        <v>704</v>
      </c>
    </row>
    <row r="1255">
      <c r="A1255" s="25">
        <v>43314.61028458334</v>
      </c>
      <c r="B1255" s="26" t="s">
        <v>371</v>
      </c>
      <c r="C1255" s="26" t="s">
        <v>372</v>
      </c>
      <c r="D1255" s="26" t="s">
        <v>31</v>
      </c>
      <c r="E1255" s="26">
        <v>175.0</v>
      </c>
      <c r="F1255" s="26" t="s">
        <v>1015</v>
      </c>
      <c r="G1255" s="26">
        <v>8.0</v>
      </c>
      <c r="H1255" s="26">
        <v>6.0</v>
      </c>
      <c r="I1255" s="26">
        <v>130.0</v>
      </c>
      <c r="J1255" s="26">
        <v>35.0</v>
      </c>
      <c r="K1255" s="26">
        <v>10.0</v>
      </c>
      <c r="N1255" s="26" t="s">
        <v>1016</v>
      </c>
    </row>
    <row r="1256">
      <c r="A1256" s="25">
        <v>43314.95235157407</v>
      </c>
      <c r="B1256" s="26" t="s">
        <v>256</v>
      </c>
      <c r="C1256" s="26" t="s">
        <v>117</v>
      </c>
      <c r="D1256" s="26" t="s">
        <v>31</v>
      </c>
      <c r="E1256" s="26">
        <v>215.0</v>
      </c>
      <c r="F1256" s="26" t="s">
        <v>32</v>
      </c>
      <c r="G1256" s="26">
        <v>8.0</v>
      </c>
      <c r="H1256" s="26">
        <v>1.0</v>
      </c>
      <c r="I1256" s="26">
        <v>145.0</v>
      </c>
      <c r="J1256" s="26">
        <v>55.0</v>
      </c>
      <c r="K1256" s="26">
        <v>15.0</v>
      </c>
      <c r="M1256" s="26" t="s">
        <v>449</v>
      </c>
      <c r="N1256" s="26" t="s">
        <v>696</v>
      </c>
    </row>
    <row r="1257">
      <c r="A1257" s="25">
        <v>43315.01894621528</v>
      </c>
      <c r="B1257" s="26" t="s">
        <v>33</v>
      </c>
      <c r="C1257" s="26" t="s">
        <v>76</v>
      </c>
      <c r="D1257" s="26" t="s">
        <v>31</v>
      </c>
      <c r="E1257" s="26">
        <v>210.0</v>
      </c>
      <c r="F1257" s="26" t="s">
        <v>1017</v>
      </c>
      <c r="G1257" s="26">
        <v>4.0</v>
      </c>
      <c r="H1257" s="26">
        <v>2.0</v>
      </c>
      <c r="I1257" s="26">
        <v>155000.0</v>
      </c>
      <c r="J1257" s="26">
        <v>45000.0</v>
      </c>
      <c r="K1257" s="26">
        <v>10000.0</v>
      </c>
      <c r="N1257" s="26" t="s">
        <v>685</v>
      </c>
    </row>
    <row r="1258">
      <c r="A1258" s="25">
        <v>43315.372570023144</v>
      </c>
      <c r="B1258" s="26" t="s">
        <v>1018</v>
      </c>
      <c r="C1258" s="26" t="s">
        <v>41</v>
      </c>
      <c r="D1258" s="26" t="s">
        <v>41</v>
      </c>
      <c r="E1258" s="26">
        <v>207.0</v>
      </c>
      <c r="F1258" s="26" t="s">
        <v>35</v>
      </c>
      <c r="G1258" s="26">
        <v>20.0</v>
      </c>
      <c r="H1258" s="26">
        <v>4.0</v>
      </c>
      <c r="N1258" s="26" t="s">
        <v>685</v>
      </c>
    </row>
    <row r="1259">
      <c r="A1259" s="25">
        <v>43315.44466971065</v>
      </c>
      <c r="B1259" s="26" t="s">
        <v>40</v>
      </c>
      <c r="C1259" s="26">
        <v>62.0</v>
      </c>
      <c r="D1259" s="26" t="s">
        <v>31</v>
      </c>
      <c r="E1259" s="26">
        <v>202.0</v>
      </c>
      <c r="F1259" s="26" t="s">
        <v>1019</v>
      </c>
      <c r="G1259" s="26">
        <v>7.0</v>
      </c>
      <c r="H1259" s="26">
        <v>1.0</v>
      </c>
      <c r="I1259" s="26">
        <v>138.0</v>
      </c>
      <c r="J1259" s="26">
        <v>25.0</v>
      </c>
      <c r="K1259" s="26">
        <v>20.0</v>
      </c>
      <c r="N1259" s="26" t="s">
        <v>683</v>
      </c>
    </row>
    <row r="1260">
      <c r="A1260" s="25">
        <v>43315.644600196756</v>
      </c>
      <c r="B1260" s="26" t="s">
        <v>371</v>
      </c>
      <c r="C1260" s="26" t="s">
        <v>372</v>
      </c>
      <c r="D1260" s="26" t="s">
        <v>711</v>
      </c>
      <c r="E1260" s="26">
        <v>220.0</v>
      </c>
      <c r="F1260" s="26" t="s">
        <v>327</v>
      </c>
      <c r="G1260" s="26">
        <v>6.0</v>
      </c>
      <c r="H1260" s="26">
        <v>6.0</v>
      </c>
      <c r="I1260" s="26">
        <v>154.0</v>
      </c>
      <c r="J1260" s="26">
        <v>45.0</v>
      </c>
      <c r="K1260" s="26">
        <v>20.0</v>
      </c>
      <c r="N1260" s="26" t="s">
        <v>691</v>
      </c>
    </row>
    <row r="1261">
      <c r="A1261" s="25">
        <v>43315.70185196759</v>
      </c>
      <c r="B1261" s="26" t="s">
        <v>123</v>
      </c>
      <c r="C1261" s="26" t="s">
        <v>37</v>
      </c>
      <c r="D1261" s="26" t="s">
        <v>31</v>
      </c>
      <c r="E1261" s="26">
        <v>280.0</v>
      </c>
      <c r="F1261" s="26" t="s">
        <v>51</v>
      </c>
      <c r="G1261" s="26">
        <v>7.0</v>
      </c>
      <c r="H1261" s="26">
        <v>1.5</v>
      </c>
      <c r="I1261" s="26">
        <v>162000.0</v>
      </c>
      <c r="J1261" s="26">
        <v>100000.0</v>
      </c>
      <c r="K1261" s="26">
        <v>18000.0</v>
      </c>
      <c r="M1261" s="26" t="s">
        <v>449</v>
      </c>
      <c r="N1261" s="26" t="s">
        <v>696</v>
      </c>
    </row>
    <row r="1262">
      <c r="A1262" s="25">
        <v>43316.009587824075</v>
      </c>
      <c r="B1262" s="26" t="s">
        <v>1020</v>
      </c>
      <c r="C1262" s="26" t="s">
        <v>34</v>
      </c>
      <c r="D1262" s="26" t="s">
        <v>31</v>
      </c>
      <c r="E1262" s="26">
        <v>570.0</v>
      </c>
      <c r="F1262" s="26" t="s">
        <v>32</v>
      </c>
      <c r="G1262" s="26">
        <v>15.0</v>
      </c>
      <c r="H1262" s="26">
        <v>4.0</v>
      </c>
      <c r="N1262" s="26" t="s">
        <v>685</v>
      </c>
    </row>
    <row r="1263">
      <c r="A1263" s="25">
        <v>43316.03272016204</v>
      </c>
      <c r="B1263" s="26" t="s">
        <v>40</v>
      </c>
      <c r="C1263" s="26" t="s">
        <v>611</v>
      </c>
      <c r="D1263" s="26" t="s">
        <v>31</v>
      </c>
      <c r="E1263" s="26">
        <v>135.0</v>
      </c>
      <c r="F1263" s="26" t="s">
        <v>86</v>
      </c>
      <c r="G1263" s="26">
        <v>4.0</v>
      </c>
      <c r="H1263" s="26">
        <v>4.0</v>
      </c>
      <c r="I1263" s="26">
        <v>119.5</v>
      </c>
      <c r="J1263" s="26">
        <v>4.5</v>
      </c>
      <c r="K1263" s="26">
        <v>11.0</v>
      </c>
      <c r="M1263" s="26" t="s">
        <v>449</v>
      </c>
      <c r="N1263" s="26" t="s">
        <v>696</v>
      </c>
    </row>
    <row r="1264">
      <c r="A1264" s="25">
        <v>43316.04197965278</v>
      </c>
      <c r="B1264" s="26" t="s">
        <v>80</v>
      </c>
      <c r="C1264" s="26" t="s">
        <v>73</v>
      </c>
      <c r="D1264" s="26" t="s">
        <v>31</v>
      </c>
      <c r="E1264" s="26">
        <v>218.0</v>
      </c>
      <c r="F1264" s="26" t="s">
        <v>227</v>
      </c>
      <c r="G1264" s="26">
        <v>4.0</v>
      </c>
      <c r="H1264" s="26">
        <v>0.0</v>
      </c>
      <c r="I1264" s="26">
        <v>135.0</v>
      </c>
      <c r="J1264" s="26">
        <v>62.5</v>
      </c>
      <c r="K1264" s="26">
        <v>13.5</v>
      </c>
      <c r="M1264" s="26" t="s">
        <v>449</v>
      </c>
      <c r="N1264" s="26" t="s">
        <v>751</v>
      </c>
    </row>
    <row r="1265">
      <c r="A1265" s="25">
        <v>43316.07926778935</v>
      </c>
      <c r="B1265" s="26" t="s">
        <v>319</v>
      </c>
      <c r="C1265" s="26">
        <v>8.0</v>
      </c>
      <c r="D1265" s="26" t="s">
        <v>31</v>
      </c>
      <c r="E1265" s="26">
        <v>150.0</v>
      </c>
      <c r="F1265" s="26" t="s">
        <v>1021</v>
      </c>
      <c r="G1265" s="26">
        <v>6.0</v>
      </c>
      <c r="H1265" s="26">
        <v>2.0</v>
      </c>
      <c r="I1265" s="26">
        <v>147800.0</v>
      </c>
      <c r="K1265" s="26">
        <v>2200.0</v>
      </c>
      <c r="N1265" s="26" t="s">
        <v>691</v>
      </c>
    </row>
    <row r="1266">
      <c r="A1266" s="25">
        <v>43316.338711550925</v>
      </c>
      <c r="B1266" s="26" t="s">
        <v>350</v>
      </c>
      <c r="C1266" s="26" t="s">
        <v>1022</v>
      </c>
      <c r="D1266" s="26" t="s">
        <v>41</v>
      </c>
      <c r="E1266" s="26">
        <v>155.0</v>
      </c>
      <c r="F1266" s="26" t="s">
        <v>1023</v>
      </c>
      <c r="G1266" s="26">
        <v>6.0</v>
      </c>
      <c r="H1266" s="26">
        <v>3.0</v>
      </c>
      <c r="I1266" s="26">
        <v>140.0</v>
      </c>
      <c r="K1266" s="26">
        <v>15.0</v>
      </c>
      <c r="M1266" s="26" t="s">
        <v>449</v>
      </c>
      <c r="N1266" s="26" t="s">
        <v>685</v>
      </c>
    </row>
    <row r="1267">
      <c r="A1267" s="25">
        <v>43316.49100028935</v>
      </c>
      <c r="B1267" s="26" t="s">
        <v>33</v>
      </c>
      <c r="C1267" s="26" t="s">
        <v>73</v>
      </c>
      <c r="D1267" s="26" t="s">
        <v>31</v>
      </c>
      <c r="E1267" s="26">
        <v>135.0</v>
      </c>
      <c r="F1267" s="26" t="s">
        <v>35</v>
      </c>
      <c r="G1267" s="26">
        <v>1.0</v>
      </c>
      <c r="H1267" s="26">
        <v>0.0</v>
      </c>
      <c r="I1267" s="26">
        <v>104000.0</v>
      </c>
      <c r="J1267" s="26">
        <v>3000.0</v>
      </c>
      <c r="K1267" s="26">
        <v>18500.0</v>
      </c>
      <c r="L1267" s="26" t="s">
        <v>1024</v>
      </c>
      <c r="M1267" s="26" t="s">
        <v>449</v>
      </c>
      <c r="N1267" s="26" t="s">
        <v>704</v>
      </c>
    </row>
    <row r="1268">
      <c r="A1268" s="25">
        <v>43316.66899276621</v>
      </c>
      <c r="B1268" s="26" t="s">
        <v>33</v>
      </c>
      <c r="C1268" s="26" t="s">
        <v>381</v>
      </c>
      <c r="D1268" s="26" t="s">
        <v>31</v>
      </c>
      <c r="E1268" s="26">
        <v>350.0</v>
      </c>
      <c r="F1268" s="26" t="s">
        <v>320</v>
      </c>
      <c r="G1268" s="26">
        <v>14.0</v>
      </c>
      <c r="H1268" s="26">
        <v>1.0</v>
      </c>
      <c r="I1268" s="26">
        <v>160000.0</v>
      </c>
      <c r="J1268" s="26">
        <v>175000.0</v>
      </c>
      <c r="K1268" s="26">
        <v>56250.0</v>
      </c>
      <c r="M1268" s="26" t="s">
        <v>449</v>
      </c>
      <c r="N1268" s="26" t="s">
        <v>687</v>
      </c>
    </row>
    <row r="1269">
      <c r="A1269" s="25">
        <v>43316.708873854164</v>
      </c>
      <c r="B1269" s="26" t="s">
        <v>45</v>
      </c>
      <c r="C1269" s="26" t="s">
        <v>102</v>
      </c>
      <c r="D1269" s="26" t="s">
        <v>971</v>
      </c>
      <c r="E1269" s="26">
        <v>165.0</v>
      </c>
      <c r="F1269" s="26" t="s">
        <v>104</v>
      </c>
      <c r="G1269" s="26">
        <v>2.0</v>
      </c>
      <c r="H1269" s="26">
        <v>2.0</v>
      </c>
      <c r="I1269" s="26">
        <v>110000.0</v>
      </c>
      <c r="J1269" s="26">
        <v>50000.0</v>
      </c>
      <c r="K1269" s="26">
        <v>5000.0</v>
      </c>
      <c r="M1269" s="26" t="s">
        <v>449</v>
      </c>
      <c r="N1269" s="26" t="s">
        <v>728</v>
      </c>
    </row>
    <row r="1270">
      <c r="A1270" s="25">
        <v>43316.84860865741</v>
      </c>
      <c r="B1270" s="26" t="s">
        <v>33</v>
      </c>
      <c r="C1270" s="26" t="s">
        <v>73</v>
      </c>
      <c r="D1270" s="26" t="s">
        <v>711</v>
      </c>
      <c r="E1270" s="26">
        <v>130.0</v>
      </c>
      <c r="F1270" s="26" t="s">
        <v>63</v>
      </c>
      <c r="G1270" s="26">
        <v>7.0</v>
      </c>
      <c r="H1270" s="26">
        <v>1.0</v>
      </c>
      <c r="N1270" s="26" t="s">
        <v>691</v>
      </c>
    </row>
    <row r="1271">
      <c r="A1271" s="25">
        <v>43316.91470013889</v>
      </c>
      <c r="B1271" s="26" t="s">
        <v>40</v>
      </c>
      <c r="C1271" s="26">
        <v>65.0</v>
      </c>
      <c r="D1271" s="26" t="s">
        <v>41</v>
      </c>
      <c r="E1271" s="26">
        <v>293.0</v>
      </c>
      <c r="F1271" s="26" t="s">
        <v>1025</v>
      </c>
      <c r="G1271" s="26">
        <v>16.0</v>
      </c>
      <c r="H1271" s="26">
        <v>16.0</v>
      </c>
      <c r="N1271" s="26" t="s">
        <v>683</v>
      </c>
    </row>
    <row r="1272">
      <c r="A1272" s="25">
        <v>43317.05778287037</v>
      </c>
      <c r="B1272" s="26" t="s">
        <v>146</v>
      </c>
      <c r="C1272" s="26" t="s">
        <v>31</v>
      </c>
      <c r="D1272" s="26" t="s">
        <v>31</v>
      </c>
      <c r="E1272" s="26">
        <v>210.0</v>
      </c>
      <c r="F1272" s="26" t="s">
        <v>134</v>
      </c>
      <c r="G1272" s="26">
        <v>4.0</v>
      </c>
      <c r="H1272" s="26">
        <v>0.5</v>
      </c>
      <c r="I1272" s="26">
        <v>135.0</v>
      </c>
      <c r="J1272" s="26">
        <v>50.0</v>
      </c>
      <c r="K1272" s="26">
        <v>30.0</v>
      </c>
      <c r="M1272" s="26" t="s">
        <v>458</v>
      </c>
      <c r="N1272" s="26" t="s">
        <v>696</v>
      </c>
    </row>
    <row r="1273">
      <c r="A1273" s="25">
        <v>43317.76731640047</v>
      </c>
      <c r="B1273" s="26" t="s">
        <v>40</v>
      </c>
      <c r="C1273" s="26">
        <v>60.0</v>
      </c>
      <c r="D1273" s="26" t="s">
        <v>31</v>
      </c>
      <c r="E1273" s="26">
        <v>141.0</v>
      </c>
      <c r="F1273" s="26" t="s">
        <v>594</v>
      </c>
      <c r="G1273" s="26">
        <v>1.0</v>
      </c>
      <c r="H1273" s="26">
        <v>1.0</v>
      </c>
      <c r="I1273" s="26">
        <v>118.0</v>
      </c>
      <c r="J1273" s="26">
        <v>8.0</v>
      </c>
      <c r="K1273" s="26">
        <v>15.0</v>
      </c>
      <c r="N1273" s="26" t="s">
        <v>1026</v>
      </c>
    </row>
    <row r="1274">
      <c r="A1274" s="25">
        <v>43317.76740297454</v>
      </c>
      <c r="B1274" s="26" t="s">
        <v>40</v>
      </c>
      <c r="C1274" s="26">
        <v>60.0</v>
      </c>
      <c r="D1274" s="26" t="s">
        <v>31</v>
      </c>
      <c r="E1274" s="26">
        <v>141.0</v>
      </c>
      <c r="F1274" s="26" t="s">
        <v>594</v>
      </c>
      <c r="G1274" s="26">
        <v>1.0</v>
      </c>
      <c r="H1274" s="26">
        <v>1.0</v>
      </c>
      <c r="I1274" s="26">
        <v>118.0</v>
      </c>
      <c r="J1274" s="26">
        <v>8.0</v>
      </c>
      <c r="K1274" s="26">
        <v>15.0</v>
      </c>
      <c r="N1274" s="26" t="s">
        <v>1026</v>
      </c>
    </row>
    <row r="1275">
      <c r="A1275" s="25">
        <v>43317.83380679398</v>
      </c>
      <c r="B1275" s="26" t="s">
        <v>80</v>
      </c>
      <c r="C1275" s="26" t="s">
        <v>430</v>
      </c>
      <c r="D1275" s="26" t="s">
        <v>31</v>
      </c>
      <c r="E1275" s="26">
        <v>191.0</v>
      </c>
      <c r="F1275" s="26" t="s">
        <v>413</v>
      </c>
      <c r="G1275" s="26">
        <v>4.0</v>
      </c>
      <c r="H1275" s="26">
        <v>0.5</v>
      </c>
      <c r="I1275" s="26">
        <v>136.0</v>
      </c>
      <c r="J1275" s="26">
        <v>32.0</v>
      </c>
      <c r="K1275" s="26">
        <v>21.0</v>
      </c>
      <c r="N1275" s="26" t="s">
        <v>683</v>
      </c>
    </row>
    <row r="1276">
      <c r="A1276" s="25">
        <v>43317.9473465162</v>
      </c>
      <c r="B1276" s="26" t="s">
        <v>40</v>
      </c>
      <c r="C1276" s="26">
        <v>60.0</v>
      </c>
      <c r="D1276" s="26" t="s">
        <v>27</v>
      </c>
      <c r="E1276" s="26">
        <v>117.0</v>
      </c>
      <c r="F1276" s="26" t="s">
        <v>161</v>
      </c>
      <c r="G1276" s="26">
        <v>2.0</v>
      </c>
      <c r="H1276" s="26">
        <v>2.0</v>
      </c>
      <c r="N1276" s="26" t="s">
        <v>1027</v>
      </c>
    </row>
    <row r="1277">
      <c r="A1277" s="25">
        <v>43318.424421331016</v>
      </c>
      <c r="B1277" s="26" t="s">
        <v>40</v>
      </c>
      <c r="C1277" s="26">
        <v>66.0</v>
      </c>
      <c r="D1277" s="26" t="s">
        <v>27</v>
      </c>
      <c r="E1277" s="26">
        <v>305.0</v>
      </c>
      <c r="F1277" s="26" t="s">
        <v>508</v>
      </c>
      <c r="G1277" s="26">
        <v>20.0</v>
      </c>
      <c r="H1277" s="26">
        <v>2.0</v>
      </c>
      <c r="I1277" s="26">
        <v>200000.0</v>
      </c>
      <c r="J1277" s="26">
        <v>75000.0</v>
      </c>
      <c r="K1277" s="26">
        <v>30000.0</v>
      </c>
      <c r="M1277" s="26" t="s">
        <v>458</v>
      </c>
      <c r="N1277" s="26" t="s">
        <v>1028</v>
      </c>
    </row>
    <row r="1278">
      <c r="A1278" s="25">
        <v>43318.42732873843</v>
      </c>
      <c r="B1278" s="26" t="s">
        <v>40</v>
      </c>
      <c r="C1278" s="26">
        <v>60.0</v>
      </c>
      <c r="D1278" s="26" t="s">
        <v>31</v>
      </c>
      <c r="E1278" s="26">
        <v>171.0</v>
      </c>
      <c r="F1278" s="26" t="s">
        <v>75</v>
      </c>
      <c r="G1278" s="26">
        <v>1.0</v>
      </c>
      <c r="H1278" s="26">
        <v>1.0</v>
      </c>
      <c r="I1278" s="26">
        <v>116.0</v>
      </c>
      <c r="J1278" s="26">
        <v>32.5</v>
      </c>
      <c r="K1278" s="26">
        <v>22.5</v>
      </c>
      <c r="M1278" s="26" t="s">
        <v>449</v>
      </c>
      <c r="N1278" s="26" t="s">
        <v>683</v>
      </c>
    </row>
    <row r="1279">
      <c r="A1279" s="25">
        <v>43318.635366435185</v>
      </c>
      <c r="B1279" s="26" t="s">
        <v>45</v>
      </c>
      <c r="C1279" s="26" t="s">
        <v>179</v>
      </c>
      <c r="D1279" s="26" t="s">
        <v>31</v>
      </c>
      <c r="E1279" s="26">
        <v>230.0</v>
      </c>
      <c r="F1279" s="26" t="s">
        <v>47</v>
      </c>
      <c r="G1279" s="26">
        <v>4.0</v>
      </c>
      <c r="H1279" s="26">
        <v>0.0</v>
      </c>
      <c r="I1279" s="26">
        <v>165.0</v>
      </c>
      <c r="J1279" s="26">
        <v>50.0</v>
      </c>
      <c r="M1279" s="26" t="s">
        <v>449</v>
      </c>
      <c r="N1279" s="26" t="s">
        <v>691</v>
      </c>
    </row>
    <row r="1280">
      <c r="A1280" s="25">
        <v>43318.69175240741</v>
      </c>
      <c r="B1280" s="26" t="s">
        <v>1029</v>
      </c>
      <c r="C1280" s="26" t="s">
        <v>1030</v>
      </c>
      <c r="D1280" s="26" t="s">
        <v>31</v>
      </c>
      <c r="E1280" s="26">
        <v>115.0</v>
      </c>
      <c r="F1280" s="26" t="s">
        <v>929</v>
      </c>
      <c r="G1280" s="26">
        <v>9.0</v>
      </c>
      <c r="H1280" s="26">
        <v>9.0</v>
      </c>
      <c r="I1280" s="26">
        <v>115.0</v>
      </c>
      <c r="J1280" s="26">
        <v>3.0</v>
      </c>
      <c r="K1280" s="26">
        <v>4.0</v>
      </c>
      <c r="N1280" s="26" t="s">
        <v>683</v>
      </c>
    </row>
    <row r="1281">
      <c r="A1281" s="25">
        <v>43318.70924114583</v>
      </c>
      <c r="B1281" s="26" t="s">
        <v>40</v>
      </c>
      <c r="C1281" s="26">
        <v>62.0</v>
      </c>
      <c r="D1281" s="26" t="s">
        <v>31</v>
      </c>
      <c r="E1281" s="26">
        <v>195.0</v>
      </c>
      <c r="F1281" s="26" t="s">
        <v>894</v>
      </c>
      <c r="G1281" s="26">
        <v>3.0</v>
      </c>
      <c r="H1281" s="26">
        <v>0.0</v>
      </c>
      <c r="I1281" s="26">
        <v>147000.0</v>
      </c>
      <c r="N1281" s="26" t="s">
        <v>685</v>
      </c>
    </row>
    <row r="1282">
      <c r="A1282" s="25">
        <v>43318.77938126157</v>
      </c>
      <c r="B1282" s="26" t="s">
        <v>286</v>
      </c>
      <c r="C1282" s="26" t="s">
        <v>62</v>
      </c>
      <c r="D1282" s="26" t="s">
        <v>27</v>
      </c>
      <c r="E1282" s="26">
        <v>236.0</v>
      </c>
      <c r="F1282" s="26" t="s">
        <v>238</v>
      </c>
      <c r="G1282" s="26">
        <v>16.0</v>
      </c>
      <c r="H1282" s="26">
        <v>5.0</v>
      </c>
      <c r="N1282" s="26" t="s">
        <v>691</v>
      </c>
    </row>
    <row r="1283">
      <c r="A1283" s="25">
        <v>43318.80283739584</v>
      </c>
      <c r="B1283" s="26" t="s">
        <v>204</v>
      </c>
      <c r="C1283" s="26" t="s">
        <v>43</v>
      </c>
      <c r="D1283" s="26" t="s">
        <v>31</v>
      </c>
      <c r="E1283" s="26">
        <v>418.0</v>
      </c>
      <c r="F1283" s="26" t="s">
        <v>32</v>
      </c>
      <c r="G1283" s="26">
        <v>10.0</v>
      </c>
      <c r="H1283" s="26">
        <v>2.0</v>
      </c>
      <c r="I1283" s="26">
        <v>193.0</v>
      </c>
      <c r="J1283" s="26">
        <v>119.0</v>
      </c>
      <c r="K1283" s="26">
        <v>38.0</v>
      </c>
      <c r="N1283" s="26" t="s">
        <v>699</v>
      </c>
    </row>
    <row r="1284">
      <c r="A1284" s="25">
        <v>43318.809102349536</v>
      </c>
      <c r="B1284" s="26" t="s">
        <v>256</v>
      </c>
      <c r="C1284" s="26" t="s">
        <v>688</v>
      </c>
      <c r="D1284" s="26" t="s">
        <v>27</v>
      </c>
      <c r="E1284" s="26">
        <v>315.0</v>
      </c>
      <c r="F1284" s="26" t="s">
        <v>32</v>
      </c>
      <c r="G1284" s="26">
        <v>7.0</v>
      </c>
      <c r="H1284" s="26">
        <v>5.0</v>
      </c>
      <c r="I1284" s="26">
        <v>187.0</v>
      </c>
      <c r="J1284" s="26">
        <v>100.0</v>
      </c>
      <c r="K1284" s="26">
        <v>28.0</v>
      </c>
      <c r="N1284" s="26" t="s">
        <v>683</v>
      </c>
    </row>
    <row r="1285">
      <c r="A1285" s="25">
        <v>43318.99098449074</v>
      </c>
      <c r="B1285" s="26" t="s">
        <v>1031</v>
      </c>
      <c r="C1285" s="26" t="s">
        <v>102</v>
      </c>
      <c r="D1285" s="26" t="s">
        <v>903</v>
      </c>
      <c r="E1285" s="26">
        <v>236.0</v>
      </c>
      <c r="F1285" s="26" t="s">
        <v>104</v>
      </c>
      <c r="G1285" s="26">
        <v>3.0</v>
      </c>
      <c r="H1285" s="26">
        <v>3.0</v>
      </c>
      <c r="I1285" s="26">
        <v>121000.0</v>
      </c>
      <c r="J1285" s="26">
        <v>100000.0</v>
      </c>
      <c r="K1285" s="26">
        <v>15000.0</v>
      </c>
      <c r="M1285" s="26" t="s">
        <v>449</v>
      </c>
      <c r="N1285" s="26" t="s">
        <v>699</v>
      </c>
    </row>
    <row r="1286">
      <c r="A1286" s="25">
        <v>43319.251796481476</v>
      </c>
      <c r="B1286" s="26" t="s">
        <v>36</v>
      </c>
      <c r="C1286" s="26" t="s">
        <v>1032</v>
      </c>
      <c r="D1286" s="26" t="s">
        <v>31</v>
      </c>
      <c r="E1286" s="26">
        <v>590.0</v>
      </c>
      <c r="F1286" s="26" t="s">
        <v>32</v>
      </c>
      <c r="G1286" s="26">
        <v>15.0</v>
      </c>
      <c r="H1286" s="26">
        <v>3.0</v>
      </c>
      <c r="I1286" s="26">
        <v>205.0</v>
      </c>
      <c r="J1286" s="26">
        <v>350.0</v>
      </c>
      <c r="K1286" s="26">
        <v>35.0</v>
      </c>
      <c r="L1286" s="26" t="s">
        <v>1033</v>
      </c>
      <c r="N1286" s="26" t="s">
        <v>704</v>
      </c>
    </row>
    <row r="1287">
      <c r="A1287" s="25">
        <v>43319.44630256944</v>
      </c>
      <c r="B1287" s="26" t="s">
        <v>33</v>
      </c>
      <c r="C1287" s="26">
        <v>5.0</v>
      </c>
      <c r="D1287" s="26" t="s">
        <v>31</v>
      </c>
      <c r="E1287" s="26">
        <v>250.0</v>
      </c>
      <c r="F1287" s="26" t="s">
        <v>129</v>
      </c>
      <c r="G1287" s="26">
        <v>8.0</v>
      </c>
      <c r="H1287" s="26">
        <v>4.0</v>
      </c>
      <c r="I1287" s="26">
        <v>135.0</v>
      </c>
      <c r="J1287" s="26">
        <v>115.0</v>
      </c>
      <c r="N1287" s="26" t="s">
        <v>685</v>
      </c>
    </row>
    <row r="1288">
      <c r="A1288" s="25">
        <v>43319.48304167824</v>
      </c>
      <c r="B1288" s="26" t="s">
        <v>33</v>
      </c>
      <c r="C1288" s="26" t="s">
        <v>43</v>
      </c>
      <c r="D1288" s="26" t="s">
        <v>31</v>
      </c>
      <c r="E1288" s="26">
        <v>220.0</v>
      </c>
      <c r="F1288" s="26" t="s">
        <v>35</v>
      </c>
      <c r="G1288" s="26">
        <v>4.0</v>
      </c>
      <c r="H1288" s="26">
        <v>0.0</v>
      </c>
      <c r="I1288" s="26">
        <v>140000.0</v>
      </c>
      <c r="J1288" s="26">
        <v>72000.0</v>
      </c>
      <c r="M1288" s="26" t="s">
        <v>449</v>
      </c>
      <c r="N1288" s="26" t="s">
        <v>691</v>
      </c>
    </row>
    <row r="1289">
      <c r="A1289" s="25">
        <v>43319.552732662036</v>
      </c>
      <c r="B1289" s="26" t="s">
        <v>319</v>
      </c>
      <c r="C1289" s="26">
        <v>8.0</v>
      </c>
      <c r="D1289" s="26" t="s">
        <v>31</v>
      </c>
      <c r="E1289" s="26">
        <v>165.0</v>
      </c>
      <c r="F1289" s="26" t="s">
        <v>1034</v>
      </c>
      <c r="G1289" s="26">
        <v>4.0</v>
      </c>
      <c r="H1289" s="26">
        <v>3.0</v>
      </c>
      <c r="N1289" s="26" t="s">
        <v>683</v>
      </c>
    </row>
    <row r="1290">
      <c r="A1290" s="25">
        <v>43319.61809478009</v>
      </c>
      <c r="B1290" s="26" t="s">
        <v>33</v>
      </c>
      <c r="C1290" s="26" t="s">
        <v>73</v>
      </c>
      <c r="D1290" s="26" t="s">
        <v>31</v>
      </c>
      <c r="E1290" s="26">
        <v>144.5</v>
      </c>
      <c r="F1290" s="26" t="s">
        <v>35</v>
      </c>
      <c r="G1290" s="26">
        <v>1.0</v>
      </c>
      <c r="H1290" s="26">
        <v>0.0</v>
      </c>
      <c r="I1290" s="26">
        <v>108.0</v>
      </c>
      <c r="J1290" s="26">
        <v>17.5</v>
      </c>
      <c r="K1290" s="26">
        <v>34.0</v>
      </c>
      <c r="M1290" s="26" t="s">
        <v>449</v>
      </c>
      <c r="N1290" s="26" t="s">
        <v>683</v>
      </c>
    </row>
    <row r="1291">
      <c r="A1291" s="25">
        <v>43319.880186469905</v>
      </c>
      <c r="B1291" s="26" t="s">
        <v>33</v>
      </c>
      <c r="C1291" s="26" t="s">
        <v>73</v>
      </c>
      <c r="D1291" s="26" t="s">
        <v>31</v>
      </c>
      <c r="E1291" s="26">
        <v>152.0</v>
      </c>
      <c r="F1291" s="26" t="s">
        <v>63</v>
      </c>
      <c r="G1291" s="26">
        <v>3.0</v>
      </c>
      <c r="H1291" s="26">
        <v>0.0</v>
      </c>
      <c r="I1291" s="26">
        <v>106000.0</v>
      </c>
      <c r="J1291" s="26">
        <v>26000.0</v>
      </c>
      <c r="K1291" s="26">
        <v>20000.0</v>
      </c>
      <c r="M1291" s="26" t="s">
        <v>449</v>
      </c>
      <c r="N1291" s="26" t="s">
        <v>696</v>
      </c>
    </row>
    <row r="1292">
      <c r="A1292" s="25">
        <v>43319.906602337964</v>
      </c>
      <c r="B1292" s="26" t="s">
        <v>170</v>
      </c>
      <c r="C1292" s="26" t="s">
        <v>171</v>
      </c>
      <c r="D1292" s="26" t="s">
        <v>31</v>
      </c>
      <c r="E1292" s="26">
        <v>155.0</v>
      </c>
      <c r="F1292" s="26" t="s">
        <v>238</v>
      </c>
      <c r="G1292" s="26">
        <v>8.0</v>
      </c>
      <c r="H1292" s="26">
        <v>4.0</v>
      </c>
      <c r="I1292" s="26">
        <v>115.0</v>
      </c>
      <c r="J1292" s="26">
        <v>10.0</v>
      </c>
      <c r="K1292" s="26">
        <v>30.0</v>
      </c>
      <c r="M1292" s="26" t="s">
        <v>449</v>
      </c>
      <c r="N1292" s="26" t="s">
        <v>904</v>
      </c>
    </row>
    <row r="1293">
      <c r="A1293" s="25">
        <v>43319.9644578588</v>
      </c>
      <c r="B1293" s="26" t="s">
        <v>950</v>
      </c>
      <c r="C1293" s="26" t="s">
        <v>116</v>
      </c>
      <c r="D1293" s="26" t="s">
        <v>31</v>
      </c>
      <c r="E1293" s="26">
        <v>280.0</v>
      </c>
      <c r="F1293" s="26" t="s">
        <v>104</v>
      </c>
      <c r="G1293" s="26">
        <v>7.0</v>
      </c>
      <c r="H1293" s="26">
        <v>4.0</v>
      </c>
      <c r="I1293" s="26">
        <v>150.0</v>
      </c>
      <c r="J1293" s="26">
        <v>100.0</v>
      </c>
      <c r="K1293" s="26">
        <v>20.0</v>
      </c>
      <c r="M1293" s="26" t="s">
        <v>449</v>
      </c>
      <c r="N1293" s="26" t="s">
        <v>699</v>
      </c>
    </row>
    <row r="1294">
      <c r="A1294" s="25">
        <v>43320.08531769676</v>
      </c>
      <c r="B1294" s="26" t="s">
        <v>665</v>
      </c>
      <c r="C1294" s="26" t="s">
        <v>610</v>
      </c>
      <c r="D1294" s="26" t="s">
        <v>31</v>
      </c>
      <c r="E1294" s="26">
        <v>79.0</v>
      </c>
      <c r="F1294" s="26" t="s">
        <v>1035</v>
      </c>
      <c r="G1294" s="26">
        <v>6.0</v>
      </c>
      <c r="H1294" s="26">
        <v>6.0</v>
      </c>
      <c r="I1294" s="26">
        <v>57.0</v>
      </c>
      <c r="J1294" s="26">
        <v>13.0</v>
      </c>
      <c r="K1294" s="26">
        <v>9.0</v>
      </c>
      <c r="N1294" s="26" t="s">
        <v>683</v>
      </c>
    </row>
    <row r="1295">
      <c r="A1295" s="25">
        <v>43320.27339778935</v>
      </c>
      <c r="B1295" s="26" t="s">
        <v>36</v>
      </c>
      <c r="C1295" s="26" t="s">
        <v>610</v>
      </c>
      <c r="D1295" s="26" t="s">
        <v>31</v>
      </c>
      <c r="E1295" s="26">
        <v>250.0</v>
      </c>
      <c r="F1295" s="26" t="s">
        <v>247</v>
      </c>
      <c r="G1295" s="26">
        <v>6.0</v>
      </c>
      <c r="H1295" s="26">
        <v>2.0</v>
      </c>
      <c r="I1295" s="26">
        <v>160.0</v>
      </c>
      <c r="J1295" s="26">
        <v>70.0</v>
      </c>
      <c r="K1295" s="26">
        <v>14.0</v>
      </c>
      <c r="N1295" s="26" t="s">
        <v>696</v>
      </c>
    </row>
    <row r="1296">
      <c r="A1296" s="25">
        <v>43320.29854193287</v>
      </c>
      <c r="B1296" s="26" t="s">
        <v>40</v>
      </c>
      <c r="C1296" s="26">
        <v>61.0</v>
      </c>
      <c r="D1296" s="26" t="s">
        <v>31</v>
      </c>
      <c r="E1296" s="26">
        <v>160.0</v>
      </c>
      <c r="F1296" s="26" t="s">
        <v>58</v>
      </c>
      <c r="G1296" s="26">
        <v>9.0</v>
      </c>
      <c r="H1296" s="26">
        <v>3.0</v>
      </c>
      <c r="I1296" s="26">
        <v>136.0</v>
      </c>
      <c r="J1296" s="26">
        <v>4.0</v>
      </c>
      <c r="K1296" s="26">
        <v>13.0</v>
      </c>
      <c r="N1296" s="26" t="s">
        <v>683</v>
      </c>
    </row>
    <row r="1297">
      <c r="A1297" s="25">
        <v>43320.56992045139</v>
      </c>
      <c r="B1297" s="26" t="s">
        <v>33</v>
      </c>
      <c r="C1297" s="26" t="s">
        <v>62</v>
      </c>
      <c r="D1297" s="26" t="s">
        <v>713</v>
      </c>
      <c r="E1297" s="26">
        <v>250.0</v>
      </c>
      <c r="F1297" s="26" t="s">
        <v>133</v>
      </c>
      <c r="G1297" s="26">
        <v>15.0</v>
      </c>
      <c r="H1297" s="26">
        <v>2.0</v>
      </c>
      <c r="N1297" s="26" t="s">
        <v>1036</v>
      </c>
    </row>
    <row r="1298">
      <c r="A1298" s="25">
        <v>43320.57129306713</v>
      </c>
      <c r="B1298" s="26" t="s">
        <v>33</v>
      </c>
      <c r="C1298" s="26" t="s">
        <v>62</v>
      </c>
      <c r="D1298" s="26" t="s">
        <v>713</v>
      </c>
      <c r="E1298" s="26">
        <v>250.0</v>
      </c>
      <c r="F1298" s="26" t="s">
        <v>133</v>
      </c>
      <c r="G1298" s="26">
        <v>15.0</v>
      </c>
      <c r="H1298" s="26">
        <v>2.0</v>
      </c>
      <c r="N1298" s="26" t="s">
        <v>1036</v>
      </c>
    </row>
    <row r="1299">
      <c r="A1299" s="25">
        <v>43320.57147164352</v>
      </c>
      <c r="B1299" s="26" t="s">
        <v>33</v>
      </c>
      <c r="C1299" s="26" t="s">
        <v>62</v>
      </c>
      <c r="D1299" s="26" t="s">
        <v>713</v>
      </c>
      <c r="E1299" s="26">
        <v>250.0</v>
      </c>
      <c r="F1299" s="26" t="s">
        <v>133</v>
      </c>
      <c r="G1299" s="26">
        <v>15.0</v>
      </c>
      <c r="H1299" s="26">
        <v>2.0</v>
      </c>
      <c r="N1299" s="26" t="s">
        <v>1036</v>
      </c>
    </row>
    <row r="1300">
      <c r="A1300" s="25">
        <v>43320.583074849535</v>
      </c>
      <c r="B1300" s="26" t="s">
        <v>1037</v>
      </c>
      <c r="C1300" s="26">
        <v>61.0</v>
      </c>
      <c r="D1300" s="26" t="s">
        <v>27</v>
      </c>
      <c r="E1300" s="26">
        <v>180.0</v>
      </c>
      <c r="F1300" s="26" t="s">
        <v>35</v>
      </c>
      <c r="G1300" s="26">
        <v>3.0</v>
      </c>
      <c r="H1300" s="26">
        <v>3.0</v>
      </c>
      <c r="I1300" s="26">
        <v>128991.0</v>
      </c>
      <c r="J1300" s="26">
        <v>5400.0</v>
      </c>
      <c r="K1300" s="26">
        <v>16000.0</v>
      </c>
      <c r="L1300" s="26" t="s">
        <v>1038</v>
      </c>
      <c r="N1300" s="26" t="s">
        <v>1039</v>
      </c>
    </row>
    <row r="1301">
      <c r="A1301" s="25">
        <v>43320.6339145949</v>
      </c>
      <c r="B1301" s="26" t="s">
        <v>33</v>
      </c>
      <c r="C1301" s="26" t="s">
        <v>62</v>
      </c>
      <c r="D1301" s="26" t="s">
        <v>27</v>
      </c>
      <c r="E1301" s="26">
        <v>225.0</v>
      </c>
      <c r="F1301" s="26" t="s">
        <v>63</v>
      </c>
      <c r="G1301" s="26">
        <v>10.0</v>
      </c>
      <c r="H1301" s="26">
        <v>2.0</v>
      </c>
      <c r="N1301" s="26" t="s">
        <v>687</v>
      </c>
    </row>
    <row r="1302">
      <c r="A1302" s="25">
        <v>43320.70623784722</v>
      </c>
      <c r="B1302" s="26" t="s">
        <v>48</v>
      </c>
      <c r="C1302" s="26" t="s">
        <v>166</v>
      </c>
      <c r="D1302" s="26" t="s">
        <v>31</v>
      </c>
      <c r="E1302" s="26">
        <v>385.0</v>
      </c>
      <c r="F1302" s="26" t="s">
        <v>50</v>
      </c>
      <c r="G1302" s="26">
        <v>15.0</v>
      </c>
      <c r="H1302" s="26">
        <v>5.0</v>
      </c>
      <c r="N1302" s="26" t="s">
        <v>708</v>
      </c>
    </row>
    <row r="1303">
      <c r="A1303" s="25">
        <v>43320.70638215278</v>
      </c>
      <c r="B1303" s="26" t="s">
        <v>25</v>
      </c>
      <c r="C1303" s="26" t="s">
        <v>1040</v>
      </c>
      <c r="D1303" s="26" t="s">
        <v>31</v>
      </c>
      <c r="E1303" s="26">
        <v>440.0</v>
      </c>
      <c r="F1303" s="26" t="s">
        <v>63</v>
      </c>
      <c r="G1303" s="26">
        <v>8.0</v>
      </c>
      <c r="H1303" s="26">
        <v>1.0</v>
      </c>
      <c r="I1303" s="26">
        <v>185.0</v>
      </c>
      <c r="J1303" s="26">
        <v>260.0</v>
      </c>
      <c r="N1303" s="26" t="s">
        <v>685</v>
      </c>
    </row>
    <row r="1304">
      <c r="A1304" s="25">
        <v>43320.71380875</v>
      </c>
      <c r="B1304" s="26" t="s">
        <v>40</v>
      </c>
      <c r="C1304" s="26">
        <v>62.0</v>
      </c>
      <c r="D1304" s="26" t="s">
        <v>31</v>
      </c>
      <c r="E1304" s="26">
        <v>174.0</v>
      </c>
      <c r="F1304" s="26" t="s">
        <v>63</v>
      </c>
      <c r="G1304" s="26">
        <v>4.0</v>
      </c>
      <c r="H1304" s="26">
        <v>4.0</v>
      </c>
      <c r="N1304" s="26" t="s">
        <v>683</v>
      </c>
    </row>
    <row r="1305">
      <c r="A1305" s="25">
        <v>43320.71952254629</v>
      </c>
      <c r="B1305" s="26" t="s">
        <v>29</v>
      </c>
      <c r="C1305" s="26" t="s">
        <v>160</v>
      </c>
      <c r="D1305" s="26" t="s">
        <v>31</v>
      </c>
      <c r="E1305" s="26">
        <v>260.0</v>
      </c>
      <c r="F1305" s="26" t="s">
        <v>238</v>
      </c>
      <c r="G1305" s="26">
        <v>20.0</v>
      </c>
      <c r="H1305" s="26">
        <v>2.0</v>
      </c>
      <c r="I1305" s="26">
        <v>205.0</v>
      </c>
      <c r="J1305" s="26">
        <v>35.0</v>
      </c>
      <c r="K1305" s="26">
        <v>20.0</v>
      </c>
      <c r="N1305" s="26" t="s">
        <v>696</v>
      </c>
    </row>
    <row r="1306">
      <c r="A1306" s="25">
        <v>43320.71991778935</v>
      </c>
      <c r="B1306" s="26" t="s">
        <v>187</v>
      </c>
      <c r="C1306" s="26" t="s">
        <v>93</v>
      </c>
      <c r="D1306" s="26" t="s">
        <v>31</v>
      </c>
      <c r="E1306" s="26">
        <v>483.0</v>
      </c>
      <c r="F1306" s="26" t="s">
        <v>94</v>
      </c>
      <c r="G1306" s="26">
        <v>7.0</v>
      </c>
      <c r="H1306" s="26">
        <v>0.0</v>
      </c>
      <c r="I1306" s="26">
        <v>210.0</v>
      </c>
      <c r="J1306" s="26">
        <v>273.0</v>
      </c>
      <c r="K1306" s="26">
        <v>9.0</v>
      </c>
      <c r="N1306" s="26" t="s">
        <v>691</v>
      </c>
    </row>
    <row r="1307">
      <c r="A1307" s="25">
        <v>43320.72412895833</v>
      </c>
      <c r="B1307" s="26" t="s">
        <v>33</v>
      </c>
      <c r="C1307" s="26" t="s">
        <v>73</v>
      </c>
      <c r="D1307" s="26" t="s">
        <v>31</v>
      </c>
      <c r="E1307" s="26">
        <v>155.0</v>
      </c>
      <c r="F1307" s="26" t="s">
        <v>129</v>
      </c>
      <c r="G1307" s="26">
        <v>3.0</v>
      </c>
      <c r="H1307" s="26">
        <v>0.0</v>
      </c>
      <c r="I1307" s="26">
        <v>130.0</v>
      </c>
      <c r="J1307" s="26">
        <v>20.0</v>
      </c>
      <c r="K1307" s="26">
        <v>20.0</v>
      </c>
      <c r="N1307" s="26" t="s">
        <v>685</v>
      </c>
    </row>
    <row r="1308">
      <c r="A1308" s="25">
        <v>43320.76609009259</v>
      </c>
      <c r="B1308" s="26" t="s">
        <v>1018</v>
      </c>
      <c r="C1308" s="26" t="s">
        <v>1041</v>
      </c>
      <c r="D1308" s="26" t="s">
        <v>31</v>
      </c>
      <c r="E1308" s="26">
        <v>200.0</v>
      </c>
      <c r="F1308" s="26" t="s">
        <v>227</v>
      </c>
      <c r="G1308" s="26">
        <v>6.0</v>
      </c>
      <c r="H1308" s="26">
        <v>0.0</v>
      </c>
      <c r="I1308" s="26">
        <v>145.0</v>
      </c>
      <c r="J1308" s="26">
        <v>45.0</v>
      </c>
      <c r="K1308" s="26">
        <v>10.0</v>
      </c>
      <c r="N1308" s="26" t="s">
        <v>704</v>
      </c>
    </row>
    <row r="1309">
      <c r="A1309" s="25">
        <v>43320.81725556713</v>
      </c>
      <c r="B1309" s="26" t="s">
        <v>48</v>
      </c>
      <c r="C1309" s="26" t="s">
        <v>166</v>
      </c>
      <c r="D1309" s="26" t="s">
        <v>31</v>
      </c>
      <c r="E1309" s="26">
        <v>362.0</v>
      </c>
      <c r="F1309" s="26" t="s">
        <v>1042</v>
      </c>
      <c r="G1309" s="26">
        <v>8.0</v>
      </c>
      <c r="H1309" s="26">
        <v>0.0</v>
      </c>
      <c r="I1309" s="26">
        <v>185000.0</v>
      </c>
      <c r="J1309" s="26">
        <v>150.0</v>
      </c>
      <c r="K1309" s="26">
        <v>27.0</v>
      </c>
      <c r="N1309" s="26" t="s">
        <v>691</v>
      </c>
    </row>
    <row r="1310">
      <c r="A1310" s="25">
        <v>43320.81880966436</v>
      </c>
      <c r="B1310" s="26" t="s">
        <v>64</v>
      </c>
      <c r="C1310" s="26" t="s">
        <v>647</v>
      </c>
      <c r="D1310" s="26" t="s">
        <v>31</v>
      </c>
      <c r="E1310" s="26">
        <v>160.0</v>
      </c>
      <c r="F1310" s="26" t="s">
        <v>175</v>
      </c>
      <c r="G1310" s="26">
        <v>3.0</v>
      </c>
      <c r="H1310" s="26">
        <v>1.0</v>
      </c>
      <c r="I1310" s="26">
        <v>131000.0</v>
      </c>
      <c r="J1310" s="26">
        <v>12500.0</v>
      </c>
      <c r="K1310" s="26">
        <v>16000.0</v>
      </c>
      <c r="N1310" s="26" t="s">
        <v>685</v>
      </c>
    </row>
    <row r="1311">
      <c r="A1311" s="25">
        <v>43320.85246363426</v>
      </c>
      <c r="B1311" s="26" t="s">
        <v>33</v>
      </c>
      <c r="C1311" s="26" t="s">
        <v>62</v>
      </c>
      <c r="D1311" s="26" t="s">
        <v>27</v>
      </c>
      <c r="E1311" s="26">
        <v>310.0</v>
      </c>
      <c r="F1311" s="26" t="s">
        <v>35</v>
      </c>
      <c r="G1311" s="26">
        <v>12.0</v>
      </c>
      <c r="H1311" s="26">
        <v>2.0</v>
      </c>
      <c r="I1311" s="26">
        <v>160.0</v>
      </c>
      <c r="J1311" s="26">
        <v>70.0</v>
      </c>
      <c r="K1311" s="26">
        <v>80.0</v>
      </c>
      <c r="N1311" s="26" t="s">
        <v>1043</v>
      </c>
    </row>
    <row r="1312">
      <c r="A1312" s="25">
        <v>43320.882310810186</v>
      </c>
      <c r="B1312" s="26" t="s">
        <v>40</v>
      </c>
      <c r="C1312" s="26">
        <v>59.0</v>
      </c>
      <c r="D1312" s="26" t="s">
        <v>31</v>
      </c>
      <c r="E1312" s="26">
        <v>138.0</v>
      </c>
      <c r="F1312" s="26" t="s">
        <v>75</v>
      </c>
      <c r="G1312" s="26">
        <v>0.0</v>
      </c>
      <c r="H1312" s="26">
        <v>0.0</v>
      </c>
      <c r="I1312" s="26">
        <v>108.0</v>
      </c>
      <c r="J1312" s="26">
        <v>10.0</v>
      </c>
      <c r="K1312" s="26">
        <v>25.0</v>
      </c>
      <c r="N1312" s="26" t="s">
        <v>691</v>
      </c>
    </row>
    <row r="1313">
      <c r="A1313" s="25">
        <v>43320.8851622338</v>
      </c>
      <c r="B1313" s="26" t="s">
        <v>33</v>
      </c>
      <c r="C1313" s="26" t="s">
        <v>43</v>
      </c>
      <c r="D1313" s="26" t="s">
        <v>31</v>
      </c>
      <c r="E1313" s="26">
        <v>217.0</v>
      </c>
      <c r="F1313" s="26" t="s">
        <v>94</v>
      </c>
      <c r="G1313" s="26">
        <v>5.0</v>
      </c>
      <c r="H1313" s="26">
        <v>0.0</v>
      </c>
      <c r="I1313" s="26">
        <v>175.0</v>
      </c>
      <c r="J1313" s="26">
        <v>33.0</v>
      </c>
      <c r="K1313" s="26">
        <v>9.0</v>
      </c>
      <c r="N1313" s="26" t="s">
        <v>685</v>
      </c>
    </row>
    <row r="1314">
      <c r="A1314" s="25">
        <v>43320.91164047454</v>
      </c>
      <c r="B1314" s="26" t="s">
        <v>964</v>
      </c>
      <c r="C1314" s="26">
        <v>3.0</v>
      </c>
      <c r="D1314" s="26" t="s">
        <v>31</v>
      </c>
      <c r="E1314" s="26">
        <v>265.0</v>
      </c>
      <c r="F1314" s="26" t="s">
        <v>94</v>
      </c>
      <c r="G1314" s="26">
        <v>4.0</v>
      </c>
      <c r="H1314" s="26">
        <v>3.0</v>
      </c>
      <c r="I1314" s="26">
        <v>165.0</v>
      </c>
      <c r="K1314" s="26">
        <v>100.0</v>
      </c>
      <c r="N1314" s="26" t="s">
        <v>685</v>
      </c>
    </row>
    <row r="1315">
      <c r="A1315" s="25">
        <v>43320.93372564815</v>
      </c>
      <c r="B1315" s="26" t="s">
        <v>80</v>
      </c>
      <c r="C1315" s="26" t="s">
        <v>176</v>
      </c>
      <c r="D1315" s="26" t="s">
        <v>31</v>
      </c>
      <c r="E1315" s="26">
        <v>500.0</v>
      </c>
      <c r="F1315" s="26" t="s">
        <v>51</v>
      </c>
      <c r="G1315" s="26">
        <v>6.0</v>
      </c>
      <c r="H1315" s="26">
        <v>3.0</v>
      </c>
      <c r="N1315" s="26" t="s">
        <v>788</v>
      </c>
    </row>
    <row r="1316">
      <c r="A1316" s="25">
        <v>43320.94771578704</v>
      </c>
      <c r="B1316" s="26" t="s">
        <v>45</v>
      </c>
      <c r="C1316" s="26" t="s">
        <v>46</v>
      </c>
      <c r="D1316" s="26" t="s">
        <v>41</v>
      </c>
      <c r="E1316" s="26">
        <v>180.0</v>
      </c>
      <c r="F1316" s="26" t="s">
        <v>92</v>
      </c>
      <c r="G1316" s="26">
        <v>6.0</v>
      </c>
      <c r="H1316" s="26">
        <v>2.0</v>
      </c>
      <c r="I1316" s="26">
        <v>180.0</v>
      </c>
      <c r="J1316" s="26">
        <v>175.0</v>
      </c>
      <c r="K1316" s="26">
        <v>20.0</v>
      </c>
      <c r="N1316" s="26" t="s">
        <v>683</v>
      </c>
    </row>
    <row r="1317">
      <c r="A1317" s="25">
        <v>43320.98840693287</v>
      </c>
      <c r="B1317" s="26" t="s">
        <v>387</v>
      </c>
      <c r="C1317" s="26" t="s">
        <v>541</v>
      </c>
      <c r="D1317" s="26" t="s">
        <v>31</v>
      </c>
      <c r="E1317" s="26">
        <v>150.0</v>
      </c>
      <c r="F1317" s="26" t="s">
        <v>1044</v>
      </c>
      <c r="G1317" s="26">
        <v>5.0</v>
      </c>
      <c r="H1317" s="26">
        <v>3.0</v>
      </c>
      <c r="I1317" s="26">
        <v>120.0</v>
      </c>
      <c r="J1317" s="26">
        <v>30.0</v>
      </c>
      <c r="N1317" s="26" t="s">
        <v>708</v>
      </c>
    </row>
    <row r="1318">
      <c r="A1318" s="25">
        <v>43321.2852247338</v>
      </c>
      <c r="B1318" s="26" t="s">
        <v>119</v>
      </c>
      <c r="C1318" s="26" t="s">
        <v>484</v>
      </c>
      <c r="D1318" s="26" t="s">
        <v>31</v>
      </c>
      <c r="E1318" s="26">
        <v>158.0</v>
      </c>
      <c r="F1318" s="26" t="s">
        <v>94</v>
      </c>
      <c r="G1318" s="26">
        <v>8.0</v>
      </c>
      <c r="H1318" s="26">
        <v>2.0</v>
      </c>
      <c r="I1318" s="26">
        <v>125.0</v>
      </c>
      <c r="J1318" s="26">
        <v>20.0</v>
      </c>
      <c r="K1318" s="26">
        <v>12.0</v>
      </c>
      <c r="N1318" s="26" t="s">
        <v>696</v>
      </c>
    </row>
    <row r="1319">
      <c r="A1319" s="25">
        <v>43321.28827616898</v>
      </c>
      <c r="B1319" s="26" t="s">
        <v>263</v>
      </c>
      <c r="C1319" s="26" t="s">
        <v>749</v>
      </c>
      <c r="D1319" s="26" t="s">
        <v>31</v>
      </c>
      <c r="E1319" s="26">
        <v>317.0</v>
      </c>
      <c r="F1319" s="26" t="s">
        <v>35</v>
      </c>
      <c r="G1319" s="26">
        <v>12.0</v>
      </c>
      <c r="H1319" s="26">
        <v>1.0</v>
      </c>
      <c r="I1319" s="26">
        <v>175.0</v>
      </c>
      <c r="J1319" s="26">
        <v>125.0</v>
      </c>
      <c r="K1319" s="26">
        <v>17.0</v>
      </c>
      <c r="N1319" s="26" t="s">
        <v>704</v>
      </c>
    </row>
    <row r="1320">
      <c r="A1320" s="25">
        <v>43321.322760069444</v>
      </c>
      <c r="B1320" s="26" t="s">
        <v>1045</v>
      </c>
      <c r="C1320" s="26" t="s">
        <v>37</v>
      </c>
      <c r="D1320" s="26" t="s">
        <v>31</v>
      </c>
      <c r="E1320" s="26">
        <v>55.0</v>
      </c>
      <c r="F1320" s="26" t="s">
        <v>1046</v>
      </c>
      <c r="G1320" s="26">
        <v>4.0</v>
      </c>
      <c r="H1320" s="26">
        <v>3.0</v>
      </c>
      <c r="I1320" s="26">
        <v>55000.0</v>
      </c>
      <c r="N1320" s="26" t="s">
        <v>704</v>
      </c>
    </row>
    <row r="1321">
      <c r="A1321" s="25">
        <v>43321.360291793986</v>
      </c>
      <c r="B1321" s="26" t="s">
        <v>146</v>
      </c>
      <c r="C1321" s="26" t="s">
        <v>96</v>
      </c>
      <c r="D1321" s="26" t="s">
        <v>31</v>
      </c>
      <c r="E1321" s="26">
        <v>335.0</v>
      </c>
      <c r="F1321" s="26" t="s">
        <v>58</v>
      </c>
      <c r="G1321" s="26">
        <v>2.0</v>
      </c>
      <c r="H1321" s="26">
        <v>2.0</v>
      </c>
      <c r="I1321" s="26">
        <v>155.0</v>
      </c>
      <c r="J1321" s="26">
        <v>165.0</v>
      </c>
      <c r="K1321" s="26">
        <v>15.0</v>
      </c>
      <c r="N1321" s="26" t="s">
        <v>685</v>
      </c>
    </row>
    <row r="1322">
      <c r="A1322" s="25">
        <v>43321.37616857639</v>
      </c>
      <c r="B1322" s="26" t="s">
        <v>196</v>
      </c>
      <c r="C1322" s="26" t="s">
        <v>117</v>
      </c>
      <c r="D1322" s="26" t="s">
        <v>31</v>
      </c>
      <c r="E1322" s="26">
        <v>215.0</v>
      </c>
      <c r="F1322" s="26" t="s">
        <v>32</v>
      </c>
      <c r="G1322" s="26">
        <v>5.0</v>
      </c>
      <c r="H1322" s="26">
        <v>1.0</v>
      </c>
      <c r="I1322" s="26">
        <v>140.0</v>
      </c>
      <c r="J1322" s="26">
        <v>75.0</v>
      </c>
      <c r="L1322" s="26" t="s">
        <v>1047</v>
      </c>
      <c r="N1322" s="26" t="s">
        <v>1048</v>
      </c>
    </row>
    <row r="1323">
      <c r="A1323" s="25">
        <v>43321.3969640625</v>
      </c>
      <c r="B1323" s="26" t="s">
        <v>33</v>
      </c>
      <c r="C1323" s="26" t="s">
        <v>34</v>
      </c>
      <c r="D1323" s="26" t="s">
        <v>41</v>
      </c>
      <c r="E1323" s="26">
        <v>408.0</v>
      </c>
      <c r="F1323" s="26" t="s">
        <v>35</v>
      </c>
      <c r="G1323" s="26">
        <v>21.0</v>
      </c>
      <c r="H1323" s="26">
        <v>1.0</v>
      </c>
      <c r="I1323" s="26">
        <v>160.0</v>
      </c>
      <c r="J1323" s="26">
        <v>150.0</v>
      </c>
      <c r="K1323" s="26">
        <v>98.0</v>
      </c>
      <c r="N1323" s="26" t="s">
        <v>704</v>
      </c>
    </row>
    <row r="1324">
      <c r="A1324" s="25">
        <v>43321.500814363426</v>
      </c>
      <c r="B1324" s="26" t="s">
        <v>48</v>
      </c>
      <c r="C1324" s="26" t="s">
        <v>49</v>
      </c>
      <c r="D1324" s="26" t="s">
        <v>31</v>
      </c>
      <c r="E1324" s="26">
        <v>239.0</v>
      </c>
      <c r="F1324" s="26" t="s">
        <v>50</v>
      </c>
      <c r="G1324" s="26">
        <v>4.0</v>
      </c>
      <c r="H1324" s="26">
        <v>0.0</v>
      </c>
      <c r="I1324" s="26">
        <v>140.0</v>
      </c>
      <c r="J1324" s="26">
        <v>60.0</v>
      </c>
      <c r="K1324" s="26">
        <v>39.0</v>
      </c>
      <c r="L1324" s="26" t="s">
        <v>1049</v>
      </c>
      <c r="N1324" s="26" t="s">
        <v>691</v>
      </c>
    </row>
    <row r="1325">
      <c r="A1325" s="25">
        <v>43321.53668989583</v>
      </c>
      <c r="B1325" s="26" t="s">
        <v>33</v>
      </c>
      <c r="C1325" s="26" t="s">
        <v>43</v>
      </c>
      <c r="D1325" s="26" t="s">
        <v>31</v>
      </c>
      <c r="E1325" s="26">
        <v>255.0</v>
      </c>
      <c r="F1325" s="26" t="s">
        <v>35</v>
      </c>
      <c r="G1325" s="26">
        <v>12.0</v>
      </c>
      <c r="H1325" s="26">
        <v>1.0</v>
      </c>
      <c r="I1325" s="26">
        <v>155.0</v>
      </c>
      <c r="J1325" s="26">
        <v>10.0</v>
      </c>
      <c r="K1325" s="26">
        <v>92.0</v>
      </c>
      <c r="N1325" s="26" t="s">
        <v>715</v>
      </c>
    </row>
    <row r="1326">
      <c r="A1326" s="25">
        <v>43321.567630833335</v>
      </c>
      <c r="B1326" s="26" t="s">
        <v>1050</v>
      </c>
      <c r="C1326" s="26" t="s">
        <v>1051</v>
      </c>
      <c r="D1326" s="26" t="s">
        <v>27</v>
      </c>
      <c r="E1326" s="26">
        <v>230.0</v>
      </c>
      <c r="F1326" s="26" t="s">
        <v>1052</v>
      </c>
      <c r="G1326" s="26">
        <v>10.0</v>
      </c>
      <c r="H1326" s="26">
        <v>5.0</v>
      </c>
      <c r="N1326" s="26" t="s">
        <v>1053</v>
      </c>
    </row>
    <row r="1327">
      <c r="A1327" s="25">
        <v>43321.56888622685</v>
      </c>
      <c r="B1327" s="26" t="s">
        <v>1054</v>
      </c>
      <c r="C1327" s="26" t="s">
        <v>401</v>
      </c>
      <c r="D1327" s="26" t="s">
        <v>31</v>
      </c>
      <c r="E1327" s="26">
        <v>230.0</v>
      </c>
      <c r="F1327" s="26" t="s">
        <v>134</v>
      </c>
      <c r="G1327" s="26">
        <v>10.0</v>
      </c>
      <c r="H1327" s="26">
        <v>0.5</v>
      </c>
      <c r="I1327" s="26">
        <v>175.0</v>
      </c>
      <c r="J1327" s="26">
        <v>34.0</v>
      </c>
      <c r="K1327" s="26">
        <v>34.0</v>
      </c>
      <c r="N1327" s="26" t="s">
        <v>696</v>
      </c>
    </row>
    <row r="1328">
      <c r="A1328" s="25">
        <v>43321.610721296296</v>
      </c>
      <c r="B1328" s="26" t="s">
        <v>45</v>
      </c>
      <c r="C1328" s="26" t="s">
        <v>102</v>
      </c>
      <c r="D1328" s="26" t="s">
        <v>31</v>
      </c>
      <c r="E1328" s="26">
        <v>190.0</v>
      </c>
      <c r="F1328" s="26" t="s">
        <v>92</v>
      </c>
      <c r="G1328" s="26">
        <v>0.0</v>
      </c>
      <c r="H1328" s="26">
        <v>0.0</v>
      </c>
      <c r="I1328" s="26">
        <v>130.0</v>
      </c>
      <c r="J1328" s="26">
        <v>25.0</v>
      </c>
      <c r="K1328" s="26">
        <v>25.0</v>
      </c>
      <c r="N1328" s="26" t="s">
        <v>685</v>
      </c>
    </row>
    <row r="1329">
      <c r="A1329" s="25">
        <v>43321.61210292824</v>
      </c>
      <c r="B1329" s="26" t="s">
        <v>319</v>
      </c>
      <c r="C1329" s="26">
        <v>7.0</v>
      </c>
      <c r="D1329" s="26" t="s">
        <v>31</v>
      </c>
      <c r="E1329" s="26">
        <v>80.0</v>
      </c>
      <c r="F1329" s="26" t="s">
        <v>1055</v>
      </c>
      <c r="G1329" s="26">
        <v>3.0</v>
      </c>
      <c r="H1329" s="26">
        <v>3.0</v>
      </c>
      <c r="N1329" s="26" t="s">
        <v>715</v>
      </c>
    </row>
    <row r="1330">
      <c r="A1330" s="25">
        <v>43321.65051763889</v>
      </c>
      <c r="B1330" s="26" t="s">
        <v>48</v>
      </c>
      <c r="C1330" s="26" t="s">
        <v>70</v>
      </c>
      <c r="D1330" s="26" t="s">
        <v>31</v>
      </c>
      <c r="E1330" s="26">
        <v>650.0</v>
      </c>
      <c r="F1330" s="26" t="s">
        <v>50</v>
      </c>
      <c r="G1330" s="26">
        <v>7.0</v>
      </c>
      <c r="H1330" s="26">
        <v>5.0</v>
      </c>
      <c r="I1330" s="26">
        <v>210.0</v>
      </c>
      <c r="J1330" s="26">
        <v>390.0</v>
      </c>
      <c r="K1330" s="26">
        <v>50.0</v>
      </c>
      <c r="L1330" s="26" t="s">
        <v>1056</v>
      </c>
      <c r="N1330" s="26" t="s">
        <v>696</v>
      </c>
    </row>
    <row r="1331">
      <c r="A1331" s="25">
        <v>43321.68534642361</v>
      </c>
      <c r="B1331" s="26" t="s">
        <v>33</v>
      </c>
      <c r="C1331" s="26" t="s">
        <v>62</v>
      </c>
      <c r="D1331" s="26" t="s">
        <v>27</v>
      </c>
      <c r="E1331" s="26">
        <v>215.0</v>
      </c>
      <c r="F1331" s="26" t="s">
        <v>104</v>
      </c>
      <c r="G1331" s="26">
        <v>17.0</v>
      </c>
      <c r="H1331" s="26">
        <v>3.0</v>
      </c>
      <c r="I1331" s="26">
        <v>160.0</v>
      </c>
      <c r="K1331" s="26">
        <v>55.0</v>
      </c>
      <c r="N1331" s="26" t="s">
        <v>375</v>
      </c>
    </row>
    <row r="1332">
      <c r="A1332" s="25">
        <v>43321.68576129629</v>
      </c>
      <c r="B1332" s="26" t="s">
        <v>33</v>
      </c>
      <c r="C1332" s="26" t="s">
        <v>62</v>
      </c>
      <c r="D1332" s="26" t="s">
        <v>27</v>
      </c>
      <c r="E1332" s="26">
        <v>215.0</v>
      </c>
      <c r="F1332" s="26" t="s">
        <v>104</v>
      </c>
      <c r="G1332" s="26">
        <v>17.0</v>
      </c>
      <c r="H1332" s="26">
        <v>3.0</v>
      </c>
      <c r="I1332" s="26">
        <v>160.0</v>
      </c>
      <c r="K1332" s="26">
        <v>55.0</v>
      </c>
      <c r="N1332" s="26" t="s">
        <v>375</v>
      </c>
    </row>
    <row r="1333">
      <c r="A1333" s="25">
        <v>43321.776467777774</v>
      </c>
      <c r="B1333" s="26" t="s">
        <v>45</v>
      </c>
      <c r="C1333" s="26" t="s">
        <v>98</v>
      </c>
      <c r="D1333" s="26" t="s">
        <v>31</v>
      </c>
      <c r="E1333" s="26">
        <v>134.0</v>
      </c>
      <c r="F1333" s="26" t="s">
        <v>134</v>
      </c>
      <c r="G1333" s="26">
        <v>1.0</v>
      </c>
      <c r="H1333" s="26">
        <v>0.0</v>
      </c>
      <c r="I1333" s="26">
        <v>120.0</v>
      </c>
      <c r="J1333" s="26">
        <v>12.0</v>
      </c>
      <c r="K1333" s="26">
        <v>2.0</v>
      </c>
      <c r="N1333" s="26" t="s">
        <v>708</v>
      </c>
    </row>
    <row r="1334">
      <c r="A1334" s="25">
        <v>43321.79799723379</v>
      </c>
      <c r="B1334" s="26" t="s">
        <v>80</v>
      </c>
      <c r="C1334" s="26" t="s">
        <v>43</v>
      </c>
      <c r="D1334" s="26" t="s">
        <v>31</v>
      </c>
      <c r="E1334" s="26">
        <v>530.0</v>
      </c>
      <c r="F1334" s="26" t="s">
        <v>35</v>
      </c>
      <c r="G1334" s="26">
        <v>12.0</v>
      </c>
      <c r="H1334" s="26">
        <v>3.0</v>
      </c>
      <c r="I1334" s="26">
        <v>190.0</v>
      </c>
      <c r="J1334" s="26">
        <v>298.0</v>
      </c>
      <c r="K1334" s="26">
        <v>42.0</v>
      </c>
      <c r="N1334" s="26" t="s">
        <v>1057</v>
      </c>
    </row>
    <row r="1335">
      <c r="A1335" s="25">
        <v>43321.798406180555</v>
      </c>
      <c r="B1335" s="26" t="s">
        <v>33</v>
      </c>
      <c r="C1335" s="26" t="s">
        <v>62</v>
      </c>
      <c r="D1335" s="26" t="s">
        <v>27</v>
      </c>
      <c r="E1335" s="26">
        <v>355.0</v>
      </c>
      <c r="F1335" s="26" t="s">
        <v>47</v>
      </c>
      <c r="G1335" s="26">
        <v>12.0</v>
      </c>
      <c r="H1335" s="26">
        <v>5.0</v>
      </c>
      <c r="I1335" s="26">
        <v>185.0</v>
      </c>
      <c r="J1335" s="26">
        <v>170.0</v>
      </c>
      <c r="N1335" s="26" t="s">
        <v>751</v>
      </c>
    </row>
    <row r="1336">
      <c r="A1336" s="25">
        <v>43321.804552256945</v>
      </c>
      <c r="B1336" s="26" t="s">
        <v>1058</v>
      </c>
      <c r="C1336" s="26" t="s">
        <v>1059</v>
      </c>
      <c r="D1336" s="26" t="s">
        <v>27</v>
      </c>
      <c r="E1336" s="26">
        <v>230.0</v>
      </c>
      <c r="F1336" s="26" t="s">
        <v>1052</v>
      </c>
      <c r="G1336" s="26">
        <v>10.0</v>
      </c>
      <c r="H1336" s="26">
        <v>10.0</v>
      </c>
      <c r="I1336" s="26">
        <v>170.0</v>
      </c>
      <c r="J1336" s="26">
        <v>55.0</v>
      </c>
      <c r="K1336" s="26">
        <v>34.0</v>
      </c>
      <c r="N1336" s="26" t="s">
        <v>1060</v>
      </c>
    </row>
    <row r="1337">
      <c r="A1337" s="25">
        <v>43321.86242547454</v>
      </c>
      <c r="B1337" s="26" t="s">
        <v>33</v>
      </c>
      <c r="C1337" s="26" t="s">
        <v>1061</v>
      </c>
      <c r="D1337" s="26" t="s">
        <v>41</v>
      </c>
      <c r="E1337" s="26">
        <v>650.0</v>
      </c>
      <c r="F1337" s="26" t="s">
        <v>129</v>
      </c>
      <c r="G1337" s="26">
        <v>20.0</v>
      </c>
      <c r="H1337" s="26">
        <v>4.0</v>
      </c>
      <c r="I1337" s="26">
        <v>160.0</v>
      </c>
      <c r="J1337" s="26">
        <v>500.0</v>
      </c>
      <c r="N1337" s="26" t="s">
        <v>685</v>
      </c>
    </row>
    <row r="1338">
      <c r="A1338" s="25">
        <v>43321.9872658449</v>
      </c>
      <c r="B1338" s="26" t="s">
        <v>80</v>
      </c>
      <c r="C1338" s="26" t="s">
        <v>1062</v>
      </c>
      <c r="D1338" s="26" t="s">
        <v>31</v>
      </c>
      <c r="E1338" s="26">
        <v>255.0</v>
      </c>
      <c r="F1338" s="26" t="s">
        <v>51</v>
      </c>
      <c r="G1338" s="26">
        <v>1.0</v>
      </c>
      <c r="H1338" s="26">
        <v>0.0</v>
      </c>
      <c r="I1338" s="26">
        <v>145.0</v>
      </c>
      <c r="J1338" s="26">
        <v>90.0</v>
      </c>
      <c r="K1338" s="26">
        <v>20.0</v>
      </c>
      <c r="N1338" s="26" t="s">
        <v>691</v>
      </c>
    </row>
    <row r="1339">
      <c r="A1339" s="25">
        <v>43322.00570450231</v>
      </c>
      <c r="B1339" s="26" t="s">
        <v>45</v>
      </c>
      <c r="C1339" s="26" t="s">
        <v>26</v>
      </c>
      <c r="D1339" s="26" t="s">
        <v>27</v>
      </c>
      <c r="E1339" s="26">
        <v>210.0</v>
      </c>
      <c r="F1339" s="26" t="s">
        <v>1063</v>
      </c>
      <c r="G1339" s="26">
        <v>10.0</v>
      </c>
      <c r="H1339" s="26">
        <v>1.0</v>
      </c>
      <c r="N1339" s="26" t="s">
        <v>699</v>
      </c>
    </row>
    <row r="1340">
      <c r="A1340" s="25">
        <v>43322.01109640046</v>
      </c>
      <c r="B1340" s="26" t="s">
        <v>268</v>
      </c>
      <c r="C1340" s="26" t="s">
        <v>1064</v>
      </c>
      <c r="D1340" s="26" t="s">
        <v>713</v>
      </c>
      <c r="E1340" s="26">
        <v>300.0</v>
      </c>
      <c r="F1340" s="26" t="s">
        <v>1065</v>
      </c>
      <c r="G1340" s="26">
        <v>12.0</v>
      </c>
      <c r="H1340" s="26">
        <v>3.0</v>
      </c>
      <c r="I1340" s="26">
        <v>170.0</v>
      </c>
      <c r="J1340" s="26">
        <v>80.0</v>
      </c>
      <c r="K1340" s="26">
        <v>50.0</v>
      </c>
      <c r="N1340" s="26" t="s">
        <v>685</v>
      </c>
    </row>
    <row r="1341">
      <c r="A1341" s="25">
        <v>43322.26873751158</v>
      </c>
      <c r="B1341" s="26" t="s">
        <v>40</v>
      </c>
      <c r="C1341" s="26">
        <v>59.0</v>
      </c>
      <c r="D1341" s="26" t="s">
        <v>27</v>
      </c>
      <c r="E1341" s="26">
        <v>164.0</v>
      </c>
      <c r="F1341" s="26" t="s">
        <v>75</v>
      </c>
      <c r="G1341" s="26">
        <v>0.0</v>
      </c>
      <c r="H1341" s="26">
        <v>0.0</v>
      </c>
      <c r="I1341" s="26">
        <v>109.0</v>
      </c>
      <c r="J1341" s="26">
        <v>35.0</v>
      </c>
      <c r="K1341" s="26">
        <v>20.0</v>
      </c>
      <c r="N1341" s="26" t="s">
        <v>1066</v>
      </c>
    </row>
    <row r="1342">
      <c r="A1342" s="25">
        <v>43322.363289050925</v>
      </c>
      <c r="B1342" s="26" t="s">
        <v>146</v>
      </c>
      <c r="C1342" s="26" t="s">
        <v>1067</v>
      </c>
      <c r="D1342" s="26" t="s">
        <v>41</v>
      </c>
      <c r="E1342" s="26">
        <v>760.0</v>
      </c>
      <c r="F1342" s="26" t="s">
        <v>47</v>
      </c>
      <c r="G1342" s="26">
        <v>15.0</v>
      </c>
      <c r="H1342" s="26">
        <v>4.0</v>
      </c>
      <c r="I1342" s="26">
        <v>240.0</v>
      </c>
      <c r="J1342" s="26">
        <v>480.0</v>
      </c>
      <c r="K1342" s="26">
        <v>60000.0</v>
      </c>
      <c r="N1342" s="26" t="s">
        <v>683</v>
      </c>
    </row>
    <row r="1343">
      <c r="A1343" s="25">
        <v>43322.36714623842</v>
      </c>
      <c r="B1343" s="26" t="s">
        <v>124</v>
      </c>
      <c r="C1343" s="26" t="s">
        <v>96</v>
      </c>
      <c r="D1343" s="26" t="s">
        <v>31</v>
      </c>
      <c r="E1343" s="26">
        <v>235.0</v>
      </c>
      <c r="F1343" s="26" t="s">
        <v>51</v>
      </c>
      <c r="G1343" s="26">
        <v>15.0</v>
      </c>
      <c r="H1343" s="26">
        <v>2.0</v>
      </c>
      <c r="I1343" s="26">
        <v>170.0</v>
      </c>
      <c r="J1343" s="26">
        <v>40.0</v>
      </c>
      <c r="K1343" s="26">
        <v>25.0</v>
      </c>
      <c r="N1343" s="26" t="s">
        <v>708</v>
      </c>
    </row>
    <row r="1344">
      <c r="A1344" s="25">
        <v>43322.40322246528</v>
      </c>
      <c r="B1344" s="26" t="s">
        <v>380</v>
      </c>
      <c r="C1344" s="26" t="s">
        <v>271</v>
      </c>
      <c r="D1344" s="26" t="s">
        <v>31</v>
      </c>
      <c r="E1344" s="26">
        <v>250.0</v>
      </c>
      <c r="F1344" s="26" t="s">
        <v>599</v>
      </c>
      <c r="G1344" s="26">
        <v>5.0</v>
      </c>
      <c r="H1344" s="26">
        <v>5.0</v>
      </c>
      <c r="I1344" s="26">
        <v>150.0</v>
      </c>
      <c r="J1344" s="26">
        <v>100.0</v>
      </c>
      <c r="N1344" s="26" t="s">
        <v>699</v>
      </c>
    </row>
    <row r="1345">
      <c r="A1345" s="25">
        <v>43322.40645030093</v>
      </c>
      <c r="B1345" s="26" t="s">
        <v>33</v>
      </c>
      <c r="C1345" s="26" t="s">
        <v>43</v>
      </c>
      <c r="D1345" s="26" t="s">
        <v>27</v>
      </c>
      <c r="E1345" s="26">
        <v>173.0</v>
      </c>
      <c r="F1345" s="26" t="s">
        <v>63</v>
      </c>
      <c r="G1345" s="26">
        <v>10.0</v>
      </c>
      <c r="H1345" s="26">
        <v>1.0</v>
      </c>
      <c r="I1345" s="26">
        <v>145000.0</v>
      </c>
      <c r="J1345" s="26">
        <v>15000.0</v>
      </c>
      <c r="K1345" s="26">
        <v>15000.0</v>
      </c>
      <c r="N1345" s="26" t="s">
        <v>757</v>
      </c>
    </row>
    <row r="1346">
      <c r="A1346" s="25">
        <v>43322.41205530093</v>
      </c>
      <c r="B1346" s="26" t="s">
        <v>119</v>
      </c>
      <c r="C1346" s="26" t="s">
        <v>143</v>
      </c>
      <c r="D1346" s="26" t="s">
        <v>27</v>
      </c>
      <c r="E1346" s="26">
        <v>243.0</v>
      </c>
      <c r="F1346" s="26" t="s">
        <v>32</v>
      </c>
      <c r="G1346" s="26">
        <v>7.0</v>
      </c>
      <c r="H1346" s="26">
        <v>2.0</v>
      </c>
      <c r="I1346" s="26">
        <v>200.0</v>
      </c>
      <c r="N1346" s="26" t="s">
        <v>691</v>
      </c>
    </row>
    <row r="1347">
      <c r="A1347" s="25">
        <v>43322.446514641204</v>
      </c>
      <c r="B1347" s="26" t="s">
        <v>170</v>
      </c>
      <c r="C1347" s="26" t="s">
        <v>424</v>
      </c>
      <c r="D1347" s="26" t="s">
        <v>31</v>
      </c>
      <c r="E1347" s="26">
        <v>148.0</v>
      </c>
      <c r="F1347" s="26" t="s">
        <v>521</v>
      </c>
      <c r="G1347" s="26">
        <v>8.0</v>
      </c>
      <c r="H1347" s="26">
        <v>3.0</v>
      </c>
      <c r="I1347" s="26">
        <v>120.0</v>
      </c>
      <c r="J1347" s="26">
        <v>10.0</v>
      </c>
      <c r="K1347" s="26">
        <v>18000.0</v>
      </c>
      <c r="N1347" s="26" t="s">
        <v>708</v>
      </c>
    </row>
    <row r="1348">
      <c r="A1348" s="25">
        <v>43322.50921754629</v>
      </c>
      <c r="B1348" s="26" t="s">
        <v>268</v>
      </c>
      <c r="C1348" s="26" t="s">
        <v>1068</v>
      </c>
      <c r="D1348" s="26" t="s">
        <v>31</v>
      </c>
      <c r="E1348" s="26">
        <v>140.0</v>
      </c>
      <c r="F1348" s="26" t="s">
        <v>272</v>
      </c>
      <c r="G1348" s="26">
        <v>4.0</v>
      </c>
      <c r="H1348" s="26">
        <v>4.0</v>
      </c>
      <c r="I1348" s="26">
        <v>116.0</v>
      </c>
      <c r="J1348" s="26">
        <v>16.0</v>
      </c>
      <c r="K1348" s="26">
        <v>8.0</v>
      </c>
      <c r="N1348" s="26" t="s">
        <v>757</v>
      </c>
    </row>
    <row r="1349">
      <c r="A1349" s="25">
        <v>43322.53906891204</v>
      </c>
      <c r="B1349" s="26" t="s">
        <v>1069</v>
      </c>
      <c r="C1349" s="26" t="s">
        <v>37</v>
      </c>
      <c r="D1349" s="26" t="s">
        <v>711</v>
      </c>
      <c r="E1349" s="26">
        <v>180.0</v>
      </c>
      <c r="F1349" s="26" t="s">
        <v>32</v>
      </c>
      <c r="G1349" s="26">
        <v>5.0</v>
      </c>
      <c r="H1349" s="26">
        <v>1.0</v>
      </c>
      <c r="I1349" s="26">
        <v>160.0</v>
      </c>
      <c r="J1349" s="26">
        <v>16.0</v>
      </c>
      <c r="K1349" s="26">
        <v>10.0</v>
      </c>
      <c r="N1349" s="26" t="s">
        <v>691</v>
      </c>
    </row>
    <row r="1350">
      <c r="A1350" s="25">
        <v>43322.6527853588</v>
      </c>
      <c r="B1350" s="26" t="s">
        <v>1070</v>
      </c>
      <c r="C1350" s="26" t="s">
        <v>30</v>
      </c>
      <c r="D1350" s="26" t="s">
        <v>31</v>
      </c>
      <c r="E1350" s="26">
        <v>215.0</v>
      </c>
      <c r="F1350" s="26" t="s">
        <v>54</v>
      </c>
      <c r="G1350" s="26">
        <v>6.0</v>
      </c>
      <c r="H1350" s="26">
        <v>1.0</v>
      </c>
      <c r="I1350" s="26">
        <v>177.0</v>
      </c>
      <c r="J1350" s="26">
        <v>35.0</v>
      </c>
      <c r="N1350" s="26" t="s">
        <v>683</v>
      </c>
    </row>
    <row r="1351">
      <c r="A1351" s="25">
        <v>43322.72304636574</v>
      </c>
      <c r="B1351" s="26" t="s">
        <v>249</v>
      </c>
      <c r="C1351" s="26" t="s">
        <v>1071</v>
      </c>
      <c r="D1351" s="26" t="s">
        <v>31</v>
      </c>
      <c r="E1351" s="26">
        <v>200.0</v>
      </c>
      <c r="F1351" s="26" t="s">
        <v>1072</v>
      </c>
      <c r="G1351" s="26">
        <v>5.0</v>
      </c>
      <c r="H1351" s="26">
        <v>3.0</v>
      </c>
      <c r="I1351" s="26">
        <v>126.0</v>
      </c>
      <c r="J1351" s="26">
        <v>20.0</v>
      </c>
      <c r="K1351" s="26">
        <v>20.0</v>
      </c>
      <c r="N1351" s="26" t="s">
        <v>683</v>
      </c>
    </row>
    <row r="1352">
      <c r="A1352" s="25">
        <v>43322.75017958334</v>
      </c>
      <c r="B1352" s="26" t="s">
        <v>1073</v>
      </c>
      <c r="C1352" s="26" t="s">
        <v>27</v>
      </c>
      <c r="D1352" s="26" t="s">
        <v>27</v>
      </c>
      <c r="E1352" s="26">
        <v>102.0</v>
      </c>
      <c r="F1352" s="26" t="s">
        <v>1074</v>
      </c>
      <c r="G1352" s="26">
        <v>3.0</v>
      </c>
      <c r="H1352" s="26">
        <v>7.0</v>
      </c>
      <c r="N1352" s="26" t="s">
        <v>683</v>
      </c>
    </row>
    <row r="1353">
      <c r="A1353" s="25">
        <v>43322.77183168981</v>
      </c>
      <c r="B1353" s="26" t="s">
        <v>36</v>
      </c>
      <c r="C1353" s="26" t="s">
        <v>26</v>
      </c>
      <c r="D1353" s="26" t="s">
        <v>31</v>
      </c>
      <c r="E1353" s="26">
        <v>120.0</v>
      </c>
      <c r="F1353" s="26" t="s">
        <v>1075</v>
      </c>
      <c r="G1353" s="26">
        <v>2.0</v>
      </c>
      <c r="H1353" s="26">
        <v>1.0</v>
      </c>
      <c r="I1353" s="26">
        <v>120.0</v>
      </c>
      <c r="J1353" s="26">
        <v>30.0</v>
      </c>
      <c r="K1353" s="26">
        <v>10.0</v>
      </c>
      <c r="N1353" s="26" t="s">
        <v>685</v>
      </c>
    </row>
    <row r="1354">
      <c r="A1354" s="25">
        <v>43322.82773520834</v>
      </c>
      <c r="B1354" s="26" t="s">
        <v>350</v>
      </c>
      <c r="C1354" s="26" t="s">
        <v>351</v>
      </c>
      <c r="D1354" s="26" t="s">
        <v>711</v>
      </c>
      <c r="E1354" s="26">
        <v>112.0</v>
      </c>
      <c r="F1354" s="26" t="s">
        <v>569</v>
      </c>
      <c r="G1354" s="26">
        <v>4.0</v>
      </c>
      <c r="H1354" s="26">
        <v>1.0</v>
      </c>
      <c r="I1354" s="26">
        <v>107.0</v>
      </c>
      <c r="K1354" s="26">
        <v>5.0</v>
      </c>
      <c r="N1354" s="26" t="s">
        <v>691</v>
      </c>
    </row>
    <row r="1355">
      <c r="A1355" s="25">
        <v>43322.84241207176</v>
      </c>
      <c r="B1355" s="26" t="s">
        <v>867</v>
      </c>
      <c r="C1355" s="26" t="s">
        <v>37</v>
      </c>
      <c r="D1355" s="26" t="s">
        <v>27</v>
      </c>
      <c r="E1355" s="26">
        <v>215.0</v>
      </c>
      <c r="F1355" s="26" t="s">
        <v>337</v>
      </c>
      <c r="G1355" s="26">
        <v>15.0</v>
      </c>
      <c r="H1355" s="26">
        <v>2.0</v>
      </c>
      <c r="I1355" s="26">
        <v>175.0</v>
      </c>
      <c r="K1355" s="26">
        <v>40.0</v>
      </c>
      <c r="N1355" s="26" t="s">
        <v>696</v>
      </c>
    </row>
    <row r="1356">
      <c r="A1356" s="25">
        <v>43322.92030814815</v>
      </c>
      <c r="B1356" s="26" t="s">
        <v>139</v>
      </c>
      <c r="C1356" s="26" t="s">
        <v>96</v>
      </c>
      <c r="D1356" s="26" t="s">
        <v>31</v>
      </c>
      <c r="E1356" s="26">
        <v>358.0</v>
      </c>
      <c r="F1356" s="26" t="s">
        <v>1076</v>
      </c>
      <c r="G1356" s="26">
        <v>16.0</v>
      </c>
      <c r="H1356" s="26">
        <v>3.0</v>
      </c>
      <c r="I1356" s="26">
        <v>200.0</v>
      </c>
      <c r="J1356" s="26">
        <v>128.0</v>
      </c>
      <c r="K1356" s="26">
        <v>30.0</v>
      </c>
      <c r="N1356" s="26" t="s">
        <v>691</v>
      </c>
    </row>
    <row r="1357">
      <c r="A1357" s="25">
        <v>43322.95794384259</v>
      </c>
      <c r="B1357" s="26" t="s">
        <v>80</v>
      </c>
      <c r="C1357" s="26" t="s">
        <v>43</v>
      </c>
      <c r="D1357" s="26" t="s">
        <v>31</v>
      </c>
      <c r="E1357" s="26">
        <v>325.0</v>
      </c>
      <c r="F1357" s="26" t="s">
        <v>51</v>
      </c>
      <c r="G1357" s="26">
        <v>3.0</v>
      </c>
      <c r="H1357" s="26">
        <v>3.0</v>
      </c>
      <c r="I1357" s="26">
        <v>166.0</v>
      </c>
      <c r="N1357" s="26" t="s">
        <v>704</v>
      </c>
    </row>
    <row r="1358">
      <c r="A1358" s="25">
        <v>43322.98639953704</v>
      </c>
      <c r="B1358" s="26" t="s">
        <v>40</v>
      </c>
      <c r="C1358" s="26">
        <v>59.0</v>
      </c>
      <c r="D1358" s="26" t="s">
        <v>31</v>
      </c>
      <c r="E1358" s="26">
        <v>155.0</v>
      </c>
      <c r="F1358" s="26" t="s">
        <v>52</v>
      </c>
      <c r="G1358" s="26">
        <v>3.0</v>
      </c>
      <c r="H1358" s="26">
        <v>0.0</v>
      </c>
      <c r="I1358" s="26">
        <v>112.0</v>
      </c>
      <c r="J1358" s="26">
        <v>12.0</v>
      </c>
      <c r="K1358" s="26">
        <v>10.0</v>
      </c>
      <c r="N1358" s="26" t="s">
        <v>696</v>
      </c>
    </row>
    <row r="1359">
      <c r="A1359" s="25">
        <v>43323.01964375</v>
      </c>
      <c r="B1359" s="26" t="s">
        <v>33</v>
      </c>
      <c r="C1359" s="26" t="s">
        <v>43</v>
      </c>
      <c r="D1359" s="26" t="s">
        <v>31</v>
      </c>
      <c r="E1359" s="26">
        <v>277.0</v>
      </c>
      <c r="F1359" s="26" t="s">
        <v>94</v>
      </c>
      <c r="G1359" s="26">
        <v>14.0</v>
      </c>
      <c r="H1359" s="26">
        <v>5.0</v>
      </c>
      <c r="I1359" s="26">
        <v>144.0</v>
      </c>
      <c r="J1359" s="26">
        <v>133.0</v>
      </c>
      <c r="N1359" s="26" t="s">
        <v>685</v>
      </c>
    </row>
    <row r="1360">
      <c r="A1360" s="25">
        <v>43323.11643605324</v>
      </c>
      <c r="B1360" s="26" t="s">
        <v>33</v>
      </c>
      <c r="C1360" s="26" t="s">
        <v>43</v>
      </c>
      <c r="D1360" s="26" t="s">
        <v>31</v>
      </c>
      <c r="E1360" s="26">
        <v>212.0</v>
      </c>
      <c r="F1360" s="26" t="s">
        <v>35</v>
      </c>
      <c r="G1360" s="26">
        <v>5.0</v>
      </c>
      <c r="H1360" s="26">
        <v>3.0</v>
      </c>
      <c r="I1360" s="26">
        <v>132.0</v>
      </c>
      <c r="J1360" s="26">
        <v>80.0</v>
      </c>
      <c r="N1360" s="26" t="s">
        <v>696</v>
      </c>
    </row>
    <row r="1361">
      <c r="A1361" s="25">
        <v>43323.307668622685</v>
      </c>
      <c r="B1361" s="26" t="s">
        <v>319</v>
      </c>
      <c r="C1361" s="26" t="s">
        <v>34</v>
      </c>
      <c r="D1361" s="26" t="s">
        <v>31</v>
      </c>
      <c r="E1361" s="26">
        <v>104.0</v>
      </c>
      <c r="F1361" s="26" t="s">
        <v>94</v>
      </c>
      <c r="G1361" s="26">
        <v>3.0</v>
      </c>
      <c r="H1361" s="26">
        <v>3.0</v>
      </c>
      <c r="N1361" s="26" t="s">
        <v>704</v>
      </c>
    </row>
    <row r="1362">
      <c r="A1362" s="25">
        <v>43323.36344165509</v>
      </c>
      <c r="B1362" s="26" t="s">
        <v>188</v>
      </c>
      <c r="C1362" s="26" t="s">
        <v>191</v>
      </c>
      <c r="D1362" s="26" t="s">
        <v>31</v>
      </c>
      <c r="E1362" s="26">
        <v>190.0</v>
      </c>
      <c r="F1362" s="26" t="s">
        <v>1077</v>
      </c>
      <c r="G1362" s="26">
        <v>13.0</v>
      </c>
      <c r="H1362" s="26">
        <v>0.5</v>
      </c>
      <c r="I1362" s="26">
        <v>140.0</v>
      </c>
      <c r="J1362" s="26">
        <v>56.0</v>
      </c>
      <c r="N1362" s="26" t="s">
        <v>704</v>
      </c>
    </row>
    <row r="1363">
      <c r="A1363" s="25">
        <v>43323.47834498843</v>
      </c>
      <c r="B1363" s="26" t="s">
        <v>33</v>
      </c>
      <c r="C1363" s="26" t="s">
        <v>43</v>
      </c>
      <c r="D1363" s="26" t="s">
        <v>31</v>
      </c>
      <c r="E1363" s="26">
        <v>170.0</v>
      </c>
      <c r="F1363" s="26" t="s">
        <v>1078</v>
      </c>
      <c r="G1363" s="26">
        <v>5.0</v>
      </c>
      <c r="H1363" s="26">
        <v>1.0</v>
      </c>
      <c r="I1363" s="26">
        <v>135.0</v>
      </c>
      <c r="J1363" s="26">
        <v>15.0</v>
      </c>
      <c r="K1363" s="26">
        <v>20.0</v>
      </c>
      <c r="N1363" s="26" t="s">
        <v>708</v>
      </c>
    </row>
    <row r="1364">
      <c r="A1364" s="25">
        <v>43323.50521913194</v>
      </c>
      <c r="B1364" s="26" t="s">
        <v>33</v>
      </c>
      <c r="C1364" s="26" t="s">
        <v>73</v>
      </c>
      <c r="D1364" s="26" t="s">
        <v>31</v>
      </c>
      <c r="E1364" s="26">
        <v>43.0</v>
      </c>
      <c r="F1364" s="26" t="s">
        <v>895</v>
      </c>
      <c r="G1364" s="26">
        <v>1.0</v>
      </c>
      <c r="H1364" s="26">
        <v>1.0</v>
      </c>
      <c r="N1364" s="26" t="s">
        <v>704</v>
      </c>
    </row>
    <row r="1365">
      <c r="A1365" s="25">
        <v>43323.570038252314</v>
      </c>
      <c r="B1365" s="26" t="s">
        <v>204</v>
      </c>
      <c r="C1365" s="26" t="s">
        <v>26</v>
      </c>
      <c r="D1365" s="26" t="s">
        <v>31</v>
      </c>
      <c r="E1365" s="26">
        <v>234.0</v>
      </c>
      <c r="F1365" s="26" t="s">
        <v>32</v>
      </c>
      <c r="G1365" s="26">
        <v>1.0</v>
      </c>
      <c r="H1365" s="26">
        <v>1.0</v>
      </c>
      <c r="I1365" s="26">
        <v>131.0</v>
      </c>
      <c r="J1365" s="26">
        <v>60.0</v>
      </c>
      <c r="K1365" s="26">
        <v>13.0</v>
      </c>
      <c r="N1365" s="26" t="s">
        <v>757</v>
      </c>
    </row>
    <row r="1366">
      <c r="A1366" s="25">
        <v>43323.76060739583</v>
      </c>
      <c r="B1366" s="26" t="s">
        <v>1079</v>
      </c>
      <c r="C1366" s="26" t="s">
        <v>26</v>
      </c>
      <c r="D1366" s="26" t="s">
        <v>31</v>
      </c>
      <c r="E1366" s="26">
        <v>155.0</v>
      </c>
      <c r="F1366" s="26" t="s">
        <v>72</v>
      </c>
      <c r="G1366" s="26">
        <v>3.0</v>
      </c>
      <c r="H1366" s="26">
        <v>2.0</v>
      </c>
      <c r="I1366" s="26">
        <v>155.0</v>
      </c>
      <c r="N1366" s="26" t="s">
        <v>708</v>
      </c>
    </row>
    <row r="1367">
      <c r="A1367" s="25">
        <v>43323.89224596065</v>
      </c>
      <c r="B1367" s="26" t="s">
        <v>1080</v>
      </c>
      <c r="C1367" s="26" t="s">
        <v>69</v>
      </c>
      <c r="D1367" s="26" t="s">
        <v>31</v>
      </c>
      <c r="E1367" s="26">
        <v>150.0</v>
      </c>
      <c r="F1367" s="26" t="s">
        <v>32</v>
      </c>
      <c r="G1367" s="26">
        <v>3.0</v>
      </c>
      <c r="H1367" s="26">
        <v>0.0</v>
      </c>
      <c r="I1367" s="26">
        <v>135.0</v>
      </c>
      <c r="K1367" s="26">
        <v>15.0</v>
      </c>
      <c r="L1367" s="26" t="s">
        <v>1081</v>
      </c>
      <c r="N1367" s="26" t="s">
        <v>696</v>
      </c>
    </row>
    <row r="1368">
      <c r="A1368" s="25">
        <v>43323.895058055554</v>
      </c>
      <c r="B1368" s="26" t="s">
        <v>40</v>
      </c>
      <c r="C1368" s="26">
        <v>63.0</v>
      </c>
      <c r="D1368" s="26" t="s">
        <v>31</v>
      </c>
      <c r="E1368" s="26">
        <v>170.0</v>
      </c>
      <c r="F1368" s="26" t="s">
        <v>133</v>
      </c>
      <c r="G1368" s="26">
        <v>25.0</v>
      </c>
      <c r="H1368" s="26">
        <v>11.0</v>
      </c>
      <c r="N1368" s="26" t="s">
        <v>685</v>
      </c>
    </row>
    <row r="1369">
      <c r="A1369" s="25">
        <v>43323.914856435185</v>
      </c>
      <c r="B1369" s="26" t="s">
        <v>1082</v>
      </c>
      <c r="C1369" s="26" t="s">
        <v>541</v>
      </c>
      <c r="D1369" s="26" t="s">
        <v>31</v>
      </c>
      <c r="E1369" s="26">
        <v>21.0</v>
      </c>
      <c r="F1369" s="26" t="s">
        <v>1083</v>
      </c>
      <c r="G1369" s="26">
        <v>3.0</v>
      </c>
      <c r="H1369" s="26">
        <v>3.0</v>
      </c>
      <c r="I1369" s="26">
        <v>17.0</v>
      </c>
      <c r="K1369" s="26">
        <v>4.0</v>
      </c>
      <c r="N1369" s="26" t="s">
        <v>1084</v>
      </c>
    </row>
    <row r="1370">
      <c r="A1370" s="25">
        <v>43323.93314799768</v>
      </c>
      <c r="B1370" s="26" t="s">
        <v>146</v>
      </c>
      <c r="C1370" s="26" t="s">
        <v>96</v>
      </c>
      <c r="D1370" s="26" t="s">
        <v>31</v>
      </c>
      <c r="E1370" s="26">
        <v>242.0</v>
      </c>
      <c r="F1370" s="26" t="s">
        <v>1085</v>
      </c>
      <c r="G1370" s="26">
        <v>0.0</v>
      </c>
      <c r="H1370" s="26">
        <v>3.0</v>
      </c>
      <c r="I1370" s="26">
        <v>150.0</v>
      </c>
      <c r="J1370" s="26">
        <v>75.0</v>
      </c>
      <c r="K1370" s="26">
        <v>17.0</v>
      </c>
      <c r="N1370" s="26" t="s">
        <v>683</v>
      </c>
    </row>
    <row r="1371">
      <c r="A1371" s="25">
        <v>43323.947648437505</v>
      </c>
      <c r="B1371" s="26" t="s">
        <v>64</v>
      </c>
      <c r="C1371" s="26" t="s">
        <v>494</v>
      </c>
      <c r="D1371" s="26" t="s">
        <v>31</v>
      </c>
      <c r="E1371" s="26">
        <v>180.0</v>
      </c>
      <c r="F1371" s="26" t="s">
        <v>175</v>
      </c>
      <c r="G1371" s="26">
        <v>4.0</v>
      </c>
      <c r="H1371" s="26">
        <v>4.0</v>
      </c>
      <c r="I1371" s="26">
        <v>142.0</v>
      </c>
      <c r="J1371" s="26">
        <v>10000.0</v>
      </c>
      <c r="K1371" s="26">
        <v>30000.0</v>
      </c>
      <c r="M1371" s="26" t="s">
        <v>449</v>
      </c>
      <c r="N1371" s="26" t="s">
        <v>704</v>
      </c>
    </row>
    <row r="1372">
      <c r="A1372" s="25">
        <v>43323.95448104167</v>
      </c>
      <c r="B1372" s="26" t="s">
        <v>45</v>
      </c>
      <c r="C1372" s="26" t="s">
        <v>73</v>
      </c>
      <c r="D1372" s="26" t="s">
        <v>31</v>
      </c>
      <c r="E1372" s="26">
        <v>275.0</v>
      </c>
      <c r="F1372" s="26" t="s">
        <v>92</v>
      </c>
      <c r="G1372" s="26">
        <v>12.0</v>
      </c>
      <c r="H1372" s="26">
        <v>3.0</v>
      </c>
      <c r="I1372" s="26">
        <v>156.0</v>
      </c>
      <c r="J1372" s="26">
        <v>30.0</v>
      </c>
      <c r="K1372" s="26">
        <v>15.0</v>
      </c>
      <c r="N1372" s="26" t="s">
        <v>704</v>
      </c>
    </row>
    <row r="1373">
      <c r="A1373" s="25">
        <v>43324.071862881945</v>
      </c>
      <c r="B1373" s="26" t="s">
        <v>1086</v>
      </c>
      <c r="C1373" s="26" t="s">
        <v>386</v>
      </c>
      <c r="D1373" s="26" t="s">
        <v>27</v>
      </c>
      <c r="E1373" s="26">
        <v>280.0</v>
      </c>
      <c r="F1373" s="26" t="s">
        <v>32</v>
      </c>
      <c r="G1373" s="26">
        <v>15.0</v>
      </c>
      <c r="H1373" s="26">
        <v>3.0</v>
      </c>
      <c r="I1373" s="26">
        <v>170.0</v>
      </c>
      <c r="J1373" s="26">
        <v>80.0</v>
      </c>
      <c r="K1373" s="26">
        <v>30.0</v>
      </c>
      <c r="N1373" s="26" t="s">
        <v>696</v>
      </c>
    </row>
    <row r="1374">
      <c r="A1374" s="25">
        <v>43324.56722678241</v>
      </c>
      <c r="B1374" s="26" t="s">
        <v>170</v>
      </c>
      <c r="C1374" s="26" t="s">
        <v>1087</v>
      </c>
      <c r="D1374" s="26" t="s">
        <v>31</v>
      </c>
      <c r="E1374" s="26">
        <v>55.0</v>
      </c>
      <c r="F1374" s="26" t="s">
        <v>579</v>
      </c>
      <c r="G1374" s="26">
        <v>3.0</v>
      </c>
      <c r="H1374" s="26">
        <v>0.25</v>
      </c>
      <c r="I1374" s="26">
        <v>55.0</v>
      </c>
      <c r="N1374" s="26" t="s">
        <v>683</v>
      </c>
    </row>
    <row r="1375">
      <c r="A1375" s="25">
        <v>43324.57584751157</v>
      </c>
      <c r="B1375" s="26" t="s">
        <v>33</v>
      </c>
      <c r="C1375" s="26" t="s">
        <v>62</v>
      </c>
      <c r="D1375" s="26" t="s">
        <v>27</v>
      </c>
      <c r="E1375" s="26">
        <v>181.0</v>
      </c>
      <c r="F1375" s="26" t="s">
        <v>63</v>
      </c>
      <c r="G1375" s="26">
        <v>9.0</v>
      </c>
      <c r="H1375" s="26">
        <v>2.0</v>
      </c>
      <c r="I1375" s="26">
        <v>140000.0</v>
      </c>
      <c r="J1375" s="26">
        <v>28000.0</v>
      </c>
      <c r="K1375" s="26">
        <v>13000.0</v>
      </c>
      <c r="N1375" s="26" t="s">
        <v>1088</v>
      </c>
    </row>
    <row r="1376">
      <c r="A1376" s="25">
        <v>43324.5997619213</v>
      </c>
      <c r="B1376" s="26" t="s">
        <v>80</v>
      </c>
      <c r="C1376" s="26" t="s">
        <v>43</v>
      </c>
      <c r="D1376" s="26" t="s">
        <v>27</v>
      </c>
      <c r="E1376" s="26">
        <v>350.0</v>
      </c>
      <c r="F1376" s="26" t="s">
        <v>199</v>
      </c>
      <c r="G1376" s="26">
        <v>6.0</v>
      </c>
      <c r="H1376" s="26">
        <v>0.0</v>
      </c>
      <c r="I1376" s="26">
        <v>165.0</v>
      </c>
      <c r="J1376" s="26">
        <v>150.0</v>
      </c>
      <c r="K1376" s="26">
        <v>25.0</v>
      </c>
      <c r="N1376" s="26" t="s">
        <v>691</v>
      </c>
    </row>
    <row r="1377">
      <c r="A1377" s="25">
        <v>43324.60501453704</v>
      </c>
      <c r="B1377" s="26" t="s">
        <v>33</v>
      </c>
      <c r="C1377" s="26" t="s">
        <v>76</v>
      </c>
      <c r="D1377" s="26" t="s">
        <v>31</v>
      </c>
      <c r="E1377" s="26">
        <v>180.0</v>
      </c>
      <c r="F1377" s="26" t="s">
        <v>129</v>
      </c>
      <c r="G1377" s="26">
        <v>3.0</v>
      </c>
      <c r="H1377" s="26">
        <v>3.0</v>
      </c>
      <c r="I1377" s="26">
        <v>133.0</v>
      </c>
      <c r="N1377" s="26" t="s">
        <v>683</v>
      </c>
    </row>
    <row r="1378">
      <c r="A1378" s="25">
        <v>43324.72757657408</v>
      </c>
      <c r="B1378" s="26" t="s">
        <v>33</v>
      </c>
      <c r="C1378" s="26" t="s">
        <v>76</v>
      </c>
      <c r="D1378" s="26" t="s">
        <v>31</v>
      </c>
      <c r="E1378" s="26">
        <v>175.0</v>
      </c>
      <c r="F1378" s="26" t="s">
        <v>63</v>
      </c>
      <c r="G1378" s="26">
        <v>3.0</v>
      </c>
      <c r="H1378" s="26">
        <v>3.0</v>
      </c>
      <c r="I1378" s="26">
        <v>134000.0</v>
      </c>
      <c r="J1378" s="26">
        <v>40.0</v>
      </c>
      <c r="N1378" s="26" t="s">
        <v>685</v>
      </c>
    </row>
    <row r="1379">
      <c r="A1379" s="25">
        <v>43324.78328053241</v>
      </c>
      <c r="B1379" s="26" t="s">
        <v>350</v>
      </c>
      <c r="C1379" s="26" t="s">
        <v>1089</v>
      </c>
      <c r="D1379" s="26" t="s">
        <v>31</v>
      </c>
      <c r="E1379" s="26">
        <v>137.0</v>
      </c>
      <c r="F1379" s="26" t="s">
        <v>569</v>
      </c>
      <c r="G1379" s="26">
        <v>3.0</v>
      </c>
      <c r="H1379" s="26">
        <v>3.0</v>
      </c>
      <c r="I1379" s="26">
        <v>126.0</v>
      </c>
      <c r="J1379" s="26">
        <v>3.0</v>
      </c>
      <c r="K1379" s="26">
        <v>9.0</v>
      </c>
      <c r="L1379" s="26" t="s">
        <v>1090</v>
      </c>
      <c r="N1379" s="26" t="s">
        <v>683</v>
      </c>
    </row>
    <row r="1380">
      <c r="A1380" s="25">
        <v>43324.79641111111</v>
      </c>
      <c r="B1380" s="26" t="s">
        <v>1091</v>
      </c>
      <c r="C1380" s="26" t="s">
        <v>1092</v>
      </c>
      <c r="D1380" s="26" t="s">
        <v>27</v>
      </c>
      <c r="E1380" s="26">
        <v>450.0</v>
      </c>
      <c r="F1380" s="26" t="s">
        <v>51</v>
      </c>
      <c r="G1380" s="26">
        <v>20.0</v>
      </c>
      <c r="H1380" s="26">
        <v>2.0</v>
      </c>
      <c r="I1380" s="26">
        <v>242.0</v>
      </c>
      <c r="J1380" s="26">
        <v>100.0</v>
      </c>
      <c r="K1380" s="26">
        <v>85.0</v>
      </c>
      <c r="N1380" s="26" t="s">
        <v>757</v>
      </c>
    </row>
    <row r="1381">
      <c r="A1381" s="25">
        <v>43324.97881894676</v>
      </c>
      <c r="B1381" s="26" t="s">
        <v>1093</v>
      </c>
      <c r="C1381" s="26" t="s">
        <v>102</v>
      </c>
      <c r="D1381" s="26" t="s">
        <v>31</v>
      </c>
      <c r="E1381" s="26">
        <v>210.0</v>
      </c>
      <c r="F1381" s="26" t="s">
        <v>92</v>
      </c>
      <c r="G1381" s="26">
        <v>7.0</v>
      </c>
      <c r="H1381" s="26">
        <v>1.0</v>
      </c>
      <c r="N1381" s="26" t="s">
        <v>699</v>
      </c>
    </row>
    <row r="1382">
      <c r="A1382" s="25">
        <v>43325.394404756946</v>
      </c>
      <c r="B1382" s="26" t="s">
        <v>139</v>
      </c>
      <c r="C1382" s="26" t="s">
        <v>184</v>
      </c>
      <c r="D1382" s="26" t="s">
        <v>31</v>
      </c>
      <c r="E1382" s="26">
        <v>180.0</v>
      </c>
      <c r="F1382" s="26" t="s">
        <v>134</v>
      </c>
      <c r="G1382" s="26">
        <v>3.0</v>
      </c>
      <c r="H1382" s="26">
        <v>0.0</v>
      </c>
      <c r="I1382" s="26">
        <v>150.0</v>
      </c>
      <c r="J1382" s="26">
        <v>60.0</v>
      </c>
      <c r="K1382" s="26">
        <v>15.0</v>
      </c>
      <c r="N1382" s="26" t="s">
        <v>691</v>
      </c>
    </row>
    <row r="1383">
      <c r="A1383" s="25">
        <v>43325.42065814815</v>
      </c>
      <c r="B1383" s="26" t="s">
        <v>722</v>
      </c>
      <c r="C1383" s="26" t="s">
        <v>1094</v>
      </c>
      <c r="D1383" s="26" t="s">
        <v>31</v>
      </c>
      <c r="E1383" s="26">
        <v>82.0</v>
      </c>
      <c r="F1383" s="26" t="s">
        <v>302</v>
      </c>
      <c r="G1383" s="26">
        <v>1.0</v>
      </c>
      <c r="H1383" s="26">
        <v>1.0</v>
      </c>
      <c r="I1383" s="26">
        <v>82.0</v>
      </c>
      <c r="J1383" s="26">
        <v>5.0</v>
      </c>
      <c r="K1383" s="26">
        <v>2.0</v>
      </c>
      <c r="N1383" s="26" t="s">
        <v>683</v>
      </c>
    </row>
    <row r="1384">
      <c r="A1384" s="25">
        <v>43325.44869402778</v>
      </c>
      <c r="B1384" s="26" t="s">
        <v>1095</v>
      </c>
      <c r="C1384" s="26" t="s">
        <v>1096</v>
      </c>
      <c r="D1384" s="26" t="s">
        <v>31</v>
      </c>
      <c r="E1384" s="26">
        <v>86.0</v>
      </c>
      <c r="F1384" s="26" t="s">
        <v>1097</v>
      </c>
      <c r="G1384" s="26">
        <v>4.0</v>
      </c>
      <c r="H1384" s="26">
        <v>2.0</v>
      </c>
      <c r="I1384" s="26">
        <v>76.0</v>
      </c>
      <c r="K1384" s="26">
        <v>10.0</v>
      </c>
      <c r="N1384" s="26" t="s">
        <v>683</v>
      </c>
    </row>
    <row r="1385">
      <c r="A1385" s="25">
        <v>43325.49126912037</v>
      </c>
      <c r="B1385" s="26" t="s">
        <v>25</v>
      </c>
      <c r="C1385" s="26" t="s">
        <v>1098</v>
      </c>
      <c r="D1385" s="26" t="s">
        <v>27</v>
      </c>
      <c r="E1385" s="26">
        <v>265.0</v>
      </c>
      <c r="F1385" s="26" t="s">
        <v>1099</v>
      </c>
      <c r="G1385" s="26">
        <v>15.0</v>
      </c>
      <c r="H1385" s="26">
        <v>4.0</v>
      </c>
      <c r="I1385" s="26">
        <v>220.0</v>
      </c>
      <c r="J1385" s="26">
        <v>40.0</v>
      </c>
      <c r="K1385" s="26">
        <v>5.0</v>
      </c>
      <c r="N1385" s="26" t="s">
        <v>1100</v>
      </c>
    </row>
    <row r="1386">
      <c r="A1386" s="25">
        <v>43325.5774125</v>
      </c>
      <c r="B1386" s="26" t="s">
        <v>48</v>
      </c>
      <c r="C1386" s="26" t="s">
        <v>49</v>
      </c>
      <c r="D1386" s="26" t="s">
        <v>31</v>
      </c>
      <c r="E1386" s="26">
        <v>251.0</v>
      </c>
      <c r="F1386" s="26" t="s">
        <v>94</v>
      </c>
      <c r="G1386" s="26">
        <v>6.0</v>
      </c>
      <c r="H1386" s="26">
        <v>0.0</v>
      </c>
      <c r="I1386" s="26">
        <v>160.0</v>
      </c>
      <c r="J1386" s="26">
        <v>75.0</v>
      </c>
      <c r="K1386" s="26">
        <v>16.0</v>
      </c>
      <c r="L1386" s="26" t="s">
        <v>1101</v>
      </c>
      <c r="N1386" s="26" t="s">
        <v>696</v>
      </c>
    </row>
    <row r="1387">
      <c r="A1387" s="25">
        <v>43325.64933822917</v>
      </c>
      <c r="B1387" s="26" t="s">
        <v>48</v>
      </c>
      <c r="C1387" s="26" t="s">
        <v>49</v>
      </c>
      <c r="D1387" s="26" t="s">
        <v>31</v>
      </c>
      <c r="E1387" s="26">
        <v>250.0</v>
      </c>
      <c r="F1387" s="26" t="s">
        <v>415</v>
      </c>
      <c r="G1387" s="26">
        <v>2.0</v>
      </c>
      <c r="H1387" s="26">
        <v>2.0</v>
      </c>
      <c r="I1387" s="26">
        <v>152.0</v>
      </c>
      <c r="J1387" s="26">
        <v>52.0</v>
      </c>
      <c r="K1387" s="26">
        <v>30.0</v>
      </c>
      <c r="N1387" s="26" t="s">
        <v>704</v>
      </c>
    </row>
    <row r="1388">
      <c r="A1388" s="25">
        <v>43325.73462804398</v>
      </c>
      <c r="B1388" s="26" t="s">
        <v>40</v>
      </c>
      <c r="C1388" s="26">
        <v>32.0</v>
      </c>
      <c r="D1388" s="26" t="s">
        <v>31</v>
      </c>
      <c r="E1388" s="26">
        <v>202.0</v>
      </c>
      <c r="F1388" s="26" t="s">
        <v>63</v>
      </c>
      <c r="G1388" s="26">
        <v>11.0</v>
      </c>
      <c r="H1388" s="26">
        <v>11.0</v>
      </c>
      <c r="I1388" s="26">
        <v>152.0</v>
      </c>
      <c r="J1388" s="26">
        <v>207.0</v>
      </c>
      <c r="K1388" s="26">
        <v>17.0</v>
      </c>
      <c r="N1388" s="26" t="s">
        <v>696</v>
      </c>
    </row>
    <row r="1389">
      <c r="A1389" s="25">
        <v>43325.84883486111</v>
      </c>
      <c r="B1389" s="26" t="s">
        <v>48</v>
      </c>
      <c r="C1389" s="26" t="s">
        <v>49</v>
      </c>
      <c r="D1389" s="26" t="s">
        <v>31</v>
      </c>
      <c r="E1389" s="26">
        <v>243.0</v>
      </c>
      <c r="F1389" s="26" t="s">
        <v>50</v>
      </c>
      <c r="G1389" s="26">
        <v>0.0</v>
      </c>
      <c r="H1389" s="26">
        <v>0.0</v>
      </c>
      <c r="N1389" s="26" t="s">
        <v>691</v>
      </c>
    </row>
    <row r="1390">
      <c r="A1390" s="25">
        <v>43325.98812775463</v>
      </c>
      <c r="B1390" s="26" t="s">
        <v>45</v>
      </c>
      <c r="C1390" s="26" t="s">
        <v>116</v>
      </c>
      <c r="D1390" s="26" t="s">
        <v>31</v>
      </c>
      <c r="E1390" s="26">
        <v>471.0</v>
      </c>
      <c r="F1390" s="26" t="s">
        <v>104</v>
      </c>
      <c r="G1390" s="26">
        <v>8.0</v>
      </c>
      <c r="H1390" s="26">
        <v>5.0</v>
      </c>
      <c r="I1390" s="26">
        <v>181.0</v>
      </c>
      <c r="J1390" s="26">
        <v>250.0</v>
      </c>
      <c r="K1390" s="26">
        <v>40.0</v>
      </c>
      <c r="N1390" s="26" t="s">
        <v>699</v>
      </c>
    </row>
    <row r="1391">
      <c r="A1391" s="25">
        <v>43326.06151813657</v>
      </c>
      <c r="B1391" s="26" t="s">
        <v>33</v>
      </c>
      <c r="C1391" s="26" t="s">
        <v>275</v>
      </c>
      <c r="D1391" s="26" t="s">
        <v>31</v>
      </c>
      <c r="E1391" s="26">
        <v>141.0</v>
      </c>
      <c r="F1391" s="26" t="s">
        <v>1102</v>
      </c>
      <c r="G1391" s="26">
        <v>0.0</v>
      </c>
      <c r="H1391" s="26">
        <v>0.0</v>
      </c>
      <c r="I1391" s="26">
        <v>108.0</v>
      </c>
      <c r="J1391" s="26">
        <v>17.0</v>
      </c>
      <c r="K1391" s="26">
        <v>64.0</v>
      </c>
      <c r="N1391" s="26" t="s">
        <v>683</v>
      </c>
    </row>
    <row r="1392">
      <c r="A1392" s="25">
        <v>43326.277428773144</v>
      </c>
      <c r="B1392" s="26" t="s">
        <v>1103</v>
      </c>
      <c r="C1392" s="26" t="s">
        <v>1104</v>
      </c>
      <c r="D1392" s="26" t="s">
        <v>31</v>
      </c>
      <c r="E1392" s="26">
        <v>70.0</v>
      </c>
      <c r="F1392" s="26" t="s">
        <v>1105</v>
      </c>
      <c r="G1392" s="26">
        <v>2.0</v>
      </c>
      <c r="H1392" s="26">
        <v>1.0</v>
      </c>
      <c r="N1392" s="26" t="s">
        <v>708</v>
      </c>
    </row>
    <row r="1393">
      <c r="A1393" s="25">
        <v>43326.42407451389</v>
      </c>
      <c r="B1393" s="26" t="s">
        <v>142</v>
      </c>
      <c r="C1393" s="26">
        <v>3.0</v>
      </c>
      <c r="D1393" s="26" t="s">
        <v>31</v>
      </c>
      <c r="E1393" s="26">
        <v>207.0</v>
      </c>
      <c r="F1393" s="26" t="s">
        <v>238</v>
      </c>
      <c r="G1393" s="26">
        <v>4.0</v>
      </c>
      <c r="H1393" s="26">
        <v>1.0</v>
      </c>
      <c r="N1393" s="26" t="s">
        <v>691</v>
      </c>
    </row>
    <row r="1394">
      <c r="A1394" s="25">
        <v>43326.46993572917</v>
      </c>
      <c r="B1394" s="26" t="s">
        <v>40</v>
      </c>
      <c r="C1394" s="26" t="s">
        <v>83</v>
      </c>
      <c r="D1394" s="26" t="s">
        <v>27</v>
      </c>
      <c r="E1394" s="26">
        <v>181.0</v>
      </c>
      <c r="F1394" s="26" t="s">
        <v>35</v>
      </c>
      <c r="G1394" s="26">
        <v>3.0</v>
      </c>
      <c r="H1394" s="26">
        <v>1.5</v>
      </c>
      <c r="I1394" s="26">
        <v>147.0</v>
      </c>
      <c r="J1394" s="26">
        <v>11.0</v>
      </c>
      <c r="K1394" s="26">
        <v>22.0</v>
      </c>
      <c r="N1394" s="26" t="s">
        <v>683</v>
      </c>
    </row>
    <row r="1395">
      <c r="A1395" s="25">
        <v>43326.4998962963</v>
      </c>
      <c r="B1395" s="26" t="s">
        <v>80</v>
      </c>
      <c r="C1395" s="26" t="s">
        <v>62</v>
      </c>
      <c r="D1395" s="26" t="s">
        <v>31</v>
      </c>
      <c r="E1395" s="26">
        <v>470.0</v>
      </c>
      <c r="F1395" s="26" t="s">
        <v>199</v>
      </c>
      <c r="G1395" s="26">
        <v>30.0</v>
      </c>
      <c r="H1395" s="26">
        <v>7.0</v>
      </c>
      <c r="N1395" s="26" t="s">
        <v>685</v>
      </c>
    </row>
    <row r="1396">
      <c r="A1396" s="25">
        <v>43326.52792112269</v>
      </c>
      <c r="B1396" s="26" t="s">
        <v>33</v>
      </c>
      <c r="C1396" s="26" t="s">
        <v>34</v>
      </c>
      <c r="D1396" s="26" t="s">
        <v>27</v>
      </c>
      <c r="E1396" s="26">
        <v>300.0</v>
      </c>
      <c r="F1396" s="26" t="s">
        <v>35</v>
      </c>
      <c r="G1396" s="26">
        <v>20.0</v>
      </c>
      <c r="H1396" s="26">
        <v>7.0</v>
      </c>
      <c r="I1396" s="26">
        <v>160000.0</v>
      </c>
      <c r="J1396" s="26">
        <v>140000.0</v>
      </c>
      <c r="N1396" s="26" t="s">
        <v>1106</v>
      </c>
    </row>
    <row r="1397">
      <c r="A1397" s="25">
        <v>43326.53677994213</v>
      </c>
      <c r="B1397" s="26" t="s">
        <v>33</v>
      </c>
      <c r="C1397" s="26" t="s">
        <v>62</v>
      </c>
      <c r="D1397" s="26" t="s">
        <v>713</v>
      </c>
      <c r="E1397" s="26">
        <v>250.0</v>
      </c>
      <c r="F1397" s="26" t="s">
        <v>1107</v>
      </c>
      <c r="G1397" s="26">
        <v>10.0</v>
      </c>
      <c r="H1397" s="26">
        <v>2.0</v>
      </c>
      <c r="I1397" s="26">
        <v>150.0</v>
      </c>
      <c r="J1397" s="26">
        <v>100.0</v>
      </c>
      <c r="K1397" s="26">
        <v>50.0</v>
      </c>
      <c r="N1397" s="26" t="s">
        <v>691</v>
      </c>
    </row>
    <row r="1398">
      <c r="A1398" s="25">
        <v>43326.54812283565</v>
      </c>
      <c r="B1398" s="26" t="s">
        <v>426</v>
      </c>
      <c r="C1398" s="26" t="s">
        <v>588</v>
      </c>
      <c r="D1398" s="26" t="s">
        <v>31</v>
      </c>
      <c r="E1398" s="26">
        <v>135.0</v>
      </c>
      <c r="F1398" s="26" t="s">
        <v>94</v>
      </c>
      <c r="G1398" s="26">
        <v>0.0</v>
      </c>
      <c r="H1398" s="26">
        <v>0.0</v>
      </c>
      <c r="I1398" s="26">
        <v>100.0</v>
      </c>
      <c r="L1398" s="26" t="s">
        <v>1108</v>
      </c>
      <c r="N1398" s="26" t="s">
        <v>683</v>
      </c>
    </row>
    <row r="1399">
      <c r="A1399" s="25">
        <v>43326.5533459375</v>
      </c>
      <c r="B1399" s="26" t="s">
        <v>268</v>
      </c>
      <c r="C1399" s="26" t="s">
        <v>366</v>
      </c>
      <c r="D1399" s="26" t="s">
        <v>27</v>
      </c>
      <c r="E1399" s="26">
        <v>220.0</v>
      </c>
      <c r="F1399" s="26" t="s">
        <v>238</v>
      </c>
      <c r="G1399" s="26">
        <v>10.0</v>
      </c>
      <c r="H1399" s="26">
        <v>7.0</v>
      </c>
      <c r="I1399" s="26">
        <v>160.0</v>
      </c>
      <c r="J1399" s="26">
        <v>35.0</v>
      </c>
      <c r="K1399" s="26">
        <v>25.0</v>
      </c>
      <c r="N1399" s="26" t="s">
        <v>715</v>
      </c>
    </row>
    <row r="1400">
      <c r="A1400" s="25">
        <v>43326.55790885417</v>
      </c>
      <c r="B1400" s="26" t="s">
        <v>1109</v>
      </c>
      <c r="C1400" s="26" t="s">
        <v>78</v>
      </c>
      <c r="D1400" s="26" t="s">
        <v>31</v>
      </c>
      <c r="E1400" s="26">
        <v>350.0</v>
      </c>
      <c r="F1400" s="26" t="s">
        <v>32</v>
      </c>
      <c r="G1400" s="26">
        <v>10.0</v>
      </c>
      <c r="H1400" s="26">
        <v>1.0</v>
      </c>
      <c r="I1400" s="26">
        <v>200.0</v>
      </c>
      <c r="J1400" s="26">
        <v>70.0</v>
      </c>
      <c r="K1400" s="26">
        <v>80.0</v>
      </c>
      <c r="N1400" s="26" t="s">
        <v>685</v>
      </c>
    </row>
    <row r="1401">
      <c r="A1401" s="25">
        <v>43326.55837479167</v>
      </c>
      <c r="B1401" s="26" t="s">
        <v>196</v>
      </c>
      <c r="C1401" s="26" t="s">
        <v>78</v>
      </c>
      <c r="D1401" s="26" t="s">
        <v>31</v>
      </c>
      <c r="E1401" s="26">
        <v>350.0</v>
      </c>
      <c r="F1401" s="26" t="s">
        <v>32</v>
      </c>
      <c r="G1401" s="26">
        <v>10.0</v>
      </c>
      <c r="H1401" s="26">
        <v>1.0</v>
      </c>
      <c r="I1401" s="26">
        <v>200.0</v>
      </c>
      <c r="J1401" s="26">
        <v>70.0</v>
      </c>
      <c r="K1401" s="26">
        <v>80.0</v>
      </c>
      <c r="N1401" s="26" t="s">
        <v>685</v>
      </c>
    </row>
    <row r="1402">
      <c r="A1402" s="25">
        <v>43326.62378065972</v>
      </c>
      <c r="B1402" s="26" t="s">
        <v>40</v>
      </c>
      <c r="C1402" s="26">
        <v>61.0</v>
      </c>
      <c r="D1402" s="26" t="s">
        <v>31</v>
      </c>
      <c r="E1402" s="26">
        <v>224.0</v>
      </c>
      <c r="F1402" s="26" t="s">
        <v>75</v>
      </c>
      <c r="G1402" s="26">
        <v>3.0</v>
      </c>
      <c r="H1402" s="26">
        <v>3.0</v>
      </c>
      <c r="I1402" s="26">
        <v>138.0</v>
      </c>
      <c r="J1402" s="26">
        <v>63.0</v>
      </c>
      <c r="K1402" s="26">
        <v>23.0</v>
      </c>
      <c r="N1402" s="26" t="s">
        <v>715</v>
      </c>
    </row>
    <row r="1403">
      <c r="A1403" s="25">
        <v>43326.646338032406</v>
      </c>
      <c r="B1403" s="26" t="s">
        <v>48</v>
      </c>
      <c r="C1403" s="26" t="s">
        <v>49</v>
      </c>
      <c r="D1403" s="26" t="s">
        <v>31</v>
      </c>
      <c r="E1403" s="26">
        <v>250.0</v>
      </c>
      <c r="F1403" s="26">
        <v>94105.0</v>
      </c>
      <c r="G1403" s="26">
        <v>4.0</v>
      </c>
      <c r="H1403" s="26">
        <v>0.5</v>
      </c>
      <c r="I1403" s="26">
        <v>160.0</v>
      </c>
      <c r="J1403" s="26">
        <v>75.0</v>
      </c>
      <c r="K1403" s="26">
        <v>16.0</v>
      </c>
      <c r="N1403" s="26" t="s">
        <v>683</v>
      </c>
    </row>
    <row r="1404">
      <c r="A1404" s="25">
        <v>43326.6527575463</v>
      </c>
      <c r="B1404" s="26" t="s">
        <v>33</v>
      </c>
      <c r="C1404" s="26" t="s">
        <v>43</v>
      </c>
      <c r="D1404" s="26" t="s">
        <v>31</v>
      </c>
      <c r="E1404" s="26">
        <v>225.0</v>
      </c>
      <c r="F1404" s="26" t="s">
        <v>35</v>
      </c>
      <c r="G1404" s="26">
        <v>5.0</v>
      </c>
      <c r="H1404" s="26">
        <v>0.0</v>
      </c>
      <c r="I1404" s="26">
        <v>150000.0</v>
      </c>
      <c r="J1404" s="26">
        <v>50000.0</v>
      </c>
      <c r="K1404" s="26">
        <v>64.0</v>
      </c>
      <c r="N1404" s="26" t="s">
        <v>704</v>
      </c>
    </row>
    <row r="1405">
      <c r="A1405" s="25">
        <v>43326.65644549769</v>
      </c>
      <c r="B1405" s="26" t="s">
        <v>40</v>
      </c>
      <c r="C1405" s="26">
        <v>65.0</v>
      </c>
      <c r="D1405" s="26" t="s">
        <v>41</v>
      </c>
      <c r="E1405" s="26">
        <v>215.0</v>
      </c>
      <c r="F1405" s="26" t="s">
        <v>44</v>
      </c>
      <c r="G1405" s="26">
        <v>15.0</v>
      </c>
      <c r="H1405" s="26">
        <v>1.0</v>
      </c>
      <c r="N1405" s="26" t="s">
        <v>704</v>
      </c>
    </row>
    <row r="1406">
      <c r="A1406" s="25">
        <v>43326.71161583334</v>
      </c>
      <c r="B1406" s="26" t="s">
        <v>40</v>
      </c>
      <c r="C1406" s="26" t="s">
        <v>1110</v>
      </c>
      <c r="D1406" s="26" t="s">
        <v>31</v>
      </c>
      <c r="E1406" s="26">
        <v>118.0</v>
      </c>
      <c r="F1406" s="26" t="s">
        <v>1025</v>
      </c>
      <c r="G1406" s="26">
        <v>0.0</v>
      </c>
      <c r="H1406" s="26">
        <v>0.0</v>
      </c>
      <c r="I1406" s="26">
        <v>106500.0</v>
      </c>
      <c r="J1406" s="26">
        <v>1500.0</v>
      </c>
      <c r="K1406" s="26">
        <v>10650.0</v>
      </c>
      <c r="N1406" s="26" t="s">
        <v>685</v>
      </c>
    </row>
    <row r="1407">
      <c r="A1407" s="25">
        <v>43326.74186318287</v>
      </c>
      <c r="B1407" s="26" t="s">
        <v>40</v>
      </c>
      <c r="C1407" s="26">
        <v>63.0</v>
      </c>
      <c r="D1407" s="26" t="s">
        <v>31</v>
      </c>
      <c r="E1407" s="26">
        <v>249.0</v>
      </c>
      <c r="F1407" s="26" t="s">
        <v>1111</v>
      </c>
      <c r="G1407" s="26">
        <v>7.0</v>
      </c>
      <c r="H1407" s="26">
        <v>1.0</v>
      </c>
      <c r="I1407" s="26">
        <v>151.0</v>
      </c>
      <c r="J1407" s="26">
        <v>80.0</v>
      </c>
      <c r="K1407" s="26">
        <v>18.0</v>
      </c>
      <c r="N1407" s="26" t="s">
        <v>1112</v>
      </c>
    </row>
    <row r="1408">
      <c r="A1408" s="25">
        <v>43326.78330013889</v>
      </c>
      <c r="B1408" s="26" t="s">
        <v>33</v>
      </c>
      <c r="C1408" s="26" t="s">
        <v>62</v>
      </c>
      <c r="D1408" s="26" t="s">
        <v>27</v>
      </c>
      <c r="E1408" s="26">
        <v>200.0</v>
      </c>
      <c r="F1408" s="26" t="s">
        <v>35</v>
      </c>
      <c r="G1408" s="26">
        <v>6.0</v>
      </c>
      <c r="H1408" s="26">
        <v>1.0</v>
      </c>
      <c r="I1408" s="26">
        <v>142.0</v>
      </c>
      <c r="J1408" s="26">
        <v>25.0</v>
      </c>
      <c r="K1408" s="26">
        <v>33.0</v>
      </c>
      <c r="N1408" s="26" t="s">
        <v>1113</v>
      </c>
    </row>
    <row r="1409">
      <c r="A1409" s="25">
        <v>43326.80156628472</v>
      </c>
      <c r="B1409" s="26" t="s">
        <v>350</v>
      </c>
      <c r="C1409" s="26" t="s">
        <v>1114</v>
      </c>
      <c r="D1409" s="26" t="s">
        <v>31</v>
      </c>
      <c r="E1409" s="26">
        <v>115.0</v>
      </c>
      <c r="F1409" s="26" t="s">
        <v>1115</v>
      </c>
      <c r="G1409" s="26">
        <v>6.0</v>
      </c>
      <c r="H1409" s="26">
        <v>3.0</v>
      </c>
      <c r="N1409" s="26" t="s">
        <v>708</v>
      </c>
    </row>
    <row r="1410">
      <c r="A1410" s="25">
        <v>43326.80987728009</v>
      </c>
      <c r="B1410" s="26" t="s">
        <v>40</v>
      </c>
      <c r="C1410" s="26">
        <v>66.0</v>
      </c>
      <c r="D1410" s="26" t="s">
        <v>41</v>
      </c>
      <c r="E1410" s="26">
        <v>325.0</v>
      </c>
      <c r="F1410" s="26" t="s">
        <v>733</v>
      </c>
      <c r="G1410" s="26">
        <v>20.0</v>
      </c>
      <c r="H1410" s="26">
        <v>18.0</v>
      </c>
      <c r="I1410" s="26">
        <v>208000.0</v>
      </c>
      <c r="J1410" s="26">
        <v>75000.0</v>
      </c>
      <c r="K1410" s="26">
        <v>50000.0</v>
      </c>
      <c r="N1410" s="26" t="s">
        <v>685</v>
      </c>
    </row>
    <row r="1411">
      <c r="A1411" s="25">
        <v>43326.83838806713</v>
      </c>
      <c r="B1411" s="26" t="s">
        <v>40</v>
      </c>
      <c r="C1411" s="26">
        <v>60.0</v>
      </c>
      <c r="D1411" s="26" t="s">
        <v>31</v>
      </c>
      <c r="E1411" s="26">
        <v>150.0</v>
      </c>
      <c r="F1411" s="26" t="s">
        <v>75</v>
      </c>
      <c r="G1411" s="26">
        <v>2.0</v>
      </c>
      <c r="H1411" s="26">
        <v>0.5</v>
      </c>
      <c r="N1411" s="26" t="s">
        <v>685</v>
      </c>
    </row>
    <row r="1412">
      <c r="A1412" s="25">
        <v>43326.85746791666</v>
      </c>
      <c r="B1412" s="26" t="s">
        <v>48</v>
      </c>
      <c r="C1412" s="26" t="s">
        <v>70</v>
      </c>
      <c r="D1412" s="26" t="s">
        <v>31</v>
      </c>
      <c r="E1412" s="26">
        <v>600.0</v>
      </c>
      <c r="F1412" s="26" t="s">
        <v>50</v>
      </c>
      <c r="G1412" s="26">
        <v>5.0</v>
      </c>
      <c r="H1412" s="26">
        <v>4.5</v>
      </c>
      <c r="I1412" s="26">
        <v>220.0</v>
      </c>
      <c r="J1412" s="26">
        <v>300.0</v>
      </c>
      <c r="K1412" s="26">
        <v>44.0</v>
      </c>
      <c r="N1412" s="26" t="s">
        <v>683</v>
      </c>
    </row>
    <row r="1413">
      <c r="A1413" s="25">
        <v>43326.87293466435</v>
      </c>
      <c r="B1413" s="26" t="s">
        <v>119</v>
      </c>
      <c r="C1413" s="26" t="s">
        <v>1116</v>
      </c>
      <c r="D1413" s="26" t="s">
        <v>31</v>
      </c>
      <c r="E1413" s="26">
        <v>201.0</v>
      </c>
      <c r="F1413" s="26" t="s">
        <v>32</v>
      </c>
      <c r="G1413" s="26">
        <v>0.0</v>
      </c>
      <c r="H1413" s="26">
        <v>0.0</v>
      </c>
      <c r="I1413" s="26">
        <v>130.0</v>
      </c>
      <c r="J1413" s="26">
        <v>21.0</v>
      </c>
      <c r="K1413" s="26">
        <v>13000.0</v>
      </c>
      <c r="L1413" s="26" t="s">
        <v>1117</v>
      </c>
      <c r="N1413" s="26" t="s">
        <v>683</v>
      </c>
    </row>
    <row r="1414">
      <c r="A1414" s="25">
        <v>43326.880893194444</v>
      </c>
      <c r="B1414" s="26" t="s">
        <v>64</v>
      </c>
      <c r="C1414" s="26" t="s">
        <v>494</v>
      </c>
      <c r="D1414" s="26" t="s">
        <v>31</v>
      </c>
      <c r="E1414" s="26">
        <v>187.0</v>
      </c>
      <c r="F1414" s="26" t="s">
        <v>175</v>
      </c>
      <c r="G1414" s="26">
        <v>6.0</v>
      </c>
      <c r="H1414" s="26">
        <v>3.0</v>
      </c>
      <c r="N1414" s="26" t="s">
        <v>683</v>
      </c>
    </row>
    <row r="1415">
      <c r="A1415" s="25">
        <v>43326.8828603588</v>
      </c>
      <c r="B1415" s="26" t="s">
        <v>40</v>
      </c>
      <c r="C1415" s="26">
        <v>63.0</v>
      </c>
      <c r="D1415" s="26" t="s">
        <v>31</v>
      </c>
      <c r="E1415" s="26">
        <v>261.0</v>
      </c>
      <c r="F1415" s="26" t="s">
        <v>75</v>
      </c>
      <c r="G1415" s="26">
        <v>8.0</v>
      </c>
      <c r="H1415" s="26">
        <v>8.0</v>
      </c>
      <c r="I1415" s="26">
        <v>159.0</v>
      </c>
      <c r="J1415" s="26">
        <v>82.0</v>
      </c>
      <c r="K1415" s="26">
        <v>20.0</v>
      </c>
      <c r="N1415" s="26" t="s">
        <v>685</v>
      </c>
    </row>
    <row r="1416">
      <c r="A1416" s="25">
        <v>43326.91369606482</v>
      </c>
      <c r="B1416" s="26" t="s">
        <v>40</v>
      </c>
      <c r="C1416" s="26">
        <v>61.0</v>
      </c>
      <c r="D1416" s="26" t="s">
        <v>31</v>
      </c>
      <c r="E1416" s="26">
        <v>193.0</v>
      </c>
      <c r="F1416" s="26" t="s">
        <v>133</v>
      </c>
      <c r="G1416" s="26">
        <v>2.0</v>
      </c>
      <c r="H1416" s="26">
        <v>2.0</v>
      </c>
      <c r="I1416" s="26">
        <v>132.0</v>
      </c>
      <c r="J1416" s="26">
        <v>40.0</v>
      </c>
      <c r="K1416" s="26">
        <v>21.0</v>
      </c>
      <c r="N1416" s="26" t="s">
        <v>683</v>
      </c>
    </row>
    <row r="1417">
      <c r="A1417" s="25">
        <v>43326.94819298611</v>
      </c>
      <c r="B1417" s="26" t="s">
        <v>33</v>
      </c>
      <c r="C1417" s="26" t="s">
        <v>73</v>
      </c>
      <c r="D1417" s="26" t="s">
        <v>31</v>
      </c>
      <c r="E1417" s="26">
        <v>143.0</v>
      </c>
      <c r="F1417" s="26" t="s">
        <v>88</v>
      </c>
      <c r="G1417" s="26">
        <v>0.0</v>
      </c>
      <c r="H1417" s="26">
        <v>0.0</v>
      </c>
      <c r="N1417" s="26" t="s">
        <v>696</v>
      </c>
    </row>
    <row r="1418">
      <c r="A1418" s="25">
        <v>43326.954032905094</v>
      </c>
      <c r="B1418" s="26" t="s">
        <v>80</v>
      </c>
      <c r="C1418" s="26" t="s">
        <v>176</v>
      </c>
      <c r="D1418" s="26" t="s">
        <v>27</v>
      </c>
      <c r="E1418" s="26">
        <v>370.0</v>
      </c>
      <c r="F1418" s="26" t="s">
        <v>175</v>
      </c>
      <c r="G1418" s="26">
        <v>10.0</v>
      </c>
      <c r="H1418" s="26">
        <v>6.0</v>
      </c>
      <c r="I1418" s="26">
        <v>155.0</v>
      </c>
      <c r="J1418" s="26">
        <v>180.0</v>
      </c>
      <c r="K1418" s="26">
        <v>35.0</v>
      </c>
      <c r="N1418" s="26" t="s">
        <v>683</v>
      </c>
    </row>
    <row r="1419">
      <c r="A1419" s="25">
        <v>43326.975816770835</v>
      </c>
      <c r="B1419" s="26" t="s">
        <v>40</v>
      </c>
      <c r="C1419" s="26">
        <v>65.0</v>
      </c>
      <c r="D1419" s="26" t="s">
        <v>31</v>
      </c>
      <c r="E1419" s="26">
        <v>221.0</v>
      </c>
      <c r="F1419" s="26" t="s">
        <v>75</v>
      </c>
      <c r="G1419" s="26">
        <v>12.0</v>
      </c>
      <c r="H1419" s="26">
        <v>8.0</v>
      </c>
      <c r="I1419" s="26">
        <v>181.0</v>
      </c>
      <c r="J1419" s="26">
        <v>20.0</v>
      </c>
      <c r="K1419" s="26">
        <v>20.0</v>
      </c>
      <c r="N1419" s="26" t="s">
        <v>691</v>
      </c>
    </row>
    <row r="1420">
      <c r="A1420" s="25">
        <v>43327.014848506944</v>
      </c>
      <c r="B1420" s="26" t="s">
        <v>378</v>
      </c>
      <c r="C1420" s="26" t="s">
        <v>1118</v>
      </c>
      <c r="D1420" s="26" t="s">
        <v>31</v>
      </c>
      <c r="E1420" s="26">
        <v>147.0</v>
      </c>
      <c r="F1420" s="26" t="s">
        <v>58</v>
      </c>
      <c r="G1420" s="26">
        <v>13.0</v>
      </c>
      <c r="H1420" s="26">
        <v>3.5</v>
      </c>
      <c r="N1420" s="26" t="s">
        <v>683</v>
      </c>
    </row>
    <row r="1421">
      <c r="A1421" s="25">
        <v>43327.05532008102</v>
      </c>
      <c r="B1421" s="26" t="s">
        <v>350</v>
      </c>
      <c r="C1421" s="26" t="s">
        <v>1119</v>
      </c>
      <c r="D1421" s="26" t="s">
        <v>31</v>
      </c>
      <c r="E1421" s="26">
        <v>92.0</v>
      </c>
      <c r="F1421" s="26" t="s">
        <v>1120</v>
      </c>
      <c r="G1421" s="26">
        <v>3.0</v>
      </c>
      <c r="H1421" s="26">
        <v>1.0</v>
      </c>
      <c r="I1421" s="26">
        <v>92.0</v>
      </c>
      <c r="N1421" s="26" t="s">
        <v>683</v>
      </c>
    </row>
    <row r="1422">
      <c r="A1422" s="25">
        <v>43327.2569396412</v>
      </c>
      <c r="B1422" s="26" t="s">
        <v>33</v>
      </c>
      <c r="C1422" s="26" t="s">
        <v>106</v>
      </c>
      <c r="D1422" s="26" t="s">
        <v>711</v>
      </c>
      <c r="E1422" s="26">
        <v>200.0</v>
      </c>
      <c r="F1422" s="26" t="s">
        <v>161</v>
      </c>
      <c r="G1422" s="26">
        <v>5.0</v>
      </c>
      <c r="H1422" s="26">
        <v>1.0</v>
      </c>
      <c r="N1422" s="26" t="s">
        <v>1121</v>
      </c>
    </row>
    <row r="1423">
      <c r="A1423" s="25">
        <v>43327.33377878473</v>
      </c>
      <c r="B1423" s="26" t="s">
        <v>80</v>
      </c>
      <c r="C1423" s="26" t="s">
        <v>179</v>
      </c>
      <c r="D1423" s="26" t="s">
        <v>31</v>
      </c>
      <c r="E1423" s="26">
        <v>172.0</v>
      </c>
      <c r="F1423" s="26" t="s">
        <v>227</v>
      </c>
      <c r="G1423" s="26">
        <v>1.0</v>
      </c>
      <c r="H1423" s="26">
        <v>0.0</v>
      </c>
      <c r="I1423" s="26">
        <v>118.0</v>
      </c>
      <c r="J1423" s="26">
        <v>36.0</v>
      </c>
      <c r="K1423" s="26">
        <v>18.0</v>
      </c>
      <c r="N1423" s="26" t="s">
        <v>696</v>
      </c>
    </row>
    <row r="1424">
      <c r="A1424" s="25">
        <v>43327.35249635417</v>
      </c>
      <c r="B1424" s="26" t="s">
        <v>80</v>
      </c>
      <c r="C1424" s="26" t="s">
        <v>73</v>
      </c>
      <c r="D1424" s="26" t="s">
        <v>31</v>
      </c>
      <c r="E1424" s="26">
        <v>250.0</v>
      </c>
      <c r="F1424" s="26" t="s">
        <v>140</v>
      </c>
      <c r="G1424" s="26">
        <v>3.0</v>
      </c>
      <c r="H1424" s="26">
        <v>3.0</v>
      </c>
      <c r="I1424" s="26">
        <v>138.0</v>
      </c>
      <c r="J1424" s="26">
        <v>84.0</v>
      </c>
      <c r="K1424" s="26">
        <v>28.0</v>
      </c>
      <c r="N1424" s="26" t="s">
        <v>704</v>
      </c>
    </row>
    <row r="1425">
      <c r="A1425" s="25">
        <v>43327.41905195602</v>
      </c>
      <c r="B1425" s="26" t="s">
        <v>170</v>
      </c>
      <c r="C1425" s="26" t="s">
        <v>1122</v>
      </c>
      <c r="D1425" s="26" t="s">
        <v>31</v>
      </c>
      <c r="E1425" s="26">
        <v>76.0</v>
      </c>
      <c r="F1425" s="26" t="s">
        <v>1123</v>
      </c>
      <c r="G1425" s="26">
        <v>4.0</v>
      </c>
      <c r="H1425" s="26">
        <v>4.0</v>
      </c>
      <c r="I1425" s="26">
        <v>76.0</v>
      </c>
      <c r="J1425" s="26">
        <v>2.0</v>
      </c>
      <c r="K1425" s="26">
        <v>4.0</v>
      </c>
      <c r="N1425" s="26" t="s">
        <v>683</v>
      </c>
    </row>
    <row r="1426">
      <c r="A1426" s="25">
        <v>43327.45777461806</v>
      </c>
      <c r="B1426" s="26" t="s">
        <v>2</v>
      </c>
      <c r="C1426" s="26" t="s">
        <v>1124</v>
      </c>
      <c r="D1426" s="26" t="s">
        <v>31</v>
      </c>
      <c r="E1426" s="26">
        <v>114.0</v>
      </c>
      <c r="F1426" s="26" t="s">
        <v>1125</v>
      </c>
      <c r="G1426" s="26">
        <v>5.0</v>
      </c>
      <c r="H1426" s="26">
        <v>3.0</v>
      </c>
      <c r="I1426" s="26">
        <v>90.0</v>
      </c>
      <c r="K1426" s="26">
        <v>3.0</v>
      </c>
      <c r="L1426" s="26" t="s">
        <v>1126</v>
      </c>
      <c r="N1426" s="26" t="s">
        <v>757</v>
      </c>
    </row>
    <row r="1427">
      <c r="A1427" s="25">
        <v>43327.498422847224</v>
      </c>
      <c r="B1427" s="26" t="s">
        <v>1127</v>
      </c>
      <c r="C1427" s="26" t="s">
        <v>1128</v>
      </c>
      <c r="D1427" s="26" t="s">
        <v>711</v>
      </c>
      <c r="E1427" s="26">
        <v>120.0</v>
      </c>
      <c r="F1427" s="26" t="s">
        <v>267</v>
      </c>
      <c r="G1427" s="26">
        <v>1.0</v>
      </c>
      <c r="H1427" s="26">
        <v>0.0</v>
      </c>
      <c r="I1427" s="26">
        <v>120.0</v>
      </c>
      <c r="N1427" s="26" t="s">
        <v>691</v>
      </c>
    </row>
    <row r="1428">
      <c r="A1428" s="25">
        <v>43327.51637283565</v>
      </c>
      <c r="B1428" s="26" t="s">
        <v>40</v>
      </c>
      <c r="C1428" s="26">
        <v>67.0</v>
      </c>
      <c r="D1428" s="26" t="s">
        <v>711</v>
      </c>
      <c r="E1428" s="26">
        <v>500.0</v>
      </c>
      <c r="F1428" s="26" t="s">
        <v>35</v>
      </c>
      <c r="G1428" s="26">
        <v>20.0</v>
      </c>
      <c r="H1428" s="26">
        <v>3.0</v>
      </c>
      <c r="N1428" s="26" t="s">
        <v>691</v>
      </c>
    </row>
    <row r="1429">
      <c r="A1429" s="25">
        <v>43327.550334976855</v>
      </c>
      <c r="B1429" s="26" t="s">
        <v>407</v>
      </c>
      <c r="C1429" s="26" t="s">
        <v>287</v>
      </c>
      <c r="D1429" s="26" t="s">
        <v>31</v>
      </c>
      <c r="E1429" s="26">
        <v>500.0</v>
      </c>
      <c r="F1429" s="26" t="s">
        <v>28</v>
      </c>
      <c r="G1429" s="26">
        <v>20.0</v>
      </c>
      <c r="H1429" s="26">
        <v>4.0</v>
      </c>
      <c r="I1429" s="26">
        <v>250.0</v>
      </c>
      <c r="J1429" s="26">
        <v>200.0</v>
      </c>
      <c r="K1429" s="26">
        <v>50.0</v>
      </c>
      <c r="N1429" s="26" t="s">
        <v>685</v>
      </c>
    </row>
    <row r="1430">
      <c r="A1430" s="25">
        <v>43327.55740157407</v>
      </c>
      <c r="B1430" s="26" t="s">
        <v>40</v>
      </c>
      <c r="C1430" s="26">
        <v>61.0</v>
      </c>
      <c r="D1430" s="26" t="s">
        <v>31</v>
      </c>
      <c r="E1430" s="26">
        <v>165.0</v>
      </c>
      <c r="F1430" s="26" t="s">
        <v>75</v>
      </c>
      <c r="G1430" s="26">
        <v>4.0</v>
      </c>
      <c r="H1430" s="26">
        <v>0.0</v>
      </c>
      <c r="I1430" s="26">
        <v>130.0</v>
      </c>
      <c r="J1430" s="26">
        <v>25.0</v>
      </c>
      <c r="K1430" s="26">
        <v>10.0</v>
      </c>
      <c r="N1430" s="26" t="s">
        <v>1129</v>
      </c>
    </row>
    <row r="1431">
      <c r="A1431" s="25">
        <v>43327.591110787034</v>
      </c>
      <c r="B1431" s="26" t="s">
        <v>45</v>
      </c>
      <c r="C1431" s="26" t="s">
        <v>116</v>
      </c>
      <c r="D1431" s="26" t="s">
        <v>31</v>
      </c>
      <c r="E1431" s="26">
        <v>350.0</v>
      </c>
      <c r="F1431" s="26" t="s">
        <v>92</v>
      </c>
      <c r="G1431" s="26">
        <v>18.0</v>
      </c>
      <c r="H1431" s="26">
        <v>4.0</v>
      </c>
      <c r="I1431" s="26">
        <v>175.0</v>
      </c>
      <c r="J1431" s="26">
        <v>25.0</v>
      </c>
      <c r="K1431" s="26">
        <v>150.0</v>
      </c>
      <c r="N1431" s="26" t="s">
        <v>699</v>
      </c>
    </row>
    <row r="1432">
      <c r="A1432" s="25">
        <v>43327.629095625</v>
      </c>
      <c r="B1432" s="26" t="s">
        <v>40</v>
      </c>
      <c r="C1432" s="26">
        <v>60.0</v>
      </c>
      <c r="D1432" s="26" t="s">
        <v>27</v>
      </c>
      <c r="E1432" s="26">
        <v>250.0</v>
      </c>
      <c r="F1432" s="26" t="s">
        <v>35</v>
      </c>
      <c r="G1432" s="26">
        <v>2.0</v>
      </c>
      <c r="H1432" s="26">
        <v>2.0</v>
      </c>
      <c r="I1432" s="26">
        <v>119.0</v>
      </c>
      <c r="J1432" s="26">
        <v>110.0</v>
      </c>
      <c r="K1432" s="26">
        <v>21.0</v>
      </c>
      <c r="N1432" s="26" t="s">
        <v>687</v>
      </c>
    </row>
    <row r="1433">
      <c r="A1433" s="25">
        <v>43327.635511817134</v>
      </c>
      <c r="B1433" s="26" t="s">
        <v>40</v>
      </c>
      <c r="C1433" s="26">
        <v>62.0</v>
      </c>
      <c r="D1433" s="26" t="s">
        <v>27</v>
      </c>
      <c r="E1433" s="26">
        <v>215.0</v>
      </c>
      <c r="F1433" s="26" t="s">
        <v>75</v>
      </c>
      <c r="G1433" s="26">
        <v>3.0</v>
      </c>
      <c r="H1433" s="26">
        <v>3.0</v>
      </c>
      <c r="I1433" s="26">
        <v>143.0</v>
      </c>
      <c r="J1433" s="26">
        <v>52000.0</v>
      </c>
      <c r="K1433" s="26">
        <v>20000.0</v>
      </c>
      <c r="N1433" s="26" t="s">
        <v>708</v>
      </c>
    </row>
    <row r="1434">
      <c r="A1434" s="25">
        <v>43327.637667372685</v>
      </c>
      <c r="B1434" s="26" t="s">
        <v>40</v>
      </c>
      <c r="C1434" s="26">
        <v>60.0</v>
      </c>
      <c r="D1434" s="26" t="s">
        <v>31</v>
      </c>
      <c r="E1434" s="26">
        <v>145.0</v>
      </c>
      <c r="F1434" s="26" t="s">
        <v>86</v>
      </c>
      <c r="G1434" s="26">
        <v>2.0</v>
      </c>
      <c r="H1434" s="26">
        <v>2.0</v>
      </c>
      <c r="I1434" s="26">
        <v>120.0</v>
      </c>
      <c r="J1434" s="26">
        <v>7.0</v>
      </c>
      <c r="K1434" s="26">
        <v>18.0</v>
      </c>
      <c r="N1434" s="26" t="s">
        <v>696</v>
      </c>
    </row>
    <row r="1435">
      <c r="A1435" s="25">
        <v>43327.639958287036</v>
      </c>
      <c r="B1435" s="26" t="s">
        <v>40</v>
      </c>
      <c r="C1435" s="26">
        <v>61.0</v>
      </c>
      <c r="D1435" s="26" t="s">
        <v>31</v>
      </c>
      <c r="E1435" s="26">
        <v>185.0</v>
      </c>
      <c r="F1435" s="26" t="s">
        <v>52</v>
      </c>
      <c r="G1435" s="26">
        <v>2.0</v>
      </c>
      <c r="H1435" s="26">
        <v>2.0</v>
      </c>
      <c r="I1435" s="26">
        <v>133.0</v>
      </c>
      <c r="J1435" s="26">
        <v>35.0</v>
      </c>
      <c r="K1435" s="26">
        <v>18.0</v>
      </c>
      <c r="N1435" s="26" t="s">
        <v>683</v>
      </c>
    </row>
    <row r="1436">
      <c r="A1436" s="25">
        <v>43327.64047216435</v>
      </c>
      <c r="B1436" s="26" t="s">
        <v>40</v>
      </c>
      <c r="C1436" s="26" t="s">
        <v>43</v>
      </c>
      <c r="D1436" s="26" t="s">
        <v>31</v>
      </c>
      <c r="E1436" s="26">
        <v>180.0</v>
      </c>
      <c r="F1436" s="26" t="s">
        <v>35</v>
      </c>
      <c r="G1436" s="26">
        <v>2.0</v>
      </c>
      <c r="H1436" s="26">
        <v>0.5</v>
      </c>
      <c r="I1436" s="26">
        <v>130.0</v>
      </c>
      <c r="J1436" s="26">
        <v>19.0</v>
      </c>
      <c r="K1436" s="26">
        <v>10.0</v>
      </c>
      <c r="N1436" s="26" t="s">
        <v>704</v>
      </c>
    </row>
    <row r="1437">
      <c r="A1437" s="25">
        <v>43327.64249971065</v>
      </c>
      <c r="B1437" s="26" t="s">
        <v>40</v>
      </c>
      <c r="C1437" s="26">
        <v>62.0</v>
      </c>
      <c r="D1437" s="26" t="s">
        <v>31</v>
      </c>
      <c r="E1437" s="26">
        <v>200.0</v>
      </c>
      <c r="F1437" s="26" t="s">
        <v>75</v>
      </c>
      <c r="G1437" s="26">
        <v>4.0</v>
      </c>
      <c r="H1437" s="26">
        <v>4.0</v>
      </c>
      <c r="N1437" s="26" t="s">
        <v>696</v>
      </c>
    </row>
    <row r="1438">
      <c r="A1438" s="25">
        <v>43327.645542604165</v>
      </c>
      <c r="B1438" s="26" t="s">
        <v>40</v>
      </c>
      <c r="C1438" s="26">
        <v>61.0</v>
      </c>
      <c r="D1438" s="26" t="s">
        <v>31</v>
      </c>
      <c r="E1438" s="26">
        <v>143.0</v>
      </c>
      <c r="F1438" s="26" t="s">
        <v>1130</v>
      </c>
      <c r="G1438" s="26">
        <v>5.0</v>
      </c>
      <c r="H1438" s="26">
        <v>5.0</v>
      </c>
      <c r="I1438" s="26">
        <v>126.0</v>
      </c>
      <c r="J1438" s="26">
        <v>5.0</v>
      </c>
      <c r="K1438" s="26">
        <v>12.0</v>
      </c>
      <c r="N1438" s="26" t="s">
        <v>683</v>
      </c>
    </row>
    <row r="1439">
      <c r="A1439" s="25">
        <v>43327.64591251157</v>
      </c>
      <c r="B1439" s="26" t="s">
        <v>40</v>
      </c>
      <c r="C1439" s="26">
        <v>62.0</v>
      </c>
      <c r="D1439" s="26" t="s">
        <v>31</v>
      </c>
      <c r="E1439" s="26">
        <v>172.0</v>
      </c>
      <c r="F1439" s="26" t="s">
        <v>75</v>
      </c>
      <c r="G1439" s="26">
        <v>12.0</v>
      </c>
      <c r="H1439" s="26">
        <v>10.0</v>
      </c>
      <c r="I1439" s="26">
        <v>147.0</v>
      </c>
      <c r="J1439" s="26">
        <v>11.0</v>
      </c>
      <c r="K1439" s="26">
        <v>14.0</v>
      </c>
      <c r="N1439" s="26" t="s">
        <v>699</v>
      </c>
    </row>
    <row r="1440">
      <c r="A1440" s="25">
        <v>43327.64789359954</v>
      </c>
      <c r="B1440" s="26" t="s">
        <v>40</v>
      </c>
      <c r="C1440" s="26">
        <v>61.0</v>
      </c>
      <c r="D1440" s="26" t="s">
        <v>31</v>
      </c>
      <c r="E1440" s="26">
        <v>211.0</v>
      </c>
      <c r="F1440" s="26" t="s">
        <v>75</v>
      </c>
      <c r="G1440" s="26">
        <v>2.0</v>
      </c>
      <c r="H1440" s="26">
        <v>2.0</v>
      </c>
      <c r="I1440" s="26">
        <v>136.0</v>
      </c>
      <c r="J1440" s="26">
        <v>55.0</v>
      </c>
      <c r="K1440" s="26">
        <v>20.0</v>
      </c>
      <c r="N1440" s="26" t="s">
        <v>708</v>
      </c>
    </row>
    <row r="1441">
      <c r="A1441" s="25">
        <v>43327.65141579861</v>
      </c>
      <c r="B1441" s="26" t="s">
        <v>40</v>
      </c>
      <c r="C1441" s="26">
        <v>62.0</v>
      </c>
      <c r="D1441" s="26" t="s">
        <v>711</v>
      </c>
      <c r="E1441" s="26">
        <v>220.0</v>
      </c>
      <c r="F1441" s="26" t="s">
        <v>554</v>
      </c>
      <c r="G1441" s="26">
        <v>2.0</v>
      </c>
      <c r="H1441" s="26">
        <v>2.0</v>
      </c>
      <c r="I1441" s="26">
        <v>137.0</v>
      </c>
      <c r="J1441" s="26">
        <v>67.0</v>
      </c>
      <c r="K1441" s="26">
        <v>15.0</v>
      </c>
      <c r="N1441" s="26" t="s">
        <v>691</v>
      </c>
    </row>
    <row r="1442">
      <c r="A1442" s="25">
        <v>43327.65748800926</v>
      </c>
      <c r="B1442" s="26" t="s">
        <v>268</v>
      </c>
      <c r="C1442" s="26" t="s">
        <v>1131</v>
      </c>
      <c r="D1442" s="26" t="s">
        <v>27</v>
      </c>
      <c r="E1442" s="26">
        <v>278.0</v>
      </c>
      <c r="F1442" s="26" t="s">
        <v>272</v>
      </c>
      <c r="G1442" s="26">
        <v>22.0</v>
      </c>
      <c r="H1442" s="26">
        <v>6.0</v>
      </c>
      <c r="I1442" s="26">
        <v>190000.0</v>
      </c>
      <c r="J1442" s="26">
        <v>40000.0</v>
      </c>
      <c r="K1442" s="26">
        <v>48000.0</v>
      </c>
      <c r="N1442" s="26" t="s">
        <v>757</v>
      </c>
    </row>
    <row r="1443">
      <c r="A1443" s="25">
        <v>43327.658899050926</v>
      </c>
      <c r="B1443" s="26" t="s">
        <v>40</v>
      </c>
      <c r="C1443" s="26">
        <v>61.0</v>
      </c>
      <c r="D1443" s="26" t="s">
        <v>31</v>
      </c>
      <c r="E1443" s="26">
        <v>196.0</v>
      </c>
      <c r="F1443" s="26" t="s">
        <v>35</v>
      </c>
      <c r="G1443" s="26">
        <v>4.0</v>
      </c>
      <c r="H1443" s="26">
        <v>4.0</v>
      </c>
      <c r="I1443" s="26">
        <v>133.0</v>
      </c>
      <c r="J1443" s="26">
        <v>7.0</v>
      </c>
      <c r="K1443" s="26">
        <v>15.0</v>
      </c>
      <c r="N1443" s="26" t="s">
        <v>1132</v>
      </c>
    </row>
    <row r="1444">
      <c r="A1444" s="25">
        <v>43327.669236608795</v>
      </c>
      <c r="B1444" s="26" t="s">
        <v>40</v>
      </c>
      <c r="C1444" s="26">
        <v>61.0</v>
      </c>
      <c r="D1444" s="26" t="s">
        <v>31</v>
      </c>
      <c r="E1444" s="26">
        <v>200.0</v>
      </c>
      <c r="F1444" s="26" t="s">
        <v>63</v>
      </c>
      <c r="G1444" s="26">
        <v>3.0</v>
      </c>
      <c r="H1444" s="26">
        <v>1.0</v>
      </c>
      <c r="I1444" s="26">
        <v>133.0</v>
      </c>
      <c r="J1444" s="26">
        <v>30.0</v>
      </c>
      <c r="K1444" s="26">
        <v>30.0</v>
      </c>
      <c r="N1444" s="26" t="s">
        <v>685</v>
      </c>
    </row>
    <row r="1445">
      <c r="A1445" s="25">
        <v>43327.67452479167</v>
      </c>
      <c r="B1445" s="26" t="s">
        <v>40</v>
      </c>
      <c r="C1445" s="26">
        <v>61.0</v>
      </c>
      <c r="D1445" s="26" t="s">
        <v>31</v>
      </c>
      <c r="E1445" s="26">
        <v>210.0</v>
      </c>
      <c r="F1445" s="26" t="s">
        <v>75</v>
      </c>
      <c r="G1445" s="26">
        <v>2.0</v>
      </c>
      <c r="H1445" s="26">
        <v>2.0</v>
      </c>
      <c r="I1445" s="26">
        <v>130.0</v>
      </c>
      <c r="J1445" s="26">
        <v>60.0</v>
      </c>
      <c r="K1445" s="26">
        <v>20.0</v>
      </c>
      <c r="N1445" s="26" t="s">
        <v>683</v>
      </c>
    </row>
    <row r="1446">
      <c r="A1446" s="25">
        <v>43327.67629856482</v>
      </c>
      <c r="B1446" s="26" t="s">
        <v>40</v>
      </c>
      <c r="C1446" s="26" t="s">
        <v>824</v>
      </c>
      <c r="D1446" s="26" t="s">
        <v>31</v>
      </c>
      <c r="E1446" s="26">
        <v>208.0</v>
      </c>
      <c r="F1446" s="26" t="s">
        <v>35</v>
      </c>
      <c r="G1446" s="26">
        <v>0.0</v>
      </c>
      <c r="H1446" s="26">
        <v>0.0</v>
      </c>
      <c r="I1446" s="26">
        <v>108.0</v>
      </c>
      <c r="J1446" s="26">
        <v>50.0</v>
      </c>
      <c r="K1446" s="26">
        <v>50.0</v>
      </c>
      <c r="N1446" s="26" t="s">
        <v>691</v>
      </c>
    </row>
    <row r="1447">
      <c r="A1447" s="25">
        <v>43327.68969086806</v>
      </c>
      <c r="B1447" s="26" t="s">
        <v>40</v>
      </c>
      <c r="C1447" s="26">
        <v>62.0</v>
      </c>
      <c r="D1447" s="26" t="s">
        <v>31</v>
      </c>
      <c r="E1447" s="26">
        <v>180.0</v>
      </c>
      <c r="F1447" s="26" t="s">
        <v>52</v>
      </c>
      <c r="G1447" s="26">
        <v>4.0</v>
      </c>
      <c r="H1447" s="26">
        <v>4.0</v>
      </c>
      <c r="I1447" s="26">
        <v>153.0</v>
      </c>
      <c r="J1447" s="26">
        <v>6000.0</v>
      </c>
      <c r="K1447" s="26">
        <v>16099.0</v>
      </c>
      <c r="N1447" s="26" t="s">
        <v>1133</v>
      </c>
    </row>
    <row r="1448">
      <c r="A1448" s="25">
        <v>43327.70083412037</v>
      </c>
      <c r="B1448" s="26" t="s">
        <v>40</v>
      </c>
      <c r="C1448" s="26">
        <v>61.0</v>
      </c>
      <c r="D1448" s="26" t="s">
        <v>27</v>
      </c>
      <c r="E1448" s="26">
        <v>185.0</v>
      </c>
      <c r="F1448" s="26" t="s">
        <v>86</v>
      </c>
      <c r="G1448" s="26">
        <v>2.0</v>
      </c>
      <c r="H1448" s="26">
        <v>2.0</v>
      </c>
      <c r="I1448" s="26">
        <v>129.0</v>
      </c>
      <c r="J1448" s="26">
        <v>39.0</v>
      </c>
      <c r="K1448" s="26">
        <v>17.0</v>
      </c>
      <c r="N1448" s="26" t="s">
        <v>1134</v>
      </c>
    </row>
    <row r="1449">
      <c r="A1449" s="25">
        <v>43327.702028541666</v>
      </c>
      <c r="B1449" s="26" t="s">
        <v>40</v>
      </c>
      <c r="C1449" s="26">
        <v>61.0</v>
      </c>
      <c r="D1449" s="26" t="s">
        <v>27</v>
      </c>
      <c r="E1449" s="26">
        <v>185.0</v>
      </c>
      <c r="F1449" s="26" t="s">
        <v>86</v>
      </c>
      <c r="G1449" s="26">
        <v>2.0</v>
      </c>
      <c r="H1449" s="26">
        <v>2.0</v>
      </c>
      <c r="I1449" s="26">
        <v>129.0</v>
      </c>
      <c r="J1449" s="26">
        <v>39.0</v>
      </c>
      <c r="K1449" s="26">
        <v>17.0</v>
      </c>
      <c r="N1449" s="26" t="s">
        <v>1134</v>
      </c>
    </row>
    <row r="1450">
      <c r="A1450" s="25">
        <v>43327.70250304398</v>
      </c>
      <c r="B1450" s="26" t="s">
        <v>1135</v>
      </c>
      <c r="C1450" s="26" t="s">
        <v>427</v>
      </c>
      <c r="D1450" s="26" t="s">
        <v>147</v>
      </c>
      <c r="E1450" s="26">
        <v>150.0</v>
      </c>
      <c r="F1450" s="26" t="s">
        <v>1136</v>
      </c>
      <c r="G1450" s="26">
        <v>0.0</v>
      </c>
      <c r="H1450" s="26">
        <v>1.0</v>
      </c>
      <c r="I1450" s="26">
        <v>125000.0</v>
      </c>
      <c r="K1450" s="26">
        <v>25.0</v>
      </c>
      <c r="N1450" s="26" t="s">
        <v>1137</v>
      </c>
    </row>
    <row r="1451">
      <c r="A1451" s="25">
        <v>43327.70675321759</v>
      </c>
      <c r="B1451" s="26" t="s">
        <v>40</v>
      </c>
      <c r="C1451" s="26">
        <v>59.0</v>
      </c>
      <c r="D1451" s="26" t="s">
        <v>27</v>
      </c>
      <c r="E1451" s="26">
        <v>148.0</v>
      </c>
      <c r="F1451" s="26" t="s">
        <v>75</v>
      </c>
      <c r="G1451" s="26">
        <v>0.0</v>
      </c>
      <c r="H1451" s="26">
        <v>0.0</v>
      </c>
      <c r="I1451" s="26">
        <v>108000.0</v>
      </c>
      <c r="J1451" s="26">
        <v>40.0</v>
      </c>
      <c r="N1451" s="26" t="s">
        <v>757</v>
      </c>
    </row>
    <row r="1452">
      <c r="A1452" s="25">
        <v>43327.71233408565</v>
      </c>
      <c r="B1452" s="26" t="s">
        <v>40</v>
      </c>
      <c r="C1452" s="26">
        <v>61.0</v>
      </c>
      <c r="D1452" s="26" t="s">
        <v>31</v>
      </c>
      <c r="E1452" s="26">
        <v>213.0</v>
      </c>
      <c r="F1452" s="26" t="s">
        <v>35</v>
      </c>
      <c r="G1452" s="26">
        <v>4.0</v>
      </c>
      <c r="H1452" s="26">
        <v>4.0</v>
      </c>
      <c r="I1452" s="26">
        <v>133.0</v>
      </c>
      <c r="J1452" s="26">
        <v>9.0</v>
      </c>
      <c r="K1452" s="26">
        <v>21.0</v>
      </c>
      <c r="N1452" s="26" t="s">
        <v>757</v>
      </c>
    </row>
    <row r="1453">
      <c r="A1453" s="25">
        <v>43327.71406805556</v>
      </c>
      <c r="B1453" s="26" t="s">
        <v>40</v>
      </c>
      <c r="C1453" s="26">
        <v>61.0</v>
      </c>
      <c r="D1453" s="26" t="s">
        <v>27</v>
      </c>
      <c r="E1453" s="26">
        <v>167.0</v>
      </c>
      <c r="F1453" s="26" t="s">
        <v>35</v>
      </c>
      <c r="G1453" s="26">
        <v>4.0</v>
      </c>
      <c r="H1453" s="26">
        <v>1.0</v>
      </c>
      <c r="I1453" s="26">
        <v>127.0</v>
      </c>
      <c r="J1453" s="26">
        <v>15.0</v>
      </c>
      <c r="K1453" s="26">
        <v>15.0</v>
      </c>
      <c r="N1453" s="26" t="s">
        <v>696</v>
      </c>
    </row>
    <row r="1454">
      <c r="A1454" s="25">
        <v>43327.74336078703</v>
      </c>
      <c r="B1454" s="26" t="s">
        <v>40</v>
      </c>
      <c r="C1454" s="26">
        <v>59.0</v>
      </c>
      <c r="D1454" s="26" t="s">
        <v>27</v>
      </c>
      <c r="E1454" s="26">
        <v>253.0</v>
      </c>
      <c r="F1454" s="26" t="s">
        <v>63</v>
      </c>
      <c r="G1454" s="26">
        <v>0.0</v>
      </c>
      <c r="H1454" s="26">
        <v>0.0</v>
      </c>
      <c r="I1454" s="26">
        <v>108000.0</v>
      </c>
      <c r="J1454" s="26">
        <v>120000.0</v>
      </c>
      <c r="K1454" s="26">
        <v>25000.0</v>
      </c>
      <c r="N1454" s="26" t="s">
        <v>691</v>
      </c>
    </row>
    <row r="1455">
      <c r="A1455" s="25">
        <v>43327.74380646991</v>
      </c>
      <c r="B1455" s="26" t="s">
        <v>80</v>
      </c>
      <c r="C1455" s="26" t="s">
        <v>62</v>
      </c>
      <c r="D1455" s="26" t="s">
        <v>713</v>
      </c>
      <c r="E1455" s="26">
        <v>249.0</v>
      </c>
      <c r="F1455" s="26" t="s">
        <v>1138</v>
      </c>
      <c r="G1455" s="26">
        <v>20.0</v>
      </c>
      <c r="H1455" s="26">
        <v>0.0</v>
      </c>
      <c r="I1455" s="26">
        <v>170.0</v>
      </c>
      <c r="J1455" s="26">
        <v>180.0</v>
      </c>
      <c r="K1455" s="26">
        <v>34.0</v>
      </c>
      <c r="L1455" s="26" t="s">
        <v>1139</v>
      </c>
      <c r="N1455" s="26" t="s">
        <v>726</v>
      </c>
    </row>
    <row r="1456">
      <c r="A1456" s="25">
        <v>43327.75577158565</v>
      </c>
      <c r="B1456" s="26" t="s">
        <v>40</v>
      </c>
      <c r="C1456" s="26">
        <v>61.0</v>
      </c>
      <c r="D1456" s="26" t="s">
        <v>31</v>
      </c>
      <c r="E1456" s="26">
        <v>199.0</v>
      </c>
      <c r="F1456" s="26" t="s">
        <v>75</v>
      </c>
      <c r="G1456" s="26">
        <v>3.0</v>
      </c>
      <c r="H1456" s="26">
        <v>3.0</v>
      </c>
      <c r="I1456" s="26">
        <v>128.0</v>
      </c>
      <c r="J1456" s="26">
        <v>40.0</v>
      </c>
      <c r="K1456" s="26">
        <v>16.0</v>
      </c>
      <c r="N1456" s="26" t="s">
        <v>683</v>
      </c>
    </row>
    <row r="1457">
      <c r="A1457" s="25">
        <v>43327.76274851852</v>
      </c>
      <c r="B1457" s="26" t="s">
        <v>40</v>
      </c>
      <c r="C1457" s="26">
        <v>59.0</v>
      </c>
      <c r="D1457" s="26" t="s">
        <v>27</v>
      </c>
      <c r="E1457" s="26">
        <v>119.0</v>
      </c>
      <c r="F1457" s="26" t="s">
        <v>52</v>
      </c>
      <c r="G1457" s="26">
        <v>1.0</v>
      </c>
      <c r="H1457" s="26">
        <v>1.0</v>
      </c>
      <c r="I1457" s="26">
        <v>119.0</v>
      </c>
      <c r="K1457" s="26">
        <v>10.0</v>
      </c>
      <c r="N1457" s="26" t="s">
        <v>687</v>
      </c>
    </row>
    <row r="1458">
      <c r="A1458" s="25">
        <v>43327.77895998843</v>
      </c>
      <c r="B1458" s="26" t="s">
        <v>40</v>
      </c>
      <c r="C1458" s="26">
        <v>60.0</v>
      </c>
      <c r="D1458" s="26" t="s">
        <v>31</v>
      </c>
      <c r="E1458" s="26">
        <v>139.0</v>
      </c>
      <c r="F1458" s="26" t="s">
        <v>52</v>
      </c>
      <c r="G1458" s="26">
        <v>1.0</v>
      </c>
      <c r="H1458" s="26">
        <v>1.0</v>
      </c>
      <c r="I1458" s="26">
        <v>120.0</v>
      </c>
      <c r="J1458" s="26">
        <v>5.0</v>
      </c>
      <c r="K1458" s="26">
        <v>14.0</v>
      </c>
      <c r="N1458" s="26" t="s">
        <v>708</v>
      </c>
    </row>
    <row r="1459">
      <c r="A1459" s="25">
        <v>43327.784256377316</v>
      </c>
      <c r="B1459" s="26" t="s">
        <v>802</v>
      </c>
      <c r="C1459" s="26" t="s">
        <v>891</v>
      </c>
      <c r="D1459" s="26" t="s">
        <v>31</v>
      </c>
      <c r="E1459" s="26">
        <v>193.0</v>
      </c>
      <c r="F1459" s="26" t="s">
        <v>35</v>
      </c>
      <c r="G1459" s="26">
        <v>10.0</v>
      </c>
      <c r="H1459" s="26">
        <v>2.0</v>
      </c>
      <c r="I1459" s="26">
        <v>145.0</v>
      </c>
      <c r="J1459" s="26">
        <v>33.0</v>
      </c>
      <c r="K1459" s="26">
        <v>15.0</v>
      </c>
      <c r="N1459" s="26" t="s">
        <v>683</v>
      </c>
    </row>
    <row r="1460">
      <c r="A1460" s="25">
        <v>43327.79479947917</v>
      </c>
      <c r="B1460" s="26" t="s">
        <v>268</v>
      </c>
      <c r="C1460" s="26" t="s">
        <v>606</v>
      </c>
      <c r="D1460" s="26" t="s">
        <v>31</v>
      </c>
      <c r="E1460" s="26">
        <v>130.0</v>
      </c>
      <c r="F1460" s="26" t="s">
        <v>1140</v>
      </c>
      <c r="G1460" s="26">
        <v>15.0</v>
      </c>
      <c r="H1460" s="26">
        <v>1.0</v>
      </c>
      <c r="I1460" s="26">
        <v>115.0</v>
      </c>
      <c r="K1460" s="26">
        <v>15.0</v>
      </c>
      <c r="L1460" s="26" t="s">
        <v>1141</v>
      </c>
      <c r="N1460" s="26" t="s">
        <v>708</v>
      </c>
    </row>
    <row r="1461">
      <c r="A1461" s="25">
        <v>43327.809235532404</v>
      </c>
      <c r="B1461" s="26" t="s">
        <v>146</v>
      </c>
      <c r="C1461" s="26" t="s">
        <v>737</v>
      </c>
      <c r="D1461" s="26" t="s">
        <v>31</v>
      </c>
      <c r="E1461" s="26">
        <v>511.0</v>
      </c>
      <c r="F1461" s="26" t="s">
        <v>491</v>
      </c>
      <c r="G1461" s="26">
        <v>12.0</v>
      </c>
      <c r="H1461" s="26">
        <v>3.0</v>
      </c>
      <c r="I1461" s="26">
        <v>220.0</v>
      </c>
      <c r="J1461" s="26">
        <v>251.0</v>
      </c>
      <c r="K1461" s="26">
        <v>40.0</v>
      </c>
      <c r="N1461" s="26" t="s">
        <v>691</v>
      </c>
    </row>
    <row r="1462">
      <c r="A1462" s="25">
        <v>43327.81451510417</v>
      </c>
      <c r="B1462" s="26" t="s">
        <v>40</v>
      </c>
      <c r="C1462" s="26">
        <v>62.0</v>
      </c>
      <c r="D1462" s="26" t="s">
        <v>713</v>
      </c>
      <c r="E1462" s="26">
        <v>195.0</v>
      </c>
      <c r="F1462" s="26" t="s">
        <v>758</v>
      </c>
      <c r="G1462" s="26">
        <v>5.0</v>
      </c>
      <c r="H1462" s="26">
        <v>2.0</v>
      </c>
      <c r="I1462" s="26">
        <v>148.0</v>
      </c>
      <c r="J1462" s="26">
        <v>22.0</v>
      </c>
      <c r="K1462" s="26">
        <v>25.0</v>
      </c>
      <c r="L1462" s="26" t="s">
        <v>1142</v>
      </c>
      <c r="N1462" s="26" t="s">
        <v>708</v>
      </c>
    </row>
    <row r="1463">
      <c r="A1463" s="25">
        <v>43327.83138870371</v>
      </c>
      <c r="B1463" s="26" t="s">
        <v>40</v>
      </c>
      <c r="C1463" s="26">
        <v>59.0</v>
      </c>
      <c r="D1463" s="26" t="s">
        <v>31</v>
      </c>
      <c r="E1463" s="26">
        <v>140.0</v>
      </c>
      <c r="F1463" s="26" t="s">
        <v>52</v>
      </c>
      <c r="G1463" s="26">
        <v>0.0</v>
      </c>
      <c r="H1463" s="26">
        <v>0.0</v>
      </c>
      <c r="I1463" s="26">
        <v>107000.0</v>
      </c>
      <c r="J1463" s="26">
        <v>5000.0</v>
      </c>
      <c r="K1463" s="26">
        <v>28000.0</v>
      </c>
      <c r="N1463" s="26" t="s">
        <v>685</v>
      </c>
    </row>
    <row r="1464">
      <c r="A1464" s="25">
        <v>43327.833911932874</v>
      </c>
      <c r="B1464" s="26" t="s">
        <v>40</v>
      </c>
      <c r="C1464" s="26">
        <v>60.0</v>
      </c>
      <c r="D1464" s="26" t="s">
        <v>31</v>
      </c>
      <c r="E1464" s="26">
        <v>138.0</v>
      </c>
      <c r="F1464" s="26" t="s">
        <v>75</v>
      </c>
      <c r="G1464" s="26">
        <v>2.0</v>
      </c>
      <c r="H1464" s="26">
        <v>2.0</v>
      </c>
      <c r="I1464" s="26">
        <v>121.0</v>
      </c>
      <c r="J1464" s="26">
        <v>4.0</v>
      </c>
      <c r="K1464" s="26">
        <v>13.0</v>
      </c>
      <c r="N1464" s="26" t="s">
        <v>685</v>
      </c>
    </row>
    <row r="1465">
      <c r="A1465" s="25">
        <v>43327.84624783565</v>
      </c>
      <c r="B1465" s="26" t="s">
        <v>80</v>
      </c>
      <c r="C1465" s="26" t="s">
        <v>73</v>
      </c>
      <c r="D1465" s="26" t="s">
        <v>31</v>
      </c>
      <c r="E1465" s="26">
        <v>215.0</v>
      </c>
      <c r="F1465" s="26" t="s">
        <v>51</v>
      </c>
      <c r="G1465" s="26">
        <v>2.0</v>
      </c>
      <c r="H1465" s="26">
        <v>2.0</v>
      </c>
      <c r="I1465" s="26">
        <v>132000.0</v>
      </c>
      <c r="J1465" s="26">
        <v>55000.0</v>
      </c>
      <c r="K1465" s="26">
        <v>23000.0</v>
      </c>
    </row>
    <row r="1466">
      <c r="A1466" s="25">
        <v>43327.846478645835</v>
      </c>
      <c r="B1466" s="26" t="s">
        <v>48</v>
      </c>
      <c r="C1466" s="26" t="s">
        <v>70</v>
      </c>
      <c r="D1466" s="26" t="s">
        <v>31</v>
      </c>
      <c r="E1466" s="26">
        <v>614.0</v>
      </c>
      <c r="F1466" s="26" t="s">
        <v>1143</v>
      </c>
      <c r="G1466" s="26">
        <v>12.0</v>
      </c>
      <c r="H1466" s="26">
        <v>1.0</v>
      </c>
      <c r="I1466" s="26">
        <v>220.0</v>
      </c>
      <c r="J1466" s="26">
        <v>1400.0</v>
      </c>
      <c r="K1466" s="26">
        <v>44.0</v>
      </c>
      <c r="N1466" s="26" t="s">
        <v>691</v>
      </c>
    </row>
    <row r="1467">
      <c r="A1467" s="25">
        <v>43327.849204432874</v>
      </c>
      <c r="B1467" s="26" t="s">
        <v>33</v>
      </c>
      <c r="C1467" s="26" t="s">
        <v>1061</v>
      </c>
      <c r="D1467" s="26" t="s">
        <v>41</v>
      </c>
      <c r="E1467" s="26">
        <v>380.0</v>
      </c>
      <c r="F1467" s="26" t="s">
        <v>1144</v>
      </c>
      <c r="G1467" s="26">
        <v>20.0</v>
      </c>
      <c r="H1467" s="26">
        <v>1.0</v>
      </c>
      <c r="I1467" s="26">
        <v>160.0</v>
      </c>
      <c r="J1467" s="26">
        <v>120.0</v>
      </c>
      <c r="K1467" s="26">
        <v>100.0</v>
      </c>
      <c r="N1467" s="26" t="s">
        <v>685</v>
      </c>
    </row>
    <row r="1468">
      <c r="A1468" s="25">
        <v>43327.851702569445</v>
      </c>
      <c r="B1468" s="26" t="s">
        <v>80</v>
      </c>
      <c r="C1468" s="26" t="s">
        <v>176</v>
      </c>
      <c r="D1468" s="26" t="s">
        <v>31</v>
      </c>
      <c r="E1468" s="26">
        <v>350.0</v>
      </c>
      <c r="F1468" s="26" t="s">
        <v>225</v>
      </c>
      <c r="G1468" s="26">
        <v>5.0</v>
      </c>
      <c r="H1468" s="26">
        <v>5.0</v>
      </c>
      <c r="I1468" s="26">
        <v>180.0</v>
      </c>
      <c r="J1468" s="26">
        <v>150.0</v>
      </c>
      <c r="K1468" s="26">
        <v>30.0</v>
      </c>
      <c r="N1468" s="26" t="s">
        <v>685</v>
      </c>
    </row>
    <row r="1469">
      <c r="A1469" s="25">
        <v>43327.86014238426</v>
      </c>
      <c r="B1469" s="26" t="s">
        <v>380</v>
      </c>
      <c r="C1469" s="26" t="s">
        <v>455</v>
      </c>
      <c r="D1469" s="26" t="s">
        <v>711</v>
      </c>
      <c r="E1469" s="26">
        <v>147.0</v>
      </c>
      <c r="F1469" s="26" t="s">
        <v>32</v>
      </c>
      <c r="G1469" s="26">
        <v>1.0</v>
      </c>
      <c r="H1469" s="26">
        <v>0.0</v>
      </c>
      <c r="I1469" s="26">
        <v>115.0</v>
      </c>
      <c r="J1469" s="26">
        <v>23.0</v>
      </c>
      <c r="N1469" s="26" t="s">
        <v>691</v>
      </c>
    </row>
    <row r="1470">
      <c r="A1470" s="25">
        <v>43327.87123584491</v>
      </c>
      <c r="B1470" s="26" t="s">
        <v>25</v>
      </c>
      <c r="C1470" s="26" t="s">
        <v>1145</v>
      </c>
      <c r="D1470" s="26" t="s">
        <v>31</v>
      </c>
      <c r="E1470" s="26">
        <v>138.0</v>
      </c>
      <c r="F1470" s="26" t="s">
        <v>1146</v>
      </c>
      <c r="G1470" s="26">
        <v>0.0</v>
      </c>
      <c r="H1470" s="26">
        <v>0.0</v>
      </c>
      <c r="I1470" s="26">
        <v>125.0</v>
      </c>
      <c r="J1470" s="26">
        <v>12500.0</v>
      </c>
      <c r="K1470" s="26">
        <v>15000.0</v>
      </c>
      <c r="N1470" s="26" t="s">
        <v>696</v>
      </c>
    </row>
    <row r="1471">
      <c r="A1471" s="25">
        <v>43327.87701188657</v>
      </c>
      <c r="B1471" s="26" t="s">
        <v>40</v>
      </c>
      <c r="C1471" s="26">
        <v>59.0</v>
      </c>
      <c r="D1471" s="26" t="s">
        <v>27</v>
      </c>
      <c r="E1471" s="26">
        <v>135.0</v>
      </c>
      <c r="F1471" s="26" t="s">
        <v>88</v>
      </c>
      <c r="G1471" s="26">
        <v>2.0</v>
      </c>
      <c r="H1471" s="26">
        <v>2.0</v>
      </c>
      <c r="I1471" s="26">
        <v>118.0</v>
      </c>
      <c r="J1471" s="26">
        <v>3500.0</v>
      </c>
      <c r="K1471" s="26">
        <v>15000.0</v>
      </c>
      <c r="N1471" s="26" t="s">
        <v>1147</v>
      </c>
    </row>
    <row r="1472">
      <c r="A1472" s="25">
        <v>43327.90999857639</v>
      </c>
      <c r="B1472" s="26" t="s">
        <v>40</v>
      </c>
      <c r="C1472" s="26">
        <v>61.0</v>
      </c>
      <c r="D1472" s="26" t="s">
        <v>31</v>
      </c>
      <c r="E1472" s="26">
        <v>100.0</v>
      </c>
      <c r="F1472" s="26" t="s">
        <v>1148</v>
      </c>
      <c r="G1472" s="26">
        <v>1.0</v>
      </c>
      <c r="H1472" s="26">
        <v>1.0</v>
      </c>
      <c r="N1472" s="26" t="s">
        <v>687</v>
      </c>
    </row>
    <row r="1473">
      <c r="A1473" s="25">
        <v>43327.93110802083</v>
      </c>
      <c r="B1473" s="26" t="s">
        <v>40</v>
      </c>
      <c r="C1473" s="26">
        <v>61.0</v>
      </c>
      <c r="D1473" s="26" t="s">
        <v>27</v>
      </c>
      <c r="E1473" s="26">
        <v>115.0</v>
      </c>
      <c r="F1473" s="26" t="s">
        <v>75</v>
      </c>
      <c r="G1473" s="26">
        <v>4.0</v>
      </c>
      <c r="H1473" s="26">
        <v>4.0</v>
      </c>
      <c r="I1473" s="26">
        <v>100.0</v>
      </c>
      <c r="J1473" s="26">
        <v>5.0</v>
      </c>
      <c r="K1473" s="26">
        <v>10.0</v>
      </c>
      <c r="N1473" s="26" t="s">
        <v>1149</v>
      </c>
    </row>
    <row r="1474">
      <c r="A1474" s="25">
        <v>43327.96506858796</v>
      </c>
      <c r="B1474" s="26" t="s">
        <v>40</v>
      </c>
      <c r="C1474" s="26">
        <v>60.0</v>
      </c>
      <c r="D1474" s="26" t="s">
        <v>31</v>
      </c>
      <c r="E1474" s="26">
        <v>94.0</v>
      </c>
      <c r="F1474" s="26" t="s">
        <v>44</v>
      </c>
      <c r="G1474" s="26">
        <v>1.0</v>
      </c>
      <c r="H1474" s="26">
        <v>1.0</v>
      </c>
      <c r="I1474" s="26">
        <v>94.0</v>
      </c>
      <c r="J1474" s="26">
        <v>6.0</v>
      </c>
      <c r="K1474" s="26">
        <v>10.0</v>
      </c>
      <c r="N1474" s="26" t="s">
        <v>685</v>
      </c>
    </row>
    <row r="1475">
      <c r="A1475" s="25">
        <v>43327.96921982639</v>
      </c>
      <c r="B1475" s="26" t="s">
        <v>80</v>
      </c>
      <c r="C1475" s="26" t="s">
        <v>430</v>
      </c>
      <c r="D1475" s="26" t="s">
        <v>31</v>
      </c>
      <c r="E1475" s="26">
        <v>374.0</v>
      </c>
      <c r="F1475" s="26" t="s">
        <v>199</v>
      </c>
      <c r="G1475" s="26">
        <v>8.0</v>
      </c>
      <c r="H1475" s="26">
        <v>1.0</v>
      </c>
      <c r="I1475" s="26">
        <v>164.0</v>
      </c>
      <c r="J1475" s="26">
        <v>160.0</v>
      </c>
      <c r="K1475" s="26">
        <v>50.0</v>
      </c>
      <c r="N1475" s="26" t="s">
        <v>683</v>
      </c>
    </row>
    <row r="1476">
      <c r="A1476" s="25">
        <v>43327.97173103009</v>
      </c>
      <c r="B1476" s="26" t="s">
        <v>40</v>
      </c>
      <c r="C1476" s="26">
        <v>60.0</v>
      </c>
      <c r="D1476" s="26" t="s">
        <v>31</v>
      </c>
      <c r="E1476" s="26">
        <v>131.0</v>
      </c>
      <c r="F1476" s="26" t="s">
        <v>75</v>
      </c>
      <c r="G1476" s="26">
        <v>1.0</v>
      </c>
      <c r="H1476" s="26">
        <v>1.0</v>
      </c>
      <c r="I1476" s="26">
        <v>121.0</v>
      </c>
      <c r="J1476" s="26">
        <v>1.0</v>
      </c>
      <c r="K1476" s="26">
        <v>10.0</v>
      </c>
      <c r="N1476" s="26" t="s">
        <v>685</v>
      </c>
    </row>
    <row r="1477">
      <c r="A1477" s="25">
        <v>43327.97813392361</v>
      </c>
      <c r="B1477" s="26" t="s">
        <v>124</v>
      </c>
      <c r="C1477" s="26" t="s">
        <v>737</v>
      </c>
      <c r="D1477" s="26" t="s">
        <v>31</v>
      </c>
      <c r="E1477" s="26">
        <v>302.0</v>
      </c>
      <c r="F1477" s="26" t="s">
        <v>51</v>
      </c>
      <c r="G1477" s="26">
        <v>10.0</v>
      </c>
      <c r="H1477" s="26">
        <v>5.0</v>
      </c>
      <c r="I1477" s="26">
        <v>168.0</v>
      </c>
      <c r="J1477" s="26">
        <v>100.0</v>
      </c>
      <c r="K1477" s="26">
        <v>34.0</v>
      </c>
      <c r="N1477" s="26" t="s">
        <v>683</v>
      </c>
    </row>
    <row r="1478">
      <c r="A1478" s="25">
        <v>43327.99923716435</v>
      </c>
      <c r="B1478" s="26" t="s">
        <v>40</v>
      </c>
      <c r="C1478" s="26">
        <v>62.0</v>
      </c>
      <c r="D1478" s="26" t="s">
        <v>31</v>
      </c>
      <c r="E1478" s="26">
        <v>229.0</v>
      </c>
      <c r="F1478" s="26" t="s">
        <v>75</v>
      </c>
      <c r="G1478" s="26">
        <v>3.0</v>
      </c>
      <c r="H1478" s="26">
        <v>3.0</v>
      </c>
      <c r="I1478" s="26">
        <v>145.0</v>
      </c>
      <c r="J1478" s="26">
        <v>63.0</v>
      </c>
      <c r="K1478" s="26">
        <v>21.0</v>
      </c>
      <c r="N1478" s="26" t="s">
        <v>1150</v>
      </c>
    </row>
    <row r="1479">
      <c r="A1479" s="25">
        <v>43328.006419259254</v>
      </c>
      <c r="B1479" s="26" t="s">
        <v>40</v>
      </c>
      <c r="C1479" s="26">
        <v>61.0</v>
      </c>
      <c r="D1479" s="26" t="s">
        <v>31</v>
      </c>
      <c r="E1479" s="26">
        <v>196.0</v>
      </c>
      <c r="F1479" s="26" t="s">
        <v>75</v>
      </c>
      <c r="G1479" s="26">
        <v>3.0</v>
      </c>
      <c r="H1479" s="26">
        <v>3.0</v>
      </c>
      <c r="I1479" s="26">
        <v>133.0</v>
      </c>
      <c r="J1479" s="26">
        <v>48.0</v>
      </c>
      <c r="K1479" s="26">
        <v>15.0</v>
      </c>
      <c r="N1479" s="26" t="s">
        <v>685</v>
      </c>
    </row>
    <row r="1480">
      <c r="A1480" s="25">
        <v>43328.07440197917</v>
      </c>
      <c r="B1480" s="26" t="s">
        <v>119</v>
      </c>
      <c r="C1480" s="26" t="s">
        <v>1151</v>
      </c>
      <c r="D1480" s="26" t="s">
        <v>31</v>
      </c>
      <c r="E1480" s="26">
        <v>162.0</v>
      </c>
      <c r="F1480" s="26" t="s">
        <v>72</v>
      </c>
      <c r="G1480" s="26">
        <v>2.0</v>
      </c>
      <c r="H1480" s="26">
        <v>2.0</v>
      </c>
      <c r="N1480" s="26" t="s">
        <v>704</v>
      </c>
    </row>
    <row r="1481">
      <c r="A1481" s="25">
        <v>43328.360282222224</v>
      </c>
      <c r="B1481" s="26" t="s">
        <v>33</v>
      </c>
      <c r="C1481" s="26" t="s">
        <v>43</v>
      </c>
      <c r="D1481" s="26" t="s">
        <v>31</v>
      </c>
      <c r="E1481" s="26">
        <v>240.0</v>
      </c>
      <c r="F1481" s="26" t="s">
        <v>63</v>
      </c>
      <c r="G1481" s="26">
        <v>2.0</v>
      </c>
      <c r="H1481" s="26">
        <v>0.0</v>
      </c>
      <c r="I1481" s="26">
        <v>156.0</v>
      </c>
      <c r="J1481" s="26">
        <v>9720.0</v>
      </c>
      <c r="K1481" s="26">
        <v>77.0</v>
      </c>
      <c r="N1481" s="26" t="s">
        <v>704</v>
      </c>
    </row>
    <row r="1482">
      <c r="A1482" s="25">
        <v>43328.36926759259</v>
      </c>
      <c r="B1482" s="26" t="s">
        <v>29</v>
      </c>
      <c r="C1482" s="26" t="s">
        <v>764</v>
      </c>
      <c r="D1482" s="26" t="s">
        <v>31</v>
      </c>
      <c r="E1482" s="26">
        <v>169.0</v>
      </c>
      <c r="F1482" s="26" t="s">
        <v>86</v>
      </c>
      <c r="G1482" s="26">
        <v>3.0</v>
      </c>
      <c r="H1482" s="26">
        <v>2.0</v>
      </c>
      <c r="I1482" s="26">
        <v>135.0</v>
      </c>
      <c r="J1482" s="26">
        <v>20.0</v>
      </c>
      <c r="K1482" s="26">
        <v>14.0</v>
      </c>
      <c r="L1482" s="26" t="s">
        <v>1152</v>
      </c>
      <c r="N1482" s="26" t="s">
        <v>691</v>
      </c>
    </row>
    <row r="1483">
      <c r="A1483" s="25">
        <v>43328.41639402778</v>
      </c>
      <c r="B1483" s="26" t="s">
        <v>119</v>
      </c>
      <c r="C1483" s="26" t="s">
        <v>120</v>
      </c>
      <c r="D1483" s="26" t="s">
        <v>31</v>
      </c>
      <c r="E1483" s="26">
        <v>250.0</v>
      </c>
      <c r="F1483" s="26" t="s">
        <v>32</v>
      </c>
      <c r="G1483" s="26">
        <v>10.0</v>
      </c>
      <c r="H1483" s="26">
        <v>5.0</v>
      </c>
      <c r="I1483" s="26">
        <v>180.0</v>
      </c>
      <c r="J1483" s="26">
        <v>45.0</v>
      </c>
      <c r="K1483" s="26">
        <v>27.0</v>
      </c>
      <c r="N1483" s="26" t="s">
        <v>683</v>
      </c>
    </row>
    <row r="1484">
      <c r="A1484" s="25">
        <v>43328.418913194444</v>
      </c>
      <c r="B1484" s="26" t="s">
        <v>40</v>
      </c>
      <c r="C1484" s="26">
        <v>60.0</v>
      </c>
      <c r="D1484" s="26" t="s">
        <v>27</v>
      </c>
      <c r="E1484" s="26">
        <v>118.0</v>
      </c>
      <c r="F1484" s="26" t="s">
        <v>52</v>
      </c>
      <c r="G1484" s="26">
        <v>1.0</v>
      </c>
      <c r="H1484" s="26">
        <v>1.0</v>
      </c>
      <c r="I1484" s="26">
        <v>118.0</v>
      </c>
      <c r="J1484" s="26">
        <v>4.0</v>
      </c>
      <c r="K1484" s="26">
        <v>14.0</v>
      </c>
      <c r="N1484" s="26" t="s">
        <v>1153</v>
      </c>
    </row>
    <row r="1485">
      <c r="A1485" s="25">
        <v>43328.47034946759</v>
      </c>
      <c r="B1485" s="26" t="s">
        <v>40</v>
      </c>
      <c r="C1485" s="26">
        <v>61.0</v>
      </c>
      <c r="D1485" s="26" t="s">
        <v>31</v>
      </c>
      <c r="E1485" s="26">
        <v>173.0</v>
      </c>
      <c r="F1485" s="26" t="s">
        <v>75</v>
      </c>
      <c r="G1485" s="26">
        <v>2.0</v>
      </c>
      <c r="H1485" s="26">
        <v>2.0</v>
      </c>
      <c r="I1485" s="26">
        <v>125.0</v>
      </c>
      <c r="J1485" s="26">
        <v>28.0</v>
      </c>
      <c r="K1485" s="26">
        <v>20.0</v>
      </c>
      <c r="N1485" s="26" t="s">
        <v>685</v>
      </c>
    </row>
    <row r="1486">
      <c r="A1486" s="25">
        <v>43328.48371417824</v>
      </c>
      <c r="B1486" s="26" t="s">
        <v>1154</v>
      </c>
      <c r="C1486" s="26" t="s">
        <v>1155</v>
      </c>
      <c r="D1486" s="26" t="s">
        <v>31</v>
      </c>
      <c r="E1486" s="26">
        <v>60.0</v>
      </c>
      <c r="F1486" s="26" t="s">
        <v>161</v>
      </c>
      <c r="G1486" s="26">
        <v>5.0</v>
      </c>
      <c r="H1486" s="26">
        <v>1.0</v>
      </c>
      <c r="N1486" s="26" t="s">
        <v>696</v>
      </c>
    </row>
    <row r="1487">
      <c r="A1487" s="25">
        <v>43328.48543699074</v>
      </c>
      <c r="B1487" s="26" t="s">
        <v>1156</v>
      </c>
      <c r="C1487" s="26" t="s">
        <v>1157</v>
      </c>
      <c r="D1487" s="26" t="s">
        <v>31</v>
      </c>
      <c r="E1487" s="26">
        <v>120.0</v>
      </c>
      <c r="F1487" s="26" t="s">
        <v>161</v>
      </c>
      <c r="G1487" s="26">
        <v>10.0</v>
      </c>
      <c r="H1487" s="26">
        <v>1.0</v>
      </c>
      <c r="N1487" s="26" t="s">
        <v>696</v>
      </c>
    </row>
    <row r="1488">
      <c r="A1488" s="25">
        <v>43328.495530127315</v>
      </c>
      <c r="B1488" s="26" t="s">
        <v>263</v>
      </c>
      <c r="C1488" s="26" t="s">
        <v>749</v>
      </c>
      <c r="D1488" s="26" t="s">
        <v>31</v>
      </c>
      <c r="E1488" s="26">
        <v>245.0</v>
      </c>
      <c r="F1488" s="26" t="s">
        <v>63</v>
      </c>
      <c r="G1488" s="26">
        <v>5.0</v>
      </c>
      <c r="H1488" s="26">
        <v>1.0</v>
      </c>
      <c r="I1488" s="26">
        <v>150.0</v>
      </c>
      <c r="J1488" s="26">
        <v>85.0</v>
      </c>
      <c r="K1488" s="26">
        <v>15.0</v>
      </c>
      <c r="N1488" s="26" t="s">
        <v>704</v>
      </c>
    </row>
    <row r="1489">
      <c r="A1489" s="25">
        <v>43328.50140026621</v>
      </c>
      <c r="B1489" s="26" t="s">
        <v>40</v>
      </c>
      <c r="C1489" s="26">
        <v>59.0</v>
      </c>
      <c r="D1489" s="26" t="s">
        <v>27</v>
      </c>
      <c r="E1489" s="26">
        <v>107.0</v>
      </c>
      <c r="F1489" s="26" t="s">
        <v>75</v>
      </c>
      <c r="G1489" s="26">
        <v>1.0</v>
      </c>
      <c r="H1489" s="26">
        <v>0.0</v>
      </c>
      <c r="I1489" s="26">
        <v>107.0</v>
      </c>
      <c r="J1489" s="26">
        <v>70.0</v>
      </c>
      <c r="K1489" s="26">
        <v>35.0</v>
      </c>
      <c r="N1489" s="26" t="s">
        <v>691</v>
      </c>
    </row>
    <row r="1490">
      <c r="A1490" s="25">
        <v>43328.51084378472</v>
      </c>
      <c r="B1490" s="26" t="s">
        <v>40</v>
      </c>
      <c r="C1490" s="26">
        <v>60.0</v>
      </c>
      <c r="D1490" s="26" t="s">
        <v>31</v>
      </c>
      <c r="E1490" s="26">
        <v>176.0</v>
      </c>
      <c r="F1490" s="26" t="s">
        <v>75</v>
      </c>
      <c r="G1490" s="26">
        <v>2.0</v>
      </c>
      <c r="H1490" s="26">
        <v>2.0</v>
      </c>
      <c r="I1490" s="26">
        <v>120.0</v>
      </c>
      <c r="J1490" s="26">
        <v>34.0</v>
      </c>
      <c r="K1490" s="26">
        <v>22.0</v>
      </c>
      <c r="N1490" s="26" t="s">
        <v>685</v>
      </c>
    </row>
    <row r="1491">
      <c r="A1491" s="25">
        <v>43328.51330324074</v>
      </c>
      <c r="B1491" s="26" t="s">
        <v>40</v>
      </c>
      <c r="C1491" s="26">
        <v>62.0</v>
      </c>
      <c r="D1491" s="26" t="s">
        <v>31</v>
      </c>
      <c r="E1491" s="26">
        <v>154.0</v>
      </c>
      <c r="F1491" s="26" t="s">
        <v>56</v>
      </c>
      <c r="G1491" s="26">
        <v>12.0</v>
      </c>
      <c r="H1491" s="26">
        <v>9.0</v>
      </c>
      <c r="I1491" s="26">
        <v>140.0</v>
      </c>
      <c r="J1491" s="26">
        <v>6600.0</v>
      </c>
      <c r="K1491" s="26">
        <v>6400.0</v>
      </c>
      <c r="N1491" s="26" t="s">
        <v>704</v>
      </c>
    </row>
    <row r="1492">
      <c r="A1492" s="25">
        <v>43328.55023396991</v>
      </c>
      <c r="B1492" s="26" t="s">
        <v>1158</v>
      </c>
      <c r="C1492" s="26" t="s">
        <v>1027</v>
      </c>
      <c r="D1492" s="26" t="s">
        <v>27</v>
      </c>
      <c r="E1492" s="26">
        <v>120.0</v>
      </c>
      <c r="F1492" s="26" t="s">
        <v>140</v>
      </c>
      <c r="G1492" s="26">
        <v>3.0</v>
      </c>
      <c r="H1492" s="26">
        <v>1.5</v>
      </c>
      <c r="I1492" s="26">
        <v>120.0</v>
      </c>
      <c r="N1492" s="26" t="s">
        <v>683</v>
      </c>
    </row>
    <row r="1493">
      <c r="A1493" s="25">
        <v>43328.561918125</v>
      </c>
      <c r="B1493" s="26" t="s">
        <v>40</v>
      </c>
      <c r="C1493" s="26">
        <v>64.0</v>
      </c>
      <c r="D1493" s="26" t="s">
        <v>27</v>
      </c>
      <c r="E1493" s="26">
        <v>239.0</v>
      </c>
      <c r="F1493" s="26" t="s">
        <v>75</v>
      </c>
      <c r="G1493" s="26">
        <v>25.0</v>
      </c>
      <c r="H1493" s="26">
        <v>5.0</v>
      </c>
      <c r="I1493" s="26">
        <v>188.0</v>
      </c>
      <c r="J1493" s="26">
        <v>24.0</v>
      </c>
      <c r="K1493" s="26">
        <v>27.0</v>
      </c>
      <c r="N1493" s="26" t="s">
        <v>715</v>
      </c>
    </row>
    <row r="1494">
      <c r="A1494" s="25">
        <v>43328.65168530092</v>
      </c>
      <c r="B1494" s="26" t="s">
        <v>33</v>
      </c>
      <c r="C1494" s="26" t="s">
        <v>76</v>
      </c>
      <c r="D1494" s="26" t="s">
        <v>31</v>
      </c>
      <c r="E1494" s="26">
        <v>196.0</v>
      </c>
      <c r="F1494" s="26" t="s">
        <v>35</v>
      </c>
      <c r="G1494" s="26">
        <v>4.0</v>
      </c>
      <c r="H1494" s="26">
        <v>4.0</v>
      </c>
      <c r="I1494" s="26">
        <v>134.0</v>
      </c>
      <c r="J1494" s="26">
        <v>62.0</v>
      </c>
      <c r="N1494" s="26" t="s">
        <v>704</v>
      </c>
    </row>
    <row r="1495">
      <c r="A1495" s="25">
        <v>43328.65322094907</v>
      </c>
      <c r="B1495" s="26" t="s">
        <v>33</v>
      </c>
      <c r="C1495" s="26" t="s">
        <v>34</v>
      </c>
      <c r="D1495" s="26" t="s">
        <v>27</v>
      </c>
      <c r="E1495" s="26">
        <v>275.0</v>
      </c>
      <c r="F1495" s="26" t="s">
        <v>63</v>
      </c>
      <c r="G1495" s="26">
        <v>10.0</v>
      </c>
      <c r="H1495" s="26">
        <v>2.0</v>
      </c>
      <c r="N1495" s="26" t="s">
        <v>1088</v>
      </c>
    </row>
    <row r="1496">
      <c r="A1496" s="25">
        <v>43328.66113894676</v>
      </c>
      <c r="B1496" s="26" t="s">
        <v>33</v>
      </c>
      <c r="C1496" s="26" t="s">
        <v>62</v>
      </c>
      <c r="D1496" s="26" t="s">
        <v>27</v>
      </c>
      <c r="E1496" s="26">
        <v>265.0</v>
      </c>
      <c r="F1496" s="26" t="s">
        <v>307</v>
      </c>
      <c r="G1496" s="26">
        <v>9.0</v>
      </c>
      <c r="H1496" s="26">
        <v>2.0</v>
      </c>
      <c r="I1496" s="26">
        <v>140.0</v>
      </c>
      <c r="J1496" s="26">
        <v>125.0</v>
      </c>
      <c r="N1496" s="26" t="s">
        <v>683</v>
      </c>
    </row>
    <row r="1497">
      <c r="A1497" s="25">
        <v>43328.696271967594</v>
      </c>
      <c r="B1497" s="26" t="s">
        <v>40</v>
      </c>
      <c r="C1497" s="26">
        <v>63.0</v>
      </c>
      <c r="D1497" s="26" t="s">
        <v>31</v>
      </c>
      <c r="E1497" s="26">
        <v>220.0</v>
      </c>
      <c r="F1497" s="26" t="s">
        <v>758</v>
      </c>
      <c r="G1497" s="26">
        <v>7.0</v>
      </c>
      <c r="H1497" s="26">
        <v>4.0</v>
      </c>
      <c r="I1497" s="26">
        <v>156.0</v>
      </c>
      <c r="J1497" s="26">
        <v>20.0</v>
      </c>
      <c r="K1497" s="26">
        <v>23.0</v>
      </c>
      <c r="N1497" s="26" t="s">
        <v>708</v>
      </c>
    </row>
    <row r="1498">
      <c r="A1498" s="25">
        <v>43328.71679871528</v>
      </c>
      <c r="B1498" s="26" t="s">
        <v>40</v>
      </c>
      <c r="C1498" s="26">
        <v>69.0</v>
      </c>
      <c r="D1498" s="26" t="s">
        <v>31</v>
      </c>
      <c r="E1498" s="26">
        <v>165.0</v>
      </c>
      <c r="F1498" s="26" t="s">
        <v>1159</v>
      </c>
      <c r="G1498" s="26">
        <v>2.0</v>
      </c>
      <c r="H1498" s="26">
        <v>2.0</v>
      </c>
      <c r="I1498" s="26">
        <v>127.0</v>
      </c>
      <c r="J1498" s="26">
        <v>3000.0</v>
      </c>
      <c r="K1498" s="26">
        <v>10.0</v>
      </c>
      <c r="N1498" s="26" t="s">
        <v>683</v>
      </c>
    </row>
    <row r="1499">
      <c r="A1499" s="25">
        <v>43328.728619375004</v>
      </c>
      <c r="B1499" s="26" t="s">
        <v>40</v>
      </c>
      <c r="C1499" s="26">
        <v>60.0</v>
      </c>
      <c r="D1499" s="26" t="s">
        <v>31</v>
      </c>
      <c r="E1499" s="26">
        <v>177.0</v>
      </c>
      <c r="F1499" s="26" t="s">
        <v>75</v>
      </c>
      <c r="G1499" s="26">
        <v>2.0</v>
      </c>
      <c r="H1499" s="26">
        <v>1.5</v>
      </c>
      <c r="I1499" s="26">
        <v>123.0</v>
      </c>
      <c r="J1499" s="26">
        <v>32.0</v>
      </c>
      <c r="K1499" s="26">
        <v>22.0</v>
      </c>
      <c r="N1499" s="26" t="s">
        <v>781</v>
      </c>
    </row>
    <row r="1500">
      <c r="A1500" s="25">
        <v>43328.7359137037</v>
      </c>
      <c r="B1500" s="26" t="s">
        <v>40</v>
      </c>
      <c r="C1500" s="26">
        <v>61.0</v>
      </c>
      <c r="D1500" s="26" t="s">
        <v>31</v>
      </c>
      <c r="E1500" s="26">
        <v>160.0</v>
      </c>
      <c r="F1500" s="26" t="s">
        <v>75</v>
      </c>
      <c r="G1500" s="26">
        <v>3.0</v>
      </c>
      <c r="H1500" s="26">
        <v>3.0</v>
      </c>
      <c r="I1500" s="26">
        <v>133.0</v>
      </c>
      <c r="J1500" s="26">
        <v>8.0</v>
      </c>
      <c r="K1500" s="26">
        <v>15.0</v>
      </c>
      <c r="N1500" s="26" t="s">
        <v>683</v>
      </c>
    </row>
    <row r="1501">
      <c r="A1501" s="25">
        <v>43328.78673446759</v>
      </c>
      <c r="B1501" s="26" t="s">
        <v>1160</v>
      </c>
      <c r="C1501" s="26" t="s">
        <v>591</v>
      </c>
      <c r="D1501" s="26" t="s">
        <v>31</v>
      </c>
      <c r="E1501" s="26">
        <v>190.0</v>
      </c>
      <c r="F1501" s="26" t="s">
        <v>745</v>
      </c>
      <c r="G1501" s="26">
        <v>10.0</v>
      </c>
      <c r="H1501" s="26">
        <v>3.0</v>
      </c>
      <c r="N1501" s="26" t="s">
        <v>685</v>
      </c>
    </row>
    <row r="1502">
      <c r="A1502" s="25">
        <v>43328.80844255787</v>
      </c>
      <c r="B1502" s="26" t="s">
        <v>80</v>
      </c>
      <c r="C1502" s="26" t="s">
        <v>73</v>
      </c>
      <c r="D1502" s="26" t="s">
        <v>27</v>
      </c>
      <c r="E1502" s="26">
        <v>300.0</v>
      </c>
      <c r="F1502" s="26" t="s">
        <v>51</v>
      </c>
      <c r="G1502" s="26">
        <v>3.0</v>
      </c>
      <c r="H1502" s="26">
        <v>2.0</v>
      </c>
      <c r="N1502" s="26" t="s">
        <v>685</v>
      </c>
    </row>
    <row r="1503">
      <c r="A1503" s="25">
        <v>43328.82726659722</v>
      </c>
      <c r="B1503" s="26" t="s">
        <v>40</v>
      </c>
      <c r="C1503" s="26">
        <v>59.0</v>
      </c>
      <c r="D1503" s="26" t="s">
        <v>31</v>
      </c>
      <c r="E1503" s="26">
        <v>161.0</v>
      </c>
      <c r="F1503" s="26" t="s">
        <v>52</v>
      </c>
      <c r="G1503" s="26">
        <v>0.0</v>
      </c>
      <c r="H1503" s="26">
        <v>0.0</v>
      </c>
      <c r="I1503" s="26">
        <v>108.0</v>
      </c>
      <c r="J1503" s="26">
        <v>18.0</v>
      </c>
      <c r="K1503" s="26">
        <v>35.0</v>
      </c>
      <c r="N1503" s="26" t="s">
        <v>683</v>
      </c>
    </row>
    <row r="1504">
      <c r="A1504" s="25">
        <v>43328.837442916665</v>
      </c>
      <c r="B1504" s="26" t="s">
        <v>40</v>
      </c>
      <c r="C1504" s="26">
        <v>59.0</v>
      </c>
      <c r="D1504" s="26" t="s">
        <v>31</v>
      </c>
      <c r="E1504" s="26">
        <v>143.0</v>
      </c>
      <c r="F1504" s="26" t="s">
        <v>75</v>
      </c>
      <c r="G1504" s="26">
        <v>1.0</v>
      </c>
      <c r="H1504" s="26">
        <v>0.0</v>
      </c>
      <c r="I1504" s="26">
        <v>108.0</v>
      </c>
      <c r="J1504" s="26">
        <v>18.0</v>
      </c>
      <c r="K1504" s="26">
        <v>17.0</v>
      </c>
      <c r="N1504" s="26" t="s">
        <v>683</v>
      </c>
    </row>
    <row r="1505">
      <c r="A1505" s="25">
        <v>43328.87610592593</v>
      </c>
      <c r="B1505" s="26" t="s">
        <v>40</v>
      </c>
      <c r="C1505" s="26">
        <v>63.0</v>
      </c>
      <c r="D1505" s="26" t="s">
        <v>713</v>
      </c>
      <c r="E1505" s="26">
        <v>195.0</v>
      </c>
      <c r="F1505" s="26" t="s">
        <v>94</v>
      </c>
      <c r="G1505" s="26">
        <v>15.0</v>
      </c>
      <c r="H1505" s="26">
        <v>2.0</v>
      </c>
      <c r="I1505" s="26">
        <v>140.0</v>
      </c>
      <c r="J1505" s="26">
        <v>10.0</v>
      </c>
      <c r="K1505" s="26">
        <v>45.0</v>
      </c>
      <c r="N1505" s="26" t="s">
        <v>726</v>
      </c>
    </row>
    <row r="1506">
      <c r="A1506" s="25">
        <v>43328.91444072917</v>
      </c>
      <c r="B1506" s="26" t="s">
        <v>40</v>
      </c>
      <c r="C1506" s="26">
        <v>59.0</v>
      </c>
      <c r="D1506" s="26" t="s">
        <v>27</v>
      </c>
      <c r="E1506" s="26">
        <v>165.0</v>
      </c>
      <c r="F1506" s="26" t="s">
        <v>75</v>
      </c>
      <c r="G1506" s="26">
        <v>2.0</v>
      </c>
      <c r="H1506" s="26">
        <v>1.0</v>
      </c>
      <c r="I1506" s="26">
        <v>110.0</v>
      </c>
      <c r="J1506" s="26">
        <v>4.0</v>
      </c>
      <c r="K1506" s="26">
        <v>12.0</v>
      </c>
      <c r="N1506" s="26" t="s">
        <v>696</v>
      </c>
    </row>
    <row r="1507">
      <c r="A1507" s="25">
        <v>43328.91946072917</v>
      </c>
      <c r="B1507" s="26" t="s">
        <v>40</v>
      </c>
      <c r="C1507" s="26">
        <v>66.0</v>
      </c>
      <c r="D1507" s="26" t="s">
        <v>31</v>
      </c>
      <c r="E1507" s="26">
        <v>300.0</v>
      </c>
      <c r="F1507" s="26" t="s">
        <v>52</v>
      </c>
      <c r="G1507" s="26">
        <v>10.0</v>
      </c>
      <c r="H1507" s="26">
        <v>10.0</v>
      </c>
      <c r="N1507" s="26" t="s">
        <v>691</v>
      </c>
    </row>
    <row r="1508">
      <c r="A1508" s="25">
        <v>43328.92069009259</v>
      </c>
      <c r="B1508" s="26" t="s">
        <v>40</v>
      </c>
      <c r="C1508" s="26">
        <v>65.0</v>
      </c>
      <c r="D1508" s="26" t="s">
        <v>27</v>
      </c>
      <c r="E1508" s="26">
        <v>310.0</v>
      </c>
      <c r="F1508" s="26" t="s">
        <v>75</v>
      </c>
      <c r="G1508" s="26">
        <v>15.0</v>
      </c>
      <c r="H1508" s="26">
        <v>5.0</v>
      </c>
      <c r="N1508" s="26" t="s">
        <v>1149</v>
      </c>
    </row>
    <row r="1509">
      <c r="A1509" s="25">
        <v>43328.939425324075</v>
      </c>
      <c r="B1509" s="26" t="s">
        <v>40</v>
      </c>
      <c r="C1509" s="26">
        <v>61.0</v>
      </c>
      <c r="D1509" s="26" t="s">
        <v>31</v>
      </c>
      <c r="E1509" s="26">
        <v>154.0</v>
      </c>
      <c r="F1509" s="26" t="s">
        <v>75</v>
      </c>
      <c r="G1509" s="26">
        <v>3.0</v>
      </c>
      <c r="H1509" s="26">
        <v>3.0</v>
      </c>
      <c r="I1509" s="26">
        <v>126.0</v>
      </c>
      <c r="J1509" s="26">
        <v>19.0</v>
      </c>
      <c r="K1509" s="26">
        <v>9.0</v>
      </c>
      <c r="N1509" s="26" t="s">
        <v>683</v>
      </c>
    </row>
    <row r="1510">
      <c r="A1510" s="25">
        <v>43329.059608634256</v>
      </c>
      <c r="B1510" s="26" t="s">
        <v>40</v>
      </c>
      <c r="C1510" s="26">
        <v>65.0</v>
      </c>
      <c r="D1510" s="26" t="s">
        <v>711</v>
      </c>
      <c r="E1510" s="26">
        <v>340.0</v>
      </c>
      <c r="F1510" s="26" t="s">
        <v>1161</v>
      </c>
      <c r="G1510" s="26">
        <v>9.0</v>
      </c>
      <c r="H1510" s="26">
        <v>2.0</v>
      </c>
      <c r="I1510" s="26">
        <v>203.0</v>
      </c>
      <c r="J1510" s="26">
        <v>96.0</v>
      </c>
      <c r="K1510" s="26">
        <v>41.0</v>
      </c>
      <c r="N1510" s="26" t="s">
        <v>691</v>
      </c>
    </row>
    <row r="1511">
      <c r="A1511" s="25">
        <v>43329.07006453704</v>
      </c>
      <c r="B1511" s="26" t="s">
        <v>40</v>
      </c>
      <c r="C1511" s="26">
        <v>60.0</v>
      </c>
      <c r="D1511" s="26" t="s">
        <v>31</v>
      </c>
      <c r="E1511" s="26">
        <v>168.0</v>
      </c>
      <c r="F1511" s="26" t="s">
        <v>63</v>
      </c>
      <c r="G1511" s="26">
        <v>1.0</v>
      </c>
      <c r="H1511" s="26">
        <v>1.0</v>
      </c>
      <c r="I1511" s="26">
        <v>120.0</v>
      </c>
      <c r="J1511" s="26">
        <v>35.0</v>
      </c>
      <c r="K1511" s="26">
        <v>13.0</v>
      </c>
      <c r="N1511" s="26" t="s">
        <v>683</v>
      </c>
    </row>
    <row r="1512">
      <c r="A1512" s="25">
        <v>43329.13330292824</v>
      </c>
      <c r="B1512" s="26" t="s">
        <v>538</v>
      </c>
      <c r="C1512" s="26" t="s">
        <v>847</v>
      </c>
      <c r="D1512" s="26" t="s">
        <v>27</v>
      </c>
      <c r="E1512" s="26">
        <v>17.0</v>
      </c>
      <c r="F1512" s="26" t="s">
        <v>539</v>
      </c>
      <c r="G1512" s="26">
        <v>3.0</v>
      </c>
      <c r="H1512" s="26">
        <v>1.0</v>
      </c>
      <c r="N1512" s="26" t="s">
        <v>683</v>
      </c>
    </row>
    <row r="1513">
      <c r="A1513" s="25">
        <v>43329.2466262963</v>
      </c>
      <c r="B1513" s="26" t="s">
        <v>40</v>
      </c>
      <c r="C1513" s="26" t="s">
        <v>824</v>
      </c>
      <c r="D1513" s="26" t="s">
        <v>31</v>
      </c>
      <c r="E1513" s="26">
        <v>190.0</v>
      </c>
      <c r="F1513" s="26" t="s">
        <v>75</v>
      </c>
      <c r="G1513" s="26">
        <v>0.0</v>
      </c>
      <c r="H1513" s="26">
        <v>0.0</v>
      </c>
      <c r="I1513" s="26">
        <v>130.0</v>
      </c>
      <c r="J1513" s="26">
        <v>50.0</v>
      </c>
      <c r="K1513" s="26">
        <v>20.0</v>
      </c>
      <c r="N1513" s="26" t="s">
        <v>696</v>
      </c>
    </row>
    <row r="1514">
      <c r="A1514" s="25">
        <v>43329.27293215277</v>
      </c>
      <c r="B1514" s="26" t="s">
        <v>40</v>
      </c>
      <c r="C1514" s="26">
        <v>61.0</v>
      </c>
      <c r="D1514" s="26" t="s">
        <v>31</v>
      </c>
      <c r="E1514" s="26">
        <v>145.0</v>
      </c>
      <c r="F1514" s="26" t="s">
        <v>75</v>
      </c>
      <c r="G1514" s="26">
        <v>3.0</v>
      </c>
      <c r="H1514" s="26">
        <v>0.5</v>
      </c>
      <c r="I1514" s="26">
        <v>130.0</v>
      </c>
      <c r="J1514" s="26">
        <v>7000.0</v>
      </c>
      <c r="K1514" s="26">
        <v>6500.0</v>
      </c>
      <c r="N1514" s="26" t="s">
        <v>1134</v>
      </c>
    </row>
    <row r="1515">
      <c r="A1515" s="25">
        <v>43329.41139810185</v>
      </c>
      <c r="B1515" s="26" t="s">
        <v>33</v>
      </c>
      <c r="C1515" s="26" t="s">
        <v>43</v>
      </c>
      <c r="D1515" s="26" t="s">
        <v>31</v>
      </c>
      <c r="E1515" s="26">
        <v>175.0</v>
      </c>
      <c r="F1515" s="26" t="s">
        <v>360</v>
      </c>
      <c r="G1515" s="26">
        <v>5.0</v>
      </c>
      <c r="H1515" s="26">
        <v>1.0</v>
      </c>
      <c r="I1515" s="26">
        <v>135.0</v>
      </c>
      <c r="J1515" s="26">
        <v>20.0</v>
      </c>
      <c r="K1515" s="26">
        <v>20.0</v>
      </c>
      <c r="N1515" s="26" t="s">
        <v>708</v>
      </c>
    </row>
    <row r="1516">
      <c r="A1516" s="25">
        <v>43329.458520740736</v>
      </c>
      <c r="B1516" s="26" t="s">
        <v>33</v>
      </c>
      <c r="C1516" s="26" t="s">
        <v>62</v>
      </c>
      <c r="D1516" s="26" t="s">
        <v>713</v>
      </c>
      <c r="E1516" s="26">
        <v>250.0</v>
      </c>
      <c r="F1516" s="26" t="s">
        <v>1162</v>
      </c>
      <c r="G1516" s="26">
        <v>14.0</v>
      </c>
      <c r="H1516" s="26">
        <v>0.0</v>
      </c>
      <c r="I1516" s="26">
        <v>160.0</v>
      </c>
      <c r="J1516" s="26">
        <v>72.0</v>
      </c>
      <c r="K1516" s="26">
        <v>44.0</v>
      </c>
      <c r="N1516" s="26" t="s">
        <v>685</v>
      </c>
    </row>
    <row r="1517">
      <c r="A1517" s="25">
        <v>43329.477479560184</v>
      </c>
      <c r="B1517" s="26" t="s">
        <v>40</v>
      </c>
      <c r="C1517" s="26">
        <v>60.0</v>
      </c>
      <c r="D1517" s="26" t="s">
        <v>31</v>
      </c>
      <c r="E1517" s="26">
        <v>155.0</v>
      </c>
      <c r="F1517" s="26" t="s">
        <v>86</v>
      </c>
      <c r="G1517" s="26">
        <v>1.0</v>
      </c>
      <c r="H1517" s="26">
        <v>1.0</v>
      </c>
      <c r="I1517" s="26">
        <v>120.0</v>
      </c>
      <c r="J1517" s="26">
        <v>20.0</v>
      </c>
      <c r="K1517" s="26">
        <v>15.0</v>
      </c>
      <c r="N1517" s="26" t="s">
        <v>704</v>
      </c>
    </row>
    <row r="1518">
      <c r="A1518" s="25">
        <v>43329.4930747801</v>
      </c>
      <c r="B1518" s="26" t="s">
        <v>80</v>
      </c>
      <c r="C1518" s="26" t="s">
        <v>73</v>
      </c>
      <c r="D1518" s="26" t="s">
        <v>31</v>
      </c>
      <c r="E1518" s="26">
        <v>272.0</v>
      </c>
      <c r="F1518" s="26" t="s">
        <v>274</v>
      </c>
      <c r="G1518" s="26">
        <v>5.0</v>
      </c>
      <c r="H1518" s="26">
        <v>0.0</v>
      </c>
      <c r="N1518" s="26" t="s">
        <v>691</v>
      </c>
    </row>
    <row r="1519">
      <c r="A1519" s="25">
        <v>43329.54792997685</v>
      </c>
      <c r="B1519" s="26" t="s">
        <v>40</v>
      </c>
      <c r="C1519" s="26">
        <v>60.0</v>
      </c>
      <c r="D1519" s="26" t="s">
        <v>31</v>
      </c>
      <c r="E1519" s="26">
        <v>131.0</v>
      </c>
      <c r="F1519" s="26" t="s">
        <v>75</v>
      </c>
      <c r="G1519" s="26">
        <v>2.0</v>
      </c>
      <c r="H1519" s="26">
        <v>2.0</v>
      </c>
      <c r="I1519" s="26">
        <v>119.0</v>
      </c>
      <c r="J1519" s="26">
        <v>2700.0</v>
      </c>
      <c r="K1519" s="26">
        <v>9300.0</v>
      </c>
      <c r="N1519" s="26" t="s">
        <v>683</v>
      </c>
    </row>
    <row r="1520">
      <c r="A1520" s="25">
        <v>43329.63431375</v>
      </c>
      <c r="B1520" s="26" t="s">
        <v>40</v>
      </c>
      <c r="C1520" s="26">
        <v>66.0</v>
      </c>
      <c r="D1520" s="26" t="s">
        <v>27</v>
      </c>
      <c r="E1520" s="26">
        <v>300.0</v>
      </c>
      <c r="F1520" s="26" t="s">
        <v>63</v>
      </c>
      <c r="G1520" s="26">
        <v>20.0</v>
      </c>
      <c r="H1520" s="26">
        <v>18.0</v>
      </c>
      <c r="I1520" s="26">
        <v>190000.0</v>
      </c>
      <c r="J1520" s="26">
        <v>80.0</v>
      </c>
      <c r="K1520" s="26">
        <v>30.0</v>
      </c>
      <c r="N1520" s="26" t="s">
        <v>1163</v>
      </c>
    </row>
    <row r="1521">
      <c r="A1521" s="25">
        <v>43329.66365041667</v>
      </c>
      <c r="B1521" s="26" t="s">
        <v>40</v>
      </c>
      <c r="C1521" s="26">
        <v>61.0</v>
      </c>
      <c r="D1521" s="26" t="s">
        <v>27</v>
      </c>
      <c r="E1521" s="26">
        <v>130.0</v>
      </c>
      <c r="F1521" s="26" t="s">
        <v>63</v>
      </c>
      <c r="G1521" s="26">
        <v>4.0</v>
      </c>
      <c r="H1521" s="26">
        <v>1.0</v>
      </c>
      <c r="I1521" s="26">
        <v>130.0</v>
      </c>
      <c r="J1521" s="26">
        <v>40.0</v>
      </c>
      <c r="K1521" s="26">
        <v>16.0</v>
      </c>
      <c r="N1521" s="26" t="s">
        <v>696</v>
      </c>
    </row>
    <row r="1522">
      <c r="A1522" s="25">
        <v>43329.66412901621</v>
      </c>
      <c r="B1522" s="26" t="s">
        <v>40</v>
      </c>
      <c r="C1522" s="26">
        <v>62.0</v>
      </c>
      <c r="D1522" s="26" t="s">
        <v>31</v>
      </c>
      <c r="E1522" s="26">
        <v>187.0</v>
      </c>
      <c r="F1522" s="26" t="s">
        <v>75</v>
      </c>
      <c r="G1522" s="26">
        <v>4.0</v>
      </c>
      <c r="H1522" s="26">
        <v>2.0</v>
      </c>
      <c r="I1522" s="26">
        <v>140.0</v>
      </c>
      <c r="J1522" s="26">
        <v>22.0</v>
      </c>
      <c r="K1522" s="26">
        <v>15.0</v>
      </c>
      <c r="L1522" s="26" t="s">
        <v>1164</v>
      </c>
      <c r="N1522" s="26" t="s">
        <v>704</v>
      </c>
    </row>
    <row r="1523">
      <c r="A1523" s="25">
        <v>43329.71270533565</v>
      </c>
      <c r="B1523" s="26" t="s">
        <v>154</v>
      </c>
      <c r="C1523" s="26" t="s">
        <v>96</v>
      </c>
      <c r="D1523" s="26" t="s">
        <v>31</v>
      </c>
      <c r="E1523" s="26">
        <v>131.0</v>
      </c>
      <c r="F1523" s="26" t="s">
        <v>1165</v>
      </c>
      <c r="G1523" s="26">
        <v>7.0</v>
      </c>
      <c r="H1523" s="26">
        <v>4.0</v>
      </c>
      <c r="I1523" s="26">
        <v>114.0</v>
      </c>
      <c r="J1523" s="26">
        <v>10.0</v>
      </c>
      <c r="K1523" s="26">
        <v>7.0</v>
      </c>
      <c r="N1523" s="26" t="s">
        <v>683</v>
      </c>
    </row>
    <row r="1524">
      <c r="A1524" s="25">
        <v>43329.716426875</v>
      </c>
      <c r="B1524" s="26" t="s">
        <v>40</v>
      </c>
      <c r="C1524" s="26">
        <v>61.0</v>
      </c>
      <c r="D1524" s="26" t="s">
        <v>31</v>
      </c>
      <c r="E1524" s="26">
        <v>147.0</v>
      </c>
      <c r="F1524" s="26" t="s">
        <v>75</v>
      </c>
      <c r="G1524" s="26">
        <v>4.0</v>
      </c>
      <c r="H1524" s="26">
        <v>4.0</v>
      </c>
      <c r="I1524" s="26">
        <v>128.0</v>
      </c>
      <c r="J1524" s="26">
        <v>7.0</v>
      </c>
      <c r="K1524" s="26">
        <v>12.0</v>
      </c>
      <c r="N1524" s="26" t="s">
        <v>683</v>
      </c>
    </row>
    <row r="1525">
      <c r="A1525" s="25">
        <v>43329.71815915509</v>
      </c>
      <c r="B1525" s="26" t="s">
        <v>168</v>
      </c>
      <c r="C1525" s="26">
        <v>65.0</v>
      </c>
      <c r="D1525" s="26" t="s">
        <v>27</v>
      </c>
      <c r="E1525" s="26">
        <v>400.0</v>
      </c>
      <c r="F1525" s="26" t="s">
        <v>52</v>
      </c>
      <c r="G1525" s="26">
        <v>20.0</v>
      </c>
      <c r="H1525" s="26">
        <v>1.0</v>
      </c>
      <c r="I1525" s="26">
        <v>200.0</v>
      </c>
      <c r="J1525" s="26">
        <v>125.0</v>
      </c>
      <c r="K1525" s="26">
        <v>70.0</v>
      </c>
      <c r="N1525" s="26" t="s">
        <v>691</v>
      </c>
    </row>
    <row r="1526">
      <c r="A1526" s="25">
        <v>43329.77917863426</v>
      </c>
      <c r="B1526" s="26" t="s">
        <v>1166</v>
      </c>
      <c r="C1526" s="26" t="s">
        <v>1167</v>
      </c>
      <c r="D1526" s="26" t="s">
        <v>27</v>
      </c>
      <c r="E1526" s="26">
        <v>138.0</v>
      </c>
      <c r="F1526" s="26" t="s">
        <v>1168</v>
      </c>
      <c r="G1526" s="26">
        <v>10.0</v>
      </c>
      <c r="H1526" s="26">
        <v>2.0</v>
      </c>
      <c r="I1526" s="26">
        <v>120.0</v>
      </c>
      <c r="K1526" s="26">
        <v>18.0</v>
      </c>
      <c r="N1526" s="26" t="s">
        <v>704</v>
      </c>
    </row>
    <row r="1527">
      <c r="A1527" s="25">
        <v>43329.88923726852</v>
      </c>
      <c r="B1527" s="26" t="s">
        <v>40</v>
      </c>
      <c r="C1527" s="26">
        <v>66.0</v>
      </c>
      <c r="D1527" s="26" t="s">
        <v>41</v>
      </c>
      <c r="E1527" s="26">
        <v>320.0</v>
      </c>
      <c r="F1527" s="26" t="s">
        <v>75</v>
      </c>
      <c r="G1527" s="26">
        <v>15.0</v>
      </c>
      <c r="H1527" s="26">
        <v>6.0</v>
      </c>
      <c r="I1527" s="26">
        <v>210.0</v>
      </c>
      <c r="J1527" s="26">
        <v>50.0</v>
      </c>
      <c r="K1527" s="26">
        <v>60.0</v>
      </c>
      <c r="N1527" s="26" t="s">
        <v>1169</v>
      </c>
    </row>
    <row r="1528">
      <c r="A1528" s="25">
        <v>43329.94942885417</v>
      </c>
      <c r="B1528" s="26" t="s">
        <v>36</v>
      </c>
      <c r="C1528" s="26" t="s">
        <v>73</v>
      </c>
      <c r="D1528" s="26" t="s">
        <v>711</v>
      </c>
      <c r="E1528" s="26">
        <v>235.0</v>
      </c>
      <c r="F1528" s="26" t="s">
        <v>58</v>
      </c>
      <c r="G1528" s="26">
        <v>2.0</v>
      </c>
      <c r="H1528" s="26">
        <v>2.0</v>
      </c>
      <c r="I1528" s="26">
        <v>132.0</v>
      </c>
      <c r="J1528" s="26">
        <v>90.0</v>
      </c>
      <c r="K1528" s="26">
        <v>13.0</v>
      </c>
      <c r="N1528" s="26" t="s">
        <v>691</v>
      </c>
    </row>
    <row r="1529">
      <c r="A1529" s="25">
        <v>43329.957567627316</v>
      </c>
      <c r="B1529" s="26" t="s">
        <v>80</v>
      </c>
      <c r="C1529" s="26" t="s">
        <v>430</v>
      </c>
      <c r="D1529" s="26" t="s">
        <v>31</v>
      </c>
      <c r="E1529" s="26">
        <v>180.0</v>
      </c>
      <c r="F1529" s="26" t="s">
        <v>1170</v>
      </c>
      <c r="G1529" s="26">
        <v>9.0</v>
      </c>
      <c r="H1529" s="26">
        <v>0.0</v>
      </c>
      <c r="I1529" s="26">
        <v>137.0</v>
      </c>
      <c r="J1529" s="26">
        <v>20.0</v>
      </c>
      <c r="K1529" s="26">
        <v>22.0</v>
      </c>
      <c r="N1529" s="26" t="s">
        <v>704</v>
      </c>
    </row>
    <row r="1530">
      <c r="A1530" s="25">
        <v>43329.96776474537</v>
      </c>
      <c r="B1530" s="26" t="s">
        <v>124</v>
      </c>
      <c r="C1530" s="26" t="s">
        <v>96</v>
      </c>
      <c r="D1530" s="26" t="s">
        <v>711</v>
      </c>
      <c r="E1530" s="26">
        <v>206.0</v>
      </c>
      <c r="F1530" s="26" t="s">
        <v>199</v>
      </c>
      <c r="G1530" s="26">
        <v>9.0</v>
      </c>
      <c r="H1530" s="26">
        <v>1.0</v>
      </c>
      <c r="I1530" s="26">
        <v>144.0</v>
      </c>
      <c r="J1530" s="26">
        <v>40.0</v>
      </c>
      <c r="K1530" s="26">
        <v>22.0</v>
      </c>
      <c r="N1530" s="26" t="s">
        <v>691</v>
      </c>
    </row>
    <row r="1531">
      <c r="A1531" s="25">
        <v>43329.98603537037</v>
      </c>
      <c r="B1531" s="26" t="s">
        <v>146</v>
      </c>
      <c r="C1531" s="26" t="s">
        <v>737</v>
      </c>
      <c r="D1531" s="26" t="s">
        <v>31</v>
      </c>
      <c r="E1531" s="26">
        <v>450.0</v>
      </c>
      <c r="F1531" s="26" t="s">
        <v>32</v>
      </c>
      <c r="G1531" s="26">
        <v>11.0</v>
      </c>
      <c r="H1531" s="26">
        <v>1.0</v>
      </c>
      <c r="I1531" s="26">
        <v>215.0</v>
      </c>
      <c r="J1531" s="26">
        <v>200.0</v>
      </c>
      <c r="K1531" s="26">
        <v>30.0</v>
      </c>
      <c r="N1531" s="26" t="s">
        <v>685</v>
      </c>
    </row>
    <row r="1532">
      <c r="A1532" s="25">
        <v>43330.00196902778</v>
      </c>
      <c r="B1532" s="26" t="s">
        <v>258</v>
      </c>
      <c r="C1532" s="26" t="s">
        <v>628</v>
      </c>
      <c r="D1532" s="26" t="s">
        <v>31</v>
      </c>
      <c r="E1532" s="26">
        <v>497.0</v>
      </c>
      <c r="F1532" s="26" t="s">
        <v>1171</v>
      </c>
      <c r="G1532" s="26">
        <v>6.0</v>
      </c>
      <c r="H1532" s="26">
        <v>3.0</v>
      </c>
      <c r="N1532" s="26" t="s">
        <v>708</v>
      </c>
    </row>
    <row r="1533">
      <c r="A1533" s="25">
        <v>43330.07022461806</v>
      </c>
      <c r="B1533" s="26" t="s">
        <v>33</v>
      </c>
      <c r="C1533" s="26" t="s">
        <v>43</v>
      </c>
      <c r="D1533" s="26" t="s">
        <v>31</v>
      </c>
      <c r="E1533" s="26">
        <v>197.0</v>
      </c>
      <c r="F1533" s="26" t="s">
        <v>247</v>
      </c>
      <c r="G1533" s="26">
        <v>3.0</v>
      </c>
      <c r="H1533" s="26">
        <v>1.0</v>
      </c>
      <c r="I1533" s="26">
        <v>145.0</v>
      </c>
      <c r="J1533" s="26">
        <v>43.0</v>
      </c>
      <c r="K1533" s="26">
        <v>9.0</v>
      </c>
      <c r="N1533" s="26" t="s">
        <v>683</v>
      </c>
    </row>
    <row r="1534">
      <c r="A1534" s="25">
        <v>43330.07122699074</v>
      </c>
      <c r="B1534" s="26" t="s">
        <v>29</v>
      </c>
      <c r="C1534" s="26" t="s">
        <v>494</v>
      </c>
      <c r="D1534" s="26" t="s">
        <v>31</v>
      </c>
      <c r="E1534" s="26">
        <v>325.0</v>
      </c>
      <c r="F1534" s="26" t="s">
        <v>238</v>
      </c>
      <c r="G1534" s="26">
        <v>20.0</v>
      </c>
      <c r="H1534" s="26">
        <v>1.0</v>
      </c>
      <c r="I1534" s="26">
        <v>220.0</v>
      </c>
      <c r="J1534" s="26">
        <v>75.0</v>
      </c>
      <c r="K1534" s="26">
        <v>40.0</v>
      </c>
      <c r="N1534" s="26" t="s">
        <v>685</v>
      </c>
    </row>
    <row r="1535">
      <c r="A1535" s="25">
        <v>43330.42129599537</v>
      </c>
      <c r="B1535" s="26" t="s">
        <v>204</v>
      </c>
      <c r="C1535" s="26" t="s">
        <v>26</v>
      </c>
      <c r="D1535" s="26" t="s">
        <v>31</v>
      </c>
      <c r="E1535" s="26">
        <v>191.0</v>
      </c>
      <c r="F1535" s="26" t="s">
        <v>32</v>
      </c>
      <c r="G1535" s="26">
        <v>0.0</v>
      </c>
      <c r="H1535" s="26">
        <v>0.0</v>
      </c>
      <c r="I1535" s="26">
        <v>120.0</v>
      </c>
      <c r="J1535" s="26">
        <v>50.0</v>
      </c>
      <c r="K1535" s="26">
        <v>21.0</v>
      </c>
      <c r="N1535" s="26" t="s">
        <v>683</v>
      </c>
    </row>
    <row r="1536">
      <c r="A1536" s="25">
        <v>43330.48411715278</v>
      </c>
      <c r="B1536" s="26" t="s">
        <v>40</v>
      </c>
      <c r="C1536" s="26">
        <v>59.0</v>
      </c>
      <c r="D1536" s="26" t="s">
        <v>31</v>
      </c>
      <c r="E1536" s="26">
        <v>116.0</v>
      </c>
      <c r="F1536" s="26" t="s">
        <v>75</v>
      </c>
      <c r="G1536" s="26">
        <v>1.0</v>
      </c>
      <c r="H1536" s="26">
        <v>0.0</v>
      </c>
      <c r="I1536" s="26">
        <v>107.0</v>
      </c>
      <c r="J1536" s="26">
        <v>5.0</v>
      </c>
      <c r="K1536" s="26">
        <v>3.0</v>
      </c>
      <c r="L1536" s="26" t="s">
        <v>1172</v>
      </c>
      <c r="N1536" s="26" t="s">
        <v>696</v>
      </c>
    </row>
    <row r="1537">
      <c r="A1537" s="25">
        <v>43330.491098819446</v>
      </c>
      <c r="B1537" s="26" t="s">
        <v>168</v>
      </c>
      <c r="C1537" s="26">
        <v>62.0</v>
      </c>
      <c r="D1537" s="26" t="s">
        <v>31</v>
      </c>
      <c r="E1537" s="26">
        <v>182.0</v>
      </c>
      <c r="F1537" s="26" t="s">
        <v>52</v>
      </c>
      <c r="G1537" s="26">
        <v>5.0</v>
      </c>
      <c r="H1537" s="26">
        <v>3.0</v>
      </c>
      <c r="I1537" s="26">
        <v>141.0</v>
      </c>
      <c r="J1537" s="26">
        <v>25.0</v>
      </c>
      <c r="K1537" s="26">
        <v>16.0</v>
      </c>
      <c r="N1537" s="26" t="s">
        <v>866</v>
      </c>
    </row>
    <row r="1538">
      <c r="A1538" s="25">
        <v>43330.514481273145</v>
      </c>
      <c r="B1538" s="26" t="s">
        <v>33</v>
      </c>
      <c r="C1538" s="26" t="s">
        <v>999</v>
      </c>
      <c r="D1538" s="26" t="s">
        <v>31</v>
      </c>
      <c r="E1538" s="26">
        <v>250.0</v>
      </c>
      <c r="F1538" s="26" t="s">
        <v>35</v>
      </c>
      <c r="G1538" s="26">
        <v>7.0</v>
      </c>
      <c r="H1538" s="26">
        <v>7.0</v>
      </c>
      <c r="I1538" s="26">
        <v>137.0</v>
      </c>
      <c r="J1538" s="26">
        <v>113.0</v>
      </c>
      <c r="N1538" s="26" t="s">
        <v>683</v>
      </c>
    </row>
    <row r="1539">
      <c r="A1539" s="25">
        <v>43330.56548409723</v>
      </c>
      <c r="B1539" s="26" t="s">
        <v>40</v>
      </c>
      <c r="C1539" s="26">
        <v>64.0</v>
      </c>
      <c r="D1539" s="26" t="s">
        <v>31</v>
      </c>
      <c r="E1539" s="26">
        <v>220.0</v>
      </c>
      <c r="F1539" s="26" t="s">
        <v>52</v>
      </c>
      <c r="G1539" s="26">
        <v>14.0</v>
      </c>
      <c r="H1539" s="26">
        <v>0.0</v>
      </c>
      <c r="I1539" s="26">
        <v>165.0</v>
      </c>
      <c r="J1539" s="26">
        <v>25.0</v>
      </c>
      <c r="K1539" s="26">
        <v>24.0</v>
      </c>
      <c r="N1539" s="26" t="s">
        <v>685</v>
      </c>
    </row>
    <row r="1540">
      <c r="A1540" s="25">
        <v>43330.56812059028</v>
      </c>
      <c r="B1540" s="26" t="s">
        <v>64</v>
      </c>
      <c r="C1540" s="26" t="s">
        <v>1173</v>
      </c>
      <c r="D1540" s="26" t="s">
        <v>31</v>
      </c>
      <c r="E1540" s="26">
        <v>250.0</v>
      </c>
      <c r="F1540" s="26" t="s">
        <v>161</v>
      </c>
      <c r="G1540" s="26">
        <v>18.0</v>
      </c>
      <c r="H1540" s="26">
        <v>5.0</v>
      </c>
      <c r="I1540" s="26">
        <v>175000.0</v>
      </c>
      <c r="J1540" s="26">
        <v>50000.0</v>
      </c>
      <c r="K1540" s="26">
        <v>30000.0</v>
      </c>
      <c r="N1540" s="26" t="s">
        <v>685</v>
      </c>
    </row>
    <row r="1541">
      <c r="A1541" s="25">
        <v>43330.61336658565</v>
      </c>
      <c r="B1541" s="26" t="s">
        <v>40</v>
      </c>
      <c r="C1541" s="26">
        <v>60.0</v>
      </c>
      <c r="D1541" s="26" t="s">
        <v>31</v>
      </c>
      <c r="E1541" s="26">
        <v>135.0</v>
      </c>
      <c r="F1541" s="26" t="s">
        <v>75</v>
      </c>
      <c r="G1541" s="26">
        <v>1.0</v>
      </c>
      <c r="H1541" s="26">
        <v>1.0</v>
      </c>
      <c r="I1541" s="26">
        <v>119.0</v>
      </c>
      <c r="J1541" s="26">
        <v>4000.0</v>
      </c>
      <c r="K1541" s="26">
        <v>12000.0</v>
      </c>
      <c r="N1541" s="26" t="s">
        <v>704</v>
      </c>
    </row>
    <row r="1542">
      <c r="A1542" s="25">
        <v>43330.695715497684</v>
      </c>
      <c r="B1542" s="26" t="s">
        <v>268</v>
      </c>
      <c r="C1542" s="26" t="s">
        <v>1174</v>
      </c>
      <c r="D1542" s="26" t="s">
        <v>31</v>
      </c>
      <c r="E1542" s="26">
        <v>475.0</v>
      </c>
      <c r="F1542" s="26" t="s">
        <v>238</v>
      </c>
      <c r="G1542" s="26">
        <v>15.0</v>
      </c>
      <c r="H1542" s="26">
        <v>15.0</v>
      </c>
      <c r="N1542" s="26" t="s">
        <v>715</v>
      </c>
    </row>
    <row r="1543">
      <c r="A1543" s="25">
        <v>43330.733510763894</v>
      </c>
      <c r="B1543" s="26" t="s">
        <v>40</v>
      </c>
      <c r="C1543" s="26" t="s">
        <v>76</v>
      </c>
      <c r="D1543" s="26" t="s">
        <v>31</v>
      </c>
      <c r="E1543" s="26">
        <v>200.0</v>
      </c>
      <c r="F1543" s="26" t="s">
        <v>52</v>
      </c>
      <c r="G1543" s="26">
        <v>4.0</v>
      </c>
      <c r="H1543" s="26">
        <v>1.0</v>
      </c>
      <c r="I1543" s="26">
        <v>135.0</v>
      </c>
      <c r="J1543" s="26">
        <v>50.0</v>
      </c>
      <c r="K1543" s="26">
        <v>15.0</v>
      </c>
      <c r="N1543" s="26" t="s">
        <v>685</v>
      </c>
    </row>
    <row r="1544">
      <c r="A1544" s="25">
        <v>43330.74097481482</v>
      </c>
      <c r="B1544" s="26" t="s">
        <v>204</v>
      </c>
      <c r="C1544" s="26" t="s">
        <v>43</v>
      </c>
      <c r="D1544" s="26" t="s">
        <v>31</v>
      </c>
      <c r="E1544" s="26">
        <v>198.0</v>
      </c>
      <c r="F1544" s="26" t="s">
        <v>72</v>
      </c>
      <c r="G1544" s="26">
        <v>8.0</v>
      </c>
      <c r="H1544" s="26">
        <v>1.0</v>
      </c>
      <c r="I1544" s="26">
        <v>198.0</v>
      </c>
      <c r="J1544" s="26">
        <v>120.0</v>
      </c>
      <c r="N1544" s="26" t="s">
        <v>685</v>
      </c>
    </row>
    <row r="1545">
      <c r="A1545" s="25">
        <v>43330.77057445602</v>
      </c>
      <c r="B1545" s="26" t="s">
        <v>36</v>
      </c>
      <c r="C1545" s="26" t="s">
        <v>1032</v>
      </c>
      <c r="D1545" s="26" t="s">
        <v>31</v>
      </c>
      <c r="E1545" s="26">
        <v>565.0</v>
      </c>
      <c r="F1545" s="26" t="s">
        <v>58</v>
      </c>
      <c r="G1545" s="26">
        <v>11.0</v>
      </c>
      <c r="H1545" s="26">
        <v>2.5</v>
      </c>
      <c r="I1545" s="26">
        <v>211.0</v>
      </c>
      <c r="J1545" s="26">
        <v>322.0</v>
      </c>
      <c r="K1545" s="26">
        <v>32.0</v>
      </c>
      <c r="N1545" s="26" t="s">
        <v>751</v>
      </c>
    </row>
    <row r="1546">
      <c r="A1546" s="25">
        <v>43330.82991409722</v>
      </c>
      <c r="B1546" s="26" t="s">
        <v>25</v>
      </c>
      <c r="C1546" s="26" t="s">
        <v>462</v>
      </c>
      <c r="D1546" s="26" t="s">
        <v>31</v>
      </c>
      <c r="E1546" s="26">
        <v>285.0</v>
      </c>
      <c r="F1546" s="26" t="s">
        <v>63</v>
      </c>
      <c r="G1546" s="26">
        <v>14.0</v>
      </c>
      <c r="H1546" s="26">
        <v>1.0</v>
      </c>
      <c r="I1546" s="26">
        <v>190000.0</v>
      </c>
      <c r="J1546" s="26">
        <v>125000.0</v>
      </c>
      <c r="N1546" s="26" t="s">
        <v>685</v>
      </c>
    </row>
    <row r="1547">
      <c r="A1547" s="25">
        <v>43330.88418407408</v>
      </c>
      <c r="B1547" s="26" t="s">
        <v>157</v>
      </c>
      <c r="C1547" s="26" t="s">
        <v>1175</v>
      </c>
      <c r="D1547" s="26" t="s">
        <v>31</v>
      </c>
      <c r="E1547" s="26">
        <v>174.0</v>
      </c>
      <c r="F1547" s="26" t="s">
        <v>1176</v>
      </c>
      <c r="G1547" s="26">
        <v>9.0</v>
      </c>
      <c r="H1547" s="26">
        <v>3.0</v>
      </c>
      <c r="I1547" s="26">
        <v>139.0</v>
      </c>
      <c r="J1547" s="26">
        <v>14.0</v>
      </c>
      <c r="K1547" s="26">
        <v>21.0</v>
      </c>
      <c r="N1547" s="26" t="s">
        <v>866</v>
      </c>
    </row>
    <row r="1548">
      <c r="A1548" s="25">
        <v>43330.91713563657</v>
      </c>
      <c r="B1548" s="26" t="s">
        <v>407</v>
      </c>
      <c r="C1548" s="26" t="s">
        <v>37</v>
      </c>
      <c r="D1548" s="26" t="s">
        <v>31</v>
      </c>
      <c r="E1548" s="26">
        <v>350.0</v>
      </c>
      <c r="F1548" s="26" t="s">
        <v>1177</v>
      </c>
      <c r="G1548" s="26">
        <v>12.0</v>
      </c>
      <c r="H1548" s="26">
        <v>1.5</v>
      </c>
      <c r="N1548" s="26" t="s">
        <v>685</v>
      </c>
    </row>
    <row r="1549">
      <c r="A1549" s="25">
        <v>43330.91865577546</v>
      </c>
      <c r="B1549" s="26" t="s">
        <v>387</v>
      </c>
      <c r="C1549" s="26" t="s">
        <v>716</v>
      </c>
      <c r="D1549" s="26" t="s">
        <v>31</v>
      </c>
      <c r="E1549" s="26">
        <v>152.0</v>
      </c>
      <c r="F1549" s="26" t="s">
        <v>1178</v>
      </c>
      <c r="G1549" s="26">
        <v>4.0</v>
      </c>
      <c r="H1549" s="26">
        <v>1.5</v>
      </c>
      <c r="I1549" s="26">
        <v>118.0</v>
      </c>
      <c r="J1549" s="26">
        <v>20.0</v>
      </c>
      <c r="K1549" s="26">
        <v>25.0</v>
      </c>
      <c r="N1549" s="26" t="s">
        <v>687</v>
      </c>
    </row>
    <row r="1550">
      <c r="A1550" s="25">
        <v>43331.08850355324</v>
      </c>
      <c r="B1550" s="26" t="s">
        <v>40</v>
      </c>
      <c r="C1550" s="26">
        <v>64.0</v>
      </c>
      <c r="D1550" s="26" t="s">
        <v>713</v>
      </c>
      <c r="E1550" s="26">
        <v>240.0</v>
      </c>
      <c r="F1550" s="26" t="s">
        <v>247</v>
      </c>
      <c r="G1550" s="26">
        <v>12.0</v>
      </c>
      <c r="H1550" s="26">
        <v>8.0</v>
      </c>
      <c r="N1550" s="26" t="s">
        <v>726</v>
      </c>
    </row>
    <row r="1551">
      <c r="A1551" s="25">
        <v>43331.14203537037</v>
      </c>
      <c r="B1551" s="26" t="s">
        <v>33</v>
      </c>
      <c r="C1551" s="26" t="s">
        <v>34</v>
      </c>
      <c r="D1551" s="26" t="s">
        <v>31</v>
      </c>
      <c r="E1551" s="26">
        <v>330.0</v>
      </c>
      <c r="F1551" s="26" t="s">
        <v>35</v>
      </c>
      <c r="G1551" s="26">
        <v>8.0</v>
      </c>
      <c r="H1551" s="26">
        <v>1.0</v>
      </c>
      <c r="I1551" s="26">
        <v>160.0</v>
      </c>
      <c r="J1551" s="26">
        <v>20.0</v>
      </c>
      <c r="K1551" s="26">
        <v>150.0</v>
      </c>
      <c r="N1551" s="26" t="s">
        <v>1179</v>
      </c>
    </row>
    <row r="1552">
      <c r="A1552" s="25">
        <v>43331.424044907406</v>
      </c>
      <c r="B1552" s="26" t="s">
        <v>33</v>
      </c>
      <c r="C1552" s="26" t="s">
        <v>43</v>
      </c>
      <c r="D1552" s="26" t="s">
        <v>31</v>
      </c>
      <c r="E1552" s="26">
        <v>185.0</v>
      </c>
      <c r="F1552" s="26" t="s">
        <v>35</v>
      </c>
      <c r="G1552" s="26">
        <v>3.0</v>
      </c>
      <c r="H1552" s="26">
        <v>1.5</v>
      </c>
      <c r="I1552" s="26">
        <v>120.0</v>
      </c>
      <c r="J1552" s="26">
        <v>55000.0</v>
      </c>
      <c r="K1552" s="26">
        <v>10000.0</v>
      </c>
      <c r="L1552" s="26" t="s">
        <v>1180</v>
      </c>
      <c r="N1552" s="26" t="s">
        <v>696</v>
      </c>
    </row>
    <row r="1553">
      <c r="A1553" s="25">
        <v>43331.44191774305</v>
      </c>
      <c r="B1553" s="26" t="s">
        <v>48</v>
      </c>
      <c r="C1553" s="26" t="s">
        <v>69</v>
      </c>
      <c r="D1553" s="26" t="s">
        <v>31</v>
      </c>
      <c r="E1553" s="26">
        <v>165.0</v>
      </c>
      <c r="F1553" s="26" t="s">
        <v>32</v>
      </c>
      <c r="G1553" s="26">
        <v>1.0</v>
      </c>
      <c r="H1553" s="26">
        <v>0.0</v>
      </c>
      <c r="I1553" s="26">
        <v>110.0</v>
      </c>
      <c r="J1553" s="26">
        <v>38.0</v>
      </c>
      <c r="K1553" s="26">
        <v>6.0</v>
      </c>
      <c r="N1553" s="26" t="s">
        <v>1181</v>
      </c>
    </row>
    <row r="1554">
      <c r="A1554" s="25">
        <v>43331.453024710645</v>
      </c>
      <c r="B1554" s="26" t="s">
        <v>170</v>
      </c>
      <c r="C1554" s="26" t="s">
        <v>572</v>
      </c>
      <c r="D1554" s="26" t="s">
        <v>31</v>
      </c>
      <c r="E1554" s="26">
        <v>165.0</v>
      </c>
      <c r="F1554" s="26" t="s">
        <v>232</v>
      </c>
      <c r="G1554" s="26">
        <v>20.0</v>
      </c>
      <c r="H1554" s="26">
        <v>20.0</v>
      </c>
      <c r="I1554" s="26">
        <v>130.0</v>
      </c>
      <c r="J1554" s="26">
        <v>20.0</v>
      </c>
      <c r="K1554" s="26">
        <v>15.0</v>
      </c>
      <c r="N1554" s="26" t="s">
        <v>1182</v>
      </c>
    </row>
    <row r="1555">
      <c r="A1555" s="25">
        <v>43331.467858275464</v>
      </c>
      <c r="B1555" s="26" t="s">
        <v>40</v>
      </c>
      <c r="C1555" s="26">
        <v>62.0</v>
      </c>
      <c r="D1555" s="26" t="s">
        <v>27</v>
      </c>
      <c r="E1555" s="26">
        <v>140.0</v>
      </c>
      <c r="F1555" s="26" t="s">
        <v>161</v>
      </c>
      <c r="G1555" s="26">
        <v>2.0</v>
      </c>
      <c r="H1555" s="26">
        <v>2.0</v>
      </c>
      <c r="N1555" s="26" t="s">
        <v>1183</v>
      </c>
    </row>
    <row r="1556">
      <c r="A1556" s="25">
        <v>43331.47813575232</v>
      </c>
      <c r="B1556" s="26" t="s">
        <v>40</v>
      </c>
      <c r="C1556" s="26" t="s">
        <v>180</v>
      </c>
      <c r="D1556" s="26" t="s">
        <v>31</v>
      </c>
      <c r="E1556" s="26">
        <v>188.0</v>
      </c>
      <c r="F1556" s="26" t="s">
        <v>86</v>
      </c>
      <c r="G1556" s="26">
        <v>4.0</v>
      </c>
      <c r="H1556" s="26">
        <v>0.0</v>
      </c>
      <c r="I1556" s="26">
        <v>138.0</v>
      </c>
      <c r="J1556" s="26">
        <v>25.0</v>
      </c>
      <c r="K1556" s="26">
        <v>25.0</v>
      </c>
      <c r="N1556" s="26" t="s">
        <v>683</v>
      </c>
    </row>
    <row r="1557">
      <c r="A1557" s="25">
        <v>43331.62160067129</v>
      </c>
      <c r="B1557" s="26" t="s">
        <v>40</v>
      </c>
      <c r="C1557" s="26">
        <v>59.0</v>
      </c>
      <c r="D1557" s="26" t="s">
        <v>31</v>
      </c>
      <c r="E1557" s="26">
        <v>160.0</v>
      </c>
      <c r="F1557" s="26" t="s">
        <v>88</v>
      </c>
      <c r="G1557" s="26">
        <v>0.0</v>
      </c>
      <c r="H1557" s="26">
        <v>0.0</v>
      </c>
      <c r="N1557" s="26" t="s">
        <v>683</v>
      </c>
    </row>
    <row r="1558">
      <c r="A1558" s="25">
        <v>43331.65771375</v>
      </c>
      <c r="B1558" s="26" t="s">
        <v>33</v>
      </c>
      <c r="C1558" s="26" t="s">
        <v>275</v>
      </c>
      <c r="D1558" s="26" t="s">
        <v>31</v>
      </c>
      <c r="E1558" s="26">
        <v>165.0</v>
      </c>
      <c r="F1558" s="26" t="s">
        <v>35</v>
      </c>
      <c r="G1558" s="26">
        <v>2.0</v>
      </c>
      <c r="H1558" s="26">
        <v>0.0</v>
      </c>
      <c r="L1558" s="26" t="s">
        <v>1184</v>
      </c>
      <c r="N1558" s="26" t="s">
        <v>683</v>
      </c>
    </row>
    <row r="1559">
      <c r="A1559" s="25">
        <v>43331.66106932871</v>
      </c>
      <c r="B1559" s="26" t="s">
        <v>33</v>
      </c>
      <c r="C1559" s="26" t="s">
        <v>73</v>
      </c>
      <c r="D1559" s="26" t="s">
        <v>713</v>
      </c>
      <c r="E1559" s="26">
        <v>128.0</v>
      </c>
      <c r="F1559" s="26" t="s">
        <v>35</v>
      </c>
      <c r="G1559" s="26">
        <v>2.0</v>
      </c>
      <c r="H1559" s="26">
        <v>1.0</v>
      </c>
      <c r="I1559" s="26">
        <v>103.0</v>
      </c>
      <c r="J1559" s="26">
        <v>5.0</v>
      </c>
      <c r="K1559" s="26">
        <v>20.0</v>
      </c>
      <c r="N1559" s="26" t="s">
        <v>375</v>
      </c>
    </row>
    <row r="1560">
      <c r="A1560" s="25">
        <v>43331.74311228009</v>
      </c>
      <c r="B1560" s="26" t="s">
        <v>33</v>
      </c>
      <c r="C1560" s="26" t="s">
        <v>76</v>
      </c>
      <c r="D1560" s="26" t="s">
        <v>31</v>
      </c>
      <c r="E1560" s="26">
        <v>240.0</v>
      </c>
      <c r="F1560" s="26" t="s">
        <v>1185</v>
      </c>
      <c r="G1560" s="26">
        <v>4.0</v>
      </c>
      <c r="H1560" s="26">
        <v>1.0</v>
      </c>
      <c r="I1560" s="26">
        <v>165000.0</v>
      </c>
      <c r="N1560" s="26" t="s">
        <v>683</v>
      </c>
    </row>
    <row r="1561">
      <c r="A1561" s="25">
        <v>43331.81814928241</v>
      </c>
      <c r="B1561" s="26" t="s">
        <v>1186</v>
      </c>
      <c r="C1561" s="26" t="s">
        <v>1187</v>
      </c>
      <c r="D1561" s="26" t="s">
        <v>27</v>
      </c>
      <c r="E1561" s="26">
        <v>320.0</v>
      </c>
      <c r="F1561" s="26" t="s">
        <v>273</v>
      </c>
      <c r="G1561" s="26">
        <v>10.0</v>
      </c>
      <c r="H1561" s="26">
        <v>2.0</v>
      </c>
      <c r="I1561" s="26">
        <v>200.0</v>
      </c>
      <c r="J1561" s="26">
        <v>60.0</v>
      </c>
      <c r="K1561" s="26">
        <v>60.0</v>
      </c>
      <c r="N1561" s="26" t="s">
        <v>685</v>
      </c>
    </row>
    <row r="1562">
      <c r="A1562" s="25">
        <v>43331.82343626158</v>
      </c>
      <c r="B1562" s="26" t="s">
        <v>48</v>
      </c>
      <c r="C1562" s="26" t="s">
        <v>69</v>
      </c>
      <c r="D1562" s="26" t="s">
        <v>31</v>
      </c>
      <c r="E1562" s="26">
        <v>176.0</v>
      </c>
      <c r="F1562" s="26" t="s">
        <v>63</v>
      </c>
      <c r="G1562" s="26">
        <v>0.0</v>
      </c>
      <c r="H1562" s="26">
        <v>0.0</v>
      </c>
      <c r="I1562" s="26">
        <v>110.0</v>
      </c>
      <c r="J1562" s="26">
        <v>220.0</v>
      </c>
      <c r="K1562" s="26">
        <v>10.0</v>
      </c>
      <c r="N1562" s="26" t="s">
        <v>683</v>
      </c>
    </row>
    <row r="1563">
      <c r="A1563" s="25">
        <v>43331.8552840162</v>
      </c>
      <c r="B1563" s="26" t="s">
        <v>1188</v>
      </c>
      <c r="C1563" s="26" t="s">
        <v>1189</v>
      </c>
      <c r="D1563" s="26" t="s">
        <v>711</v>
      </c>
      <c r="E1563" s="26">
        <v>175.0</v>
      </c>
      <c r="F1563" s="26" t="s">
        <v>1190</v>
      </c>
      <c r="G1563" s="26">
        <v>6.0</v>
      </c>
      <c r="H1563" s="26">
        <v>2.0</v>
      </c>
      <c r="I1563" s="26">
        <v>135000.0</v>
      </c>
      <c r="J1563" s="26">
        <v>29000.0</v>
      </c>
      <c r="K1563" s="26">
        <v>11000.0</v>
      </c>
      <c r="N1563" s="26" t="s">
        <v>1191</v>
      </c>
    </row>
    <row r="1564">
      <c r="A1564" s="25">
        <v>43331.952089722225</v>
      </c>
      <c r="B1564" s="26" t="s">
        <v>80</v>
      </c>
      <c r="C1564" s="26" t="s">
        <v>43</v>
      </c>
      <c r="D1564" s="26" t="s">
        <v>27</v>
      </c>
      <c r="E1564" s="26">
        <v>350.0</v>
      </c>
      <c r="F1564" s="26" t="s">
        <v>199</v>
      </c>
      <c r="G1564" s="26">
        <v>6.0</v>
      </c>
      <c r="H1564" s="26">
        <v>0.0</v>
      </c>
      <c r="I1564" s="26">
        <v>165.0</v>
      </c>
      <c r="J1564" s="26">
        <v>150.0</v>
      </c>
      <c r="K1564" s="26">
        <v>25.0</v>
      </c>
      <c r="N1564" s="26" t="s">
        <v>691</v>
      </c>
    </row>
    <row r="1565">
      <c r="A1565" s="25">
        <v>43331.964001388886</v>
      </c>
      <c r="B1565" s="26" t="s">
        <v>139</v>
      </c>
      <c r="C1565" s="26" t="s">
        <v>486</v>
      </c>
      <c r="D1565" s="26" t="s">
        <v>31</v>
      </c>
      <c r="E1565" s="26">
        <v>433.0</v>
      </c>
      <c r="F1565" s="26" t="s">
        <v>134</v>
      </c>
      <c r="G1565" s="26">
        <v>15.0</v>
      </c>
      <c r="H1565" s="26">
        <v>15.0</v>
      </c>
      <c r="I1565" s="26">
        <v>250.0</v>
      </c>
      <c r="J1565" s="26">
        <v>120.0</v>
      </c>
      <c r="K1565" s="26">
        <v>63.0</v>
      </c>
      <c r="N1565" s="26" t="s">
        <v>685</v>
      </c>
    </row>
    <row r="1566">
      <c r="A1566" s="25">
        <v>43331.97883248843</v>
      </c>
      <c r="B1566" s="26" t="s">
        <v>119</v>
      </c>
      <c r="C1566" s="26" t="s">
        <v>504</v>
      </c>
      <c r="D1566" s="26" t="s">
        <v>27</v>
      </c>
      <c r="E1566" s="26">
        <v>199.0</v>
      </c>
      <c r="F1566" s="26" t="s">
        <v>58</v>
      </c>
      <c r="G1566" s="26">
        <v>10.0</v>
      </c>
      <c r="H1566" s="26">
        <v>1.0</v>
      </c>
      <c r="I1566" s="26">
        <v>199.0</v>
      </c>
      <c r="J1566" s="26">
        <v>25.0</v>
      </c>
      <c r="K1566" s="26">
        <v>25.0</v>
      </c>
      <c r="N1566" s="26" t="s">
        <v>691</v>
      </c>
    </row>
    <row r="1567">
      <c r="A1567" s="25">
        <v>43332.370523819445</v>
      </c>
      <c r="B1567" s="26" t="s">
        <v>40</v>
      </c>
      <c r="C1567" s="26">
        <v>61.0</v>
      </c>
      <c r="D1567" s="26" t="s">
        <v>31</v>
      </c>
      <c r="E1567" s="26">
        <v>152.0</v>
      </c>
      <c r="F1567" s="26" t="s">
        <v>52</v>
      </c>
      <c r="G1567" s="26">
        <v>3.0</v>
      </c>
      <c r="H1567" s="26">
        <v>2.0</v>
      </c>
      <c r="I1567" s="26">
        <v>129.0</v>
      </c>
      <c r="J1567" s="26">
        <v>10.0</v>
      </c>
      <c r="K1567" s="26">
        <v>13.0</v>
      </c>
      <c r="N1567" s="26" t="s">
        <v>683</v>
      </c>
    </row>
    <row r="1568">
      <c r="A1568" s="25">
        <v>43332.39325525463</v>
      </c>
      <c r="B1568" s="26" t="s">
        <v>40</v>
      </c>
      <c r="C1568" s="26">
        <v>64.0</v>
      </c>
      <c r="D1568" s="26" t="s">
        <v>27</v>
      </c>
      <c r="E1568" s="26">
        <v>270.0</v>
      </c>
      <c r="F1568" s="26" t="s">
        <v>52</v>
      </c>
      <c r="G1568" s="26">
        <v>12.0</v>
      </c>
      <c r="H1568" s="26">
        <v>3.0</v>
      </c>
      <c r="I1568" s="26">
        <v>180.0</v>
      </c>
      <c r="J1568" s="26">
        <v>40.0</v>
      </c>
      <c r="K1568" s="26">
        <v>50.0</v>
      </c>
      <c r="N1568" s="26" t="s">
        <v>1192</v>
      </c>
    </row>
    <row r="1569">
      <c r="A1569" s="25">
        <v>43332.52276989583</v>
      </c>
      <c r="B1569" s="26" t="s">
        <v>1193</v>
      </c>
      <c r="C1569" s="26" t="s">
        <v>1194</v>
      </c>
      <c r="D1569" s="26" t="s">
        <v>713</v>
      </c>
      <c r="E1569" s="26">
        <v>132.0</v>
      </c>
      <c r="F1569" s="26" t="s">
        <v>54</v>
      </c>
      <c r="G1569" s="26">
        <v>7.0</v>
      </c>
      <c r="H1569" s="26">
        <v>6.0</v>
      </c>
      <c r="I1569" s="26">
        <v>122.0</v>
      </c>
      <c r="J1569" s="26">
        <v>2.0</v>
      </c>
      <c r="K1569" s="26">
        <v>8.0</v>
      </c>
      <c r="N1569" s="26" t="s">
        <v>1195</v>
      </c>
    </row>
    <row r="1570">
      <c r="A1570" s="25">
        <v>43332.529585868055</v>
      </c>
      <c r="B1570" s="26" t="s">
        <v>33</v>
      </c>
      <c r="C1570" s="26" t="s">
        <v>62</v>
      </c>
      <c r="D1570" s="26" t="s">
        <v>27</v>
      </c>
      <c r="E1570" s="26">
        <v>215.0</v>
      </c>
      <c r="F1570" s="26" t="s">
        <v>63</v>
      </c>
      <c r="G1570" s="26">
        <v>20.0</v>
      </c>
      <c r="H1570" s="26">
        <v>1.0</v>
      </c>
      <c r="N1570" s="26" t="s">
        <v>683</v>
      </c>
    </row>
    <row r="1571">
      <c r="A1571" s="25">
        <v>43332.57873237268</v>
      </c>
      <c r="B1571" s="26" t="s">
        <v>435</v>
      </c>
      <c r="C1571" s="26" t="s">
        <v>37</v>
      </c>
      <c r="D1571" s="26" t="s">
        <v>27</v>
      </c>
      <c r="E1571" s="26">
        <v>150.0</v>
      </c>
      <c r="F1571" s="26" t="s">
        <v>161</v>
      </c>
      <c r="G1571" s="26">
        <v>15.0</v>
      </c>
      <c r="H1571" s="26">
        <v>3.0</v>
      </c>
      <c r="N1571" s="26" t="s">
        <v>683</v>
      </c>
    </row>
    <row r="1572">
      <c r="A1572" s="25">
        <v>43332.622890555554</v>
      </c>
      <c r="B1572" s="26" t="s">
        <v>40</v>
      </c>
      <c r="C1572" s="26">
        <v>65.0</v>
      </c>
      <c r="D1572" s="26" t="s">
        <v>27</v>
      </c>
      <c r="E1572" s="26">
        <v>320.0</v>
      </c>
      <c r="F1572" s="26" t="s">
        <v>52</v>
      </c>
      <c r="G1572" s="26">
        <v>16.0</v>
      </c>
      <c r="H1572" s="26">
        <v>13.0</v>
      </c>
      <c r="I1572" s="26">
        <v>190.0</v>
      </c>
      <c r="J1572" s="26">
        <v>70.0</v>
      </c>
      <c r="K1572" s="26">
        <v>55.0</v>
      </c>
      <c r="N1572" s="26" t="s">
        <v>683</v>
      </c>
    </row>
    <row r="1573">
      <c r="A1573" s="25">
        <v>43332.661846585645</v>
      </c>
      <c r="B1573" s="26" t="s">
        <v>1196</v>
      </c>
      <c r="C1573" s="26">
        <v>65.0</v>
      </c>
      <c r="D1573" s="26" t="s">
        <v>27</v>
      </c>
      <c r="E1573" s="26">
        <v>265.0</v>
      </c>
      <c r="F1573" s="26">
        <v>98052.0</v>
      </c>
      <c r="G1573" s="26">
        <v>14.0</v>
      </c>
      <c r="H1573" s="26">
        <v>13.0</v>
      </c>
      <c r="I1573" s="26">
        <v>190.0</v>
      </c>
      <c r="J1573" s="26">
        <v>37.0</v>
      </c>
      <c r="K1573" s="26">
        <v>36.0</v>
      </c>
      <c r="N1573" s="26" t="s">
        <v>696</v>
      </c>
    </row>
    <row r="1574">
      <c r="A1574" s="25">
        <v>43332.793449363424</v>
      </c>
      <c r="B1574" s="26" t="s">
        <v>33</v>
      </c>
      <c r="C1574" s="26" t="s">
        <v>62</v>
      </c>
      <c r="D1574" s="26" t="s">
        <v>27</v>
      </c>
      <c r="E1574" s="26">
        <v>225.0</v>
      </c>
      <c r="F1574" s="26" t="s">
        <v>129</v>
      </c>
      <c r="G1574" s="26">
        <v>7.0</v>
      </c>
      <c r="H1574" s="26">
        <v>3.0</v>
      </c>
      <c r="I1574" s="26">
        <v>145000.0</v>
      </c>
      <c r="J1574" s="26">
        <v>80000.0</v>
      </c>
      <c r="N1574" s="26" t="s">
        <v>1197</v>
      </c>
    </row>
    <row r="1575">
      <c r="A1575" s="25">
        <v>43332.86141020834</v>
      </c>
      <c r="B1575" s="26" t="s">
        <v>268</v>
      </c>
      <c r="C1575" s="26" t="s">
        <v>1198</v>
      </c>
      <c r="D1575" s="26" t="s">
        <v>31</v>
      </c>
      <c r="E1575" s="26">
        <v>150.0</v>
      </c>
      <c r="F1575" s="26" t="s">
        <v>63</v>
      </c>
      <c r="G1575" s="26">
        <v>3.0</v>
      </c>
      <c r="H1575" s="26">
        <v>3.0</v>
      </c>
      <c r="I1575" s="26">
        <v>120.0</v>
      </c>
      <c r="J1575" s="26">
        <v>10.0</v>
      </c>
      <c r="K1575" s="26">
        <v>20.0</v>
      </c>
      <c r="N1575" s="26" t="s">
        <v>687</v>
      </c>
    </row>
    <row r="1576">
      <c r="A1576" s="25">
        <v>43332.87426805556</v>
      </c>
      <c r="B1576" s="26" t="s">
        <v>40</v>
      </c>
      <c r="C1576" s="26">
        <v>60.0</v>
      </c>
      <c r="D1576" s="26" t="s">
        <v>31</v>
      </c>
      <c r="E1576" s="26">
        <v>147.0</v>
      </c>
      <c r="F1576" s="26" t="s">
        <v>51</v>
      </c>
      <c r="G1576" s="26">
        <v>1.0</v>
      </c>
      <c r="H1576" s="26">
        <v>1.0</v>
      </c>
      <c r="I1576" s="26">
        <v>130.0</v>
      </c>
      <c r="J1576" s="26">
        <v>4.0</v>
      </c>
      <c r="K1576" s="26">
        <v>13.0</v>
      </c>
      <c r="N1576" s="26" t="s">
        <v>683</v>
      </c>
    </row>
    <row r="1577">
      <c r="A1577" s="25">
        <v>43332.8949878125</v>
      </c>
      <c r="B1577" s="26" t="s">
        <v>40</v>
      </c>
      <c r="C1577" s="26">
        <v>61.0</v>
      </c>
      <c r="D1577" s="26" t="s">
        <v>31</v>
      </c>
      <c r="E1577" s="26">
        <v>182.0</v>
      </c>
      <c r="F1577" s="26" t="s">
        <v>52</v>
      </c>
      <c r="G1577" s="26">
        <v>3.0</v>
      </c>
      <c r="H1577" s="26">
        <v>3.0</v>
      </c>
      <c r="I1577" s="26">
        <v>128.0</v>
      </c>
      <c r="J1577" s="26">
        <v>34.0</v>
      </c>
      <c r="K1577" s="26">
        <v>20.0</v>
      </c>
      <c r="N1577" s="26" t="s">
        <v>685</v>
      </c>
    </row>
    <row r="1578">
      <c r="A1578" s="25">
        <v>43332.930109305555</v>
      </c>
      <c r="B1578" s="26" t="s">
        <v>40</v>
      </c>
      <c r="C1578" s="26">
        <v>63.0</v>
      </c>
      <c r="D1578" s="26" t="s">
        <v>31</v>
      </c>
      <c r="E1578" s="26">
        <v>250.0</v>
      </c>
      <c r="F1578" s="26" t="s">
        <v>35</v>
      </c>
      <c r="G1578" s="26">
        <v>6.0</v>
      </c>
      <c r="H1578" s="26">
        <v>6.0</v>
      </c>
      <c r="N1578" s="26" t="s">
        <v>687</v>
      </c>
    </row>
    <row r="1579">
      <c r="A1579" s="25">
        <v>43332.94449954861</v>
      </c>
      <c r="B1579" s="26" t="s">
        <v>25</v>
      </c>
      <c r="C1579" s="26" t="s">
        <v>1098</v>
      </c>
      <c r="D1579" s="26" t="s">
        <v>31</v>
      </c>
      <c r="E1579" s="26">
        <v>330.0</v>
      </c>
      <c r="F1579" s="26" t="s">
        <v>232</v>
      </c>
      <c r="G1579" s="26">
        <v>16.0</v>
      </c>
      <c r="H1579" s="26">
        <v>11.0</v>
      </c>
      <c r="I1579" s="26">
        <v>205.0</v>
      </c>
      <c r="J1579" s="26">
        <v>125.0</v>
      </c>
      <c r="N1579" s="26" t="s">
        <v>685</v>
      </c>
    </row>
    <row r="1580">
      <c r="A1580" s="25">
        <v>43333.224368668976</v>
      </c>
      <c r="B1580" s="26" t="s">
        <v>48</v>
      </c>
      <c r="C1580" s="26" t="s">
        <v>222</v>
      </c>
      <c r="D1580" s="26" t="s">
        <v>31</v>
      </c>
      <c r="E1580" s="26">
        <v>722.0</v>
      </c>
      <c r="F1580" s="26" t="s">
        <v>238</v>
      </c>
      <c r="G1580" s="26">
        <v>8.0</v>
      </c>
      <c r="H1580" s="26">
        <v>8.0</v>
      </c>
      <c r="I1580" s="26">
        <v>258.0</v>
      </c>
      <c r="J1580" s="26">
        <v>400.0</v>
      </c>
      <c r="K1580" s="26">
        <v>64.0</v>
      </c>
      <c r="N1580" s="26" t="s">
        <v>683</v>
      </c>
    </row>
    <row r="1581">
      <c r="A1581" s="25">
        <v>43333.32056224537</v>
      </c>
      <c r="B1581" s="26" t="s">
        <v>1199</v>
      </c>
      <c r="C1581" s="26" t="s">
        <v>401</v>
      </c>
      <c r="D1581" s="26" t="s">
        <v>711</v>
      </c>
      <c r="E1581" s="26">
        <v>999.0</v>
      </c>
      <c r="F1581" s="26" t="s">
        <v>1200</v>
      </c>
      <c r="G1581" s="26">
        <v>5.0</v>
      </c>
      <c r="H1581" s="26">
        <v>5.0</v>
      </c>
      <c r="I1581" s="26">
        <v>800.0</v>
      </c>
      <c r="J1581" s="26">
        <v>150.0</v>
      </c>
      <c r="K1581" s="26">
        <v>50.0</v>
      </c>
      <c r="N1581" s="26" t="s">
        <v>1201</v>
      </c>
    </row>
    <row r="1582">
      <c r="A1582" s="25">
        <v>43333.397150543984</v>
      </c>
      <c r="B1582" s="26" t="s">
        <v>36</v>
      </c>
      <c r="C1582" s="26" t="s">
        <v>1032</v>
      </c>
      <c r="D1582" s="26" t="s">
        <v>31</v>
      </c>
      <c r="E1582" s="26">
        <v>830.0</v>
      </c>
      <c r="F1582" s="26" t="s">
        <v>236</v>
      </c>
      <c r="G1582" s="26">
        <v>10.0</v>
      </c>
      <c r="H1582" s="26">
        <v>3.0</v>
      </c>
      <c r="I1582" s="26">
        <v>200.0</v>
      </c>
      <c r="J1582" s="26">
        <v>460.0</v>
      </c>
      <c r="K1582" s="26">
        <v>170.0</v>
      </c>
      <c r="N1582" s="26" t="s">
        <v>683</v>
      </c>
    </row>
    <row r="1583">
      <c r="A1583" s="25">
        <v>43333.42637197916</v>
      </c>
      <c r="B1583" s="26" t="s">
        <v>40</v>
      </c>
      <c r="C1583" s="26">
        <v>61.0</v>
      </c>
      <c r="D1583" s="26" t="s">
        <v>31</v>
      </c>
      <c r="E1583" s="26">
        <v>157.0</v>
      </c>
      <c r="F1583" s="26" t="s">
        <v>35</v>
      </c>
      <c r="G1583" s="26">
        <v>3.0</v>
      </c>
      <c r="H1583" s="26">
        <v>3.0</v>
      </c>
      <c r="I1583" s="26">
        <v>134000.0</v>
      </c>
      <c r="J1583" s="26">
        <v>8000.0</v>
      </c>
      <c r="K1583" s="26">
        <v>15000.0</v>
      </c>
      <c r="N1583" s="26" t="s">
        <v>866</v>
      </c>
    </row>
    <row r="1584">
      <c r="A1584" s="25">
        <v>43333.428887754635</v>
      </c>
      <c r="B1584" s="26" t="s">
        <v>29</v>
      </c>
      <c r="C1584" s="26">
        <v>27.0</v>
      </c>
      <c r="D1584" s="26" t="s">
        <v>41</v>
      </c>
      <c r="E1584" s="26">
        <v>332.0</v>
      </c>
      <c r="F1584" s="26" t="s">
        <v>238</v>
      </c>
      <c r="G1584" s="26">
        <v>15.0</v>
      </c>
      <c r="H1584" s="26">
        <v>3.0</v>
      </c>
      <c r="I1584" s="26">
        <v>203.0</v>
      </c>
      <c r="J1584" s="26">
        <v>89.0</v>
      </c>
      <c r="K1584" s="26">
        <v>40.0</v>
      </c>
      <c r="N1584" s="26" t="s">
        <v>708</v>
      </c>
    </row>
    <row r="1585">
      <c r="A1585" s="25">
        <v>43333.50326585648</v>
      </c>
      <c r="B1585" s="26" t="s">
        <v>1093</v>
      </c>
      <c r="C1585" s="26" t="s">
        <v>98</v>
      </c>
      <c r="D1585" s="26" t="s">
        <v>31</v>
      </c>
      <c r="E1585" s="26">
        <v>120.0</v>
      </c>
      <c r="F1585" s="26" t="s">
        <v>58</v>
      </c>
      <c r="G1585" s="26">
        <v>1.0</v>
      </c>
      <c r="H1585" s="26">
        <v>1.0</v>
      </c>
      <c r="N1585" s="26" t="s">
        <v>685</v>
      </c>
    </row>
    <row r="1586">
      <c r="A1586" s="25">
        <v>43333.5816221412</v>
      </c>
      <c r="B1586" s="26" t="s">
        <v>40</v>
      </c>
      <c r="C1586" s="26">
        <v>61.0</v>
      </c>
      <c r="D1586" s="26" t="s">
        <v>31</v>
      </c>
      <c r="E1586" s="29">
        <v>200.0</v>
      </c>
      <c r="F1586" s="26" t="s">
        <v>133</v>
      </c>
      <c r="G1586" s="26">
        <v>2.0</v>
      </c>
      <c r="H1586" s="26">
        <v>2.0</v>
      </c>
      <c r="I1586" s="26">
        <v>129.0</v>
      </c>
      <c r="J1586" s="26">
        <v>15.0</v>
      </c>
      <c r="K1586" s="26">
        <v>11.0</v>
      </c>
      <c r="N1586" s="26" t="s">
        <v>704</v>
      </c>
    </row>
    <row r="1587">
      <c r="A1587" s="25">
        <v>43333.89041277778</v>
      </c>
      <c r="B1587" s="26" t="s">
        <v>119</v>
      </c>
      <c r="C1587" s="26" t="s">
        <v>494</v>
      </c>
      <c r="D1587" s="26" t="s">
        <v>31</v>
      </c>
      <c r="E1587" s="26">
        <v>197.0</v>
      </c>
      <c r="F1587" s="26" t="s">
        <v>58</v>
      </c>
      <c r="G1587" s="26">
        <v>10.0</v>
      </c>
      <c r="H1587" s="26">
        <v>3.0</v>
      </c>
      <c r="I1587" s="26">
        <v>155.0</v>
      </c>
      <c r="J1587" s="26">
        <v>19.0</v>
      </c>
      <c r="K1587" s="26">
        <v>23.0</v>
      </c>
      <c r="N1587" s="26" t="s">
        <v>1202</v>
      </c>
    </row>
    <row r="1588">
      <c r="A1588" s="25">
        <v>43333.927679872686</v>
      </c>
      <c r="B1588" s="26" t="s">
        <v>33</v>
      </c>
      <c r="C1588" s="26" t="s">
        <v>43</v>
      </c>
      <c r="D1588" s="26" t="s">
        <v>713</v>
      </c>
      <c r="E1588" s="26">
        <v>240.0</v>
      </c>
      <c r="F1588" s="26" t="s">
        <v>1203</v>
      </c>
      <c r="G1588" s="26">
        <v>10.0</v>
      </c>
      <c r="H1588" s="26">
        <v>4.0</v>
      </c>
      <c r="I1588" s="26">
        <v>150000.0</v>
      </c>
      <c r="J1588" s="26">
        <v>90000.0</v>
      </c>
      <c r="N1588" s="26" t="s">
        <v>708</v>
      </c>
    </row>
    <row r="1589">
      <c r="A1589" s="25">
        <v>43334.00079097222</v>
      </c>
      <c r="B1589" s="26" t="s">
        <v>40</v>
      </c>
      <c r="C1589" s="26">
        <v>63.0</v>
      </c>
      <c r="D1589" s="26" t="s">
        <v>27</v>
      </c>
      <c r="E1589" s="26">
        <v>205.0</v>
      </c>
      <c r="F1589" s="26" t="s">
        <v>75</v>
      </c>
      <c r="G1589" s="26">
        <v>15.0</v>
      </c>
      <c r="H1589" s="26">
        <v>3.0</v>
      </c>
      <c r="N1589" s="26" t="s">
        <v>708</v>
      </c>
    </row>
    <row r="1590">
      <c r="A1590" s="25">
        <v>43334.00466525463</v>
      </c>
      <c r="B1590" s="26" t="s">
        <v>1204</v>
      </c>
      <c r="C1590" s="26" t="s">
        <v>1205</v>
      </c>
      <c r="D1590" s="26" t="s">
        <v>27</v>
      </c>
      <c r="E1590" s="26">
        <v>245.0</v>
      </c>
      <c r="F1590" s="26" t="s">
        <v>1206</v>
      </c>
      <c r="G1590" s="26">
        <v>15.0</v>
      </c>
      <c r="H1590" s="26">
        <v>2.0</v>
      </c>
      <c r="I1590" s="26">
        <v>191.0</v>
      </c>
      <c r="J1590" s="26">
        <v>26000.0</v>
      </c>
      <c r="K1590" s="26">
        <v>28650.0</v>
      </c>
      <c r="N1590" s="26" t="s">
        <v>757</v>
      </c>
    </row>
    <row r="1591">
      <c r="A1591" s="25">
        <v>43334.00583412037</v>
      </c>
      <c r="B1591" s="26" t="s">
        <v>48</v>
      </c>
      <c r="C1591" s="26" t="s">
        <v>70</v>
      </c>
      <c r="D1591" s="26" t="s">
        <v>31</v>
      </c>
      <c r="E1591" s="26">
        <v>451.0</v>
      </c>
      <c r="F1591" s="26" t="s">
        <v>50</v>
      </c>
      <c r="G1591" s="26">
        <v>25.0</v>
      </c>
      <c r="H1591" s="26">
        <v>1.0</v>
      </c>
      <c r="N1591" s="26" t="s">
        <v>685</v>
      </c>
    </row>
    <row r="1592">
      <c r="A1592" s="25">
        <v>43334.15112971065</v>
      </c>
      <c r="B1592" s="26" t="s">
        <v>1196</v>
      </c>
      <c r="C1592" s="26" t="s">
        <v>1207</v>
      </c>
      <c r="D1592" s="26" t="s">
        <v>41</v>
      </c>
      <c r="E1592" s="26">
        <v>325.0</v>
      </c>
      <c r="F1592" s="26" t="s">
        <v>75</v>
      </c>
      <c r="G1592" s="26">
        <v>15.0</v>
      </c>
      <c r="H1592" s="26">
        <v>12.0</v>
      </c>
      <c r="I1592" s="26">
        <v>210.0</v>
      </c>
      <c r="J1592" s="26">
        <v>60.0</v>
      </c>
      <c r="K1592" s="26">
        <v>55.0</v>
      </c>
      <c r="N1592" s="26" t="s">
        <v>685</v>
      </c>
    </row>
    <row r="1593">
      <c r="A1593" s="25">
        <v>43334.170303946754</v>
      </c>
      <c r="B1593" s="26" t="s">
        <v>33</v>
      </c>
      <c r="C1593" s="26" t="s">
        <v>381</v>
      </c>
      <c r="D1593" s="26" t="s">
        <v>31</v>
      </c>
      <c r="E1593" s="26">
        <v>350.0</v>
      </c>
      <c r="F1593" s="26" t="s">
        <v>35</v>
      </c>
      <c r="G1593" s="26">
        <v>6.0</v>
      </c>
      <c r="H1593" s="26">
        <v>6.0</v>
      </c>
      <c r="I1593" s="26">
        <v>160.0</v>
      </c>
      <c r="J1593" s="26">
        <v>190.0</v>
      </c>
      <c r="N1593" s="26" t="s">
        <v>751</v>
      </c>
    </row>
    <row r="1594">
      <c r="A1594" s="25">
        <v>43334.319040347225</v>
      </c>
      <c r="B1594" s="26" t="s">
        <v>80</v>
      </c>
      <c r="C1594" s="26" t="s">
        <v>73</v>
      </c>
      <c r="D1594" s="26" t="s">
        <v>31</v>
      </c>
      <c r="E1594" s="26">
        <v>253.0</v>
      </c>
      <c r="F1594" s="26" t="s">
        <v>63</v>
      </c>
      <c r="G1594" s="26">
        <v>15.0</v>
      </c>
      <c r="H1594" s="26">
        <v>4.0</v>
      </c>
      <c r="I1594" s="26">
        <v>150.0</v>
      </c>
      <c r="J1594" s="26">
        <v>80.0</v>
      </c>
      <c r="K1594" s="26">
        <v>27.0</v>
      </c>
      <c r="N1594" s="26" t="s">
        <v>685</v>
      </c>
    </row>
    <row r="1595">
      <c r="A1595" s="25">
        <v>43334.42587547454</v>
      </c>
      <c r="B1595" s="26" t="s">
        <v>80</v>
      </c>
      <c r="C1595" s="26" t="s">
        <v>62</v>
      </c>
      <c r="D1595" s="26" t="s">
        <v>41</v>
      </c>
      <c r="E1595" s="26">
        <v>500.0</v>
      </c>
      <c r="F1595" s="26" t="s">
        <v>1208</v>
      </c>
      <c r="G1595" s="26">
        <v>12.0</v>
      </c>
      <c r="H1595" s="26">
        <v>1.0</v>
      </c>
      <c r="I1595" s="26">
        <v>210.0</v>
      </c>
      <c r="J1595" s="26">
        <v>225.0</v>
      </c>
      <c r="K1595" s="26">
        <v>4.0</v>
      </c>
      <c r="N1595" s="26" t="s">
        <v>685</v>
      </c>
    </row>
    <row r="1596">
      <c r="A1596" s="25">
        <v>43334.444758645834</v>
      </c>
      <c r="B1596" s="26" t="s">
        <v>33</v>
      </c>
      <c r="C1596" s="26" t="s">
        <v>73</v>
      </c>
      <c r="D1596" s="26" t="s">
        <v>31</v>
      </c>
      <c r="E1596" s="26">
        <v>175.0</v>
      </c>
      <c r="F1596" s="26" t="s">
        <v>1209</v>
      </c>
      <c r="G1596" s="26">
        <v>3.0</v>
      </c>
      <c r="H1596" s="26">
        <v>0.0</v>
      </c>
      <c r="I1596" s="26">
        <v>150.0</v>
      </c>
      <c r="J1596" s="26">
        <v>20.0</v>
      </c>
      <c r="K1596" s="26">
        <v>5.0</v>
      </c>
      <c r="N1596" s="26" t="s">
        <v>685</v>
      </c>
    </row>
    <row r="1597">
      <c r="A1597" s="25">
        <v>43334.500802939816</v>
      </c>
      <c r="B1597" s="26" t="s">
        <v>40</v>
      </c>
      <c r="C1597" s="26">
        <v>62.0</v>
      </c>
      <c r="D1597" s="26" t="s">
        <v>31</v>
      </c>
      <c r="E1597" s="26">
        <v>229.0</v>
      </c>
      <c r="F1597" s="26" t="s">
        <v>52</v>
      </c>
      <c r="G1597" s="26">
        <v>4.0</v>
      </c>
      <c r="H1597" s="26">
        <v>4.0</v>
      </c>
      <c r="I1597" s="26">
        <v>142.0</v>
      </c>
      <c r="J1597" s="26">
        <v>63.0</v>
      </c>
      <c r="K1597" s="26">
        <v>23.0</v>
      </c>
      <c r="N1597" s="26" t="s">
        <v>708</v>
      </c>
    </row>
    <row r="1598">
      <c r="A1598" s="25">
        <v>43334.51730836806</v>
      </c>
      <c r="B1598" s="26" t="s">
        <v>40</v>
      </c>
      <c r="C1598" s="26">
        <v>61.0</v>
      </c>
      <c r="D1598" s="26" t="s">
        <v>27</v>
      </c>
      <c r="E1598" s="26">
        <v>185.0</v>
      </c>
      <c r="F1598" s="26" t="s">
        <v>75</v>
      </c>
      <c r="G1598" s="26">
        <v>2.0</v>
      </c>
      <c r="H1598" s="26">
        <v>2.0</v>
      </c>
      <c r="I1598" s="26">
        <v>130000.0</v>
      </c>
      <c r="J1598" s="26">
        <v>39000.0</v>
      </c>
      <c r="K1598" s="26">
        <v>16000.0</v>
      </c>
      <c r="N1598" s="26" t="s">
        <v>1027</v>
      </c>
    </row>
    <row r="1599">
      <c r="A1599" s="25">
        <v>43334.51945361111</v>
      </c>
      <c r="B1599" s="26" t="s">
        <v>204</v>
      </c>
      <c r="C1599" s="26" t="s">
        <v>26</v>
      </c>
      <c r="D1599" s="26" t="s">
        <v>711</v>
      </c>
      <c r="E1599" s="26">
        <v>233.0</v>
      </c>
      <c r="F1599" s="26" t="s">
        <v>58</v>
      </c>
      <c r="G1599" s="26">
        <v>3.0</v>
      </c>
      <c r="H1599" s="26">
        <v>0.0</v>
      </c>
      <c r="I1599" s="26">
        <v>146.0</v>
      </c>
      <c r="J1599" s="26">
        <v>50.0</v>
      </c>
      <c r="K1599" s="26">
        <v>22.0</v>
      </c>
      <c r="N1599" s="26" t="s">
        <v>691</v>
      </c>
    </row>
    <row r="1600">
      <c r="A1600" s="25">
        <v>43334.60028434028</v>
      </c>
      <c r="B1600" s="26" t="s">
        <v>40</v>
      </c>
      <c r="C1600" s="26">
        <v>60.0</v>
      </c>
      <c r="D1600" s="26" t="s">
        <v>31</v>
      </c>
      <c r="E1600" s="26">
        <v>146.0</v>
      </c>
      <c r="F1600" s="26" t="s">
        <v>75</v>
      </c>
      <c r="G1600" s="26">
        <v>3.0</v>
      </c>
      <c r="H1600" s="26">
        <v>2.0</v>
      </c>
      <c r="I1600" s="26">
        <v>116.0</v>
      </c>
      <c r="J1600" s="26">
        <v>2.0</v>
      </c>
      <c r="K1600" s="26">
        <v>2.0</v>
      </c>
      <c r="N1600" s="26" t="s">
        <v>704</v>
      </c>
    </row>
    <row r="1601">
      <c r="A1601" s="25">
        <v>43334.60697221065</v>
      </c>
      <c r="B1601" s="26" t="s">
        <v>45</v>
      </c>
      <c r="C1601" s="26" t="s">
        <v>116</v>
      </c>
      <c r="D1601" s="26" t="s">
        <v>31</v>
      </c>
      <c r="E1601" s="26">
        <v>225.0</v>
      </c>
      <c r="F1601" s="26" t="s">
        <v>239</v>
      </c>
      <c r="G1601" s="26">
        <v>19.0</v>
      </c>
      <c r="H1601" s="26">
        <v>1.0</v>
      </c>
      <c r="I1601" s="26">
        <v>175.0</v>
      </c>
      <c r="J1601" s="26">
        <v>40.0</v>
      </c>
      <c r="K1601" s="26">
        <v>25.0</v>
      </c>
      <c r="N1601" s="26" t="s">
        <v>691</v>
      </c>
    </row>
    <row r="1602">
      <c r="A1602" s="25">
        <v>43334.61439773148</v>
      </c>
      <c r="B1602" s="26" t="s">
        <v>33</v>
      </c>
      <c r="C1602" s="26" t="s">
        <v>1061</v>
      </c>
      <c r="D1602" s="26" t="s">
        <v>41</v>
      </c>
      <c r="E1602" s="26">
        <v>350.0</v>
      </c>
      <c r="F1602" s="26" t="s">
        <v>63</v>
      </c>
      <c r="G1602" s="26">
        <v>6.0</v>
      </c>
      <c r="H1602" s="26">
        <v>6.0</v>
      </c>
      <c r="N1602" s="26" t="s">
        <v>685</v>
      </c>
    </row>
    <row r="1603">
      <c r="A1603" s="25">
        <v>43334.672515185186</v>
      </c>
      <c r="B1603" s="26" t="s">
        <v>40</v>
      </c>
      <c r="C1603" s="26">
        <v>64.0</v>
      </c>
      <c r="D1603" s="26" t="s">
        <v>31</v>
      </c>
      <c r="E1603" s="26">
        <v>228.0</v>
      </c>
      <c r="F1603" s="26" t="s">
        <v>52</v>
      </c>
      <c r="G1603" s="26">
        <v>12.0</v>
      </c>
      <c r="H1603" s="26">
        <v>7.0</v>
      </c>
      <c r="I1603" s="26">
        <v>166.0</v>
      </c>
      <c r="J1603" s="26">
        <v>30.0</v>
      </c>
      <c r="K1603" s="26">
        <v>32.0</v>
      </c>
      <c r="N1603" s="26" t="s">
        <v>715</v>
      </c>
    </row>
    <row r="1604">
      <c r="A1604" s="25">
        <v>43334.691089687505</v>
      </c>
      <c r="B1604" s="26" t="s">
        <v>40</v>
      </c>
      <c r="C1604" s="26">
        <v>59.0</v>
      </c>
      <c r="D1604" s="26" t="s">
        <v>31</v>
      </c>
      <c r="E1604" s="26">
        <v>122.0</v>
      </c>
      <c r="F1604" s="26" t="s">
        <v>75</v>
      </c>
      <c r="G1604" s="26">
        <v>1.0</v>
      </c>
      <c r="H1604" s="26">
        <v>0.0</v>
      </c>
      <c r="I1604" s="26">
        <v>106500.0</v>
      </c>
      <c r="J1604" s="26">
        <v>20000.0</v>
      </c>
      <c r="K1604" s="26">
        <v>10000.0</v>
      </c>
      <c r="N1604" s="26" t="s">
        <v>683</v>
      </c>
    </row>
    <row r="1605">
      <c r="A1605" s="25">
        <v>43334.70120068287</v>
      </c>
      <c r="B1605" s="26" t="s">
        <v>1186</v>
      </c>
      <c r="C1605" s="26" t="s">
        <v>34</v>
      </c>
      <c r="D1605" s="26" t="s">
        <v>1210</v>
      </c>
      <c r="E1605" s="26">
        <v>320.0</v>
      </c>
      <c r="F1605" s="26" t="s">
        <v>51</v>
      </c>
      <c r="G1605" s="26">
        <v>15.0</v>
      </c>
      <c r="H1605" s="26">
        <v>10.0</v>
      </c>
      <c r="N1605" s="26" t="s">
        <v>1211</v>
      </c>
    </row>
    <row r="1606">
      <c r="A1606" s="25">
        <v>43334.791427916665</v>
      </c>
      <c r="B1606" s="26" t="s">
        <v>40</v>
      </c>
      <c r="C1606" s="26">
        <v>59.0</v>
      </c>
      <c r="D1606" s="26" t="s">
        <v>31</v>
      </c>
      <c r="E1606" s="26">
        <v>165.0</v>
      </c>
      <c r="F1606" s="26" t="s">
        <v>52</v>
      </c>
      <c r="G1606" s="26">
        <v>0.0</v>
      </c>
      <c r="H1606" s="26">
        <v>0.0</v>
      </c>
      <c r="I1606" s="26">
        <v>109.0</v>
      </c>
      <c r="J1606" s="26">
        <v>30.0</v>
      </c>
      <c r="K1606" s="26">
        <v>25.0</v>
      </c>
      <c r="N1606" s="26" t="s">
        <v>685</v>
      </c>
    </row>
    <row r="1607">
      <c r="A1607" s="25">
        <v>43334.80567861111</v>
      </c>
      <c r="B1607" s="26" t="s">
        <v>1212</v>
      </c>
      <c r="C1607" s="26" t="s">
        <v>37</v>
      </c>
      <c r="D1607" s="26" t="s">
        <v>31</v>
      </c>
      <c r="E1607" s="26">
        <v>90.0</v>
      </c>
      <c r="F1607" s="26" t="s">
        <v>798</v>
      </c>
      <c r="G1607" s="26">
        <v>5.0</v>
      </c>
      <c r="H1607" s="26">
        <v>3.0</v>
      </c>
      <c r="N1607" s="26" t="s">
        <v>685</v>
      </c>
    </row>
    <row r="1608">
      <c r="A1608" s="25">
        <v>43334.84057925926</v>
      </c>
      <c r="B1608" s="26" t="s">
        <v>119</v>
      </c>
      <c r="C1608" s="26" t="s">
        <v>494</v>
      </c>
      <c r="D1608" s="26" t="s">
        <v>31</v>
      </c>
      <c r="E1608" s="26">
        <v>230.0</v>
      </c>
      <c r="F1608" s="26" t="s">
        <v>32</v>
      </c>
      <c r="G1608" s="26">
        <v>4.0</v>
      </c>
      <c r="H1608" s="26">
        <v>1.0</v>
      </c>
      <c r="I1608" s="26">
        <v>175.0</v>
      </c>
      <c r="J1608" s="26">
        <v>30.0</v>
      </c>
      <c r="K1608" s="26">
        <v>25.0</v>
      </c>
      <c r="N1608" s="26" t="s">
        <v>696</v>
      </c>
    </row>
    <row r="1609">
      <c r="A1609" s="25">
        <v>43334.84096743056</v>
      </c>
      <c r="B1609" s="26" t="s">
        <v>33</v>
      </c>
      <c r="C1609" s="26" t="s">
        <v>73</v>
      </c>
      <c r="D1609" s="26" t="s">
        <v>31</v>
      </c>
      <c r="E1609" s="26">
        <v>168.0</v>
      </c>
      <c r="F1609" s="26" t="s">
        <v>63</v>
      </c>
      <c r="G1609" s="26">
        <v>2.0</v>
      </c>
      <c r="H1609" s="26">
        <v>0.0</v>
      </c>
      <c r="N1609" s="26" t="s">
        <v>685</v>
      </c>
    </row>
    <row r="1610">
      <c r="A1610" s="25">
        <v>43334.878706076386</v>
      </c>
      <c r="B1610" s="26" t="s">
        <v>80</v>
      </c>
      <c r="C1610" s="26" t="s">
        <v>43</v>
      </c>
      <c r="D1610" s="26" t="s">
        <v>299</v>
      </c>
      <c r="E1610" s="26">
        <v>269.0</v>
      </c>
      <c r="F1610" s="26" t="s">
        <v>51</v>
      </c>
      <c r="G1610" s="26">
        <v>15.0</v>
      </c>
      <c r="H1610" s="26">
        <v>2.0</v>
      </c>
      <c r="I1610" s="26">
        <v>151.0</v>
      </c>
      <c r="J1610" s="26">
        <v>93.0</v>
      </c>
      <c r="K1610" s="26">
        <v>25.0</v>
      </c>
      <c r="N1610" s="26" t="s">
        <v>1213</v>
      </c>
    </row>
    <row r="1611">
      <c r="A1611" s="25">
        <v>43334.95357420139</v>
      </c>
      <c r="B1611" s="26" t="s">
        <v>40</v>
      </c>
      <c r="C1611" s="26">
        <v>62.0</v>
      </c>
      <c r="D1611" s="26" t="s">
        <v>1214</v>
      </c>
      <c r="E1611" s="26">
        <v>170.0</v>
      </c>
      <c r="F1611" s="26" t="s">
        <v>63</v>
      </c>
      <c r="G1611" s="26">
        <v>9.0</v>
      </c>
      <c r="H1611" s="26">
        <v>4.0</v>
      </c>
      <c r="N1611" s="26" t="s">
        <v>1215</v>
      </c>
    </row>
    <row r="1612">
      <c r="A1612" s="25">
        <v>43335.00768310185</v>
      </c>
      <c r="B1612" s="26" t="s">
        <v>40</v>
      </c>
      <c r="C1612" s="26">
        <v>66.0</v>
      </c>
      <c r="D1612" s="26" t="s">
        <v>27</v>
      </c>
      <c r="E1612" s="26">
        <v>335.0</v>
      </c>
      <c r="F1612" s="26" t="s">
        <v>758</v>
      </c>
      <c r="G1612" s="26">
        <v>20.0</v>
      </c>
      <c r="H1612" s="26">
        <v>10.0</v>
      </c>
      <c r="I1612" s="26">
        <v>200.0</v>
      </c>
      <c r="J1612" s="26">
        <v>90.0</v>
      </c>
      <c r="K1612" s="26">
        <v>45.0</v>
      </c>
      <c r="N1612" s="26" t="s">
        <v>683</v>
      </c>
    </row>
    <row r="1613">
      <c r="A1613" s="25">
        <v>43335.39484878472</v>
      </c>
      <c r="B1613" s="26" t="s">
        <v>40</v>
      </c>
      <c r="C1613" s="26">
        <v>60.0</v>
      </c>
      <c r="D1613" s="26" t="s">
        <v>31</v>
      </c>
      <c r="E1613" s="26">
        <v>151.0</v>
      </c>
      <c r="F1613" s="26" t="s">
        <v>35</v>
      </c>
      <c r="G1613" s="26">
        <v>0.0</v>
      </c>
      <c r="H1613" s="26">
        <v>0.0</v>
      </c>
      <c r="I1613" s="26">
        <v>117.0</v>
      </c>
      <c r="J1613" s="26">
        <v>19.0</v>
      </c>
      <c r="K1613" s="26">
        <v>15.0</v>
      </c>
      <c r="N1613" s="26" t="s">
        <v>683</v>
      </c>
    </row>
    <row r="1614">
      <c r="A1614" s="25">
        <v>43335.400469988424</v>
      </c>
      <c r="B1614" s="26" t="s">
        <v>371</v>
      </c>
      <c r="C1614" s="26" t="s">
        <v>541</v>
      </c>
      <c r="D1614" s="26" t="s">
        <v>31</v>
      </c>
      <c r="E1614" s="26">
        <v>155.0</v>
      </c>
      <c r="F1614" s="26" t="s">
        <v>886</v>
      </c>
      <c r="G1614" s="26">
        <v>6.0</v>
      </c>
      <c r="H1614" s="26">
        <v>5.0</v>
      </c>
      <c r="I1614" s="26">
        <v>120.0</v>
      </c>
      <c r="J1614" s="26">
        <v>20.0</v>
      </c>
      <c r="K1614" s="26">
        <v>15.0</v>
      </c>
      <c r="N1614" s="26" t="s">
        <v>715</v>
      </c>
    </row>
    <row r="1615">
      <c r="A1615" s="25">
        <v>43335.40136754629</v>
      </c>
      <c r="B1615" s="26" t="s">
        <v>371</v>
      </c>
      <c r="C1615" s="26" t="s">
        <v>372</v>
      </c>
      <c r="D1615" s="26" t="s">
        <v>31</v>
      </c>
      <c r="E1615" s="26">
        <v>179.0</v>
      </c>
      <c r="F1615" s="26" t="s">
        <v>886</v>
      </c>
      <c r="G1615" s="26">
        <v>8.0</v>
      </c>
      <c r="H1615" s="26">
        <v>6.0</v>
      </c>
      <c r="I1615" s="26">
        <v>135.0</v>
      </c>
      <c r="J1615" s="26">
        <v>32.0</v>
      </c>
      <c r="K1615" s="26">
        <v>12.0</v>
      </c>
      <c r="N1615" s="26" t="s">
        <v>715</v>
      </c>
    </row>
    <row r="1616">
      <c r="A1616" s="25">
        <v>43335.565101932865</v>
      </c>
      <c r="B1616" s="26" t="s">
        <v>33</v>
      </c>
      <c r="C1616" s="26" t="s">
        <v>43</v>
      </c>
      <c r="D1616" s="26" t="s">
        <v>31</v>
      </c>
      <c r="E1616" s="26">
        <v>218.0</v>
      </c>
      <c r="F1616" s="26" t="s">
        <v>35</v>
      </c>
      <c r="G1616" s="26">
        <v>5.0</v>
      </c>
      <c r="H1616" s="26">
        <v>4.0</v>
      </c>
      <c r="I1616" s="26">
        <v>138.0</v>
      </c>
      <c r="J1616" s="26">
        <v>80.0</v>
      </c>
      <c r="N1616" s="26" t="s">
        <v>683</v>
      </c>
    </row>
    <row r="1617">
      <c r="A1617" s="25">
        <v>43335.56766479167</v>
      </c>
      <c r="B1617" s="26" t="s">
        <v>33</v>
      </c>
      <c r="C1617" s="26" t="s">
        <v>43</v>
      </c>
      <c r="D1617" s="26" t="s">
        <v>31</v>
      </c>
      <c r="E1617" s="26">
        <v>200.0</v>
      </c>
      <c r="F1617" s="26" t="s">
        <v>63</v>
      </c>
      <c r="G1617" s="26">
        <v>6.0</v>
      </c>
      <c r="H1617" s="26">
        <v>0.0</v>
      </c>
      <c r="N1617" s="26" t="s">
        <v>751</v>
      </c>
    </row>
    <row r="1618">
      <c r="A1618" s="25">
        <v>43335.58663666667</v>
      </c>
      <c r="B1618" s="26" t="s">
        <v>80</v>
      </c>
      <c r="C1618" s="26" t="s">
        <v>179</v>
      </c>
      <c r="D1618" s="26" t="s">
        <v>31</v>
      </c>
      <c r="E1618" s="26">
        <v>169.0</v>
      </c>
      <c r="F1618" s="26" t="s">
        <v>1013</v>
      </c>
      <c r="G1618" s="26">
        <v>0.0</v>
      </c>
      <c r="H1618" s="26">
        <v>0.0</v>
      </c>
      <c r="I1618" s="26">
        <v>125000.0</v>
      </c>
      <c r="J1618" s="26">
        <v>25000.0</v>
      </c>
      <c r="K1618" s="26">
        <v>18750.0</v>
      </c>
      <c r="L1618" s="26" t="s">
        <v>1216</v>
      </c>
      <c r="N1618" s="26" t="s">
        <v>683</v>
      </c>
    </row>
    <row r="1619">
      <c r="A1619" s="25">
        <v>43335.58752390047</v>
      </c>
      <c r="B1619" s="26" t="s">
        <v>1217</v>
      </c>
      <c r="C1619" s="26" t="s">
        <v>70</v>
      </c>
      <c r="D1619" s="26" t="s">
        <v>1218</v>
      </c>
      <c r="E1619" s="26">
        <v>375.0</v>
      </c>
      <c r="F1619" s="26" t="s">
        <v>1219</v>
      </c>
      <c r="G1619" s="26">
        <v>19.0</v>
      </c>
      <c r="H1619" s="26">
        <v>2.0</v>
      </c>
      <c r="I1619" s="26">
        <v>200.0</v>
      </c>
      <c r="J1619" s="26">
        <v>125.0</v>
      </c>
      <c r="K1619" s="26">
        <v>50.0</v>
      </c>
      <c r="N1619" s="26" t="s">
        <v>757</v>
      </c>
    </row>
    <row r="1620">
      <c r="A1620" s="25">
        <v>43335.60519451389</v>
      </c>
      <c r="B1620" s="26" t="s">
        <v>1220</v>
      </c>
      <c r="C1620" s="26" t="s">
        <v>1221</v>
      </c>
      <c r="D1620" s="26" t="s">
        <v>31</v>
      </c>
      <c r="E1620" s="26">
        <v>250.0</v>
      </c>
      <c r="F1620" s="26" t="s">
        <v>684</v>
      </c>
      <c r="G1620" s="26">
        <v>12.0</v>
      </c>
      <c r="H1620" s="26">
        <v>3.0</v>
      </c>
      <c r="I1620" s="26">
        <v>161.0</v>
      </c>
      <c r="J1620" s="26">
        <v>65.0</v>
      </c>
      <c r="K1620" s="26">
        <v>24.0</v>
      </c>
      <c r="N1620" s="26" t="s">
        <v>683</v>
      </c>
    </row>
    <row r="1621">
      <c r="A1621" s="25">
        <v>43335.62288200231</v>
      </c>
      <c r="B1621" s="26" t="s">
        <v>80</v>
      </c>
      <c r="C1621" s="26" t="s">
        <v>176</v>
      </c>
      <c r="D1621" s="26" t="s">
        <v>711</v>
      </c>
      <c r="E1621" s="26">
        <v>700.0</v>
      </c>
      <c r="F1621" s="26" t="s">
        <v>58</v>
      </c>
      <c r="G1621" s="26">
        <v>3.0</v>
      </c>
      <c r="H1621" s="26">
        <v>4.0</v>
      </c>
      <c r="I1621" s="26">
        <v>200.0</v>
      </c>
      <c r="J1621" s="26">
        <v>300.0</v>
      </c>
      <c r="K1621" s="26">
        <v>200.0</v>
      </c>
      <c r="N1621" s="26" t="s">
        <v>751</v>
      </c>
    </row>
    <row r="1622">
      <c r="A1622" s="25">
        <v>43335.63594984954</v>
      </c>
      <c r="B1622" s="26" t="s">
        <v>187</v>
      </c>
      <c r="C1622" s="26" t="s">
        <v>1222</v>
      </c>
      <c r="D1622" s="26" t="s">
        <v>31</v>
      </c>
      <c r="E1622" s="26">
        <v>475.0</v>
      </c>
      <c r="F1622" s="26" t="s">
        <v>35</v>
      </c>
      <c r="G1622" s="26">
        <v>6.0</v>
      </c>
      <c r="H1622" s="26">
        <v>1.0</v>
      </c>
      <c r="I1622" s="26">
        <v>205.0</v>
      </c>
      <c r="J1622" s="26">
        <v>270000.0</v>
      </c>
      <c r="N1622" s="26" t="s">
        <v>685</v>
      </c>
    </row>
    <row r="1623">
      <c r="A1623" s="25">
        <v>43335.644040370375</v>
      </c>
      <c r="B1623" s="26" t="s">
        <v>40</v>
      </c>
      <c r="C1623" s="26">
        <v>66.0</v>
      </c>
      <c r="D1623" s="26" t="s">
        <v>31</v>
      </c>
      <c r="E1623" s="26">
        <v>365.0</v>
      </c>
      <c r="F1623" s="26" t="s">
        <v>108</v>
      </c>
      <c r="G1623" s="26">
        <v>20.0</v>
      </c>
      <c r="H1623" s="26">
        <v>20.0</v>
      </c>
      <c r="I1623" s="26">
        <v>210.0</v>
      </c>
      <c r="J1623" s="26">
        <v>100.0</v>
      </c>
      <c r="K1623" s="26">
        <v>55.0</v>
      </c>
      <c r="N1623" s="26" t="s">
        <v>685</v>
      </c>
    </row>
    <row r="1624">
      <c r="A1624" s="25">
        <v>43335.65015988426</v>
      </c>
      <c r="B1624" s="26" t="s">
        <v>40</v>
      </c>
      <c r="C1624" s="26">
        <v>61.0</v>
      </c>
      <c r="D1624" s="26" t="s">
        <v>31</v>
      </c>
      <c r="E1624" s="26">
        <v>168.0</v>
      </c>
      <c r="F1624" s="26" t="s">
        <v>1223</v>
      </c>
      <c r="G1624" s="26">
        <v>3.0</v>
      </c>
      <c r="H1624" s="26">
        <v>1.0</v>
      </c>
      <c r="I1624" s="26">
        <v>135.0</v>
      </c>
      <c r="J1624" s="26">
        <v>20.0</v>
      </c>
      <c r="K1624" s="26">
        <v>13.0</v>
      </c>
      <c r="N1624" s="26" t="s">
        <v>704</v>
      </c>
    </row>
    <row r="1625">
      <c r="A1625" s="25">
        <v>43335.65138216435</v>
      </c>
      <c r="B1625" s="26" t="s">
        <v>139</v>
      </c>
      <c r="C1625" s="26" t="s">
        <v>117</v>
      </c>
      <c r="D1625" s="26" t="s">
        <v>31</v>
      </c>
      <c r="E1625" s="26">
        <v>135.0</v>
      </c>
      <c r="F1625" s="26" t="s">
        <v>1224</v>
      </c>
      <c r="G1625" s="26">
        <v>2.0</v>
      </c>
      <c r="H1625" s="26">
        <v>1.0</v>
      </c>
      <c r="I1625" s="26">
        <v>110.0</v>
      </c>
      <c r="J1625" s="26">
        <v>15.0</v>
      </c>
      <c r="K1625" s="26">
        <v>10.0</v>
      </c>
      <c r="N1625" s="26" t="s">
        <v>691</v>
      </c>
    </row>
    <row r="1626">
      <c r="A1626" s="25">
        <v>43335.67860663195</v>
      </c>
      <c r="B1626" s="26" t="s">
        <v>40</v>
      </c>
      <c r="C1626" s="26">
        <v>64.0</v>
      </c>
      <c r="D1626" s="26" t="s">
        <v>1225</v>
      </c>
      <c r="E1626" s="26">
        <v>170.0</v>
      </c>
      <c r="F1626" s="26" t="s">
        <v>35</v>
      </c>
      <c r="G1626" s="26">
        <v>14.0</v>
      </c>
      <c r="H1626" s="26">
        <v>6.0</v>
      </c>
      <c r="I1626" s="26">
        <v>140.0</v>
      </c>
      <c r="J1626" s="26">
        <v>15.0</v>
      </c>
      <c r="K1626" s="26">
        <v>15.0</v>
      </c>
      <c r="N1626" s="26" t="s">
        <v>1226</v>
      </c>
    </row>
    <row r="1627">
      <c r="A1627" s="25">
        <v>43335.69252773148</v>
      </c>
      <c r="B1627" s="26" t="s">
        <v>119</v>
      </c>
      <c r="C1627" s="26" t="s">
        <v>1227</v>
      </c>
      <c r="D1627" s="26" t="s">
        <v>31</v>
      </c>
      <c r="E1627" s="26">
        <v>600.0</v>
      </c>
      <c r="F1627" s="26" t="s">
        <v>58</v>
      </c>
      <c r="G1627" s="26">
        <v>8.0</v>
      </c>
      <c r="H1627" s="26">
        <v>5.0</v>
      </c>
      <c r="I1627" s="26">
        <v>280.0</v>
      </c>
      <c r="J1627" s="26">
        <v>250.0</v>
      </c>
      <c r="K1627" s="26">
        <v>70.0</v>
      </c>
      <c r="N1627" s="26" t="s">
        <v>683</v>
      </c>
    </row>
    <row r="1628">
      <c r="A1628" s="25">
        <v>43335.71891177083</v>
      </c>
      <c r="B1628" s="26" t="s">
        <v>95</v>
      </c>
      <c r="C1628" s="26" t="s">
        <v>96</v>
      </c>
      <c r="D1628" s="26" t="s">
        <v>31</v>
      </c>
      <c r="E1628" s="26">
        <v>525.0</v>
      </c>
      <c r="F1628" s="26" t="s">
        <v>1228</v>
      </c>
      <c r="G1628" s="26">
        <v>17.0</v>
      </c>
      <c r="H1628" s="26">
        <v>1.0</v>
      </c>
      <c r="N1628" s="26" t="s">
        <v>751</v>
      </c>
    </row>
    <row r="1629">
      <c r="A1629" s="25">
        <v>43335.74689944445</v>
      </c>
      <c r="B1629" s="26" t="s">
        <v>33</v>
      </c>
      <c r="C1629" s="26" t="s">
        <v>1061</v>
      </c>
      <c r="D1629" s="26" t="s">
        <v>41</v>
      </c>
      <c r="E1629" s="26">
        <v>110.0</v>
      </c>
      <c r="F1629" s="26" t="s">
        <v>63</v>
      </c>
      <c r="G1629" s="26">
        <v>10.0</v>
      </c>
      <c r="H1629" s="26">
        <v>10.0</v>
      </c>
      <c r="N1629" s="26" t="s">
        <v>757</v>
      </c>
    </row>
    <row r="1630">
      <c r="A1630" s="25">
        <v>43335.77864853009</v>
      </c>
      <c r="B1630" s="26" t="s">
        <v>1229</v>
      </c>
      <c r="C1630" s="26" t="s">
        <v>62</v>
      </c>
      <c r="D1630" s="26" t="s">
        <v>713</v>
      </c>
      <c r="E1630" s="26">
        <v>246.0</v>
      </c>
      <c r="F1630" s="26" t="s">
        <v>571</v>
      </c>
      <c r="G1630" s="26">
        <v>15.0</v>
      </c>
      <c r="H1630" s="26">
        <v>1.0</v>
      </c>
      <c r="I1630" s="26">
        <v>155.0</v>
      </c>
      <c r="J1630" s="26">
        <v>60.0</v>
      </c>
      <c r="K1630" s="26">
        <v>31.0</v>
      </c>
      <c r="N1630" s="26" t="s">
        <v>708</v>
      </c>
    </row>
    <row r="1631">
      <c r="A1631" s="25">
        <v>43335.786635833334</v>
      </c>
      <c r="B1631" s="26" t="s">
        <v>80</v>
      </c>
      <c r="C1631" s="26" t="s">
        <v>1062</v>
      </c>
      <c r="D1631" s="26" t="s">
        <v>31</v>
      </c>
      <c r="E1631" s="26">
        <v>246.0</v>
      </c>
      <c r="F1631" s="26" t="s">
        <v>134</v>
      </c>
      <c r="G1631" s="26">
        <v>20.0</v>
      </c>
      <c r="H1631" s="26">
        <v>0.0</v>
      </c>
      <c r="I1631" s="26">
        <v>146.0</v>
      </c>
      <c r="J1631" s="26">
        <v>75.0</v>
      </c>
      <c r="K1631" s="26">
        <v>25.0</v>
      </c>
      <c r="N1631" s="26" t="s">
        <v>685</v>
      </c>
    </row>
    <row r="1632">
      <c r="A1632" s="25">
        <v>43335.83702395833</v>
      </c>
      <c r="B1632" s="26" t="s">
        <v>411</v>
      </c>
      <c r="C1632" s="26" t="s">
        <v>628</v>
      </c>
      <c r="D1632" s="26" t="s">
        <v>1225</v>
      </c>
      <c r="E1632" s="26">
        <v>185.0</v>
      </c>
      <c r="F1632" s="26" t="s">
        <v>629</v>
      </c>
      <c r="G1632" s="26">
        <v>22.0</v>
      </c>
      <c r="H1632" s="26">
        <v>4.0</v>
      </c>
      <c r="I1632" s="26">
        <v>165.0</v>
      </c>
      <c r="J1632" s="26">
        <v>4.0</v>
      </c>
      <c r="K1632" s="26">
        <v>16.0</v>
      </c>
      <c r="N1632" s="26" t="s">
        <v>1230</v>
      </c>
    </row>
    <row r="1633">
      <c r="A1633" s="25">
        <v>43335.84078121527</v>
      </c>
      <c r="B1633" s="26" t="s">
        <v>124</v>
      </c>
      <c r="C1633" s="26" t="s">
        <v>1068</v>
      </c>
      <c r="D1633" s="26" t="s">
        <v>31</v>
      </c>
      <c r="E1633" s="26">
        <v>150.0</v>
      </c>
      <c r="F1633" s="26" t="s">
        <v>32</v>
      </c>
      <c r="G1633" s="26">
        <v>3.0</v>
      </c>
      <c r="H1633" s="26">
        <v>1.0</v>
      </c>
      <c r="I1633" s="26">
        <v>100.0</v>
      </c>
      <c r="J1633" s="26">
        <v>40.0</v>
      </c>
      <c r="K1633" s="26">
        <v>10.0</v>
      </c>
      <c r="N1633" s="26" t="s">
        <v>696</v>
      </c>
    </row>
    <row r="1634">
      <c r="A1634" s="25">
        <v>43335.842625150464</v>
      </c>
      <c r="B1634" s="26" t="s">
        <v>124</v>
      </c>
      <c r="C1634" s="26" t="s">
        <v>1068</v>
      </c>
      <c r="D1634" s="26" t="s">
        <v>31</v>
      </c>
      <c r="E1634" s="26">
        <v>150.0</v>
      </c>
      <c r="F1634" s="26" t="s">
        <v>32</v>
      </c>
      <c r="G1634" s="26">
        <v>3.0</v>
      </c>
      <c r="H1634" s="26">
        <v>1.0</v>
      </c>
      <c r="I1634" s="26">
        <v>100.0</v>
      </c>
      <c r="J1634" s="26">
        <v>40.0</v>
      </c>
      <c r="K1634" s="26">
        <v>10.0</v>
      </c>
      <c r="N1634" s="26" t="s">
        <v>696</v>
      </c>
    </row>
    <row r="1635">
      <c r="A1635" s="25">
        <v>43335.89703756945</v>
      </c>
      <c r="B1635" s="26" t="s">
        <v>48</v>
      </c>
      <c r="C1635" s="26" t="s">
        <v>46</v>
      </c>
      <c r="D1635" s="26" t="s">
        <v>41</v>
      </c>
      <c r="E1635" s="26">
        <v>514.0</v>
      </c>
      <c r="F1635" s="26" t="s">
        <v>247</v>
      </c>
      <c r="G1635" s="26">
        <v>14.0</v>
      </c>
      <c r="H1635" s="26">
        <v>1.0</v>
      </c>
      <c r="I1635" s="26">
        <v>220.0</v>
      </c>
      <c r="J1635" s="26">
        <v>250.0</v>
      </c>
      <c r="K1635" s="26">
        <v>44.0</v>
      </c>
      <c r="N1635" s="26" t="s">
        <v>687</v>
      </c>
    </row>
    <row r="1636">
      <c r="A1636" s="25">
        <v>43335.90745451389</v>
      </c>
      <c r="B1636" s="26" t="s">
        <v>33</v>
      </c>
      <c r="C1636" s="26" t="s">
        <v>73</v>
      </c>
      <c r="D1636" s="26" t="s">
        <v>31</v>
      </c>
      <c r="E1636" s="26">
        <v>172.0</v>
      </c>
      <c r="F1636" s="26" t="s">
        <v>134</v>
      </c>
      <c r="G1636" s="26">
        <v>10.0</v>
      </c>
      <c r="H1636" s="26">
        <v>0.8</v>
      </c>
      <c r="N1636" s="26" t="s">
        <v>683</v>
      </c>
    </row>
    <row r="1637">
      <c r="A1637" s="25">
        <v>43335.92483550926</v>
      </c>
      <c r="B1637" s="26" t="s">
        <v>33</v>
      </c>
      <c r="C1637" s="26" t="s">
        <v>73</v>
      </c>
      <c r="D1637" s="26" t="s">
        <v>31</v>
      </c>
      <c r="E1637" s="26">
        <v>145.0</v>
      </c>
      <c r="F1637" s="26" t="s">
        <v>63</v>
      </c>
      <c r="G1637" s="26">
        <v>5.0</v>
      </c>
      <c r="H1637" s="26">
        <v>1.0</v>
      </c>
      <c r="I1637" s="26">
        <v>114.0</v>
      </c>
      <c r="J1637" s="26">
        <v>7.0</v>
      </c>
      <c r="K1637" s="26">
        <v>24.0</v>
      </c>
      <c r="L1637" s="26" t="s">
        <v>1231</v>
      </c>
      <c r="N1637" s="26" t="s">
        <v>683</v>
      </c>
    </row>
    <row r="1638">
      <c r="A1638" s="25">
        <v>43335.935859386576</v>
      </c>
      <c r="B1638" s="26" t="s">
        <v>428</v>
      </c>
      <c r="C1638" s="26" t="s">
        <v>1232</v>
      </c>
      <c r="D1638" s="26" t="s">
        <v>31</v>
      </c>
      <c r="E1638" s="26">
        <v>750.0</v>
      </c>
      <c r="F1638" s="26" t="s">
        <v>32</v>
      </c>
      <c r="G1638" s="26">
        <v>15.0</v>
      </c>
      <c r="H1638" s="26">
        <v>10.0</v>
      </c>
      <c r="I1638" s="26">
        <v>500.0</v>
      </c>
      <c r="J1638" s="26">
        <v>150.0</v>
      </c>
      <c r="K1638" s="26">
        <v>100.0</v>
      </c>
      <c r="L1638" s="26" t="s">
        <v>1233</v>
      </c>
      <c r="N1638" s="26" t="s">
        <v>683</v>
      </c>
    </row>
    <row r="1639">
      <c r="A1639" s="25">
        <v>43335.93679021991</v>
      </c>
      <c r="B1639" s="26" t="s">
        <v>33</v>
      </c>
      <c r="C1639" s="26" t="s">
        <v>62</v>
      </c>
      <c r="D1639" s="26" t="s">
        <v>27</v>
      </c>
      <c r="E1639" s="26">
        <v>230.0</v>
      </c>
      <c r="F1639" s="26" t="s">
        <v>63</v>
      </c>
      <c r="G1639" s="26">
        <v>8.0</v>
      </c>
      <c r="H1639" s="26">
        <v>2.0</v>
      </c>
      <c r="I1639" s="26">
        <v>134200.0</v>
      </c>
      <c r="J1639" s="26">
        <v>100.0</v>
      </c>
      <c r="N1639" s="26" t="s">
        <v>687</v>
      </c>
    </row>
    <row r="1640">
      <c r="A1640" s="25">
        <v>43335.962833391204</v>
      </c>
      <c r="B1640" s="26" t="s">
        <v>124</v>
      </c>
      <c r="C1640" s="26" t="s">
        <v>125</v>
      </c>
      <c r="D1640" s="26" t="s">
        <v>711</v>
      </c>
      <c r="E1640" s="26">
        <v>250.0</v>
      </c>
      <c r="F1640" s="26" t="s">
        <v>635</v>
      </c>
      <c r="G1640" s="26">
        <v>5.0</v>
      </c>
      <c r="H1640" s="26">
        <v>3.0</v>
      </c>
      <c r="I1640" s="26">
        <v>170000.0</v>
      </c>
      <c r="J1640" s="26">
        <v>40.0</v>
      </c>
      <c r="K1640" s="26">
        <v>20.0</v>
      </c>
      <c r="N1640" s="26" t="s">
        <v>691</v>
      </c>
    </row>
    <row r="1641">
      <c r="A1641" s="25">
        <v>43336.049757500004</v>
      </c>
      <c r="B1641" s="26" t="s">
        <v>33</v>
      </c>
      <c r="C1641" s="26" t="s">
        <v>43</v>
      </c>
      <c r="D1641" s="26" t="s">
        <v>1234</v>
      </c>
      <c r="E1641" s="26">
        <v>350.0</v>
      </c>
      <c r="F1641" s="26" t="s">
        <v>35</v>
      </c>
      <c r="G1641" s="26">
        <v>0.0</v>
      </c>
      <c r="H1641" s="26">
        <v>0.0</v>
      </c>
      <c r="L1641" s="26" t="s">
        <v>121</v>
      </c>
      <c r="N1641" s="26" t="s">
        <v>691</v>
      </c>
    </row>
    <row r="1642">
      <c r="A1642" s="25">
        <v>43336.36414560185</v>
      </c>
      <c r="B1642" s="26" t="s">
        <v>1235</v>
      </c>
      <c r="C1642" s="26" t="s">
        <v>353</v>
      </c>
      <c r="D1642" s="26" t="s">
        <v>1236</v>
      </c>
      <c r="E1642" s="26">
        <v>70.0</v>
      </c>
      <c r="F1642" s="26" t="s">
        <v>134</v>
      </c>
      <c r="G1642" s="26">
        <v>0.0</v>
      </c>
      <c r="H1642" s="26">
        <v>2.5</v>
      </c>
      <c r="I1642" s="26">
        <v>70.0</v>
      </c>
      <c r="K1642" s="26">
        <v>3.0</v>
      </c>
      <c r="N1642" s="26" t="s">
        <v>1237</v>
      </c>
    </row>
    <row r="1643">
      <c r="A1643" s="25">
        <v>43336.38167178241</v>
      </c>
      <c r="B1643" s="26" t="s">
        <v>1238</v>
      </c>
      <c r="C1643" s="26" t="s">
        <v>427</v>
      </c>
      <c r="D1643" s="26" t="s">
        <v>27</v>
      </c>
      <c r="E1643" s="26">
        <v>121.0</v>
      </c>
      <c r="F1643" s="26" t="s">
        <v>1239</v>
      </c>
      <c r="G1643" s="26">
        <v>1.0</v>
      </c>
      <c r="H1643" s="26">
        <v>4.0</v>
      </c>
      <c r="I1643" s="26">
        <v>103.0</v>
      </c>
      <c r="J1643" s="26">
        <v>2.0</v>
      </c>
      <c r="K1643" s="26">
        <v>10.0</v>
      </c>
      <c r="N1643" s="26" t="s">
        <v>696</v>
      </c>
    </row>
    <row r="1644">
      <c r="A1644" s="25">
        <v>43336.39148997686</v>
      </c>
      <c r="B1644" s="26" t="s">
        <v>1240</v>
      </c>
      <c r="C1644" s="26" t="s">
        <v>1241</v>
      </c>
      <c r="D1644" s="26" t="s">
        <v>27</v>
      </c>
      <c r="E1644" s="26">
        <v>155.0</v>
      </c>
      <c r="F1644" s="26" t="s">
        <v>362</v>
      </c>
      <c r="G1644" s="26">
        <v>15.0</v>
      </c>
      <c r="H1644" s="26">
        <v>1.0</v>
      </c>
      <c r="I1644" s="26">
        <v>155.0</v>
      </c>
      <c r="J1644" s="26">
        <v>50.0</v>
      </c>
      <c r="K1644" s="26">
        <v>10.0</v>
      </c>
      <c r="N1644" s="26" t="s">
        <v>1242</v>
      </c>
    </row>
    <row r="1645">
      <c r="A1645" s="25">
        <v>43336.423438645834</v>
      </c>
      <c r="B1645" s="26" t="s">
        <v>40</v>
      </c>
      <c r="C1645" s="26">
        <v>59.0</v>
      </c>
      <c r="D1645" s="26" t="s">
        <v>31</v>
      </c>
      <c r="E1645" s="26">
        <v>196.0</v>
      </c>
      <c r="F1645" s="26" t="s">
        <v>52</v>
      </c>
      <c r="G1645" s="26">
        <v>1.0</v>
      </c>
      <c r="H1645" s="26">
        <v>0.0</v>
      </c>
      <c r="I1645" s="26">
        <v>109.0</v>
      </c>
      <c r="J1645" s="26">
        <v>37.0</v>
      </c>
      <c r="K1645" s="26">
        <v>50.0</v>
      </c>
      <c r="N1645" s="26" t="s">
        <v>1243</v>
      </c>
    </row>
    <row r="1646">
      <c r="A1646" s="25">
        <v>43336.46699538194</v>
      </c>
      <c r="B1646" s="26" t="s">
        <v>40</v>
      </c>
      <c r="C1646" s="26">
        <v>62.0</v>
      </c>
      <c r="D1646" s="26" t="s">
        <v>31</v>
      </c>
      <c r="E1646" s="26">
        <v>200.0</v>
      </c>
      <c r="F1646" s="26" t="s">
        <v>52</v>
      </c>
      <c r="G1646" s="26">
        <v>4.0</v>
      </c>
      <c r="H1646" s="26">
        <v>4.0</v>
      </c>
      <c r="I1646" s="26">
        <v>145.0</v>
      </c>
      <c r="J1646" s="26">
        <v>27000.0</v>
      </c>
      <c r="K1646" s="26">
        <v>24400.0</v>
      </c>
      <c r="N1646" s="26" t="s">
        <v>685</v>
      </c>
    </row>
    <row r="1647">
      <c r="A1647" s="25">
        <v>43336.47118418981</v>
      </c>
      <c r="B1647" s="26" t="s">
        <v>371</v>
      </c>
      <c r="C1647" s="26" t="s">
        <v>716</v>
      </c>
      <c r="D1647" s="26" t="s">
        <v>31</v>
      </c>
      <c r="E1647" s="26">
        <v>105.0</v>
      </c>
      <c r="F1647" s="26" t="s">
        <v>327</v>
      </c>
      <c r="G1647" s="26">
        <v>2.0</v>
      </c>
      <c r="H1647" s="26">
        <v>2.0</v>
      </c>
      <c r="I1647" s="26">
        <v>90.0</v>
      </c>
      <c r="J1647" s="26">
        <v>8.0</v>
      </c>
      <c r="K1647" s="26">
        <v>7.0</v>
      </c>
      <c r="N1647" s="26" t="s">
        <v>1244</v>
      </c>
    </row>
    <row r="1648">
      <c r="A1648" s="25">
        <v>43336.471789884265</v>
      </c>
      <c r="B1648" s="26" t="s">
        <v>371</v>
      </c>
      <c r="C1648" s="26" t="s">
        <v>716</v>
      </c>
      <c r="D1648" s="26" t="s">
        <v>31</v>
      </c>
      <c r="E1648" s="26">
        <v>115.0</v>
      </c>
      <c r="F1648" s="26" t="s">
        <v>232</v>
      </c>
      <c r="G1648" s="26">
        <v>1.0</v>
      </c>
      <c r="H1648" s="26">
        <v>1.0</v>
      </c>
      <c r="I1648" s="26">
        <v>100.0</v>
      </c>
      <c r="J1648" s="26">
        <v>10.0</v>
      </c>
      <c r="K1648" s="26">
        <v>5.0</v>
      </c>
      <c r="N1648" s="26" t="s">
        <v>1245</v>
      </c>
    </row>
    <row r="1649">
      <c r="A1649" s="25">
        <v>43336.47245380787</v>
      </c>
      <c r="B1649" s="26" t="s">
        <v>371</v>
      </c>
      <c r="C1649" s="26" t="s">
        <v>541</v>
      </c>
      <c r="D1649" s="26" t="s">
        <v>31</v>
      </c>
      <c r="E1649" s="26">
        <v>130.0</v>
      </c>
      <c r="F1649" s="26" t="s">
        <v>327</v>
      </c>
      <c r="G1649" s="26">
        <v>4.0</v>
      </c>
      <c r="H1649" s="26">
        <v>4.0</v>
      </c>
      <c r="I1649" s="26">
        <v>108.0</v>
      </c>
      <c r="J1649" s="26">
        <v>12.0</v>
      </c>
      <c r="K1649" s="26">
        <v>10.0</v>
      </c>
      <c r="N1649" s="26" t="s">
        <v>1245</v>
      </c>
    </row>
    <row r="1650">
      <c r="A1650" s="25">
        <v>43336.47310934028</v>
      </c>
      <c r="B1650" s="26" t="s">
        <v>371</v>
      </c>
      <c r="C1650" s="26" t="s">
        <v>541</v>
      </c>
      <c r="D1650" s="26" t="s">
        <v>31</v>
      </c>
      <c r="E1650" s="26">
        <v>155.0</v>
      </c>
      <c r="F1650" s="26" t="s">
        <v>886</v>
      </c>
      <c r="G1650" s="26">
        <v>7.0</v>
      </c>
      <c r="H1650" s="26">
        <v>5.0</v>
      </c>
      <c r="I1650" s="26">
        <v>120.0</v>
      </c>
      <c r="J1650" s="26">
        <v>20.0</v>
      </c>
      <c r="K1650" s="26">
        <v>15.0</v>
      </c>
      <c r="N1650" s="26" t="s">
        <v>1246</v>
      </c>
    </row>
    <row r="1651">
      <c r="A1651" s="25">
        <v>43336.47387782407</v>
      </c>
      <c r="B1651" s="26" t="s">
        <v>371</v>
      </c>
      <c r="C1651" s="26" t="s">
        <v>541</v>
      </c>
      <c r="D1651" s="26" t="s">
        <v>31</v>
      </c>
      <c r="E1651" s="26">
        <v>160.0</v>
      </c>
      <c r="F1651" s="26" t="s">
        <v>232</v>
      </c>
      <c r="G1651" s="26">
        <v>5.0</v>
      </c>
      <c r="H1651" s="26">
        <v>5.0</v>
      </c>
      <c r="I1651" s="26">
        <v>128.0</v>
      </c>
      <c r="J1651" s="26">
        <v>22.0</v>
      </c>
      <c r="K1651" s="26">
        <v>10.0</v>
      </c>
      <c r="N1651" s="26" t="s">
        <v>1247</v>
      </c>
    </row>
    <row r="1652">
      <c r="A1652" s="25">
        <v>43336.47929368056</v>
      </c>
      <c r="B1652" s="26" t="s">
        <v>371</v>
      </c>
      <c r="C1652" s="26" t="s">
        <v>1248</v>
      </c>
      <c r="D1652" s="26" t="s">
        <v>31</v>
      </c>
      <c r="E1652" s="26">
        <v>205.0</v>
      </c>
      <c r="F1652" s="26" t="s">
        <v>886</v>
      </c>
      <c r="G1652" s="26">
        <v>12.0</v>
      </c>
      <c r="H1652" s="26">
        <v>10.0</v>
      </c>
      <c r="I1652" s="26">
        <v>150.0</v>
      </c>
      <c r="J1652" s="26">
        <v>40.0</v>
      </c>
      <c r="K1652" s="26">
        <v>15.0</v>
      </c>
      <c r="N1652" s="26" t="s">
        <v>1245</v>
      </c>
    </row>
    <row r="1653">
      <c r="A1653" s="25">
        <v>43336.48013063657</v>
      </c>
      <c r="B1653" s="26" t="s">
        <v>371</v>
      </c>
      <c r="C1653" s="26" t="s">
        <v>1248</v>
      </c>
      <c r="D1653" s="26" t="s">
        <v>31</v>
      </c>
      <c r="E1653" s="26">
        <v>220.0</v>
      </c>
      <c r="F1653" s="26" t="s">
        <v>232</v>
      </c>
      <c r="G1653" s="26">
        <v>15.0</v>
      </c>
      <c r="H1653" s="26">
        <v>12.0</v>
      </c>
      <c r="I1653" s="26">
        <v>160.0</v>
      </c>
      <c r="J1653" s="26">
        <v>45.0</v>
      </c>
      <c r="K1653" s="26">
        <v>15.0</v>
      </c>
      <c r="N1653" s="26" t="s">
        <v>1244</v>
      </c>
    </row>
    <row r="1654">
      <c r="A1654" s="25">
        <v>43336.4809303125</v>
      </c>
      <c r="B1654" s="26" t="s">
        <v>371</v>
      </c>
      <c r="C1654" s="26" t="s">
        <v>1174</v>
      </c>
      <c r="D1654" s="26" t="s">
        <v>31</v>
      </c>
      <c r="E1654" s="26">
        <v>280.0</v>
      </c>
      <c r="F1654" s="26" t="s">
        <v>886</v>
      </c>
      <c r="G1654" s="26">
        <v>20.0</v>
      </c>
      <c r="H1654" s="26">
        <v>15.0</v>
      </c>
      <c r="I1654" s="26">
        <v>175.0</v>
      </c>
      <c r="J1654" s="26">
        <v>75.0</v>
      </c>
      <c r="K1654" s="26">
        <v>30.0</v>
      </c>
      <c r="N1654" s="26" t="s">
        <v>1245</v>
      </c>
    </row>
    <row r="1655">
      <c r="A1655" s="25">
        <v>43336.49467269676</v>
      </c>
      <c r="B1655" s="26" t="s">
        <v>40</v>
      </c>
      <c r="C1655" s="26">
        <v>62.0</v>
      </c>
      <c r="D1655" s="26" t="s">
        <v>31</v>
      </c>
      <c r="E1655" s="26">
        <v>172.0</v>
      </c>
      <c r="F1655" s="26" t="s">
        <v>178</v>
      </c>
      <c r="G1655" s="26">
        <v>7.0</v>
      </c>
      <c r="H1655" s="26">
        <v>4.0</v>
      </c>
      <c r="I1655" s="26">
        <v>142.0</v>
      </c>
      <c r="J1655" s="26">
        <v>10.0</v>
      </c>
      <c r="K1655" s="26">
        <v>20.0</v>
      </c>
      <c r="N1655" s="26" t="s">
        <v>696</v>
      </c>
    </row>
    <row r="1656">
      <c r="A1656" s="25">
        <v>43336.49472120371</v>
      </c>
      <c r="B1656" s="26" t="s">
        <v>40</v>
      </c>
      <c r="C1656" s="26">
        <v>62.0</v>
      </c>
      <c r="D1656" s="26" t="s">
        <v>31</v>
      </c>
      <c r="E1656" s="26">
        <v>172.0</v>
      </c>
      <c r="F1656" s="26" t="s">
        <v>178</v>
      </c>
      <c r="G1656" s="26">
        <v>7.0</v>
      </c>
      <c r="H1656" s="26">
        <v>4.0</v>
      </c>
      <c r="I1656" s="26">
        <v>142.0</v>
      </c>
      <c r="J1656" s="26">
        <v>10.0</v>
      </c>
      <c r="K1656" s="26">
        <v>20.0</v>
      </c>
      <c r="N1656" s="26" t="s">
        <v>696</v>
      </c>
    </row>
    <row r="1657">
      <c r="A1657" s="25">
        <v>43336.50167760417</v>
      </c>
      <c r="B1657" s="26" t="s">
        <v>371</v>
      </c>
      <c r="C1657" s="26" t="s">
        <v>1248</v>
      </c>
      <c r="D1657" s="26" t="s">
        <v>31</v>
      </c>
      <c r="E1657" s="26">
        <v>290.0</v>
      </c>
      <c r="F1657" s="26" t="s">
        <v>459</v>
      </c>
      <c r="G1657" s="26">
        <v>30.0</v>
      </c>
      <c r="H1657" s="26">
        <v>7.0</v>
      </c>
      <c r="N1657" s="26" t="s">
        <v>817</v>
      </c>
    </row>
    <row r="1658">
      <c r="A1658" s="25">
        <v>43336.505005625004</v>
      </c>
      <c r="B1658" s="26" t="s">
        <v>127</v>
      </c>
      <c r="C1658" s="26" t="s">
        <v>62</v>
      </c>
      <c r="D1658" s="26" t="s">
        <v>27</v>
      </c>
      <c r="E1658" s="26">
        <v>145.0</v>
      </c>
      <c r="F1658" s="26" t="s">
        <v>129</v>
      </c>
      <c r="G1658" s="26">
        <v>12.0</v>
      </c>
      <c r="H1658" s="26">
        <v>3.0</v>
      </c>
      <c r="I1658" s="26">
        <v>145.0</v>
      </c>
      <c r="J1658" s="26">
        <v>30.0</v>
      </c>
      <c r="N1658" s="26" t="s">
        <v>691</v>
      </c>
    </row>
    <row r="1659">
      <c r="A1659" s="25">
        <v>43336.528520949076</v>
      </c>
      <c r="B1659" s="26" t="s">
        <v>371</v>
      </c>
      <c r="C1659" s="26" t="s">
        <v>541</v>
      </c>
      <c r="D1659" s="26" t="s">
        <v>31</v>
      </c>
      <c r="E1659" s="26">
        <v>139.0</v>
      </c>
      <c r="F1659" s="26" t="s">
        <v>327</v>
      </c>
      <c r="G1659" s="26">
        <v>8.0</v>
      </c>
      <c r="H1659" s="26">
        <v>6.0</v>
      </c>
      <c r="I1659" s="26">
        <v>119.0</v>
      </c>
      <c r="J1659" s="26">
        <v>10.0</v>
      </c>
      <c r="K1659" s="26">
        <v>10.0</v>
      </c>
      <c r="N1659" s="26" t="s">
        <v>751</v>
      </c>
    </row>
    <row r="1660">
      <c r="A1660" s="25">
        <v>43336.572807523145</v>
      </c>
      <c r="B1660" s="26" t="s">
        <v>40</v>
      </c>
      <c r="C1660" s="26">
        <v>65.0</v>
      </c>
      <c r="D1660" s="26" t="s">
        <v>713</v>
      </c>
      <c r="E1660" s="26">
        <v>368.0</v>
      </c>
      <c r="F1660" s="26" t="s">
        <v>32</v>
      </c>
      <c r="G1660" s="26">
        <v>15.0</v>
      </c>
      <c r="H1660" s="26">
        <v>4.0</v>
      </c>
      <c r="I1660" s="26">
        <v>203.0</v>
      </c>
      <c r="J1660" s="26">
        <v>100.0</v>
      </c>
      <c r="K1660" s="26">
        <v>65.0</v>
      </c>
      <c r="N1660" s="26" t="s">
        <v>726</v>
      </c>
    </row>
    <row r="1661">
      <c r="A1661" s="25">
        <v>43336.79545109953</v>
      </c>
      <c r="B1661" s="26" t="s">
        <v>146</v>
      </c>
      <c r="C1661" s="26" t="s">
        <v>96</v>
      </c>
      <c r="D1661" s="26" t="s">
        <v>96</v>
      </c>
      <c r="E1661" s="26">
        <v>310.0</v>
      </c>
      <c r="F1661" s="26" t="s">
        <v>1170</v>
      </c>
      <c r="G1661" s="26">
        <v>14.0</v>
      </c>
      <c r="H1661" s="26">
        <v>4.0</v>
      </c>
      <c r="I1661" s="26">
        <v>173.0</v>
      </c>
      <c r="J1661" s="26">
        <v>120.0</v>
      </c>
      <c r="K1661" s="26">
        <v>17.0</v>
      </c>
      <c r="N1661" s="26" t="s">
        <v>685</v>
      </c>
    </row>
    <row r="1662">
      <c r="A1662" s="25">
        <v>43336.82175841436</v>
      </c>
      <c r="B1662" s="26" t="s">
        <v>40</v>
      </c>
      <c r="C1662" s="26">
        <v>63.0</v>
      </c>
      <c r="D1662" s="26" t="s">
        <v>27</v>
      </c>
      <c r="E1662" s="26">
        <v>200.0</v>
      </c>
      <c r="F1662" s="26" t="s">
        <v>52</v>
      </c>
      <c r="G1662" s="26">
        <v>6.0</v>
      </c>
      <c r="H1662" s="26">
        <v>3.0</v>
      </c>
      <c r="I1662" s="26">
        <v>155.0</v>
      </c>
      <c r="J1662" s="26">
        <v>20.0</v>
      </c>
      <c r="K1662" s="26">
        <v>25.0</v>
      </c>
      <c r="N1662" s="26" t="s">
        <v>696</v>
      </c>
    </row>
    <row r="1663">
      <c r="A1663" s="25">
        <v>43336.86724736111</v>
      </c>
      <c r="B1663" s="26" t="s">
        <v>139</v>
      </c>
      <c r="C1663" s="26" t="s">
        <v>184</v>
      </c>
      <c r="D1663" s="26" t="s">
        <v>31</v>
      </c>
      <c r="E1663" s="26">
        <v>200.0</v>
      </c>
      <c r="F1663" s="26" t="s">
        <v>326</v>
      </c>
      <c r="G1663" s="26">
        <v>9.0</v>
      </c>
      <c r="H1663" s="26">
        <v>1.0</v>
      </c>
      <c r="I1663" s="26">
        <v>140.0</v>
      </c>
      <c r="J1663" s="26">
        <v>60.0</v>
      </c>
      <c r="N1663" s="26" t="s">
        <v>704</v>
      </c>
    </row>
    <row r="1664">
      <c r="A1664" s="25">
        <v>43336.89283991898</v>
      </c>
      <c r="B1664" s="26" t="s">
        <v>1196</v>
      </c>
      <c r="C1664" s="26">
        <v>60.0</v>
      </c>
      <c r="D1664" s="26" t="s">
        <v>31</v>
      </c>
      <c r="E1664" s="26">
        <v>166.0</v>
      </c>
      <c r="F1664" s="26" t="s">
        <v>75</v>
      </c>
      <c r="G1664" s="26">
        <v>2.0</v>
      </c>
      <c r="H1664" s="26">
        <v>2.0</v>
      </c>
      <c r="I1664" s="26">
        <v>122.0</v>
      </c>
      <c r="J1664" s="26">
        <v>30.0</v>
      </c>
      <c r="K1664" s="26">
        <v>14.0</v>
      </c>
      <c r="N1664" s="26" t="s">
        <v>685</v>
      </c>
    </row>
    <row r="1665">
      <c r="A1665" s="25">
        <v>43336.89816773148</v>
      </c>
      <c r="B1665" s="26" t="s">
        <v>80</v>
      </c>
      <c r="C1665" s="26" t="s">
        <v>1249</v>
      </c>
      <c r="D1665" s="26" t="s">
        <v>1249</v>
      </c>
      <c r="E1665" s="26">
        <v>450.0</v>
      </c>
      <c r="F1665" s="26" t="s">
        <v>51</v>
      </c>
      <c r="G1665" s="26">
        <v>5.0</v>
      </c>
      <c r="H1665" s="26">
        <v>2.0</v>
      </c>
      <c r="I1665" s="26">
        <v>180000.0</v>
      </c>
      <c r="J1665" s="26">
        <v>250000.0</v>
      </c>
      <c r="K1665" s="26">
        <v>20000.0</v>
      </c>
      <c r="L1665" s="26" t="s">
        <v>1250</v>
      </c>
      <c r="N1665" s="26" t="s">
        <v>1251</v>
      </c>
    </row>
    <row r="1666">
      <c r="A1666" s="25">
        <v>43336.91897096064</v>
      </c>
      <c r="B1666" s="26" t="s">
        <v>40</v>
      </c>
      <c r="C1666" s="26">
        <v>60.0</v>
      </c>
      <c r="D1666" s="26" t="s">
        <v>31</v>
      </c>
      <c r="E1666" s="26">
        <v>150.0</v>
      </c>
      <c r="F1666" s="26" t="s">
        <v>75</v>
      </c>
      <c r="G1666" s="26">
        <v>1.0</v>
      </c>
      <c r="H1666" s="26">
        <v>1.0</v>
      </c>
      <c r="I1666" s="26">
        <v>118.0</v>
      </c>
      <c r="J1666" s="26">
        <v>20.0</v>
      </c>
      <c r="K1666" s="26">
        <v>12.0</v>
      </c>
      <c r="N1666" s="26" t="s">
        <v>685</v>
      </c>
    </row>
    <row r="1667">
      <c r="A1667" s="25">
        <v>43336.9841967824</v>
      </c>
      <c r="B1667" s="26" t="s">
        <v>256</v>
      </c>
      <c r="C1667" s="26" t="s">
        <v>26</v>
      </c>
      <c r="D1667" s="26" t="s">
        <v>27</v>
      </c>
      <c r="E1667" s="26">
        <v>160.0</v>
      </c>
      <c r="F1667" s="26" t="s">
        <v>72</v>
      </c>
      <c r="G1667" s="26">
        <v>7.0</v>
      </c>
      <c r="H1667" s="26">
        <v>3.0</v>
      </c>
      <c r="N1667" s="26" t="s">
        <v>687</v>
      </c>
    </row>
    <row r="1668">
      <c r="A1668" s="25">
        <v>43337.05751953703</v>
      </c>
      <c r="B1668" s="26" t="s">
        <v>40</v>
      </c>
      <c r="C1668" s="26">
        <v>65.0</v>
      </c>
      <c r="D1668" s="26" t="s">
        <v>27</v>
      </c>
      <c r="E1668" s="26">
        <v>310.0</v>
      </c>
      <c r="F1668" s="26" t="s">
        <v>75</v>
      </c>
      <c r="G1668" s="26">
        <v>16.0</v>
      </c>
      <c r="H1668" s="26">
        <v>2.0</v>
      </c>
      <c r="I1668" s="26">
        <v>195.0</v>
      </c>
      <c r="J1668" s="26">
        <v>45.0</v>
      </c>
      <c r="K1668" s="26">
        <v>48.0</v>
      </c>
      <c r="L1668" s="26" t="s">
        <v>1252</v>
      </c>
      <c r="N1668" s="26" t="s">
        <v>685</v>
      </c>
    </row>
    <row r="1669">
      <c r="A1669" s="25">
        <v>43337.08219502315</v>
      </c>
      <c r="B1669" s="26" t="s">
        <v>319</v>
      </c>
      <c r="C1669" s="26">
        <v>8.0</v>
      </c>
      <c r="D1669" s="26" t="s">
        <v>31</v>
      </c>
      <c r="E1669" s="26">
        <v>220.0</v>
      </c>
      <c r="F1669" s="26" t="s">
        <v>238</v>
      </c>
      <c r="G1669" s="26">
        <v>10.0</v>
      </c>
      <c r="H1669" s="26">
        <v>1.0</v>
      </c>
      <c r="I1669" s="26">
        <v>205.0</v>
      </c>
      <c r="K1669" s="26">
        <v>15.0</v>
      </c>
      <c r="N1669" s="26" t="s">
        <v>683</v>
      </c>
    </row>
    <row r="1670">
      <c r="A1670" s="25">
        <v>43337.2925405787</v>
      </c>
      <c r="B1670" s="26" t="s">
        <v>188</v>
      </c>
      <c r="C1670" s="26" t="s">
        <v>62</v>
      </c>
      <c r="D1670" s="26" t="s">
        <v>41</v>
      </c>
      <c r="E1670" s="26">
        <v>800.0</v>
      </c>
      <c r="F1670" s="26" t="s">
        <v>354</v>
      </c>
      <c r="G1670" s="26">
        <v>10.0</v>
      </c>
      <c r="H1670" s="26">
        <v>2.0</v>
      </c>
      <c r="N1670" s="26" t="s">
        <v>685</v>
      </c>
    </row>
    <row r="1671">
      <c r="A1671" s="25">
        <v>43337.313725266205</v>
      </c>
      <c r="B1671" s="26" t="s">
        <v>371</v>
      </c>
      <c r="C1671" s="26" t="s">
        <v>541</v>
      </c>
      <c r="D1671" s="26" t="s">
        <v>1245</v>
      </c>
      <c r="E1671" s="26">
        <v>170.0</v>
      </c>
      <c r="F1671" s="26" t="s">
        <v>956</v>
      </c>
      <c r="G1671" s="26">
        <v>6.0</v>
      </c>
      <c r="H1671" s="26">
        <v>5.0</v>
      </c>
      <c r="I1671" s="26">
        <v>120.0</v>
      </c>
      <c r="J1671" s="26">
        <v>30.0</v>
      </c>
      <c r="K1671" s="26">
        <v>20.0</v>
      </c>
      <c r="N1671" s="26" t="s">
        <v>1245</v>
      </c>
    </row>
    <row r="1672">
      <c r="A1672" s="25">
        <v>43337.34711328703</v>
      </c>
      <c r="B1672" s="26" t="s">
        <v>40</v>
      </c>
      <c r="C1672" s="26">
        <v>65.0</v>
      </c>
      <c r="D1672" s="26" t="s">
        <v>27</v>
      </c>
      <c r="E1672" s="26">
        <v>330.0</v>
      </c>
      <c r="F1672" s="26" t="s">
        <v>58</v>
      </c>
      <c r="G1672" s="26">
        <v>9.0</v>
      </c>
      <c r="H1672" s="26">
        <v>2.0</v>
      </c>
      <c r="I1672" s="26">
        <v>200.0</v>
      </c>
      <c r="J1672" s="26">
        <v>90.0</v>
      </c>
      <c r="K1672" s="26">
        <v>40.0</v>
      </c>
      <c r="N1672" s="26" t="s">
        <v>687</v>
      </c>
    </row>
    <row r="1673">
      <c r="A1673" s="25">
        <v>43337.610360300925</v>
      </c>
      <c r="B1673" s="26" t="s">
        <v>40</v>
      </c>
      <c r="C1673" s="26">
        <v>65.0</v>
      </c>
      <c r="D1673" s="26" t="s">
        <v>1253</v>
      </c>
      <c r="E1673" s="26">
        <v>250.0</v>
      </c>
      <c r="F1673" s="26" t="s">
        <v>75</v>
      </c>
      <c r="G1673" s="26">
        <v>20.0</v>
      </c>
      <c r="H1673" s="26">
        <v>8.0</v>
      </c>
      <c r="N1673" s="26" t="s">
        <v>1254</v>
      </c>
    </row>
    <row r="1674">
      <c r="A1674" s="25">
        <v>43337.61228716435</v>
      </c>
      <c r="B1674" s="26" t="s">
        <v>40</v>
      </c>
      <c r="C1674" s="26">
        <v>65.0</v>
      </c>
      <c r="D1674" s="26" t="s">
        <v>1253</v>
      </c>
      <c r="E1674" s="26">
        <v>247.0</v>
      </c>
      <c r="F1674" s="26" t="s">
        <v>75</v>
      </c>
      <c r="G1674" s="26">
        <v>20.0</v>
      </c>
      <c r="H1674" s="26">
        <v>4.0</v>
      </c>
      <c r="I1674" s="26">
        <v>179.0</v>
      </c>
      <c r="J1674" s="26">
        <v>50.0</v>
      </c>
      <c r="K1674" s="26">
        <v>18.0</v>
      </c>
      <c r="N1674" s="26" t="s">
        <v>1254</v>
      </c>
    </row>
    <row r="1675">
      <c r="A1675" s="25">
        <v>43337.62859180555</v>
      </c>
      <c r="B1675" s="26" t="s">
        <v>371</v>
      </c>
      <c r="C1675" s="26" t="s">
        <v>143</v>
      </c>
      <c r="D1675" s="26" t="s">
        <v>27</v>
      </c>
      <c r="E1675" s="26">
        <v>300.0</v>
      </c>
      <c r="F1675" s="26" t="s">
        <v>327</v>
      </c>
      <c r="G1675" s="26">
        <v>18.0</v>
      </c>
      <c r="H1675" s="26">
        <v>14.0</v>
      </c>
      <c r="N1675" s="26" t="s">
        <v>687</v>
      </c>
    </row>
    <row r="1676">
      <c r="A1676" s="25">
        <v>43337.69217913195</v>
      </c>
      <c r="B1676" s="26" t="s">
        <v>1255</v>
      </c>
      <c r="C1676" s="26" t="s">
        <v>37</v>
      </c>
      <c r="D1676" s="26" t="s">
        <v>31</v>
      </c>
      <c r="E1676" s="26">
        <v>140.0</v>
      </c>
      <c r="F1676" s="26" t="s">
        <v>63</v>
      </c>
      <c r="G1676" s="26">
        <v>10.0</v>
      </c>
      <c r="H1676" s="26">
        <v>8.0</v>
      </c>
      <c r="I1676" s="26">
        <v>110.0</v>
      </c>
      <c r="J1676" s="26">
        <v>20.0</v>
      </c>
      <c r="K1676" s="26">
        <v>10.0</v>
      </c>
      <c r="M1676" s="26" t="s">
        <v>449</v>
      </c>
      <c r="N1676" s="26" t="s">
        <v>685</v>
      </c>
    </row>
    <row r="1677">
      <c r="A1677" s="25">
        <v>43337.76001931713</v>
      </c>
      <c r="B1677" s="26" t="s">
        <v>77</v>
      </c>
      <c r="C1677" s="26" t="s">
        <v>688</v>
      </c>
      <c r="D1677" s="26" t="s">
        <v>41</v>
      </c>
      <c r="E1677" s="26">
        <v>270.0</v>
      </c>
      <c r="F1677" s="26" t="s">
        <v>47</v>
      </c>
      <c r="G1677" s="26">
        <v>5.0</v>
      </c>
      <c r="H1677" s="26">
        <v>5.0</v>
      </c>
      <c r="I1677" s="26">
        <v>176.0</v>
      </c>
      <c r="J1677" s="26">
        <v>70.0</v>
      </c>
      <c r="K1677" s="26">
        <v>25.0</v>
      </c>
      <c r="N1677" s="26" t="s">
        <v>685</v>
      </c>
    </row>
    <row r="1678">
      <c r="A1678" s="25">
        <v>43337.76196355324</v>
      </c>
      <c r="B1678" s="26" t="s">
        <v>77</v>
      </c>
      <c r="C1678" s="26" t="s">
        <v>688</v>
      </c>
      <c r="D1678" s="26" t="s">
        <v>41</v>
      </c>
      <c r="E1678" s="26">
        <v>270.0</v>
      </c>
      <c r="F1678" s="26" t="s">
        <v>491</v>
      </c>
      <c r="G1678" s="26">
        <v>5.0</v>
      </c>
      <c r="H1678" s="26">
        <v>5.0</v>
      </c>
      <c r="I1678" s="26">
        <v>176.0</v>
      </c>
      <c r="J1678" s="26">
        <v>70.0</v>
      </c>
      <c r="K1678" s="26">
        <v>25.0</v>
      </c>
      <c r="N1678" s="26" t="s">
        <v>685</v>
      </c>
    </row>
    <row r="1679">
      <c r="A1679" s="25">
        <v>43337.781997604165</v>
      </c>
      <c r="B1679" s="26" t="s">
        <v>48</v>
      </c>
      <c r="C1679" s="26" t="s">
        <v>1256</v>
      </c>
      <c r="D1679" s="26" t="s">
        <v>27</v>
      </c>
      <c r="E1679" s="26">
        <v>210.0</v>
      </c>
      <c r="F1679" s="26" t="s">
        <v>415</v>
      </c>
      <c r="G1679" s="26">
        <v>5.0</v>
      </c>
      <c r="H1679" s="26">
        <v>1.0</v>
      </c>
      <c r="I1679" s="26">
        <v>145.0</v>
      </c>
      <c r="J1679" s="26">
        <v>50.0</v>
      </c>
      <c r="K1679" s="26">
        <v>15.0</v>
      </c>
      <c r="N1679" s="26" t="s">
        <v>699</v>
      </c>
    </row>
    <row r="1680">
      <c r="A1680" s="25">
        <v>43337.80779600695</v>
      </c>
      <c r="B1680" s="26" t="s">
        <v>339</v>
      </c>
      <c r="C1680" s="26" t="s">
        <v>772</v>
      </c>
      <c r="D1680" s="26" t="s">
        <v>31</v>
      </c>
      <c r="E1680" s="26">
        <v>290.0</v>
      </c>
      <c r="F1680" s="26" t="s">
        <v>1257</v>
      </c>
      <c r="G1680" s="26">
        <v>6.0</v>
      </c>
      <c r="H1680" s="26">
        <v>4.0</v>
      </c>
      <c r="I1680" s="26">
        <v>170.0</v>
      </c>
      <c r="J1680" s="26">
        <v>100.0</v>
      </c>
      <c r="K1680" s="26">
        <v>20.0</v>
      </c>
      <c r="N1680" s="26" t="s">
        <v>685</v>
      </c>
    </row>
    <row r="1681">
      <c r="A1681" s="25">
        <v>43337.84545418981</v>
      </c>
      <c r="B1681" s="26" t="s">
        <v>1160</v>
      </c>
      <c r="C1681" s="26" t="s">
        <v>191</v>
      </c>
      <c r="D1681" s="26" t="s">
        <v>31</v>
      </c>
      <c r="E1681" s="26">
        <v>150.0</v>
      </c>
      <c r="F1681" s="26" t="s">
        <v>1258</v>
      </c>
      <c r="G1681" s="26">
        <v>5.0</v>
      </c>
      <c r="H1681" s="26">
        <v>1.0</v>
      </c>
      <c r="I1681" s="26">
        <v>125.0</v>
      </c>
      <c r="K1681" s="26">
        <v>25.0</v>
      </c>
      <c r="N1681" s="26" t="s">
        <v>708</v>
      </c>
    </row>
    <row r="1682">
      <c r="A1682" s="25">
        <v>43337.84546633102</v>
      </c>
      <c r="B1682" s="26" t="s">
        <v>45</v>
      </c>
      <c r="C1682" s="26" t="s">
        <v>102</v>
      </c>
      <c r="D1682" s="26" t="s">
        <v>31</v>
      </c>
      <c r="E1682" s="26">
        <v>275.0</v>
      </c>
      <c r="F1682" s="26" t="s">
        <v>239</v>
      </c>
      <c r="G1682" s="26">
        <v>5.0</v>
      </c>
      <c r="H1682" s="26">
        <v>3.0</v>
      </c>
      <c r="N1682" s="26" t="s">
        <v>704</v>
      </c>
    </row>
    <row r="1683">
      <c r="A1683" s="25">
        <v>43337.911969583336</v>
      </c>
      <c r="B1683" s="26" t="s">
        <v>1259</v>
      </c>
      <c r="C1683" s="26" t="s">
        <v>62</v>
      </c>
      <c r="D1683" s="26" t="s">
        <v>995</v>
      </c>
      <c r="E1683" s="26">
        <v>427.0</v>
      </c>
      <c r="F1683" s="26" t="s">
        <v>58</v>
      </c>
      <c r="G1683" s="26">
        <v>16.0</v>
      </c>
      <c r="H1683" s="26">
        <v>0.0</v>
      </c>
      <c r="I1683" s="26">
        <v>220000.0</v>
      </c>
      <c r="J1683" s="26">
        <v>145000.0</v>
      </c>
      <c r="K1683" s="26">
        <v>44.0</v>
      </c>
      <c r="M1683" s="26" t="s">
        <v>449</v>
      </c>
      <c r="N1683" s="26" t="s">
        <v>726</v>
      </c>
    </row>
    <row r="1684">
      <c r="A1684" s="25">
        <v>43337.960770578706</v>
      </c>
      <c r="B1684" s="26" t="s">
        <v>80</v>
      </c>
      <c r="C1684" s="26" t="s">
        <v>255</v>
      </c>
      <c r="D1684" s="26" t="s">
        <v>27</v>
      </c>
      <c r="E1684" s="26">
        <v>500.0</v>
      </c>
      <c r="F1684" s="26" t="s">
        <v>63</v>
      </c>
      <c r="G1684" s="26">
        <v>16.0</v>
      </c>
      <c r="H1684" s="26">
        <v>2.0</v>
      </c>
      <c r="I1684" s="26">
        <v>212.0</v>
      </c>
      <c r="J1684" s="26">
        <v>130.0</v>
      </c>
      <c r="K1684" s="26">
        <v>54.0</v>
      </c>
      <c r="N1684" s="26" t="s">
        <v>691</v>
      </c>
    </row>
    <row r="1685">
      <c r="A1685" s="25">
        <v>43337.96519362269</v>
      </c>
      <c r="B1685" s="26" t="s">
        <v>45</v>
      </c>
      <c r="C1685" s="26" t="s">
        <v>116</v>
      </c>
      <c r="D1685" s="26" t="s">
        <v>27</v>
      </c>
      <c r="E1685" s="26">
        <v>450.0</v>
      </c>
      <c r="F1685" s="26" t="s">
        <v>92</v>
      </c>
      <c r="G1685" s="26">
        <v>12.0</v>
      </c>
      <c r="H1685" s="26">
        <v>3.0</v>
      </c>
      <c r="I1685" s="26">
        <v>193.0</v>
      </c>
      <c r="J1685" s="26">
        <v>220.0</v>
      </c>
      <c r="K1685" s="26">
        <v>37.0</v>
      </c>
      <c r="N1685" s="26" t="s">
        <v>685</v>
      </c>
    </row>
    <row r="1686">
      <c r="A1686" s="25">
        <v>43338.00235703704</v>
      </c>
      <c r="B1686" s="26" t="s">
        <v>258</v>
      </c>
      <c r="C1686" s="26" t="s">
        <v>628</v>
      </c>
      <c r="D1686" s="26" t="s">
        <v>31</v>
      </c>
      <c r="E1686" s="26">
        <v>670.0</v>
      </c>
      <c r="F1686" s="26" t="s">
        <v>32</v>
      </c>
      <c r="G1686" s="26">
        <v>5.0</v>
      </c>
      <c r="H1686" s="26">
        <v>1.0</v>
      </c>
      <c r="I1686" s="26">
        <v>230.0</v>
      </c>
      <c r="J1686" s="26">
        <v>400.0</v>
      </c>
      <c r="K1686" s="26">
        <v>40.0</v>
      </c>
      <c r="N1686" s="26" t="s">
        <v>685</v>
      </c>
    </row>
    <row r="1687">
      <c r="A1687" s="25">
        <v>43338.066583912034</v>
      </c>
      <c r="B1687" s="26" t="s">
        <v>40</v>
      </c>
      <c r="C1687" s="26">
        <v>63.0</v>
      </c>
      <c r="D1687" s="26" t="s">
        <v>31</v>
      </c>
      <c r="E1687" s="26">
        <v>380.0</v>
      </c>
      <c r="F1687" s="26" t="s">
        <v>550</v>
      </c>
      <c r="G1687" s="26">
        <v>11.0</v>
      </c>
      <c r="H1687" s="26">
        <v>6.0</v>
      </c>
      <c r="I1687" s="26">
        <v>205.0</v>
      </c>
      <c r="J1687" s="26">
        <v>100.0</v>
      </c>
      <c r="K1687" s="26">
        <v>75.0</v>
      </c>
      <c r="L1687" s="26" t="s">
        <v>1260</v>
      </c>
      <c r="N1687" s="26" t="s">
        <v>683</v>
      </c>
    </row>
    <row r="1688">
      <c r="A1688" s="25">
        <v>43338.195150983796</v>
      </c>
      <c r="B1688" s="26" t="s">
        <v>538</v>
      </c>
      <c r="C1688" s="26" t="s">
        <v>680</v>
      </c>
      <c r="D1688" s="26" t="s">
        <v>31</v>
      </c>
      <c r="E1688" s="26">
        <v>34.0</v>
      </c>
      <c r="F1688" s="26" t="s">
        <v>681</v>
      </c>
      <c r="G1688" s="26">
        <v>2.0</v>
      </c>
      <c r="H1688" s="26">
        <v>2.0</v>
      </c>
      <c r="I1688" s="26">
        <v>30.0</v>
      </c>
      <c r="K1688" s="26">
        <v>4.0</v>
      </c>
      <c r="N1688" s="26" t="s">
        <v>691</v>
      </c>
    </row>
    <row r="1689">
      <c r="A1689" s="25">
        <v>43338.408553587964</v>
      </c>
      <c r="B1689" s="26" t="s">
        <v>40</v>
      </c>
      <c r="C1689" s="26">
        <v>63.0</v>
      </c>
      <c r="D1689" s="26" t="s">
        <v>31</v>
      </c>
      <c r="E1689" s="26">
        <v>220.0</v>
      </c>
      <c r="F1689" s="26" t="s">
        <v>52</v>
      </c>
      <c r="G1689" s="26">
        <v>6.0</v>
      </c>
      <c r="H1689" s="26">
        <v>3.0</v>
      </c>
      <c r="I1689" s="26">
        <v>159.0</v>
      </c>
      <c r="J1689" s="26">
        <v>35.0</v>
      </c>
      <c r="K1689" s="26">
        <v>25.0</v>
      </c>
      <c r="N1689" s="26" t="s">
        <v>1261</v>
      </c>
    </row>
    <row r="1690">
      <c r="A1690" s="25">
        <v>43338.41660280093</v>
      </c>
      <c r="B1690" s="26" t="s">
        <v>40</v>
      </c>
      <c r="C1690" s="26">
        <v>60.0</v>
      </c>
      <c r="D1690" s="26" t="s">
        <v>27</v>
      </c>
      <c r="E1690" s="26">
        <v>171.0</v>
      </c>
      <c r="F1690" s="26" t="s">
        <v>86</v>
      </c>
      <c r="G1690" s="26">
        <v>1.0</v>
      </c>
      <c r="H1690" s="26">
        <v>1.0</v>
      </c>
      <c r="I1690" s="26">
        <v>116000.0</v>
      </c>
      <c r="J1690" s="26">
        <v>42850.0</v>
      </c>
      <c r="K1690" s="26">
        <v>12500.0</v>
      </c>
      <c r="N1690" s="26" t="s">
        <v>691</v>
      </c>
    </row>
    <row r="1691">
      <c r="A1691" s="25">
        <v>43338.42849106481</v>
      </c>
      <c r="B1691" s="26" t="s">
        <v>45</v>
      </c>
      <c r="C1691" s="26" t="s">
        <v>102</v>
      </c>
      <c r="D1691" s="26" t="s">
        <v>31</v>
      </c>
      <c r="E1691" s="26">
        <v>212.0</v>
      </c>
      <c r="F1691" s="26" t="s">
        <v>92</v>
      </c>
      <c r="G1691" s="26">
        <v>6.0</v>
      </c>
      <c r="H1691" s="26">
        <v>3.0</v>
      </c>
      <c r="I1691" s="26">
        <v>137.0</v>
      </c>
      <c r="J1691" s="26">
        <v>55.0</v>
      </c>
      <c r="K1691" s="26">
        <v>20.0</v>
      </c>
      <c r="N1691" s="26" t="s">
        <v>699</v>
      </c>
    </row>
    <row r="1692">
      <c r="A1692" s="25">
        <v>43338.42849364583</v>
      </c>
      <c r="B1692" s="26" t="s">
        <v>45</v>
      </c>
      <c r="C1692" s="26" t="s">
        <v>102</v>
      </c>
      <c r="D1692" s="26" t="s">
        <v>31</v>
      </c>
      <c r="E1692" s="26">
        <v>212.0</v>
      </c>
      <c r="F1692" s="26" t="s">
        <v>92</v>
      </c>
      <c r="G1692" s="26">
        <v>6.0</v>
      </c>
      <c r="H1692" s="26">
        <v>3.0</v>
      </c>
      <c r="I1692" s="26">
        <v>137.0</v>
      </c>
      <c r="J1692" s="26">
        <v>55.0</v>
      </c>
      <c r="K1692" s="26">
        <v>20.0</v>
      </c>
      <c r="N1692" s="26" t="s">
        <v>699</v>
      </c>
    </row>
    <row r="1693">
      <c r="A1693" s="25">
        <v>43338.51192858796</v>
      </c>
      <c r="B1693" s="26" t="s">
        <v>48</v>
      </c>
      <c r="C1693" s="26" t="s">
        <v>46</v>
      </c>
      <c r="D1693" s="26" t="s">
        <v>41</v>
      </c>
      <c r="E1693" s="26">
        <v>425.0</v>
      </c>
      <c r="F1693" s="26" t="s">
        <v>782</v>
      </c>
      <c r="G1693" s="26">
        <v>20.0</v>
      </c>
      <c r="H1693" s="26">
        <v>2.0</v>
      </c>
      <c r="I1693" s="26">
        <v>125.0</v>
      </c>
      <c r="J1693" s="26">
        <v>300.0</v>
      </c>
      <c r="K1693" s="26">
        <v>30000.0</v>
      </c>
      <c r="L1693" s="26" t="s">
        <v>1262</v>
      </c>
      <c r="N1693" s="26" t="s">
        <v>708</v>
      </c>
    </row>
    <row r="1694">
      <c r="A1694" s="25">
        <v>43338.66463179398</v>
      </c>
      <c r="B1694" s="26" t="s">
        <v>1263</v>
      </c>
      <c r="C1694" s="26" t="s">
        <v>143</v>
      </c>
      <c r="D1694" s="26" t="s">
        <v>1264</v>
      </c>
      <c r="E1694" s="26">
        <v>320.0</v>
      </c>
      <c r="F1694" s="26" t="s">
        <v>247</v>
      </c>
      <c r="G1694" s="26">
        <v>20.0</v>
      </c>
      <c r="H1694" s="26">
        <v>2.0</v>
      </c>
      <c r="I1694" s="26">
        <v>236.0</v>
      </c>
      <c r="J1694" s="26">
        <v>50.0</v>
      </c>
      <c r="K1694" s="26">
        <v>74.0</v>
      </c>
      <c r="N1694" s="26" t="s">
        <v>685</v>
      </c>
    </row>
    <row r="1695">
      <c r="A1695" s="25">
        <v>43338.671812395834</v>
      </c>
      <c r="B1695" s="26" t="s">
        <v>1265</v>
      </c>
      <c r="C1695" s="26" t="s">
        <v>1266</v>
      </c>
      <c r="D1695" s="26" t="s">
        <v>27</v>
      </c>
      <c r="E1695" s="26">
        <v>350.0</v>
      </c>
      <c r="F1695" s="26" t="s">
        <v>86</v>
      </c>
      <c r="G1695" s="26">
        <v>7.0</v>
      </c>
      <c r="H1695" s="26">
        <v>0.5</v>
      </c>
      <c r="I1695" s="26">
        <v>185.0</v>
      </c>
      <c r="J1695" s="26">
        <v>120.0</v>
      </c>
      <c r="K1695" s="26">
        <v>45.0</v>
      </c>
      <c r="N1695" s="26" t="s">
        <v>1027</v>
      </c>
    </row>
    <row r="1696">
      <c r="A1696" s="25">
        <v>43338.84049116899</v>
      </c>
      <c r="B1696" s="26" t="s">
        <v>33</v>
      </c>
      <c r="C1696" s="26" t="s">
        <v>62</v>
      </c>
      <c r="D1696" s="26" t="s">
        <v>27</v>
      </c>
      <c r="E1696" s="26">
        <v>275.0</v>
      </c>
      <c r="F1696" s="26" t="s">
        <v>63</v>
      </c>
      <c r="G1696" s="26">
        <v>10.0</v>
      </c>
      <c r="H1696" s="26">
        <v>2.0</v>
      </c>
      <c r="I1696" s="26">
        <v>136000.0</v>
      </c>
      <c r="J1696" s="26">
        <v>140.0</v>
      </c>
      <c r="N1696" s="26" t="s">
        <v>685</v>
      </c>
    </row>
    <row r="1697">
      <c r="A1697" s="25">
        <v>43338.873609988426</v>
      </c>
      <c r="B1697" s="26" t="s">
        <v>40</v>
      </c>
      <c r="C1697" s="26">
        <v>62.0</v>
      </c>
      <c r="D1697" s="26" t="s">
        <v>31</v>
      </c>
      <c r="E1697" s="26">
        <v>167.0</v>
      </c>
      <c r="F1697" s="26" t="s">
        <v>52</v>
      </c>
      <c r="G1697" s="26">
        <v>7.0</v>
      </c>
      <c r="H1697" s="26">
        <v>2.5</v>
      </c>
      <c r="I1697" s="26">
        <v>140.0</v>
      </c>
      <c r="J1697" s="26">
        <v>15.0</v>
      </c>
      <c r="K1697" s="26">
        <v>14.0</v>
      </c>
      <c r="N1697" s="26" t="s">
        <v>1252</v>
      </c>
    </row>
    <row r="1698">
      <c r="A1698" s="25">
        <v>43338.89074805556</v>
      </c>
      <c r="B1698" s="26" t="s">
        <v>33</v>
      </c>
      <c r="C1698" s="26" t="s">
        <v>27</v>
      </c>
      <c r="D1698" s="26" t="s">
        <v>27</v>
      </c>
      <c r="E1698" s="26">
        <v>165.0</v>
      </c>
      <c r="F1698" s="26" t="s">
        <v>129</v>
      </c>
      <c r="G1698" s="26">
        <v>7.0</v>
      </c>
      <c r="H1698" s="26">
        <v>2.0</v>
      </c>
      <c r="N1698" s="26" t="s">
        <v>691</v>
      </c>
    </row>
    <row r="1699">
      <c r="A1699" s="25">
        <v>43338.997497847224</v>
      </c>
      <c r="B1699" s="26" t="s">
        <v>45</v>
      </c>
      <c r="C1699" s="26" t="s">
        <v>102</v>
      </c>
      <c r="D1699" s="26" t="s">
        <v>1267</v>
      </c>
      <c r="E1699" s="26">
        <v>228.0</v>
      </c>
      <c r="F1699" s="26" t="s">
        <v>92</v>
      </c>
      <c r="G1699" s="26">
        <v>8.0</v>
      </c>
      <c r="H1699" s="26">
        <v>2.0</v>
      </c>
      <c r="I1699" s="26">
        <v>145.0</v>
      </c>
      <c r="J1699" s="26">
        <v>65.0</v>
      </c>
      <c r="K1699" s="26">
        <v>18.0</v>
      </c>
      <c r="N1699" s="26" t="s">
        <v>817</v>
      </c>
    </row>
    <row r="1700">
      <c r="A1700" s="25">
        <v>43339.019672442126</v>
      </c>
      <c r="B1700" s="26" t="s">
        <v>45</v>
      </c>
      <c r="C1700" s="26" t="s">
        <v>98</v>
      </c>
      <c r="D1700" s="26" t="s">
        <v>31</v>
      </c>
      <c r="E1700" s="26">
        <v>150.0</v>
      </c>
      <c r="F1700" s="26" t="s">
        <v>104</v>
      </c>
      <c r="G1700" s="26">
        <v>1.0</v>
      </c>
      <c r="H1700" s="26">
        <v>1.0</v>
      </c>
      <c r="I1700" s="26">
        <v>125.0</v>
      </c>
      <c r="J1700" s="26">
        <v>20.0</v>
      </c>
      <c r="K1700" s="26">
        <v>5.0</v>
      </c>
      <c r="N1700" s="26" t="s">
        <v>1268</v>
      </c>
    </row>
    <row r="1701">
      <c r="A1701" s="25">
        <v>43339.31894695602</v>
      </c>
      <c r="B1701" s="26" t="s">
        <v>1269</v>
      </c>
      <c r="C1701" s="26">
        <v>2.0</v>
      </c>
      <c r="D1701" s="26" t="s">
        <v>31</v>
      </c>
      <c r="E1701" s="26">
        <v>11.0</v>
      </c>
      <c r="F1701" s="26" t="s">
        <v>1270</v>
      </c>
      <c r="G1701" s="26">
        <v>1.0</v>
      </c>
      <c r="H1701" s="26">
        <v>2.0</v>
      </c>
      <c r="I1701" s="26">
        <v>2.0</v>
      </c>
      <c r="J1701" s="26">
        <v>2.0</v>
      </c>
      <c r="K1701" s="26">
        <v>2.0</v>
      </c>
      <c r="N1701" s="26" t="s">
        <v>699</v>
      </c>
    </row>
    <row r="1702">
      <c r="A1702" s="25">
        <v>43339.321502719904</v>
      </c>
      <c r="B1702" s="26" t="s">
        <v>1271</v>
      </c>
      <c r="C1702" s="26">
        <v>2.0</v>
      </c>
      <c r="D1702" s="26" t="s">
        <v>31</v>
      </c>
      <c r="E1702" s="26">
        <v>11.0</v>
      </c>
      <c r="F1702" s="26" t="s">
        <v>1270</v>
      </c>
      <c r="G1702" s="26">
        <v>1.0</v>
      </c>
      <c r="H1702" s="26">
        <v>2.0</v>
      </c>
      <c r="I1702" s="26">
        <v>2.0</v>
      </c>
      <c r="J1702" s="26">
        <v>2.0</v>
      </c>
      <c r="K1702" s="26">
        <v>2.0</v>
      </c>
      <c r="N1702" s="26" t="s">
        <v>699</v>
      </c>
    </row>
    <row r="1703">
      <c r="A1703" s="25">
        <v>43339.32177248843</v>
      </c>
      <c r="B1703" s="26" t="s">
        <v>1272</v>
      </c>
      <c r="C1703" s="26">
        <v>2.0</v>
      </c>
      <c r="D1703" s="26" t="s">
        <v>31</v>
      </c>
      <c r="E1703" s="26">
        <v>11.0</v>
      </c>
      <c r="F1703" s="26" t="s">
        <v>1270</v>
      </c>
      <c r="G1703" s="26">
        <v>1.0</v>
      </c>
      <c r="H1703" s="26">
        <v>2.0</v>
      </c>
      <c r="I1703" s="26">
        <v>2.0</v>
      </c>
      <c r="J1703" s="26">
        <v>2.0</v>
      </c>
      <c r="K1703" s="26">
        <v>2.0</v>
      </c>
      <c r="N1703" s="26" t="s">
        <v>699</v>
      </c>
    </row>
    <row r="1704">
      <c r="A1704" s="25">
        <v>43339.33648269676</v>
      </c>
      <c r="B1704" s="26" t="s">
        <v>40</v>
      </c>
      <c r="C1704" s="26">
        <v>62.0</v>
      </c>
      <c r="D1704" s="26" t="s">
        <v>27</v>
      </c>
      <c r="E1704" s="26">
        <v>186.0</v>
      </c>
      <c r="F1704" s="26" t="s">
        <v>75</v>
      </c>
      <c r="G1704" s="26">
        <v>5.0</v>
      </c>
      <c r="H1704" s="26">
        <v>5.0</v>
      </c>
      <c r="I1704" s="26">
        <v>145.0</v>
      </c>
      <c r="J1704" s="26">
        <v>18.0</v>
      </c>
      <c r="K1704" s="26">
        <v>23.0</v>
      </c>
      <c r="N1704" s="26" t="s">
        <v>704</v>
      </c>
    </row>
    <row r="1705">
      <c r="A1705" s="25">
        <v>43339.39591453703</v>
      </c>
      <c r="B1705" s="26" t="s">
        <v>371</v>
      </c>
      <c r="C1705" s="26" t="s">
        <v>125</v>
      </c>
      <c r="D1705" s="26" t="s">
        <v>1084</v>
      </c>
      <c r="E1705" s="26">
        <v>200.0</v>
      </c>
      <c r="F1705" s="26" t="s">
        <v>232</v>
      </c>
      <c r="G1705" s="26">
        <v>7.0</v>
      </c>
      <c r="H1705" s="26">
        <v>5.0</v>
      </c>
      <c r="I1705" s="26">
        <v>155.0</v>
      </c>
      <c r="J1705" s="26">
        <v>30.0</v>
      </c>
      <c r="K1705" s="26">
        <v>15.0</v>
      </c>
      <c r="N1705" s="26" t="s">
        <v>691</v>
      </c>
    </row>
    <row r="1706">
      <c r="A1706" s="25">
        <v>43339.40864650463</v>
      </c>
      <c r="B1706" s="26" t="s">
        <v>1273</v>
      </c>
      <c r="C1706" s="26" t="s">
        <v>1274</v>
      </c>
      <c r="D1706" s="26" t="s">
        <v>31</v>
      </c>
      <c r="E1706" s="26">
        <v>105.0</v>
      </c>
      <c r="F1706" s="26" t="s">
        <v>1275</v>
      </c>
      <c r="G1706" s="26">
        <v>2.0</v>
      </c>
      <c r="H1706" s="26">
        <v>1.0</v>
      </c>
      <c r="I1706" s="26">
        <v>105.0</v>
      </c>
      <c r="N1706" s="26" t="s">
        <v>683</v>
      </c>
    </row>
    <row r="1707">
      <c r="A1707" s="25">
        <v>43339.4656693287</v>
      </c>
      <c r="B1707" s="26" t="s">
        <v>40</v>
      </c>
      <c r="C1707" s="26">
        <v>60.0</v>
      </c>
      <c r="D1707" s="26" t="s">
        <v>27</v>
      </c>
      <c r="E1707" s="26">
        <v>153.0</v>
      </c>
      <c r="F1707" s="26" t="s">
        <v>75</v>
      </c>
      <c r="G1707" s="26">
        <v>1.0</v>
      </c>
      <c r="H1707" s="26">
        <v>1.0</v>
      </c>
      <c r="I1707" s="26">
        <v>121.0</v>
      </c>
      <c r="J1707" s="26">
        <v>11.0</v>
      </c>
      <c r="K1707" s="26">
        <v>21.0</v>
      </c>
      <c r="N1707" s="26" t="s">
        <v>715</v>
      </c>
    </row>
    <row r="1708">
      <c r="A1708" s="25">
        <v>43339.52419621528</v>
      </c>
      <c r="B1708" s="26" t="s">
        <v>40</v>
      </c>
      <c r="C1708" s="26">
        <v>62.0</v>
      </c>
      <c r="D1708" s="26" t="s">
        <v>711</v>
      </c>
      <c r="E1708" s="26">
        <v>149.0</v>
      </c>
      <c r="F1708" s="26" t="s">
        <v>52</v>
      </c>
      <c r="G1708" s="26">
        <v>9.0</v>
      </c>
      <c r="H1708" s="26">
        <v>1.0</v>
      </c>
      <c r="N1708" s="26" t="s">
        <v>691</v>
      </c>
    </row>
    <row r="1709">
      <c r="A1709" s="25">
        <v>43339.56070486111</v>
      </c>
      <c r="B1709" s="26" t="s">
        <v>1276</v>
      </c>
      <c r="C1709" s="26" t="s">
        <v>191</v>
      </c>
      <c r="D1709" s="26" t="s">
        <v>27</v>
      </c>
      <c r="E1709" s="26">
        <v>130.0</v>
      </c>
      <c r="F1709" s="26" t="s">
        <v>111</v>
      </c>
      <c r="G1709" s="26">
        <v>3.0</v>
      </c>
      <c r="H1709" s="26">
        <v>0.5</v>
      </c>
      <c r="I1709" s="26">
        <v>105.0</v>
      </c>
      <c r="J1709" s="26">
        <v>1250.0</v>
      </c>
      <c r="K1709" s="26">
        <v>25.0</v>
      </c>
      <c r="N1709" s="26" t="s">
        <v>683</v>
      </c>
    </row>
    <row r="1710">
      <c r="A1710" s="25">
        <v>43339.66400710648</v>
      </c>
      <c r="B1710" s="26" t="s">
        <v>1160</v>
      </c>
      <c r="C1710" s="26" t="s">
        <v>1071</v>
      </c>
      <c r="D1710" s="26" t="s">
        <v>31</v>
      </c>
      <c r="E1710" s="26">
        <v>300.0</v>
      </c>
      <c r="F1710" s="26" t="s">
        <v>63</v>
      </c>
      <c r="G1710" s="26">
        <v>12.0</v>
      </c>
      <c r="H1710" s="26">
        <v>1.0</v>
      </c>
      <c r="N1710" s="26" t="s">
        <v>683</v>
      </c>
    </row>
    <row r="1711">
      <c r="A1711" s="25">
        <v>43339.67086288195</v>
      </c>
      <c r="B1711" s="26" t="s">
        <v>80</v>
      </c>
      <c r="C1711" s="26" t="s">
        <v>430</v>
      </c>
      <c r="D1711" s="26" t="s">
        <v>31</v>
      </c>
      <c r="E1711" s="26">
        <v>285.0</v>
      </c>
      <c r="F1711" s="26" t="s">
        <v>1277</v>
      </c>
      <c r="G1711" s="26">
        <v>5.0</v>
      </c>
      <c r="H1711" s="26">
        <v>5.0</v>
      </c>
      <c r="N1711" s="26" t="s">
        <v>683</v>
      </c>
    </row>
    <row r="1712">
      <c r="A1712" s="25">
        <v>43339.72246978009</v>
      </c>
      <c r="B1712" s="26" t="s">
        <v>77</v>
      </c>
      <c r="C1712" s="26" t="s">
        <v>184</v>
      </c>
      <c r="D1712" s="26" t="s">
        <v>1225</v>
      </c>
      <c r="E1712" s="26">
        <v>127.0</v>
      </c>
      <c r="F1712" s="26" t="s">
        <v>134</v>
      </c>
      <c r="G1712" s="26">
        <v>4.0</v>
      </c>
      <c r="H1712" s="26">
        <v>3.0</v>
      </c>
      <c r="I1712" s="26">
        <v>108.0</v>
      </c>
      <c r="J1712" s="26">
        <v>8.0</v>
      </c>
      <c r="K1712" s="26">
        <v>11.0</v>
      </c>
      <c r="N1712" s="26" t="s">
        <v>687</v>
      </c>
    </row>
    <row r="1713">
      <c r="A1713" s="25">
        <v>43339.83671123843</v>
      </c>
      <c r="B1713" s="26" t="s">
        <v>33</v>
      </c>
      <c r="C1713" s="26" t="s">
        <v>43</v>
      </c>
      <c r="D1713" s="26" t="s">
        <v>31</v>
      </c>
      <c r="E1713" s="26">
        <v>205.0</v>
      </c>
      <c r="F1713" s="26" t="s">
        <v>571</v>
      </c>
      <c r="G1713" s="26">
        <v>6.0</v>
      </c>
      <c r="H1713" s="26">
        <v>4.0</v>
      </c>
      <c r="N1713" s="26" t="s">
        <v>704</v>
      </c>
    </row>
    <row r="1714">
      <c r="A1714" s="25">
        <v>43339.8393268287</v>
      </c>
      <c r="B1714" s="26" t="s">
        <v>40</v>
      </c>
      <c r="C1714" s="26">
        <v>62.0</v>
      </c>
      <c r="D1714" s="26" t="s">
        <v>1278</v>
      </c>
      <c r="E1714" s="26">
        <v>169.0</v>
      </c>
      <c r="F1714" s="26" t="s">
        <v>52</v>
      </c>
      <c r="G1714" s="26">
        <v>17.0</v>
      </c>
      <c r="H1714" s="26">
        <v>2.0</v>
      </c>
      <c r="I1714" s="26">
        <v>141.0</v>
      </c>
      <c r="J1714" s="26">
        <v>9.0</v>
      </c>
      <c r="K1714" s="26">
        <v>18.0</v>
      </c>
      <c r="L1714" s="26" t="s">
        <v>1279</v>
      </c>
      <c r="N1714" s="26" t="s">
        <v>1280</v>
      </c>
    </row>
    <row r="1715">
      <c r="A1715" s="25">
        <v>43339.88538412037</v>
      </c>
      <c r="B1715" s="26" t="s">
        <v>170</v>
      </c>
      <c r="C1715" s="26">
        <v>8.0</v>
      </c>
      <c r="D1715" s="26" t="s">
        <v>31</v>
      </c>
      <c r="E1715" s="26">
        <v>240.0</v>
      </c>
      <c r="F1715" s="26" t="s">
        <v>453</v>
      </c>
      <c r="G1715" s="26">
        <v>11.0</v>
      </c>
      <c r="H1715" s="26">
        <v>5.0</v>
      </c>
      <c r="I1715" s="26">
        <v>173.0</v>
      </c>
      <c r="J1715" s="26">
        <v>12.0</v>
      </c>
      <c r="K1715" s="26">
        <v>43.0</v>
      </c>
      <c r="N1715" s="26" t="s">
        <v>1057</v>
      </c>
    </row>
    <row r="1716">
      <c r="A1716" s="25">
        <v>43339.89920554398</v>
      </c>
      <c r="B1716" s="26" t="s">
        <v>371</v>
      </c>
      <c r="C1716" s="26" t="s">
        <v>1281</v>
      </c>
      <c r="D1716" s="26" t="s">
        <v>31</v>
      </c>
      <c r="E1716" s="26">
        <v>149.0</v>
      </c>
      <c r="F1716" s="26" t="s">
        <v>459</v>
      </c>
      <c r="G1716" s="26">
        <v>8.0</v>
      </c>
      <c r="H1716" s="26">
        <v>6.0</v>
      </c>
      <c r="I1716" s="26">
        <v>125.0</v>
      </c>
      <c r="J1716" s="26">
        <v>10.0</v>
      </c>
      <c r="K1716" s="26">
        <v>14.0</v>
      </c>
      <c r="N1716" s="26" t="s">
        <v>683</v>
      </c>
    </row>
    <row r="1717">
      <c r="A1717" s="25">
        <v>43339.92769104167</v>
      </c>
      <c r="B1717" s="26" t="s">
        <v>1282</v>
      </c>
      <c r="C1717" s="26" t="s">
        <v>1283</v>
      </c>
      <c r="D1717" s="26" t="s">
        <v>27</v>
      </c>
      <c r="E1717" s="26">
        <v>250.0</v>
      </c>
      <c r="F1717" s="26" t="s">
        <v>63</v>
      </c>
      <c r="G1717" s="26">
        <v>15.0</v>
      </c>
      <c r="H1717" s="26">
        <v>15.0</v>
      </c>
      <c r="N1717" s="26" t="s">
        <v>1149</v>
      </c>
    </row>
    <row r="1718">
      <c r="A1718" s="25">
        <v>43339.97999153935</v>
      </c>
      <c r="B1718" s="26" t="s">
        <v>40</v>
      </c>
      <c r="C1718" s="26">
        <v>62.0</v>
      </c>
      <c r="D1718" s="26" t="s">
        <v>31</v>
      </c>
      <c r="E1718" s="26">
        <v>230.0</v>
      </c>
      <c r="F1718" s="26" t="s">
        <v>52</v>
      </c>
      <c r="G1718" s="26">
        <v>7.0</v>
      </c>
      <c r="H1718" s="26">
        <v>2.0</v>
      </c>
      <c r="I1718" s="26">
        <v>151.0</v>
      </c>
      <c r="J1718" s="26">
        <v>60.0</v>
      </c>
      <c r="K1718" s="26">
        <v>19.0</v>
      </c>
      <c r="N1718" s="26" t="s">
        <v>683</v>
      </c>
    </row>
    <row r="1719">
      <c r="A1719" s="25">
        <v>43340.01793159722</v>
      </c>
      <c r="B1719" s="26" t="s">
        <v>40</v>
      </c>
      <c r="C1719" s="26">
        <v>59.0</v>
      </c>
      <c r="D1719" s="26" t="s">
        <v>31</v>
      </c>
      <c r="E1719" s="26">
        <v>132.0</v>
      </c>
      <c r="F1719" s="26" t="s">
        <v>52</v>
      </c>
      <c r="G1719" s="26">
        <v>0.0</v>
      </c>
      <c r="H1719" s="26">
        <v>0.0</v>
      </c>
      <c r="I1719" s="26">
        <v>108000.0</v>
      </c>
      <c r="J1719" s="26">
        <v>17500.0</v>
      </c>
      <c r="K1719" s="26">
        <v>6250.0</v>
      </c>
      <c r="N1719" s="26" t="s">
        <v>683</v>
      </c>
    </row>
    <row r="1720">
      <c r="A1720" s="25">
        <v>43340.34836532407</v>
      </c>
      <c r="B1720" s="26" t="s">
        <v>40</v>
      </c>
      <c r="C1720" s="26">
        <v>64.0</v>
      </c>
      <c r="D1720" s="26" t="s">
        <v>31</v>
      </c>
      <c r="E1720" s="26">
        <v>300.0</v>
      </c>
      <c r="F1720" s="26" t="s">
        <v>1284</v>
      </c>
      <c r="G1720" s="26">
        <v>14.0</v>
      </c>
      <c r="H1720" s="26">
        <v>2.0</v>
      </c>
      <c r="I1720" s="26">
        <v>190.0</v>
      </c>
      <c r="J1720" s="26">
        <v>100.0</v>
      </c>
      <c r="K1720" s="26">
        <v>30.0</v>
      </c>
      <c r="N1720" s="26" t="s">
        <v>685</v>
      </c>
    </row>
    <row r="1721">
      <c r="A1721" s="25">
        <v>43340.36932694445</v>
      </c>
      <c r="B1721" s="26" t="s">
        <v>33</v>
      </c>
      <c r="C1721" s="26" t="s">
        <v>73</v>
      </c>
      <c r="D1721" s="26" t="s">
        <v>31</v>
      </c>
      <c r="E1721" s="26">
        <v>155.0</v>
      </c>
      <c r="F1721" s="26" t="s">
        <v>63</v>
      </c>
      <c r="G1721" s="26">
        <v>0.0</v>
      </c>
      <c r="H1721" s="26">
        <v>0.0</v>
      </c>
      <c r="I1721" s="26">
        <v>106.0</v>
      </c>
      <c r="J1721" s="26">
        <v>20.0</v>
      </c>
      <c r="K1721" s="26">
        <v>18.0</v>
      </c>
      <c r="N1721" s="26" t="s">
        <v>683</v>
      </c>
    </row>
    <row r="1722">
      <c r="A1722" s="25">
        <v>43340.43990878473</v>
      </c>
      <c r="B1722" s="26" t="s">
        <v>139</v>
      </c>
      <c r="C1722" s="26" t="s">
        <v>113</v>
      </c>
      <c r="D1722" s="26" t="s">
        <v>31</v>
      </c>
      <c r="E1722" s="26">
        <v>250.0</v>
      </c>
      <c r="F1722" s="26" t="s">
        <v>134</v>
      </c>
      <c r="G1722" s="26">
        <v>10.0</v>
      </c>
      <c r="H1722" s="26">
        <v>10.0</v>
      </c>
      <c r="I1722" s="26">
        <v>170.0</v>
      </c>
      <c r="J1722" s="26">
        <v>55.0</v>
      </c>
      <c r="K1722" s="26">
        <v>25.0</v>
      </c>
      <c r="N1722" s="26" t="s">
        <v>685</v>
      </c>
    </row>
    <row r="1723">
      <c r="A1723" s="25">
        <v>43340.45240983796</v>
      </c>
      <c r="B1723" s="26" t="s">
        <v>45</v>
      </c>
      <c r="C1723" s="26" t="s">
        <v>98</v>
      </c>
      <c r="D1723" s="26" t="s">
        <v>31</v>
      </c>
      <c r="E1723" s="26">
        <v>205.0</v>
      </c>
      <c r="F1723" s="26" t="s">
        <v>92</v>
      </c>
      <c r="G1723" s="26">
        <v>0.0</v>
      </c>
      <c r="H1723" s="26">
        <v>1.0</v>
      </c>
      <c r="I1723" s="26">
        <v>115.0</v>
      </c>
      <c r="J1723" s="26">
        <v>70.0</v>
      </c>
      <c r="K1723" s="26">
        <v>20.0</v>
      </c>
      <c r="N1723" s="26" t="s">
        <v>1285</v>
      </c>
    </row>
    <row r="1724">
      <c r="A1724" s="25">
        <v>43340.490542245374</v>
      </c>
      <c r="B1724" s="26" t="s">
        <v>48</v>
      </c>
      <c r="C1724" s="26" t="s">
        <v>49</v>
      </c>
      <c r="D1724" s="26" t="s">
        <v>31</v>
      </c>
      <c r="E1724" s="26">
        <v>240.0</v>
      </c>
      <c r="F1724" s="26" t="s">
        <v>63</v>
      </c>
      <c r="G1724" s="26">
        <v>3.0</v>
      </c>
      <c r="H1724" s="26">
        <v>0.0</v>
      </c>
      <c r="I1724" s="26">
        <v>150.0</v>
      </c>
      <c r="J1724" s="26">
        <v>55.0</v>
      </c>
      <c r="K1724" s="26">
        <v>35.0</v>
      </c>
      <c r="N1724" s="26" t="s">
        <v>685</v>
      </c>
    </row>
    <row r="1725">
      <c r="A1725" s="25">
        <v>43340.55038202547</v>
      </c>
      <c r="B1725" s="26" t="s">
        <v>256</v>
      </c>
      <c r="C1725" s="26">
        <v>5.0</v>
      </c>
      <c r="D1725" s="26" t="s">
        <v>27</v>
      </c>
      <c r="E1725" s="26">
        <v>505.0</v>
      </c>
      <c r="F1725" s="26" t="s">
        <v>32</v>
      </c>
      <c r="G1725" s="26">
        <v>10.0</v>
      </c>
      <c r="H1725" s="26">
        <v>3.0</v>
      </c>
      <c r="N1725" s="26" t="s">
        <v>683</v>
      </c>
    </row>
    <row r="1726">
      <c r="A1726" s="25">
        <v>43340.67493479166</v>
      </c>
      <c r="B1726" s="26" t="s">
        <v>268</v>
      </c>
      <c r="C1726" s="26" t="s">
        <v>606</v>
      </c>
      <c r="D1726" s="26" t="s">
        <v>31</v>
      </c>
      <c r="E1726" s="26">
        <v>328.0</v>
      </c>
      <c r="F1726" s="26" t="s">
        <v>63</v>
      </c>
      <c r="G1726" s="26">
        <v>7.0</v>
      </c>
      <c r="H1726" s="26">
        <v>5.0</v>
      </c>
      <c r="I1726" s="26">
        <v>164.0</v>
      </c>
      <c r="J1726" s="26">
        <v>110.0</v>
      </c>
      <c r="K1726" s="26">
        <v>54.0</v>
      </c>
      <c r="N1726" s="26" t="s">
        <v>685</v>
      </c>
    </row>
    <row r="1727">
      <c r="A1727" s="25">
        <v>43340.67817489583</v>
      </c>
      <c r="B1727" s="26" t="s">
        <v>1286</v>
      </c>
      <c r="C1727" s="26" t="s">
        <v>43</v>
      </c>
      <c r="D1727" s="26" t="s">
        <v>41</v>
      </c>
      <c r="E1727" s="26">
        <v>370.0</v>
      </c>
      <c r="F1727" s="26" t="s">
        <v>236</v>
      </c>
      <c r="G1727" s="26">
        <v>15.0</v>
      </c>
      <c r="H1727" s="26">
        <v>2.0</v>
      </c>
      <c r="I1727" s="26">
        <v>230.0</v>
      </c>
      <c r="J1727" s="26">
        <v>80.0</v>
      </c>
      <c r="K1727" s="26">
        <v>60.0</v>
      </c>
      <c r="N1727" s="26" t="s">
        <v>691</v>
      </c>
    </row>
    <row r="1728">
      <c r="A1728" s="25">
        <v>43340.67842888889</v>
      </c>
      <c r="B1728" s="26" t="s">
        <v>268</v>
      </c>
      <c r="C1728" s="26" t="s">
        <v>606</v>
      </c>
      <c r="D1728" s="26" t="s">
        <v>1287</v>
      </c>
      <c r="E1728" s="26">
        <v>328.0</v>
      </c>
      <c r="F1728" s="26" t="s">
        <v>35</v>
      </c>
      <c r="G1728" s="26">
        <v>8.0</v>
      </c>
      <c r="H1728" s="26">
        <v>6.0</v>
      </c>
      <c r="I1728" s="26">
        <v>164.0</v>
      </c>
      <c r="J1728" s="26">
        <v>110.0</v>
      </c>
      <c r="K1728" s="26">
        <v>54.0</v>
      </c>
      <c r="N1728" s="26" t="s">
        <v>685</v>
      </c>
    </row>
    <row r="1729">
      <c r="A1729" s="25">
        <v>43340.73381515047</v>
      </c>
      <c r="B1729" s="26" t="s">
        <v>1288</v>
      </c>
      <c r="C1729" s="26" t="s">
        <v>37</v>
      </c>
      <c r="D1729" s="26" t="s">
        <v>31</v>
      </c>
      <c r="E1729" s="26">
        <v>325.0</v>
      </c>
      <c r="F1729" s="26" t="s">
        <v>1289</v>
      </c>
      <c r="G1729" s="26">
        <v>10.0</v>
      </c>
      <c r="H1729" s="26">
        <v>1.0</v>
      </c>
      <c r="N1729" s="26" t="s">
        <v>685</v>
      </c>
    </row>
    <row r="1730">
      <c r="A1730" s="25">
        <v>43340.83413736111</v>
      </c>
      <c r="B1730" s="26" t="s">
        <v>411</v>
      </c>
      <c r="C1730" s="26" t="s">
        <v>1290</v>
      </c>
      <c r="D1730" s="26" t="s">
        <v>31</v>
      </c>
      <c r="E1730" s="26">
        <v>115.0</v>
      </c>
      <c r="F1730" s="26" t="s">
        <v>448</v>
      </c>
      <c r="G1730" s="26">
        <v>1.0</v>
      </c>
      <c r="H1730" s="26">
        <v>1.0</v>
      </c>
      <c r="I1730" s="26">
        <v>105.0</v>
      </c>
      <c r="K1730" s="26">
        <v>10.0</v>
      </c>
      <c r="N1730" s="26" t="s">
        <v>683</v>
      </c>
    </row>
    <row r="1731">
      <c r="A1731" s="25">
        <v>43340.89562814815</v>
      </c>
      <c r="B1731" s="26" t="s">
        <v>33</v>
      </c>
      <c r="C1731" s="26" t="s">
        <v>1291</v>
      </c>
      <c r="D1731" s="26" t="s">
        <v>41</v>
      </c>
      <c r="E1731" s="26">
        <v>260.0</v>
      </c>
      <c r="F1731" s="26" t="s">
        <v>1144</v>
      </c>
      <c r="G1731" s="26">
        <v>11.0</v>
      </c>
      <c r="H1731" s="26">
        <v>1.0</v>
      </c>
      <c r="N1731" s="26" t="s">
        <v>683</v>
      </c>
    </row>
    <row r="1732">
      <c r="A1732" s="25">
        <v>43340.90205708334</v>
      </c>
      <c r="B1732" s="26" t="s">
        <v>40</v>
      </c>
      <c r="C1732" s="26">
        <v>64.0</v>
      </c>
      <c r="D1732" s="26" t="s">
        <v>41</v>
      </c>
      <c r="E1732" s="26">
        <v>250.0</v>
      </c>
      <c r="F1732" s="26" t="s">
        <v>35</v>
      </c>
      <c r="G1732" s="26">
        <v>7.0</v>
      </c>
      <c r="H1732" s="26">
        <v>7.0</v>
      </c>
      <c r="I1732" s="26">
        <v>180000.0</v>
      </c>
      <c r="J1732" s="26">
        <v>25000.0</v>
      </c>
      <c r="K1732" s="26">
        <v>45000.0</v>
      </c>
      <c r="N1732" s="26" t="s">
        <v>685</v>
      </c>
    </row>
    <row r="1733">
      <c r="A1733" s="25">
        <v>43340.93117848379</v>
      </c>
      <c r="B1733" s="26" t="s">
        <v>1037</v>
      </c>
      <c r="C1733" s="26">
        <v>64.0</v>
      </c>
      <c r="D1733" s="26" t="s">
        <v>27</v>
      </c>
      <c r="E1733" s="26">
        <v>203.0</v>
      </c>
      <c r="F1733" s="26" t="s">
        <v>1292</v>
      </c>
      <c r="G1733" s="26">
        <v>14.0</v>
      </c>
      <c r="H1733" s="26">
        <v>2.0</v>
      </c>
      <c r="I1733" s="26">
        <v>169000.0</v>
      </c>
      <c r="J1733" s="26">
        <v>20000.0</v>
      </c>
      <c r="K1733" s="26">
        <v>14000.0</v>
      </c>
      <c r="N1733" s="26" t="s">
        <v>691</v>
      </c>
    </row>
    <row r="1734">
      <c r="A1734" s="25">
        <v>43340.93931487268</v>
      </c>
      <c r="B1734" s="26" t="s">
        <v>45</v>
      </c>
      <c r="C1734" s="26" t="s">
        <v>102</v>
      </c>
      <c r="D1734" s="26" t="s">
        <v>1293</v>
      </c>
      <c r="E1734" s="26">
        <v>160.0</v>
      </c>
      <c r="F1734" s="26" t="s">
        <v>104</v>
      </c>
      <c r="G1734" s="26">
        <v>2.0</v>
      </c>
      <c r="H1734" s="26">
        <v>1.0</v>
      </c>
      <c r="I1734" s="26">
        <v>125.0</v>
      </c>
      <c r="J1734" s="26">
        <v>20.0</v>
      </c>
      <c r="K1734" s="26">
        <v>13.0</v>
      </c>
      <c r="N1734" s="26" t="s">
        <v>1163</v>
      </c>
    </row>
    <row r="1735">
      <c r="A1735" s="25">
        <v>43340.953845717595</v>
      </c>
      <c r="B1735" s="26" t="s">
        <v>48</v>
      </c>
      <c r="C1735" s="26" t="s">
        <v>69</v>
      </c>
      <c r="D1735" s="26" t="s">
        <v>31</v>
      </c>
      <c r="E1735" s="26">
        <v>172.0</v>
      </c>
      <c r="F1735" s="26" t="s">
        <v>415</v>
      </c>
      <c r="G1735" s="26">
        <v>0.0</v>
      </c>
      <c r="H1735" s="26">
        <v>0.0</v>
      </c>
      <c r="I1735" s="26">
        <v>110.0</v>
      </c>
      <c r="J1735" s="26">
        <v>37.0</v>
      </c>
      <c r="K1735" s="26">
        <v>25.0</v>
      </c>
      <c r="N1735" s="26" t="s">
        <v>691</v>
      </c>
    </row>
    <row r="1736">
      <c r="A1736" s="25">
        <v>43341.58504041667</v>
      </c>
      <c r="B1736" s="26" t="s">
        <v>319</v>
      </c>
      <c r="C1736" s="26" t="s">
        <v>1294</v>
      </c>
      <c r="D1736" s="26" t="s">
        <v>31</v>
      </c>
      <c r="E1736" s="26">
        <v>130.0</v>
      </c>
      <c r="F1736" s="26" t="s">
        <v>94</v>
      </c>
      <c r="G1736" s="26">
        <v>2.0</v>
      </c>
      <c r="H1736" s="26">
        <v>4.0</v>
      </c>
      <c r="I1736" s="26">
        <v>130.0</v>
      </c>
      <c r="N1736" s="26" t="s">
        <v>683</v>
      </c>
    </row>
    <row r="1737">
      <c r="A1737" s="25">
        <v>43341.58654060186</v>
      </c>
      <c r="B1737" s="26" t="s">
        <v>319</v>
      </c>
      <c r="C1737" s="26" t="s">
        <v>1294</v>
      </c>
      <c r="D1737" s="26" t="s">
        <v>31</v>
      </c>
      <c r="E1737" s="26">
        <v>130.0</v>
      </c>
      <c r="F1737" s="26" t="s">
        <v>94</v>
      </c>
      <c r="G1737" s="26">
        <v>4.0</v>
      </c>
      <c r="H1737" s="26">
        <v>2.0</v>
      </c>
      <c r="I1737" s="26">
        <v>130.0</v>
      </c>
      <c r="N1737" s="26" t="s">
        <v>683</v>
      </c>
    </row>
    <row r="1738">
      <c r="A1738" s="25">
        <v>43341.59663809028</v>
      </c>
      <c r="B1738" s="26" t="s">
        <v>1295</v>
      </c>
      <c r="C1738" s="26" t="s">
        <v>1296</v>
      </c>
      <c r="D1738" s="26" t="s">
        <v>27</v>
      </c>
      <c r="E1738" s="26">
        <v>140.0</v>
      </c>
      <c r="F1738" s="26" t="s">
        <v>63</v>
      </c>
      <c r="G1738" s="26">
        <v>10.0</v>
      </c>
      <c r="H1738" s="26">
        <v>2.0</v>
      </c>
      <c r="I1738" s="26">
        <v>115.0</v>
      </c>
      <c r="J1738" s="26">
        <v>5.0</v>
      </c>
      <c r="K1738" s="26">
        <v>25.0</v>
      </c>
      <c r="N1738" s="26" t="s">
        <v>1297</v>
      </c>
    </row>
    <row r="1739">
      <c r="A1739" s="25">
        <v>43341.630945185185</v>
      </c>
      <c r="B1739" s="26" t="s">
        <v>33</v>
      </c>
      <c r="C1739" s="26" t="s">
        <v>43</v>
      </c>
      <c r="D1739" s="26" t="s">
        <v>31</v>
      </c>
      <c r="E1739" s="26">
        <v>190.0</v>
      </c>
      <c r="F1739" s="26" t="s">
        <v>35</v>
      </c>
      <c r="G1739" s="26">
        <v>2.0</v>
      </c>
      <c r="H1739" s="26">
        <v>2.0</v>
      </c>
      <c r="I1739" s="26">
        <v>130.0</v>
      </c>
      <c r="J1739" s="26">
        <v>50.0</v>
      </c>
      <c r="K1739" s="26">
        <v>10.0</v>
      </c>
      <c r="N1739" s="26" t="s">
        <v>685</v>
      </c>
    </row>
    <row r="1740">
      <c r="A1740" s="25">
        <v>43341.8233858912</v>
      </c>
      <c r="B1740" s="26" t="s">
        <v>1298</v>
      </c>
      <c r="C1740" s="26" t="s">
        <v>1299</v>
      </c>
      <c r="D1740" s="26" t="s">
        <v>27</v>
      </c>
      <c r="E1740" s="26">
        <v>208.0</v>
      </c>
      <c r="F1740" s="26" t="s">
        <v>47</v>
      </c>
      <c r="G1740" s="26">
        <v>5.0</v>
      </c>
      <c r="H1740" s="26">
        <v>0.0</v>
      </c>
      <c r="I1740" s="26">
        <v>140.0</v>
      </c>
      <c r="J1740" s="26">
        <v>40.0</v>
      </c>
      <c r="K1740" s="26">
        <v>28.0</v>
      </c>
      <c r="N1740" s="26" t="s">
        <v>1300</v>
      </c>
    </row>
    <row r="1741">
      <c r="A1741" s="25">
        <v>43341.841764745375</v>
      </c>
      <c r="B1741" s="26" t="s">
        <v>540</v>
      </c>
      <c r="C1741" s="26" t="s">
        <v>1301</v>
      </c>
      <c r="D1741" s="26" t="s">
        <v>27</v>
      </c>
      <c r="E1741" s="26">
        <v>160.0</v>
      </c>
      <c r="F1741" s="26" t="s">
        <v>327</v>
      </c>
      <c r="G1741" s="26">
        <v>12.0</v>
      </c>
      <c r="H1741" s="26">
        <v>3.0</v>
      </c>
      <c r="I1741" s="26">
        <v>160.0</v>
      </c>
      <c r="J1741" s="26">
        <v>40.0</v>
      </c>
      <c r="K1741" s="26">
        <v>20.0</v>
      </c>
      <c r="N1741" s="26" t="s">
        <v>1302</v>
      </c>
    </row>
    <row r="1742">
      <c r="A1742" s="25">
        <v>43341.88741082176</v>
      </c>
      <c r="B1742" s="26" t="s">
        <v>48</v>
      </c>
      <c r="C1742" s="26" t="s">
        <v>166</v>
      </c>
      <c r="D1742" s="26" t="s">
        <v>41</v>
      </c>
      <c r="E1742" s="26">
        <v>421.0</v>
      </c>
      <c r="F1742" s="26" t="s">
        <v>50</v>
      </c>
      <c r="G1742" s="26">
        <v>13.0</v>
      </c>
      <c r="H1742" s="26">
        <v>3.0</v>
      </c>
      <c r="I1742" s="26">
        <v>193000.0</v>
      </c>
      <c r="J1742" s="26">
        <v>200000.0</v>
      </c>
      <c r="K1742" s="26">
        <v>28950.0</v>
      </c>
      <c r="N1742" s="26" t="s">
        <v>683</v>
      </c>
    </row>
    <row r="1743">
      <c r="A1743" s="25">
        <v>43341.972932766206</v>
      </c>
      <c r="B1743" s="26" t="s">
        <v>1303</v>
      </c>
      <c r="C1743" s="26" t="s">
        <v>37</v>
      </c>
      <c r="D1743" s="26" t="s">
        <v>31</v>
      </c>
      <c r="E1743" s="26">
        <v>136.0</v>
      </c>
      <c r="F1743" s="26" t="s">
        <v>63</v>
      </c>
      <c r="G1743" s="26">
        <v>8.0</v>
      </c>
      <c r="H1743" s="26">
        <v>4.0</v>
      </c>
      <c r="I1743" s="26">
        <v>127.0</v>
      </c>
      <c r="J1743" s="26">
        <v>24.0</v>
      </c>
      <c r="N1743" s="26" t="s">
        <v>728</v>
      </c>
    </row>
    <row r="1744">
      <c r="A1744" s="25">
        <v>43342.01002030092</v>
      </c>
      <c r="B1744" s="26" t="s">
        <v>170</v>
      </c>
      <c r="C1744" s="26" t="s">
        <v>572</v>
      </c>
      <c r="D1744" s="26" t="s">
        <v>372</v>
      </c>
      <c r="E1744" s="26">
        <v>188.0</v>
      </c>
      <c r="F1744" s="26" t="s">
        <v>994</v>
      </c>
      <c r="G1744" s="26">
        <v>15.0</v>
      </c>
      <c r="H1744" s="26">
        <v>2.0</v>
      </c>
      <c r="I1744" s="26">
        <v>188000.0</v>
      </c>
      <c r="J1744" s="26">
        <v>25000.0</v>
      </c>
      <c r="K1744" s="26">
        <v>52000.0</v>
      </c>
      <c r="N1744" s="26" t="s">
        <v>1304</v>
      </c>
    </row>
    <row r="1745">
      <c r="A1745" s="25">
        <v>43342.12727733796</v>
      </c>
      <c r="B1745" s="26" t="s">
        <v>40</v>
      </c>
      <c r="C1745" s="26">
        <v>63.0</v>
      </c>
      <c r="D1745" s="26" t="s">
        <v>31</v>
      </c>
      <c r="E1745" s="26">
        <v>195.0</v>
      </c>
      <c r="F1745" s="26" t="s">
        <v>758</v>
      </c>
      <c r="G1745" s="26">
        <v>14.0</v>
      </c>
      <c r="H1745" s="26">
        <v>5.0</v>
      </c>
      <c r="I1745" s="26">
        <v>150.0</v>
      </c>
      <c r="J1745" s="26">
        <v>20.0</v>
      </c>
      <c r="K1745" s="26">
        <v>25.0</v>
      </c>
      <c r="N1745" s="26" t="s">
        <v>685</v>
      </c>
    </row>
    <row r="1746">
      <c r="A1746" s="25">
        <v>43342.359936249995</v>
      </c>
      <c r="B1746" s="26" t="s">
        <v>40</v>
      </c>
      <c r="C1746" s="26">
        <v>62.0</v>
      </c>
      <c r="D1746" s="26" t="s">
        <v>31</v>
      </c>
      <c r="E1746" s="26">
        <v>135.0</v>
      </c>
      <c r="F1746" s="26" t="s">
        <v>75</v>
      </c>
      <c r="G1746" s="26">
        <v>7.0</v>
      </c>
      <c r="H1746" s="26">
        <v>7.0</v>
      </c>
      <c r="I1746" s="26">
        <v>135.0</v>
      </c>
      <c r="J1746" s="26">
        <v>5.0</v>
      </c>
      <c r="K1746" s="26">
        <v>13.0</v>
      </c>
      <c r="L1746" s="26" t="s">
        <v>1305</v>
      </c>
      <c r="N1746" s="26" t="s">
        <v>685</v>
      </c>
    </row>
    <row r="1747">
      <c r="A1747" s="25">
        <v>43342.44476003472</v>
      </c>
      <c r="B1747" s="26" t="s">
        <v>124</v>
      </c>
      <c r="C1747" s="26" t="s">
        <v>1068</v>
      </c>
      <c r="D1747" s="26" t="s">
        <v>31</v>
      </c>
      <c r="E1747" s="26">
        <v>180.0</v>
      </c>
      <c r="F1747" s="26" t="s">
        <v>459</v>
      </c>
      <c r="G1747" s="26">
        <v>2.0</v>
      </c>
      <c r="H1747" s="26">
        <v>2.0</v>
      </c>
      <c r="I1747" s="26">
        <v>110.0</v>
      </c>
      <c r="J1747" s="26">
        <v>50.0</v>
      </c>
      <c r="K1747" s="26">
        <v>11.0</v>
      </c>
      <c r="N1747" s="26" t="s">
        <v>685</v>
      </c>
    </row>
    <row r="1748">
      <c r="A1748" s="25">
        <v>43342.49615013889</v>
      </c>
      <c r="B1748" s="26" t="s">
        <v>673</v>
      </c>
      <c r="C1748" s="26" t="s">
        <v>610</v>
      </c>
      <c r="D1748" s="26" t="s">
        <v>31</v>
      </c>
      <c r="E1748" s="26">
        <v>137.0</v>
      </c>
      <c r="F1748" s="26" t="s">
        <v>272</v>
      </c>
      <c r="G1748" s="26">
        <v>1.0</v>
      </c>
      <c r="H1748" s="26">
        <v>1.0</v>
      </c>
      <c r="I1748" s="26">
        <v>112.0</v>
      </c>
      <c r="J1748" s="26">
        <v>14.0</v>
      </c>
      <c r="K1748" s="26">
        <v>11.0</v>
      </c>
      <c r="N1748" s="26" t="s">
        <v>683</v>
      </c>
    </row>
    <row r="1749">
      <c r="A1749" s="25">
        <v>43342.54033383101</v>
      </c>
      <c r="B1749" s="26" t="s">
        <v>1306</v>
      </c>
      <c r="C1749" s="26" t="s">
        <v>1307</v>
      </c>
      <c r="D1749" s="26" t="s">
        <v>711</v>
      </c>
      <c r="E1749" s="26">
        <v>60.0</v>
      </c>
      <c r="F1749" s="26" t="s">
        <v>1308</v>
      </c>
      <c r="G1749" s="26">
        <v>1.0</v>
      </c>
      <c r="H1749" s="26">
        <v>0.1</v>
      </c>
      <c r="I1749" s="26">
        <v>4.0</v>
      </c>
      <c r="J1749" s="26">
        <v>1.0</v>
      </c>
      <c r="K1749" s="26">
        <v>1.0</v>
      </c>
      <c r="L1749" s="26" t="s">
        <v>1309</v>
      </c>
      <c r="N1749" s="26" t="s">
        <v>683</v>
      </c>
    </row>
    <row r="1750">
      <c r="A1750" s="25">
        <v>43342.54174570602</v>
      </c>
      <c r="B1750" s="26" t="s">
        <v>146</v>
      </c>
      <c r="C1750" s="26" t="s">
        <v>1310</v>
      </c>
      <c r="D1750" s="26" t="s">
        <v>27</v>
      </c>
      <c r="E1750" s="26">
        <v>470.0</v>
      </c>
      <c r="F1750" s="26" t="s">
        <v>134</v>
      </c>
      <c r="G1750" s="26">
        <v>20.0</v>
      </c>
      <c r="H1750" s="26">
        <v>2.0</v>
      </c>
      <c r="I1750" s="26">
        <v>225.0</v>
      </c>
      <c r="J1750" s="26">
        <v>200.0</v>
      </c>
      <c r="K1750" s="26">
        <v>45.0</v>
      </c>
      <c r="N1750" s="26" t="s">
        <v>691</v>
      </c>
    </row>
    <row r="1751">
      <c r="A1751" s="25">
        <v>43342.5723928125</v>
      </c>
      <c r="B1751" s="26" t="s">
        <v>80</v>
      </c>
      <c r="C1751" s="26" t="s">
        <v>43</v>
      </c>
      <c r="D1751" s="26" t="s">
        <v>1311</v>
      </c>
      <c r="E1751" s="26">
        <v>300.0</v>
      </c>
      <c r="F1751" s="26" t="s">
        <v>32</v>
      </c>
      <c r="G1751" s="26">
        <v>7.0</v>
      </c>
      <c r="H1751" s="26">
        <v>2.0</v>
      </c>
      <c r="I1751" s="26">
        <v>165000.0</v>
      </c>
      <c r="J1751" s="26">
        <v>100000.0</v>
      </c>
      <c r="K1751" s="26">
        <v>35000.0</v>
      </c>
      <c r="N1751" s="26" t="s">
        <v>1149</v>
      </c>
    </row>
    <row r="1752">
      <c r="A1752" s="25">
        <v>43342.66825756944</v>
      </c>
      <c r="B1752" s="26" t="s">
        <v>122</v>
      </c>
      <c r="C1752" s="26" t="s">
        <v>166</v>
      </c>
      <c r="D1752" s="26" t="s">
        <v>31</v>
      </c>
      <c r="E1752" s="26">
        <v>406.0</v>
      </c>
      <c r="F1752" s="26" t="s">
        <v>1312</v>
      </c>
      <c r="G1752" s="26">
        <v>14.0</v>
      </c>
      <c r="H1752" s="26">
        <v>0.0</v>
      </c>
      <c r="N1752" s="26" t="s">
        <v>683</v>
      </c>
    </row>
    <row r="1753">
      <c r="A1753" s="25">
        <v>43342.67418714121</v>
      </c>
      <c r="B1753" s="26" t="s">
        <v>1313</v>
      </c>
      <c r="C1753" s="26" t="s">
        <v>218</v>
      </c>
      <c r="D1753" s="26" t="s">
        <v>31</v>
      </c>
      <c r="E1753" s="26">
        <v>77.0</v>
      </c>
      <c r="F1753" s="26" t="s">
        <v>1314</v>
      </c>
      <c r="G1753" s="26">
        <v>1.0</v>
      </c>
      <c r="H1753" s="26">
        <v>1.0</v>
      </c>
      <c r="I1753" s="26">
        <v>77.0</v>
      </c>
      <c r="N1753" s="26" t="s">
        <v>685</v>
      </c>
    </row>
    <row r="1754">
      <c r="A1754" s="25">
        <v>43342.716890104166</v>
      </c>
      <c r="B1754" s="26" t="s">
        <v>170</v>
      </c>
      <c r="C1754" s="26" t="s">
        <v>424</v>
      </c>
      <c r="D1754" s="26" t="s">
        <v>1315</v>
      </c>
      <c r="E1754" s="26">
        <v>136.0</v>
      </c>
      <c r="F1754" s="26" t="s">
        <v>516</v>
      </c>
      <c r="G1754" s="26">
        <v>2.0</v>
      </c>
      <c r="H1754" s="26">
        <v>2.0</v>
      </c>
      <c r="I1754" s="26">
        <v>119.0</v>
      </c>
      <c r="J1754" s="26">
        <v>7500.0</v>
      </c>
      <c r="K1754" s="26">
        <v>10000.0</v>
      </c>
      <c r="N1754" s="26" t="s">
        <v>1316</v>
      </c>
    </row>
    <row r="1755">
      <c r="A1755" s="25">
        <v>43342.74237003472</v>
      </c>
      <c r="B1755" s="26" t="s">
        <v>1160</v>
      </c>
      <c r="C1755" s="26" t="s">
        <v>591</v>
      </c>
      <c r="D1755" s="26" t="s">
        <v>31</v>
      </c>
      <c r="E1755" s="26">
        <v>170.0</v>
      </c>
      <c r="F1755" s="26" t="s">
        <v>58</v>
      </c>
      <c r="G1755" s="26">
        <v>2.0</v>
      </c>
      <c r="H1755" s="26">
        <v>2.0</v>
      </c>
      <c r="I1755" s="26">
        <v>170.0</v>
      </c>
      <c r="K1755" s="26">
        <v>30.0</v>
      </c>
      <c r="N1755" s="26" t="s">
        <v>699</v>
      </c>
    </row>
    <row r="1756">
      <c r="A1756" s="25">
        <v>43342.786147743056</v>
      </c>
      <c r="B1756" s="26" t="s">
        <v>204</v>
      </c>
      <c r="C1756" s="26" t="s">
        <v>43</v>
      </c>
      <c r="D1756" s="26" t="s">
        <v>31</v>
      </c>
      <c r="E1756" s="26">
        <v>478.0</v>
      </c>
      <c r="F1756" s="26" t="s">
        <v>72</v>
      </c>
      <c r="G1756" s="26">
        <v>7.0</v>
      </c>
      <c r="H1756" s="26">
        <v>3.0</v>
      </c>
      <c r="I1756" s="26">
        <v>190.0</v>
      </c>
      <c r="J1756" s="26">
        <v>250.0</v>
      </c>
      <c r="K1756" s="26">
        <v>38.0</v>
      </c>
      <c r="N1756" s="26" t="s">
        <v>699</v>
      </c>
    </row>
    <row r="1757">
      <c r="A1757" s="25">
        <v>43342.80580792824</v>
      </c>
      <c r="B1757" s="26" t="s">
        <v>139</v>
      </c>
      <c r="C1757" s="26" t="s">
        <v>113</v>
      </c>
      <c r="D1757" s="26" t="s">
        <v>31</v>
      </c>
      <c r="E1757" s="26">
        <v>275.0</v>
      </c>
      <c r="F1757" s="26" t="s">
        <v>354</v>
      </c>
      <c r="G1757" s="26">
        <v>10.0</v>
      </c>
      <c r="H1757" s="26">
        <v>5.0</v>
      </c>
      <c r="I1757" s="26">
        <v>226.0</v>
      </c>
      <c r="J1757" s="26">
        <v>15.0</v>
      </c>
      <c r="K1757" s="26">
        <v>34.0</v>
      </c>
      <c r="N1757" s="26" t="s">
        <v>708</v>
      </c>
    </row>
    <row r="1758">
      <c r="A1758" s="25">
        <v>43342.821046122684</v>
      </c>
      <c r="B1758" s="26" t="s">
        <v>1160</v>
      </c>
      <c r="C1758" s="26" t="s">
        <v>191</v>
      </c>
      <c r="D1758" s="26" t="s">
        <v>31</v>
      </c>
      <c r="E1758" s="26">
        <v>140.0</v>
      </c>
      <c r="F1758" s="26" t="s">
        <v>320</v>
      </c>
      <c r="G1758" s="26">
        <v>5.0</v>
      </c>
      <c r="H1758" s="26">
        <v>1.0</v>
      </c>
      <c r="I1758" s="26">
        <v>140.0</v>
      </c>
      <c r="J1758" s="26">
        <v>40.0</v>
      </c>
      <c r="K1758" s="26">
        <v>20.0</v>
      </c>
      <c r="N1758" s="26" t="s">
        <v>708</v>
      </c>
    </row>
    <row r="1759">
      <c r="A1759" s="25">
        <v>43342.837405046295</v>
      </c>
      <c r="B1759" s="26" t="s">
        <v>33</v>
      </c>
      <c r="C1759" s="26" t="s">
        <v>76</v>
      </c>
      <c r="D1759" s="26" t="s">
        <v>31</v>
      </c>
      <c r="E1759" s="26">
        <v>220.0</v>
      </c>
      <c r="F1759" s="26" t="s">
        <v>212</v>
      </c>
      <c r="G1759" s="26">
        <v>6.0</v>
      </c>
      <c r="H1759" s="26">
        <v>4.0</v>
      </c>
      <c r="I1759" s="26">
        <v>138890.0</v>
      </c>
      <c r="J1759" s="26">
        <v>82000.0</v>
      </c>
      <c r="N1759" s="26" t="s">
        <v>704</v>
      </c>
    </row>
    <row r="1760">
      <c r="A1760" s="25">
        <v>43342.85925202546</v>
      </c>
      <c r="B1760" s="26" t="s">
        <v>40</v>
      </c>
      <c r="C1760" s="26">
        <v>60.0</v>
      </c>
      <c r="D1760" s="26" t="s">
        <v>31</v>
      </c>
      <c r="E1760" s="26">
        <v>179.0</v>
      </c>
      <c r="F1760" s="26" t="s">
        <v>63</v>
      </c>
      <c r="G1760" s="26">
        <v>2.0</v>
      </c>
      <c r="H1760" s="26">
        <v>2.0</v>
      </c>
      <c r="I1760" s="26">
        <v>120.0</v>
      </c>
      <c r="J1760" s="26">
        <v>9.0</v>
      </c>
      <c r="K1760" s="26">
        <v>20.0</v>
      </c>
      <c r="N1760" s="26" t="s">
        <v>696</v>
      </c>
    </row>
    <row r="1761">
      <c r="A1761" s="25">
        <v>43342.88510726852</v>
      </c>
      <c r="B1761" s="26" t="s">
        <v>263</v>
      </c>
      <c r="C1761" s="26" t="s">
        <v>1317</v>
      </c>
      <c r="D1761" s="26" t="s">
        <v>31</v>
      </c>
      <c r="E1761" s="26">
        <v>293.0</v>
      </c>
      <c r="F1761" s="26" t="s">
        <v>236</v>
      </c>
      <c r="G1761" s="26">
        <v>1.0</v>
      </c>
      <c r="H1761" s="26">
        <v>0.0</v>
      </c>
      <c r="I1761" s="26">
        <v>140.0</v>
      </c>
      <c r="J1761" s="26">
        <v>139.0</v>
      </c>
      <c r="K1761" s="26">
        <v>14.0</v>
      </c>
      <c r="N1761" s="26" t="s">
        <v>685</v>
      </c>
    </row>
    <row r="1762">
      <c r="A1762" s="25">
        <v>43342.896871944446</v>
      </c>
      <c r="B1762" s="26" t="s">
        <v>40</v>
      </c>
      <c r="C1762" s="26">
        <v>66.0</v>
      </c>
      <c r="D1762" s="26" t="s">
        <v>31</v>
      </c>
      <c r="E1762" s="26">
        <v>425.0</v>
      </c>
      <c r="F1762" s="26" t="s">
        <v>107</v>
      </c>
      <c r="G1762" s="26">
        <v>15.0</v>
      </c>
      <c r="H1762" s="26">
        <v>10.0</v>
      </c>
      <c r="I1762" s="26">
        <v>220.0</v>
      </c>
      <c r="J1762" s="26">
        <v>136.0</v>
      </c>
      <c r="K1762" s="26">
        <v>69.0</v>
      </c>
      <c r="N1762" s="26" t="s">
        <v>685</v>
      </c>
    </row>
    <row r="1763">
      <c r="A1763" s="25">
        <v>43342.95664575232</v>
      </c>
      <c r="B1763" s="26" t="s">
        <v>40</v>
      </c>
      <c r="C1763" s="26">
        <v>64.0</v>
      </c>
      <c r="D1763" s="26" t="s">
        <v>31</v>
      </c>
      <c r="E1763" s="26">
        <v>280.0</v>
      </c>
      <c r="F1763" s="26" t="s">
        <v>75</v>
      </c>
      <c r="G1763" s="26">
        <v>12.0</v>
      </c>
      <c r="H1763" s="26">
        <v>6.0</v>
      </c>
      <c r="I1763" s="26">
        <v>182.0</v>
      </c>
      <c r="J1763" s="26">
        <v>63.0</v>
      </c>
      <c r="K1763" s="26">
        <v>35.0</v>
      </c>
      <c r="N1763" s="26" t="s">
        <v>685</v>
      </c>
    </row>
    <row r="1764">
      <c r="A1764" s="25">
        <v>43343.015124224534</v>
      </c>
      <c r="B1764" s="26" t="s">
        <v>33</v>
      </c>
      <c r="C1764" s="26" t="s">
        <v>62</v>
      </c>
      <c r="D1764" s="26" t="s">
        <v>27</v>
      </c>
      <c r="E1764" s="26">
        <v>217.0</v>
      </c>
      <c r="F1764" s="26" t="s">
        <v>35</v>
      </c>
      <c r="G1764" s="26">
        <v>10.0</v>
      </c>
      <c r="H1764" s="26">
        <v>4.5</v>
      </c>
      <c r="I1764" s="26">
        <v>121.0</v>
      </c>
      <c r="J1764" s="26">
        <v>96.0</v>
      </c>
      <c r="N1764" s="26" t="s">
        <v>1318</v>
      </c>
    </row>
    <row r="1765">
      <c r="A1765" s="25">
        <v>43343.01768075231</v>
      </c>
      <c r="B1765" s="26" t="s">
        <v>40</v>
      </c>
      <c r="C1765" s="26">
        <v>65.0</v>
      </c>
      <c r="D1765" s="26" t="s">
        <v>41</v>
      </c>
      <c r="E1765" s="26">
        <v>408.0</v>
      </c>
      <c r="F1765" s="26" t="s">
        <v>1319</v>
      </c>
      <c r="G1765" s="26">
        <v>10.0</v>
      </c>
      <c r="H1765" s="26">
        <v>5.0</v>
      </c>
      <c r="I1765" s="26">
        <v>220.0</v>
      </c>
      <c r="J1765" s="26">
        <v>130000.0</v>
      </c>
      <c r="K1765" s="26">
        <v>55000.0</v>
      </c>
      <c r="N1765" s="26" t="s">
        <v>1163</v>
      </c>
    </row>
    <row r="1766">
      <c r="A1766" s="25">
        <v>43343.07251290509</v>
      </c>
      <c r="B1766" s="26" t="s">
        <v>1320</v>
      </c>
      <c r="C1766" s="26" t="s">
        <v>37</v>
      </c>
      <c r="D1766" s="26" t="s">
        <v>31</v>
      </c>
      <c r="E1766" s="26">
        <v>130.0</v>
      </c>
      <c r="F1766" s="26" t="s">
        <v>1275</v>
      </c>
      <c r="G1766" s="26">
        <v>5.0</v>
      </c>
      <c r="H1766" s="26">
        <v>4.0</v>
      </c>
      <c r="I1766" s="26">
        <v>130000.0</v>
      </c>
      <c r="N1766" s="26" t="s">
        <v>696</v>
      </c>
    </row>
    <row r="1767">
      <c r="A1767" s="25">
        <v>43343.2989766088</v>
      </c>
      <c r="B1767" s="26" t="s">
        <v>1321</v>
      </c>
      <c r="C1767" s="26" t="s">
        <v>1322</v>
      </c>
      <c r="D1767" s="26" t="s">
        <v>1236</v>
      </c>
      <c r="E1767" s="26">
        <v>125.0</v>
      </c>
      <c r="F1767" s="26" t="s">
        <v>178</v>
      </c>
      <c r="G1767" s="26">
        <v>6.0</v>
      </c>
      <c r="H1767" s="26">
        <v>0.0</v>
      </c>
      <c r="I1767" s="26">
        <v>113.0</v>
      </c>
      <c r="K1767" s="26">
        <v>11.0</v>
      </c>
      <c r="N1767" s="26" t="s">
        <v>1323</v>
      </c>
    </row>
    <row r="1768">
      <c r="A1768" s="25">
        <v>43343.30092148148</v>
      </c>
      <c r="B1768" s="26" t="s">
        <v>1324</v>
      </c>
      <c r="C1768" s="26" t="s">
        <v>541</v>
      </c>
      <c r="D1768" s="26" t="s">
        <v>1236</v>
      </c>
      <c r="E1768" s="26">
        <v>107.0</v>
      </c>
      <c r="F1768" s="26" t="s">
        <v>161</v>
      </c>
      <c r="G1768" s="26">
        <v>5.0</v>
      </c>
      <c r="H1768" s="26">
        <v>1.0</v>
      </c>
      <c r="I1768" s="26">
        <v>100.0</v>
      </c>
      <c r="J1768" s="26">
        <v>1.0</v>
      </c>
      <c r="K1768" s="26">
        <v>7.0</v>
      </c>
      <c r="N1768" s="26" t="s">
        <v>1323</v>
      </c>
    </row>
    <row r="1769">
      <c r="A1769" s="25">
        <v>43343.43721181713</v>
      </c>
      <c r="B1769" s="26" t="s">
        <v>1325</v>
      </c>
      <c r="C1769" s="26">
        <v>60.0</v>
      </c>
      <c r="D1769" s="26" t="s">
        <v>31</v>
      </c>
      <c r="E1769" s="26">
        <v>114.0</v>
      </c>
      <c r="F1769" s="26" t="s">
        <v>52</v>
      </c>
      <c r="G1769" s="26">
        <v>2.0</v>
      </c>
      <c r="H1769" s="26">
        <v>2.0</v>
      </c>
      <c r="I1769" s="26">
        <v>114.0</v>
      </c>
      <c r="J1769" s="26">
        <v>8.0</v>
      </c>
      <c r="K1769" s="26">
        <v>4.0</v>
      </c>
      <c r="N1769" s="26" t="s">
        <v>691</v>
      </c>
    </row>
    <row r="1770">
      <c r="A1770" s="25">
        <v>43343.450963043986</v>
      </c>
      <c r="B1770" s="26" t="s">
        <v>371</v>
      </c>
      <c r="C1770" s="26" t="s">
        <v>372</v>
      </c>
      <c r="D1770" s="26" t="s">
        <v>31</v>
      </c>
      <c r="E1770" s="26">
        <v>185.0</v>
      </c>
      <c r="F1770" s="26" t="s">
        <v>327</v>
      </c>
      <c r="G1770" s="26">
        <v>8.0</v>
      </c>
      <c r="H1770" s="26">
        <v>8.0</v>
      </c>
      <c r="I1770" s="26">
        <v>129000.0</v>
      </c>
      <c r="J1770" s="26">
        <v>40000.0</v>
      </c>
      <c r="K1770" s="26">
        <v>15000.0</v>
      </c>
      <c r="N1770" s="26" t="s">
        <v>728</v>
      </c>
    </row>
    <row r="1771">
      <c r="A1771" s="25">
        <v>43343.5138841088</v>
      </c>
      <c r="B1771" s="26" t="s">
        <v>170</v>
      </c>
      <c r="C1771" s="26" t="s">
        <v>1326</v>
      </c>
      <c r="D1771" s="26" t="s">
        <v>41</v>
      </c>
      <c r="E1771" s="26">
        <v>320.0</v>
      </c>
      <c r="F1771" s="26" t="s">
        <v>1327</v>
      </c>
      <c r="G1771" s="26">
        <v>32.0</v>
      </c>
      <c r="H1771" s="26">
        <v>30.0</v>
      </c>
      <c r="I1771" s="26">
        <v>170.0</v>
      </c>
      <c r="J1771" s="26">
        <v>70.0</v>
      </c>
      <c r="K1771" s="26">
        <v>80.0</v>
      </c>
      <c r="N1771" s="26" t="s">
        <v>708</v>
      </c>
    </row>
    <row r="1772">
      <c r="A1772" s="25">
        <v>43343.51444571759</v>
      </c>
      <c r="B1772" s="26" t="s">
        <v>40</v>
      </c>
      <c r="C1772" s="26">
        <v>62.0</v>
      </c>
      <c r="D1772" s="26" t="s">
        <v>31</v>
      </c>
      <c r="E1772" s="26">
        <v>211.0</v>
      </c>
      <c r="F1772" s="26" t="s">
        <v>52</v>
      </c>
      <c r="G1772" s="26">
        <v>5.0</v>
      </c>
      <c r="H1772" s="26">
        <v>5.0</v>
      </c>
      <c r="I1772" s="26">
        <v>146.0</v>
      </c>
      <c r="J1772" s="26">
        <v>50.0</v>
      </c>
      <c r="K1772" s="26">
        <v>15.0</v>
      </c>
      <c r="N1772" s="26" t="s">
        <v>704</v>
      </c>
    </row>
    <row r="1773">
      <c r="A1773" s="25">
        <v>43343.56582554398</v>
      </c>
      <c r="B1773" s="26" t="s">
        <v>258</v>
      </c>
      <c r="C1773" s="26" t="s">
        <v>76</v>
      </c>
      <c r="D1773" s="26" t="s">
        <v>31</v>
      </c>
      <c r="E1773" s="26">
        <v>220.0</v>
      </c>
      <c r="F1773" s="26" t="s">
        <v>212</v>
      </c>
      <c r="G1773" s="26">
        <v>4.0</v>
      </c>
      <c r="H1773" s="26">
        <v>1.0</v>
      </c>
      <c r="I1773" s="26">
        <v>140.0</v>
      </c>
      <c r="J1773" s="26">
        <v>70.0</v>
      </c>
      <c r="K1773" s="26">
        <v>10.0</v>
      </c>
      <c r="N1773" s="26" t="s">
        <v>685</v>
      </c>
    </row>
    <row r="1774">
      <c r="A1774" s="25">
        <v>43343.63047497685</v>
      </c>
      <c r="B1774" s="26" t="s">
        <v>40</v>
      </c>
      <c r="C1774" s="26">
        <v>59.0</v>
      </c>
      <c r="D1774" s="26" t="s">
        <v>31</v>
      </c>
      <c r="E1774" s="26">
        <v>233.0</v>
      </c>
      <c r="F1774" s="26" t="s">
        <v>52</v>
      </c>
      <c r="G1774" s="26">
        <v>0.0</v>
      </c>
      <c r="H1774" s="26">
        <v>0.0</v>
      </c>
      <c r="I1774" s="26">
        <v>109.0</v>
      </c>
      <c r="J1774" s="26">
        <v>13.0</v>
      </c>
      <c r="K1774" s="26">
        <v>22.0</v>
      </c>
      <c r="N1774" s="26" t="s">
        <v>704</v>
      </c>
    </row>
    <row r="1775">
      <c r="A1775" s="25">
        <v>43343.672865659726</v>
      </c>
      <c r="B1775" s="26" t="s">
        <v>1328</v>
      </c>
      <c r="C1775" s="26" t="s">
        <v>1167</v>
      </c>
      <c r="D1775" s="26" t="s">
        <v>41</v>
      </c>
      <c r="E1775" s="26">
        <v>143.0</v>
      </c>
      <c r="F1775" s="26" t="s">
        <v>1329</v>
      </c>
      <c r="G1775" s="26">
        <v>10.0</v>
      </c>
      <c r="H1775" s="26">
        <v>2.0</v>
      </c>
      <c r="N1775" s="26" t="s">
        <v>683</v>
      </c>
    </row>
    <row r="1776">
      <c r="A1776" s="25">
        <v>43343.680299189815</v>
      </c>
      <c r="B1776" s="26" t="s">
        <v>139</v>
      </c>
      <c r="C1776" s="26" t="s">
        <v>96</v>
      </c>
      <c r="D1776" s="26" t="s">
        <v>31</v>
      </c>
      <c r="E1776" s="26">
        <v>220.0</v>
      </c>
      <c r="F1776" s="26" t="s">
        <v>247</v>
      </c>
      <c r="G1776" s="26">
        <v>14.0</v>
      </c>
      <c r="H1776" s="26">
        <v>4.0</v>
      </c>
      <c r="I1776" s="26">
        <v>180.0</v>
      </c>
      <c r="J1776" s="26">
        <v>20.0</v>
      </c>
      <c r="K1776" s="26">
        <v>20.0</v>
      </c>
      <c r="N1776" s="26" t="s">
        <v>704</v>
      </c>
    </row>
    <row r="1777">
      <c r="A1777" s="25">
        <v>43343.74282076389</v>
      </c>
      <c r="B1777" s="26" t="s">
        <v>40</v>
      </c>
      <c r="C1777" s="26">
        <v>66.0</v>
      </c>
      <c r="D1777" s="26" t="s">
        <v>27</v>
      </c>
      <c r="E1777" s="26">
        <v>365.0</v>
      </c>
      <c r="F1777" s="26" t="s">
        <v>75</v>
      </c>
      <c r="G1777" s="26">
        <v>15.0</v>
      </c>
      <c r="H1777" s="26">
        <v>11.0</v>
      </c>
      <c r="I1777" s="26">
        <v>210.0</v>
      </c>
      <c r="J1777" s="26">
        <v>100.0</v>
      </c>
      <c r="K1777" s="26">
        <v>55.0</v>
      </c>
      <c r="N1777" s="26" t="s">
        <v>685</v>
      </c>
    </row>
    <row r="1778">
      <c r="A1778" s="25">
        <v>43343.847464756946</v>
      </c>
      <c r="B1778" s="26" t="s">
        <v>80</v>
      </c>
      <c r="C1778" s="26" t="s">
        <v>179</v>
      </c>
      <c r="D1778" s="26" t="s">
        <v>41</v>
      </c>
      <c r="E1778" s="26">
        <v>995.0</v>
      </c>
      <c r="F1778" s="26" t="s">
        <v>1330</v>
      </c>
      <c r="G1778" s="26">
        <v>10.0</v>
      </c>
      <c r="H1778" s="26">
        <v>5.0</v>
      </c>
      <c r="I1778" s="26">
        <v>500.0</v>
      </c>
      <c r="J1778" s="26">
        <v>400.0</v>
      </c>
      <c r="K1778" s="26">
        <v>50.0</v>
      </c>
      <c r="N1778" s="26" t="s">
        <v>683</v>
      </c>
    </row>
    <row r="1779">
      <c r="A1779" s="25">
        <v>43343.96926863426</v>
      </c>
      <c r="B1779" s="26" t="s">
        <v>33</v>
      </c>
      <c r="C1779" s="26" t="s">
        <v>62</v>
      </c>
      <c r="D1779" s="26" t="s">
        <v>27</v>
      </c>
      <c r="E1779" s="26">
        <v>265.0</v>
      </c>
      <c r="F1779" s="26" t="s">
        <v>175</v>
      </c>
      <c r="G1779" s="26">
        <v>4.0</v>
      </c>
      <c r="H1779" s="26">
        <v>1.0</v>
      </c>
      <c r="N1779" s="26" t="s">
        <v>1331</v>
      </c>
    </row>
    <row r="1780">
      <c r="A1780" s="25">
        <v>43344.07665033565</v>
      </c>
      <c r="B1780" s="26" t="s">
        <v>387</v>
      </c>
      <c r="C1780" s="26" t="s">
        <v>716</v>
      </c>
      <c r="D1780" s="26" t="s">
        <v>1332</v>
      </c>
      <c r="E1780" s="26">
        <v>233.0</v>
      </c>
      <c r="F1780" s="26" t="s">
        <v>236</v>
      </c>
      <c r="G1780" s="26">
        <v>3.0</v>
      </c>
      <c r="H1780" s="26">
        <v>1.0</v>
      </c>
      <c r="I1780" s="26">
        <v>145.0</v>
      </c>
      <c r="J1780" s="26">
        <v>88.0</v>
      </c>
      <c r="N1780" s="26" t="s">
        <v>691</v>
      </c>
    </row>
    <row r="1781">
      <c r="A1781" s="25">
        <v>43344.441847696755</v>
      </c>
      <c r="B1781" s="26" t="s">
        <v>40</v>
      </c>
      <c r="C1781" s="26">
        <v>63.0</v>
      </c>
      <c r="D1781" s="26" t="s">
        <v>31</v>
      </c>
      <c r="E1781" s="26">
        <v>262.0</v>
      </c>
      <c r="F1781" s="26" t="s">
        <v>75</v>
      </c>
      <c r="G1781" s="26">
        <v>15.0</v>
      </c>
      <c r="H1781" s="26">
        <v>3.0</v>
      </c>
      <c r="I1781" s="26">
        <v>158.0</v>
      </c>
      <c r="J1781" s="26">
        <v>20.0</v>
      </c>
      <c r="K1781" s="26">
        <v>18.0</v>
      </c>
      <c r="N1781" s="26" t="s">
        <v>696</v>
      </c>
    </row>
    <row r="1782">
      <c r="A1782" s="25">
        <v>43344.70973646991</v>
      </c>
      <c r="B1782" s="26" t="s">
        <v>36</v>
      </c>
      <c r="C1782" s="26" t="s">
        <v>43</v>
      </c>
      <c r="D1782" s="26" t="s">
        <v>31</v>
      </c>
      <c r="E1782" s="26">
        <v>280.0</v>
      </c>
      <c r="F1782" s="26" t="s">
        <v>58</v>
      </c>
      <c r="G1782" s="26">
        <v>2.0</v>
      </c>
      <c r="H1782" s="26">
        <v>2.0</v>
      </c>
      <c r="I1782" s="26">
        <v>160.0</v>
      </c>
      <c r="J1782" s="26">
        <v>100.0</v>
      </c>
      <c r="K1782" s="26">
        <v>20.0</v>
      </c>
      <c r="N1782" s="26" t="s">
        <v>685</v>
      </c>
    </row>
    <row r="1783">
      <c r="A1783" s="25">
        <v>43344.748756608795</v>
      </c>
      <c r="B1783" s="26" t="s">
        <v>45</v>
      </c>
      <c r="C1783" s="26" t="s">
        <v>116</v>
      </c>
      <c r="D1783" s="26" t="s">
        <v>31</v>
      </c>
      <c r="E1783" s="26">
        <v>235.0</v>
      </c>
      <c r="F1783" s="26" t="s">
        <v>134</v>
      </c>
      <c r="G1783" s="26">
        <v>6.0</v>
      </c>
      <c r="H1783" s="26">
        <v>0.0</v>
      </c>
      <c r="I1783" s="26">
        <v>195.0</v>
      </c>
      <c r="J1783" s="26">
        <v>40.0</v>
      </c>
      <c r="N1783" s="26" t="s">
        <v>1084</v>
      </c>
    </row>
    <row r="1784">
      <c r="A1784" s="25">
        <v>43344.798390509255</v>
      </c>
      <c r="B1784" s="26" t="s">
        <v>1333</v>
      </c>
      <c r="C1784" s="26" t="s">
        <v>1334</v>
      </c>
      <c r="D1784" s="26" t="s">
        <v>31</v>
      </c>
      <c r="E1784" s="26">
        <v>170.0</v>
      </c>
      <c r="F1784" s="26" t="s">
        <v>956</v>
      </c>
      <c r="G1784" s="26">
        <v>6.0</v>
      </c>
      <c r="H1784" s="26">
        <v>6.0</v>
      </c>
      <c r="I1784" s="26">
        <v>130.0</v>
      </c>
      <c r="J1784" s="26">
        <v>25.0</v>
      </c>
      <c r="K1784" s="26">
        <v>15.0</v>
      </c>
      <c r="N1784" s="26" t="s">
        <v>728</v>
      </c>
    </row>
    <row r="1785">
      <c r="A1785" s="25">
        <v>43344.87640638889</v>
      </c>
      <c r="B1785" s="26" t="s">
        <v>40</v>
      </c>
      <c r="C1785" s="26">
        <v>60.0</v>
      </c>
      <c r="D1785" s="26" t="s">
        <v>31</v>
      </c>
      <c r="E1785" s="26">
        <v>125.0</v>
      </c>
      <c r="F1785" s="26" t="s">
        <v>52</v>
      </c>
      <c r="G1785" s="26">
        <v>2.0</v>
      </c>
      <c r="H1785" s="26">
        <v>2.0</v>
      </c>
      <c r="I1785" s="26">
        <v>114.0</v>
      </c>
      <c r="J1785" s="26">
        <v>8.0</v>
      </c>
      <c r="K1785" s="26">
        <v>3.0</v>
      </c>
      <c r="N1785" s="26" t="s">
        <v>691</v>
      </c>
    </row>
    <row r="1786">
      <c r="A1786" s="25">
        <v>43344.915406493055</v>
      </c>
      <c r="B1786" s="26" t="s">
        <v>319</v>
      </c>
      <c r="C1786" s="26">
        <v>7.0</v>
      </c>
      <c r="D1786" s="26" t="s">
        <v>31</v>
      </c>
      <c r="E1786" s="26">
        <v>141.0</v>
      </c>
      <c r="F1786" s="26" t="s">
        <v>195</v>
      </c>
      <c r="G1786" s="26">
        <v>2.0</v>
      </c>
      <c r="H1786" s="26">
        <v>0.0</v>
      </c>
      <c r="I1786" s="26">
        <v>130.0</v>
      </c>
      <c r="K1786" s="26">
        <v>11.0</v>
      </c>
      <c r="N1786" s="26" t="s">
        <v>708</v>
      </c>
    </row>
    <row r="1787">
      <c r="A1787" s="25">
        <v>43345.01228753472</v>
      </c>
      <c r="B1787" s="26" t="s">
        <v>146</v>
      </c>
      <c r="C1787" s="26" t="s">
        <v>1335</v>
      </c>
      <c r="D1787" s="29" t="s">
        <v>1225</v>
      </c>
      <c r="E1787" s="26">
        <v>189.0</v>
      </c>
      <c r="F1787" s="26" t="s">
        <v>58</v>
      </c>
      <c r="G1787" s="26">
        <v>3.0</v>
      </c>
      <c r="H1787" s="26">
        <v>1.0</v>
      </c>
      <c r="I1787" s="26">
        <v>130.0</v>
      </c>
      <c r="J1787" s="26">
        <v>46.0</v>
      </c>
      <c r="K1787" s="26">
        <v>13.0</v>
      </c>
      <c r="N1787" s="26" t="s">
        <v>1336</v>
      </c>
    </row>
    <row r="1788">
      <c r="A1788" s="25">
        <v>43345.11708815972</v>
      </c>
      <c r="B1788" s="26" t="s">
        <v>48</v>
      </c>
      <c r="C1788" s="26" t="s">
        <v>49</v>
      </c>
      <c r="D1788" s="26" t="s">
        <v>31</v>
      </c>
      <c r="E1788" s="26">
        <v>260.0</v>
      </c>
      <c r="F1788" s="26" t="s">
        <v>50</v>
      </c>
      <c r="G1788" s="26">
        <v>2.0</v>
      </c>
      <c r="H1788" s="26">
        <v>2.0</v>
      </c>
      <c r="I1788" s="26">
        <v>144.0</v>
      </c>
      <c r="J1788" s="26">
        <v>100.0</v>
      </c>
      <c r="K1788" s="26">
        <v>16.0</v>
      </c>
      <c r="N1788" s="26" t="s">
        <v>683</v>
      </c>
    </row>
    <row r="1789">
      <c r="A1789" s="25">
        <v>43345.12526825232</v>
      </c>
      <c r="B1789" s="26" t="s">
        <v>127</v>
      </c>
      <c r="C1789" s="26" t="s">
        <v>43</v>
      </c>
      <c r="D1789" s="26" t="s">
        <v>31</v>
      </c>
      <c r="E1789" s="26">
        <v>220.0</v>
      </c>
      <c r="F1789" s="26" t="s">
        <v>63</v>
      </c>
      <c r="G1789" s="26">
        <v>11.0</v>
      </c>
      <c r="H1789" s="26">
        <v>2.0</v>
      </c>
      <c r="I1789" s="26">
        <v>160.0</v>
      </c>
      <c r="J1789" s="26">
        <v>30.0</v>
      </c>
      <c r="K1789" s="26">
        <v>30.0</v>
      </c>
      <c r="N1789" s="26" t="s">
        <v>683</v>
      </c>
    </row>
    <row r="1790">
      <c r="A1790" s="25">
        <v>43345.47592917824</v>
      </c>
      <c r="B1790" s="26" t="s">
        <v>48</v>
      </c>
      <c r="C1790" s="26" t="s">
        <v>49</v>
      </c>
      <c r="D1790" s="26" t="s">
        <v>31</v>
      </c>
      <c r="E1790" s="26">
        <v>265.0</v>
      </c>
      <c r="F1790" s="26" t="s">
        <v>50</v>
      </c>
      <c r="G1790" s="26">
        <v>0.0</v>
      </c>
      <c r="H1790" s="26">
        <v>0.0</v>
      </c>
      <c r="I1790" s="26">
        <v>150.0</v>
      </c>
      <c r="J1790" s="26">
        <v>80.0</v>
      </c>
      <c r="K1790" s="26">
        <v>15.0</v>
      </c>
      <c r="N1790" s="26" t="s">
        <v>691</v>
      </c>
    </row>
    <row r="1791">
      <c r="A1791" s="25">
        <v>43345.80565563658</v>
      </c>
      <c r="B1791" s="26" t="s">
        <v>40</v>
      </c>
      <c r="C1791" s="26">
        <v>61.0</v>
      </c>
      <c r="D1791" s="26" t="s">
        <v>31</v>
      </c>
      <c r="E1791" s="26">
        <v>178.0</v>
      </c>
      <c r="F1791" s="26" t="s">
        <v>58</v>
      </c>
      <c r="G1791" s="26">
        <v>9.0</v>
      </c>
      <c r="H1791" s="26">
        <v>3.0</v>
      </c>
      <c r="I1791" s="26">
        <v>143.0</v>
      </c>
      <c r="J1791" s="26">
        <v>21.0</v>
      </c>
      <c r="K1791" s="26">
        <v>14.0</v>
      </c>
      <c r="N1791" s="26" t="s">
        <v>1337</v>
      </c>
    </row>
    <row r="1792">
      <c r="A1792" s="25">
        <v>43345.85626082176</v>
      </c>
      <c r="B1792" s="26" t="s">
        <v>371</v>
      </c>
      <c r="C1792" s="26" t="s">
        <v>1338</v>
      </c>
      <c r="D1792" s="26" t="s">
        <v>31</v>
      </c>
      <c r="E1792" s="26">
        <v>150.0</v>
      </c>
      <c r="F1792" s="26" t="s">
        <v>327</v>
      </c>
      <c r="G1792" s="26">
        <v>5.0</v>
      </c>
      <c r="H1792" s="26">
        <v>5.0</v>
      </c>
      <c r="I1792" s="26">
        <v>120.0</v>
      </c>
      <c r="J1792" s="26">
        <v>20.0</v>
      </c>
      <c r="K1792" s="26">
        <v>10.0</v>
      </c>
      <c r="N1792" s="26" t="s">
        <v>728</v>
      </c>
    </row>
    <row r="1793">
      <c r="A1793" s="25">
        <v>43345.93998841435</v>
      </c>
      <c r="B1793" s="26" t="s">
        <v>33</v>
      </c>
      <c r="C1793" s="26" t="s">
        <v>43</v>
      </c>
      <c r="D1793" s="26" t="s">
        <v>31</v>
      </c>
      <c r="E1793" s="26">
        <v>248.0</v>
      </c>
      <c r="F1793" s="26" t="s">
        <v>47</v>
      </c>
      <c r="G1793" s="26">
        <v>2.0</v>
      </c>
      <c r="H1793" s="26">
        <v>0.0</v>
      </c>
      <c r="I1793" s="26">
        <v>163.0</v>
      </c>
      <c r="J1793" s="26">
        <v>45.0</v>
      </c>
      <c r="K1793" s="26">
        <v>33.0</v>
      </c>
      <c r="N1793" s="26" t="s">
        <v>691</v>
      </c>
    </row>
    <row r="1794">
      <c r="A1794" s="25">
        <v>43345.95415291667</v>
      </c>
      <c r="B1794" s="26" t="s">
        <v>48</v>
      </c>
      <c r="C1794" s="26" t="s">
        <v>1339</v>
      </c>
      <c r="D1794" s="26" t="s">
        <v>27</v>
      </c>
      <c r="E1794" s="26">
        <v>600.0</v>
      </c>
      <c r="F1794" s="26" t="s">
        <v>72</v>
      </c>
      <c r="G1794" s="26">
        <v>12.0</v>
      </c>
      <c r="H1794" s="26">
        <v>4.0</v>
      </c>
      <c r="N1794" s="26" t="s">
        <v>696</v>
      </c>
    </row>
    <row r="1795">
      <c r="A1795" s="25">
        <v>43346.24518391203</v>
      </c>
      <c r="B1795" s="26" t="s">
        <v>513</v>
      </c>
      <c r="C1795" s="26" t="s">
        <v>1340</v>
      </c>
      <c r="D1795" s="26" t="s">
        <v>31</v>
      </c>
      <c r="E1795" s="26">
        <v>145.0</v>
      </c>
      <c r="F1795" s="26" t="s">
        <v>485</v>
      </c>
      <c r="G1795" s="26">
        <v>0.0</v>
      </c>
      <c r="H1795" s="26">
        <v>0.0</v>
      </c>
      <c r="N1795" s="26" t="s">
        <v>685</v>
      </c>
    </row>
    <row r="1796">
      <c r="A1796" s="25">
        <v>43346.58929640046</v>
      </c>
      <c r="B1796" s="26" t="s">
        <v>380</v>
      </c>
      <c r="C1796" s="26" t="s">
        <v>1341</v>
      </c>
      <c r="D1796" s="26" t="s">
        <v>31</v>
      </c>
      <c r="E1796" s="26">
        <v>110.0</v>
      </c>
      <c r="F1796" s="26" t="s">
        <v>1342</v>
      </c>
      <c r="G1796" s="26">
        <v>1.0</v>
      </c>
      <c r="H1796" s="26">
        <v>1.0</v>
      </c>
      <c r="I1796" s="26">
        <v>85.0</v>
      </c>
      <c r="J1796" s="26">
        <v>15.0</v>
      </c>
      <c r="K1796" s="26">
        <v>2.0</v>
      </c>
      <c r="N1796" s="26" t="s">
        <v>696</v>
      </c>
    </row>
    <row r="1797">
      <c r="A1797" s="25">
        <v>43346.63515313657</v>
      </c>
      <c r="B1797" s="26" t="s">
        <v>80</v>
      </c>
      <c r="C1797" s="26" t="s">
        <v>73</v>
      </c>
      <c r="D1797" s="26" t="s">
        <v>31</v>
      </c>
      <c r="E1797" s="26">
        <v>326.0</v>
      </c>
      <c r="F1797" s="26" t="s">
        <v>1013</v>
      </c>
      <c r="G1797" s="26">
        <v>5.0</v>
      </c>
      <c r="H1797" s="26">
        <v>1.0</v>
      </c>
      <c r="I1797" s="26">
        <v>170.0</v>
      </c>
      <c r="J1797" s="26">
        <v>130.0</v>
      </c>
      <c r="K1797" s="26">
        <v>26.0</v>
      </c>
      <c r="N1797" s="26" t="s">
        <v>685</v>
      </c>
    </row>
    <row r="1798">
      <c r="A1798" s="25">
        <v>43346.67433122685</v>
      </c>
      <c r="B1798" s="26" t="s">
        <v>33</v>
      </c>
      <c r="C1798" s="26" t="s">
        <v>73</v>
      </c>
      <c r="D1798" s="26" t="s">
        <v>31</v>
      </c>
      <c r="E1798" s="26">
        <v>145.0</v>
      </c>
      <c r="F1798" s="26" t="s">
        <v>63</v>
      </c>
      <c r="G1798" s="26">
        <v>0.0</v>
      </c>
      <c r="H1798" s="26">
        <v>0.0</v>
      </c>
      <c r="N1798" s="26" t="s">
        <v>683</v>
      </c>
    </row>
    <row r="1799">
      <c r="A1799" s="25">
        <v>43346.679266527775</v>
      </c>
      <c r="B1799" s="26" t="s">
        <v>40</v>
      </c>
      <c r="C1799" s="26">
        <v>65.0</v>
      </c>
      <c r="D1799" s="26" t="s">
        <v>711</v>
      </c>
      <c r="E1799" s="26">
        <v>356.0</v>
      </c>
      <c r="F1799" s="26" t="s">
        <v>75</v>
      </c>
      <c r="G1799" s="26">
        <v>9.0</v>
      </c>
      <c r="H1799" s="26">
        <v>1.0</v>
      </c>
      <c r="I1799" s="26">
        <v>205.0</v>
      </c>
      <c r="J1799" s="26">
        <v>111.0</v>
      </c>
      <c r="K1799" s="26">
        <v>40.0</v>
      </c>
      <c r="N1799" s="26" t="s">
        <v>691</v>
      </c>
    </row>
    <row r="1800">
      <c r="A1800" s="25">
        <v>43346.775754745366</v>
      </c>
      <c r="B1800" s="26" t="s">
        <v>40</v>
      </c>
      <c r="C1800" s="26">
        <v>59.0</v>
      </c>
      <c r="D1800" s="26" t="s">
        <v>27</v>
      </c>
      <c r="E1800" s="26">
        <v>150.0</v>
      </c>
      <c r="F1800" s="26" t="s">
        <v>618</v>
      </c>
      <c r="G1800" s="26">
        <v>1.0</v>
      </c>
      <c r="H1800" s="26">
        <v>1.0</v>
      </c>
      <c r="I1800" s="26">
        <v>110.0</v>
      </c>
      <c r="N1800" s="26" t="s">
        <v>687</v>
      </c>
    </row>
    <row r="1801">
      <c r="A1801" s="25">
        <v>43346.86785663194</v>
      </c>
      <c r="B1801" s="26" t="s">
        <v>1160</v>
      </c>
      <c r="C1801" s="26" t="s">
        <v>591</v>
      </c>
      <c r="D1801" s="26" t="s">
        <v>31</v>
      </c>
      <c r="E1801" s="26">
        <v>260.0</v>
      </c>
      <c r="F1801" s="26" t="s">
        <v>63</v>
      </c>
      <c r="G1801" s="26">
        <v>10.0</v>
      </c>
      <c r="H1801" s="26">
        <v>1.0</v>
      </c>
      <c r="I1801" s="26">
        <v>180.0</v>
      </c>
      <c r="J1801" s="26">
        <v>45.0</v>
      </c>
      <c r="K1801" s="26">
        <v>35.0</v>
      </c>
      <c r="N1801" s="26" t="s">
        <v>683</v>
      </c>
    </row>
    <row r="1802">
      <c r="A1802" s="25">
        <v>43346.95764366898</v>
      </c>
      <c r="B1802" s="26" t="s">
        <v>80</v>
      </c>
      <c r="C1802" s="26" t="s">
        <v>73</v>
      </c>
      <c r="D1802" s="26" t="s">
        <v>27</v>
      </c>
      <c r="E1802" s="26">
        <v>230.0</v>
      </c>
      <c r="F1802" s="26" t="s">
        <v>51</v>
      </c>
      <c r="G1802" s="26">
        <v>8.0</v>
      </c>
      <c r="H1802" s="26">
        <v>0.0</v>
      </c>
      <c r="I1802" s="26">
        <v>140.0</v>
      </c>
      <c r="J1802" s="26">
        <v>70.0</v>
      </c>
      <c r="K1802" s="26">
        <v>20.0</v>
      </c>
      <c r="N1802" s="26" t="s">
        <v>1027</v>
      </c>
    </row>
    <row r="1803">
      <c r="A1803" s="25">
        <v>43347.31897460648</v>
      </c>
      <c r="B1803" s="26" t="s">
        <v>33</v>
      </c>
      <c r="C1803" s="26" t="s">
        <v>275</v>
      </c>
      <c r="D1803" s="26" t="s">
        <v>31</v>
      </c>
      <c r="E1803" s="26">
        <v>151.0</v>
      </c>
      <c r="F1803" s="26" t="s">
        <v>35</v>
      </c>
      <c r="G1803" s="26">
        <v>0.0</v>
      </c>
      <c r="H1803" s="26">
        <v>1.0</v>
      </c>
      <c r="I1803" s="26">
        <v>108.0</v>
      </c>
      <c r="J1803" s="26">
        <v>18.0</v>
      </c>
      <c r="K1803" s="26">
        <v>25.0</v>
      </c>
      <c r="N1803" s="26" t="s">
        <v>704</v>
      </c>
    </row>
    <row r="1804">
      <c r="A1804" s="25">
        <v>43347.379201979165</v>
      </c>
      <c r="B1804" s="26" t="s">
        <v>80</v>
      </c>
      <c r="C1804" s="26" t="s">
        <v>179</v>
      </c>
      <c r="D1804" s="26" t="s">
        <v>31</v>
      </c>
      <c r="E1804" s="26">
        <v>171.0</v>
      </c>
      <c r="F1804" s="26" t="s">
        <v>413</v>
      </c>
      <c r="G1804" s="26">
        <v>0.0</v>
      </c>
      <c r="H1804" s="26">
        <v>0.0</v>
      </c>
      <c r="N1804" s="26" t="s">
        <v>683</v>
      </c>
    </row>
    <row r="1805">
      <c r="A1805" s="25">
        <v>43347.422487557866</v>
      </c>
      <c r="B1805" s="26" t="s">
        <v>45</v>
      </c>
      <c r="C1805" s="26" t="s">
        <v>102</v>
      </c>
      <c r="D1805" s="26" t="s">
        <v>31</v>
      </c>
      <c r="E1805" s="26">
        <v>200.0</v>
      </c>
      <c r="F1805" s="26" t="s">
        <v>58</v>
      </c>
      <c r="G1805" s="26">
        <v>5.0</v>
      </c>
      <c r="H1805" s="26">
        <v>3.0</v>
      </c>
      <c r="N1805" s="26" t="s">
        <v>691</v>
      </c>
    </row>
    <row r="1806">
      <c r="A1806" s="25">
        <v>43347.44350366898</v>
      </c>
      <c r="B1806" s="26" t="s">
        <v>371</v>
      </c>
      <c r="C1806" s="26" t="s">
        <v>1174</v>
      </c>
      <c r="D1806" s="26" t="s">
        <v>31</v>
      </c>
      <c r="E1806" s="26">
        <v>350.0</v>
      </c>
      <c r="F1806" s="26" t="s">
        <v>459</v>
      </c>
      <c r="G1806" s="26">
        <v>18.0</v>
      </c>
      <c r="H1806" s="26">
        <v>5.0</v>
      </c>
      <c r="I1806" s="26">
        <v>200.0</v>
      </c>
      <c r="J1806" s="26">
        <v>100.0</v>
      </c>
      <c r="K1806" s="26">
        <v>50.0</v>
      </c>
      <c r="L1806" s="26" t="s">
        <v>1227</v>
      </c>
      <c r="N1806" s="26" t="s">
        <v>1316</v>
      </c>
    </row>
    <row r="1807">
      <c r="A1807" s="25">
        <v>43347.48162157407</v>
      </c>
      <c r="B1807" s="26" t="s">
        <v>33</v>
      </c>
      <c r="C1807" s="26" t="s">
        <v>43</v>
      </c>
      <c r="D1807" s="26" t="s">
        <v>31</v>
      </c>
      <c r="E1807" s="26">
        <v>219.0</v>
      </c>
      <c r="F1807" s="26" t="s">
        <v>35</v>
      </c>
      <c r="G1807" s="26">
        <v>12.0</v>
      </c>
      <c r="H1807" s="26">
        <v>0.0</v>
      </c>
      <c r="I1807" s="26">
        <v>145.0</v>
      </c>
      <c r="J1807" s="26">
        <v>56.0</v>
      </c>
      <c r="K1807" s="26">
        <v>18.0</v>
      </c>
      <c r="N1807" s="26" t="s">
        <v>685</v>
      </c>
    </row>
    <row r="1808">
      <c r="A1808" s="25">
        <v>43347.49028100695</v>
      </c>
      <c r="B1808" s="26" t="s">
        <v>40</v>
      </c>
      <c r="C1808" s="26">
        <v>67.0</v>
      </c>
      <c r="D1808" s="26" t="s">
        <v>41</v>
      </c>
      <c r="E1808" s="26">
        <v>500.0</v>
      </c>
      <c r="F1808" s="26" t="s">
        <v>199</v>
      </c>
      <c r="G1808" s="26">
        <v>20.0</v>
      </c>
      <c r="H1808" s="26">
        <v>20.0</v>
      </c>
      <c r="N1808" s="26" t="s">
        <v>1343</v>
      </c>
    </row>
    <row r="1809">
      <c r="A1809" s="25">
        <v>43347.50723908565</v>
      </c>
      <c r="B1809" s="26" t="s">
        <v>1344</v>
      </c>
      <c r="C1809" s="26" t="s">
        <v>1345</v>
      </c>
      <c r="D1809" s="26" t="s">
        <v>31</v>
      </c>
      <c r="E1809" s="26">
        <v>52.0</v>
      </c>
      <c r="F1809" s="26" t="s">
        <v>274</v>
      </c>
      <c r="G1809" s="26">
        <v>1.0</v>
      </c>
      <c r="H1809" s="26">
        <v>1.0</v>
      </c>
      <c r="N1809" s="26" t="s">
        <v>683</v>
      </c>
    </row>
    <row r="1810">
      <c r="A1810" s="25">
        <v>43347.526835972225</v>
      </c>
      <c r="B1810" s="26" t="s">
        <v>1346</v>
      </c>
      <c r="C1810" s="26" t="s">
        <v>1347</v>
      </c>
      <c r="D1810" s="26" t="s">
        <v>1348</v>
      </c>
      <c r="E1810" s="26">
        <v>186.0</v>
      </c>
      <c r="F1810" s="26" t="s">
        <v>1138</v>
      </c>
      <c r="G1810" s="26">
        <v>10.0</v>
      </c>
      <c r="H1810" s="26">
        <v>10.0</v>
      </c>
      <c r="I1810" s="26">
        <v>155000.0</v>
      </c>
      <c r="J1810" s="26">
        <v>11000.0</v>
      </c>
      <c r="K1810" s="26">
        <v>20000.0</v>
      </c>
      <c r="N1810" s="26" t="s">
        <v>1254</v>
      </c>
    </row>
    <row r="1811">
      <c r="A1811" s="25">
        <v>43347.53614149305</v>
      </c>
      <c r="B1811" s="26" t="s">
        <v>268</v>
      </c>
      <c r="C1811" s="26" t="s">
        <v>606</v>
      </c>
      <c r="D1811" s="26" t="s">
        <v>31</v>
      </c>
      <c r="E1811" s="26">
        <v>140.0</v>
      </c>
      <c r="F1811" s="26" t="s">
        <v>1349</v>
      </c>
      <c r="G1811" s="26">
        <v>7.0</v>
      </c>
      <c r="H1811" s="26">
        <v>2.0</v>
      </c>
      <c r="I1811" s="26">
        <v>110.0</v>
      </c>
      <c r="J1811" s="26">
        <v>5.0</v>
      </c>
      <c r="K1811" s="26">
        <v>165.0</v>
      </c>
      <c r="N1811" s="26" t="s">
        <v>715</v>
      </c>
    </row>
    <row r="1812">
      <c r="A1812" s="25">
        <v>43347.559248969905</v>
      </c>
      <c r="B1812" s="26" t="s">
        <v>55</v>
      </c>
      <c r="C1812" s="26">
        <v>63.0</v>
      </c>
      <c r="D1812" s="26" t="s">
        <v>1350</v>
      </c>
      <c r="E1812" s="26">
        <v>210.0</v>
      </c>
      <c r="F1812" s="26" t="s">
        <v>679</v>
      </c>
      <c r="G1812" s="26">
        <v>21.0</v>
      </c>
      <c r="H1812" s="26">
        <v>2.5</v>
      </c>
      <c r="I1812" s="26">
        <v>176.0</v>
      </c>
      <c r="J1812" s="26">
        <v>17.0</v>
      </c>
      <c r="K1812" s="26">
        <v>17.0</v>
      </c>
      <c r="N1812" s="26" t="s">
        <v>708</v>
      </c>
    </row>
    <row r="1813">
      <c r="A1813" s="25">
        <v>43347.563530659725</v>
      </c>
      <c r="B1813" s="26" t="s">
        <v>80</v>
      </c>
      <c r="C1813" s="26" t="s">
        <v>179</v>
      </c>
      <c r="D1813" s="26" t="s">
        <v>31</v>
      </c>
      <c r="E1813" s="26">
        <v>203.0</v>
      </c>
      <c r="F1813" s="26" t="s">
        <v>199</v>
      </c>
      <c r="G1813" s="26">
        <v>4.0</v>
      </c>
      <c r="H1813" s="26">
        <v>4.0</v>
      </c>
      <c r="I1813" s="26">
        <v>122.0</v>
      </c>
      <c r="J1813" s="26">
        <v>60.0</v>
      </c>
      <c r="K1813" s="26">
        <v>17.0</v>
      </c>
      <c r="N1813" s="26" t="s">
        <v>751</v>
      </c>
    </row>
    <row r="1814">
      <c r="A1814" s="25">
        <v>43347.62548469908</v>
      </c>
      <c r="B1814" s="26" t="s">
        <v>36</v>
      </c>
      <c r="C1814" s="26" t="s">
        <v>1351</v>
      </c>
      <c r="D1814" s="26" t="s">
        <v>31</v>
      </c>
      <c r="E1814" s="26">
        <v>425.0</v>
      </c>
      <c r="F1814" s="26" t="s">
        <v>58</v>
      </c>
      <c r="G1814" s="26">
        <v>7.0</v>
      </c>
      <c r="H1814" s="26">
        <v>3.0</v>
      </c>
      <c r="N1814" s="26" t="s">
        <v>685</v>
      </c>
    </row>
    <row r="1815">
      <c r="A1815" s="25">
        <v>43347.6542471875</v>
      </c>
      <c r="B1815" s="26" t="s">
        <v>1352</v>
      </c>
      <c r="C1815" s="26" t="s">
        <v>1353</v>
      </c>
      <c r="D1815" s="26" t="s">
        <v>711</v>
      </c>
      <c r="E1815" s="26">
        <v>150.0</v>
      </c>
      <c r="F1815" s="26" t="s">
        <v>1354</v>
      </c>
      <c r="G1815" s="26">
        <v>7.0</v>
      </c>
      <c r="H1815" s="26">
        <v>2.0</v>
      </c>
      <c r="I1815" s="26">
        <v>115.0</v>
      </c>
      <c r="J1815" s="26">
        <v>25.0</v>
      </c>
      <c r="K1815" s="26">
        <v>10.0</v>
      </c>
      <c r="N1815" s="26" t="s">
        <v>691</v>
      </c>
    </row>
    <row r="1816">
      <c r="A1816" s="25">
        <v>43347.67434305555</v>
      </c>
      <c r="B1816" s="26" t="s">
        <v>33</v>
      </c>
      <c r="C1816" s="26" t="s">
        <v>62</v>
      </c>
      <c r="D1816" s="26" t="s">
        <v>31</v>
      </c>
      <c r="E1816" s="26">
        <v>330.0</v>
      </c>
      <c r="F1816" s="26" t="s">
        <v>63</v>
      </c>
      <c r="G1816" s="26">
        <v>6.0</v>
      </c>
      <c r="H1816" s="26">
        <v>6.0</v>
      </c>
      <c r="I1816" s="26">
        <v>160.0</v>
      </c>
      <c r="J1816" s="26">
        <v>170.0</v>
      </c>
      <c r="N1816" s="26" t="s">
        <v>683</v>
      </c>
    </row>
    <row r="1817">
      <c r="A1817" s="25">
        <v>43347.68912476852</v>
      </c>
      <c r="B1817" s="26" t="s">
        <v>139</v>
      </c>
      <c r="C1817" s="26" t="s">
        <v>184</v>
      </c>
      <c r="D1817" s="26" t="s">
        <v>31</v>
      </c>
      <c r="E1817" s="26">
        <v>188.0</v>
      </c>
      <c r="F1817" s="26" t="s">
        <v>58</v>
      </c>
      <c r="G1817" s="26">
        <v>3.0</v>
      </c>
      <c r="H1817" s="26">
        <v>3.0</v>
      </c>
      <c r="I1817" s="26">
        <v>148.0</v>
      </c>
      <c r="J1817" s="26">
        <v>20.0</v>
      </c>
      <c r="K1817" s="26">
        <v>20.0</v>
      </c>
      <c r="N1817" s="26" t="s">
        <v>685</v>
      </c>
    </row>
    <row r="1818">
      <c r="A1818" s="25">
        <v>43347.727658414355</v>
      </c>
      <c r="B1818" s="26" t="s">
        <v>1355</v>
      </c>
      <c r="C1818" s="26" t="s">
        <v>1356</v>
      </c>
      <c r="D1818" s="26" t="s">
        <v>147</v>
      </c>
      <c r="E1818" s="26">
        <v>221.0</v>
      </c>
      <c r="F1818" s="26" t="s">
        <v>1357</v>
      </c>
      <c r="G1818" s="26">
        <v>20.0</v>
      </c>
      <c r="H1818" s="26">
        <v>4.5</v>
      </c>
      <c r="I1818" s="26">
        <v>100.0</v>
      </c>
      <c r="J1818" s="26">
        <v>15.0</v>
      </c>
      <c r="K1818" s="26">
        <v>106.0</v>
      </c>
      <c r="N1818" s="26" t="s">
        <v>683</v>
      </c>
    </row>
    <row r="1819">
      <c r="A1819" s="25">
        <v>43347.79264835648</v>
      </c>
      <c r="B1819" s="26" t="s">
        <v>33</v>
      </c>
      <c r="C1819" s="26" t="s">
        <v>62</v>
      </c>
      <c r="D1819" s="26" t="s">
        <v>31</v>
      </c>
      <c r="E1819" s="26">
        <v>285.0</v>
      </c>
      <c r="F1819" s="26" t="s">
        <v>35</v>
      </c>
      <c r="G1819" s="26">
        <v>5.0</v>
      </c>
      <c r="H1819" s="26">
        <v>5.0</v>
      </c>
      <c r="I1819" s="26">
        <v>125.0</v>
      </c>
      <c r="J1819" s="26">
        <v>150.0</v>
      </c>
      <c r="K1819" s="26">
        <v>10.0</v>
      </c>
      <c r="N1819" s="26" t="s">
        <v>685</v>
      </c>
    </row>
    <row r="1820">
      <c r="A1820" s="25">
        <v>43347.79921747685</v>
      </c>
      <c r="B1820" s="26" t="s">
        <v>119</v>
      </c>
      <c r="C1820" s="26" t="s">
        <v>82</v>
      </c>
      <c r="D1820" s="26" t="s">
        <v>31</v>
      </c>
      <c r="E1820" s="26">
        <v>230.0</v>
      </c>
      <c r="F1820" s="26" t="s">
        <v>86</v>
      </c>
      <c r="G1820" s="26">
        <v>5.0</v>
      </c>
      <c r="H1820" s="26">
        <v>1.0</v>
      </c>
      <c r="I1820" s="26">
        <v>153500.0</v>
      </c>
      <c r="J1820" s="26">
        <v>31000.0</v>
      </c>
      <c r="K1820" s="26">
        <v>23025.0</v>
      </c>
      <c r="N1820" s="26" t="s">
        <v>683</v>
      </c>
    </row>
    <row r="1821">
      <c r="A1821" s="25">
        <v>43347.96302685185</v>
      </c>
      <c r="B1821" s="26" t="s">
        <v>80</v>
      </c>
      <c r="C1821" s="26" t="s">
        <v>34</v>
      </c>
      <c r="D1821" s="26" t="s">
        <v>713</v>
      </c>
      <c r="E1821" s="26">
        <v>600.0</v>
      </c>
      <c r="F1821" s="26" t="s">
        <v>35</v>
      </c>
      <c r="G1821" s="26">
        <v>20.0</v>
      </c>
      <c r="H1821" s="26">
        <v>2.0</v>
      </c>
      <c r="N1821" s="26" t="s">
        <v>691</v>
      </c>
    </row>
    <row r="1822">
      <c r="A1822" s="25">
        <v>43347.99882584491</v>
      </c>
      <c r="B1822" s="26" t="s">
        <v>80</v>
      </c>
      <c r="C1822" s="26" t="s">
        <v>62</v>
      </c>
      <c r="D1822" s="26" t="s">
        <v>27</v>
      </c>
      <c r="E1822" s="26">
        <v>204.0</v>
      </c>
      <c r="F1822" s="26" t="s">
        <v>199</v>
      </c>
      <c r="G1822" s="26">
        <v>12.0</v>
      </c>
      <c r="H1822" s="26">
        <v>8.0</v>
      </c>
      <c r="I1822" s="26">
        <v>204.0</v>
      </c>
      <c r="J1822" s="26">
        <v>125.0</v>
      </c>
      <c r="K1822" s="26">
        <v>36.0</v>
      </c>
      <c r="N1822" s="26" t="s">
        <v>687</v>
      </c>
    </row>
    <row r="1823">
      <c r="A1823" s="25">
        <v>43348.04688538195</v>
      </c>
      <c r="B1823" s="26" t="s">
        <v>36</v>
      </c>
      <c r="C1823" s="26" t="s">
        <v>1358</v>
      </c>
      <c r="D1823" s="26" t="s">
        <v>41</v>
      </c>
      <c r="E1823" s="26">
        <v>480.0</v>
      </c>
      <c r="F1823" s="26" t="s">
        <v>63</v>
      </c>
      <c r="G1823" s="26">
        <v>14.0</v>
      </c>
      <c r="H1823" s="26">
        <v>1.0</v>
      </c>
      <c r="I1823" s="26">
        <v>192.0</v>
      </c>
      <c r="J1823" s="26">
        <v>258.0</v>
      </c>
      <c r="K1823" s="26">
        <v>30.0</v>
      </c>
      <c r="N1823" s="26" t="s">
        <v>683</v>
      </c>
    </row>
    <row r="1824">
      <c r="A1824" s="25">
        <v>43348.05877981482</v>
      </c>
      <c r="B1824" s="26" t="s">
        <v>80</v>
      </c>
      <c r="C1824" s="26" t="s">
        <v>73</v>
      </c>
      <c r="D1824" s="26" t="s">
        <v>31</v>
      </c>
      <c r="E1824" s="26">
        <v>250.0</v>
      </c>
      <c r="F1824" s="26" t="s">
        <v>134</v>
      </c>
      <c r="G1824" s="26">
        <v>7.0</v>
      </c>
      <c r="H1824" s="26">
        <v>3.0</v>
      </c>
      <c r="I1824" s="26">
        <v>133.0</v>
      </c>
      <c r="J1824" s="26">
        <v>23.0</v>
      </c>
      <c r="K1824" s="26">
        <v>94.0</v>
      </c>
      <c r="N1824" s="26" t="s">
        <v>728</v>
      </c>
    </row>
    <row r="1825">
      <c r="A1825" s="25">
        <v>43348.11984083333</v>
      </c>
      <c r="B1825" s="26" t="s">
        <v>1359</v>
      </c>
      <c r="C1825" s="26" t="s">
        <v>1360</v>
      </c>
      <c r="D1825" s="26" t="s">
        <v>31</v>
      </c>
      <c r="E1825" s="26">
        <v>70.0</v>
      </c>
      <c r="F1825" s="26" t="s">
        <v>1361</v>
      </c>
      <c r="G1825" s="26">
        <v>0.0</v>
      </c>
      <c r="H1825" s="26">
        <v>0.0</v>
      </c>
      <c r="N1825" s="26" t="s">
        <v>691</v>
      </c>
    </row>
    <row r="1826">
      <c r="A1826" s="25">
        <v>43348.17294099537</v>
      </c>
      <c r="B1826" s="26" t="s">
        <v>170</v>
      </c>
      <c r="C1826" s="26" t="s">
        <v>590</v>
      </c>
      <c r="D1826" s="26" t="s">
        <v>31</v>
      </c>
      <c r="E1826" s="26">
        <v>150.0</v>
      </c>
      <c r="F1826" s="26" t="s">
        <v>453</v>
      </c>
      <c r="G1826" s="26">
        <v>3.0</v>
      </c>
      <c r="H1826" s="26">
        <v>3.0</v>
      </c>
      <c r="I1826" s="26">
        <v>132.0</v>
      </c>
      <c r="J1826" s="26">
        <v>10.0</v>
      </c>
      <c r="K1826" s="26">
        <v>13.0</v>
      </c>
      <c r="N1826" s="26" t="s">
        <v>1084</v>
      </c>
    </row>
    <row r="1827">
      <c r="A1827" s="25">
        <v>43348.25214736111</v>
      </c>
      <c r="B1827" s="26" t="s">
        <v>1135</v>
      </c>
      <c r="C1827" s="26" t="s">
        <v>125</v>
      </c>
      <c r="D1827" s="26" t="s">
        <v>1362</v>
      </c>
      <c r="E1827" s="26">
        <v>105.0</v>
      </c>
      <c r="F1827" s="26" t="s">
        <v>94</v>
      </c>
      <c r="G1827" s="26">
        <v>1.0</v>
      </c>
      <c r="H1827" s="26">
        <v>1.0</v>
      </c>
      <c r="I1827" s="26">
        <v>85000.0</v>
      </c>
      <c r="K1827" s="26">
        <v>15000.0</v>
      </c>
      <c r="N1827" s="26" t="s">
        <v>1363</v>
      </c>
    </row>
    <row r="1828">
      <c r="A1828" s="25">
        <v>43348.34740078704</v>
      </c>
      <c r="B1828" s="26" t="s">
        <v>25</v>
      </c>
      <c r="C1828" s="26" t="s">
        <v>462</v>
      </c>
      <c r="D1828" s="26" t="s">
        <v>31</v>
      </c>
      <c r="E1828" s="26">
        <v>298.0</v>
      </c>
      <c r="F1828" s="26" t="s">
        <v>35</v>
      </c>
      <c r="G1828" s="26">
        <v>8.0</v>
      </c>
      <c r="H1828" s="26">
        <v>3.0</v>
      </c>
      <c r="I1828" s="26">
        <v>157.0</v>
      </c>
      <c r="J1828" s="26">
        <v>137.0</v>
      </c>
      <c r="K1828" s="26">
        <v>4.0</v>
      </c>
      <c r="N1828" s="26" t="s">
        <v>685</v>
      </c>
    </row>
    <row r="1829">
      <c r="A1829" s="25">
        <v>43348.43409304398</v>
      </c>
      <c r="B1829" s="26" t="s">
        <v>40</v>
      </c>
      <c r="C1829" s="26">
        <v>59.0</v>
      </c>
      <c r="D1829" s="26" t="s">
        <v>31</v>
      </c>
      <c r="E1829" s="26">
        <v>162.0</v>
      </c>
      <c r="F1829" s="26" t="s">
        <v>542</v>
      </c>
      <c r="G1829" s="26">
        <v>1.0</v>
      </c>
      <c r="H1829" s="26">
        <v>0.0</v>
      </c>
      <c r="I1829" s="26">
        <v>109.0</v>
      </c>
      <c r="J1829" s="26">
        <v>42.0</v>
      </c>
      <c r="K1829" s="26">
        <v>11.0</v>
      </c>
      <c r="N1829" s="26" t="s">
        <v>704</v>
      </c>
    </row>
    <row r="1830">
      <c r="A1830" s="25">
        <v>43348.46664979166</v>
      </c>
      <c r="B1830" s="26" t="s">
        <v>1364</v>
      </c>
      <c r="C1830" s="26" t="s">
        <v>1365</v>
      </c>
      <c r="D1830" s="26" t="s">
        <v>27</v>
      </c>
      <c r="E1830" s="26">
        <v>260.0</v>
      </c>
      <c r="F1830" s="26" t="s">
        <v>272</v>
      </c>
      <c r="G1830" s="26">
        <v>15.0</v>
      </c>
      <c r="H1830" s="26">
        <v>3.0</v>
      </c>
      <c r="I1830" s="26">
        <v>212000.0</v>
      </c>
      <c r="J1830" s="26">
        <v>45000.0</v>
      </c>
      <c r="K1830" s="26">
        <v>13000.0</v>
      </c>
      <c r="N1830" s="26" t="s">
        <v>691</v>
      </c>
    </row>
    <row r="1831">
      <c r="A1831" s="25">
        <v>43348.50227390046</v>
      </c>
      <c r="B1831" s="26" t="s">
        <v>36</v>
      </c>
      <c r="C1831" s="26" t="s">
        <v>1366</v>
      </c>
      <c r="D1831" s="26" t="s">
        <v>41</v>
      </c>
      <c r="E1831" s="26">
        <v>500.0</v>
      </c>
      <c r="F1831" s="26" t="s">
        <v>58</v>
      </c>
      <c r="G1831" s="26">
        <v>12.0</v>
      </c>
      <c r="H1831" s="26">
        <v>1.0</v>
      </c>
      <c r="I1831" s="26">
        <v>224.0</v>
      </c>
      <c r="J1831" s="26">
        <v>250.0</v>
      </c>
      <c r="K1831" s="26">
        <v>30.0</v>
      </c>
      <c r="N1831" s="26" t="s">
        <v>685</v>
      </c>
    </row>
    <row r="1832">
      <c r="A1832" s="25">
        <v>43348.52616592593</v>
      </c>
      <c r="B1832" s="26" t="s">
        <v>33</v>
      </c>
      <c r="C1832" s="26" t="s">
        <v>43</v>
      </c>
      <c r="D1832" s="26" t="s">
        <v>31</v>
      </c>
      <c r="E1832" s="26">
        <v>213.0</v>
      </c>
      <c r="F1832" s="26" t="s">
        <v>35</v>
      </c>
      <c r="G1832" s="26">
        <v>6.0</v>
      </c>
      <c r="H1832" s="26">
        <v>4.0</v>
      </c>
      <c r="I1832" s="26">
        <v>147500.0</v>
      </c>
      <c r="J1832" s="26">
        <v>38000.0</v>
      </c>
      <c r="K1832" s="26">
        <v>35000.0</v>
      </c>
      <c r="N1832" s="26" t="s">
        <v>685</v>
      </c>
    </row>
    <row r="1833">
      <c r="A1833" s="25">
        <v>43348.582869641206</v>
      </c>
      <c r="B1833" s="26" t="s">
        <v>538</v>
      </c>
      <c r="C1833" s="26" t="s">
        <v>789</v>
      </c>
      <c r="D1833" s="26" t="s">
        <v>31</v>
      </c>
      <c r="E1833" s="26">
        <v>100.0</v>
      </c>
      <c r="F1833" s="26" t="s">
        <v>1367</v>
      </c>
      <c r="G1833" s="26">
        <v>15.0</v>
      </c>
      <c r="H1833" s="26">
        <v>9.0</v>
      </c>
      <c r="I1833" s="26">
        <v>50.0</v>
      </c>
      <c r="J1833" s="26">
        <v>40.0</v>
      </c>
      <c r="K1833" s="26">
        <v>10.0</v>
      </c>
      <c r="N1833" s="26" t="s">
        <v>685</v>
      </c>
    </row>
    <row r="1834">
      <c r="A1834" s="25">
        <v>43348.601287708334</v>
      </c>
      <c r="B1834" s="26" t="s">
        <v>80</v>
      </c>
      <c r="C1834" s="26" t="s">
        <v>306</v>
      </c>
      <c r="D1834" s="26" t="s">
        <v>1368</v>
      </c>
      <c r="E1834" s="26">
        <v>500.0</v>
      </c>
      <c r="F1834" s="26" t="s">
        <v>199</v>
      </c>
      <c r="G1834" s="26">
        <v>2.0</v>
      </c>
      <c r="H1834" s="26">
        <v>1.0</v>
      </c>
      <c r="N1834" s="26" t="s">
        <v>1368</v>
      </c>
    </row>
    <row r="1835">
      <c r="A1835" s="25">
        <v>43348.626976354164</v>
      </c>
      <c r="B1835" s="26" t="s">
        <v>157</v>
      </c>
      <c r="C1835" s="26" t="s">
        <v>152</v>
      </c>
      <c r="D1835" s="26" t="s">
        <v>31</v>
      </c>
      <c r="E1835" s="26">
        <v>170.0</v>
      </c>
      <c r="F1835" s="26" t="s">
        <v>232</v>
      </c>
      <c r="G1835" s="26">
        <v>12.0</v>
      </c>
      <c r="H1835" s="26">
        <v>7.0</v>
      </c>
      <c r="I1835" s="26">
        <v>157.0</v>
      </c>
      <c r="K1835" s="26">
        <v>13.0</v>
      </c>
      <c r="N1835" s="26" t="s">
        <v>683</v>
      </c>
    </row>
    <row r="1836">
      <c r="A1836" s="25">
        <v>43348.63971120371</v>
      </c>
      <c r="B1836" s="26" t="s">
        <v>95</v>
      </c>
      <c r="C1836" s="26" t="s">
        <v>96</v>
      </c>
      <c r="D1836" s="26" t="s">
        <v>31</v>
      </c>
      <c r="E1836" s="26">
        <v>400.0</v>
      </c>
      <c r="F1836" s="26" t="s">
        <v>1369</v>
      </c>
      <c r="G1836" s="26">
        <v>7.0</v>
      </c>
      <c r="H1836" s="26">
        <v>1.0</v>
      </c>
      <c r="I1836" s="26">
        <v>400.0</v>
      </c>
      <c r="N1836" s="26" t="s">
        <v>1370</v>
      </c>
    </row>
    <row r="1837">
      <c r="A1837" s="25">
        <v>43348.66367142361</v>
      </c>
      <c r="B1837" s="26" t="s">
        <v>411</v>
      </c>
      <c r="C1837" s="26" t="s">
        <v>749</v>
      </c>
      <c r="D1837" s="26" t="s">
        <v>31</v>
      </c>
      <c r="E1837" s="26">
        <v>151.0</v>
      </c>
      <c r="F1837" s="26" t="s">
        <v>629</v>
      </c>
      <c r="G1837" s="26">
        <v>9.0</v>
      </c>
      <c r="H1837" s="26">
        <v>4.0</v>
      </c>
      <c r="I1837" s="26">
        <v>151.0</v>
      </c>
      <c r="J1837" s="26">
        <v>12.0</v>
      </c>
      <c r="K1837" s="26">
        <v>10.0</v>
      </c>
      <c r="N1837" s="26" t="s">
        <v>696</v>
      </c>
    </row>
    <row r="1838">
      <c r="A1838" s="25">
        <v>43348.693706018516</v>
      </c>
      <c r="B1838" s="26" t="s">
        <v>1371</v>
      </c>
      <c r="C1838" s="26" t="s">
        <v>43</v>
      </c>
      <c r="D1838" s="26" t="s">
        <v>711</v>
      </c>
      <c r="E1838" s="26">
        <v>213.0</v>
      </c>
      <c r="F1838" s="26" t="s">
        <v>1170</v>
      </c>
      <c r="G1838" s="26">
        <v>6.0</v>
      </c>
      <c r="H1838" s="26">
        <v>1.0</v>
      </c>
      <c r="I1838" s="26">
        <v>180.0</v>
      </c>
      <c r="J1838" s="26">
        <v>5.0</v>
      </c>
      <c r="K1838" s="26">
        <v>27.0</v>
      </c>
      <c r="N1838" s="26" t="s">
        <v>704</v>
      </c>
    </row>
    <row r="1839">
      <c r="A1839" s="25">
        <v>43348.73886197917</v>
      </c>
      <c r="B1839" s="26" t="s">
        <v>80</v>
      </c>
      <c r="C1839" s="26" t="s">
        <v>430</v>
      </c>
      <c r="D1839" s="26" t="s">
        <v>31</v>
      </c>
      <c r="E1839" s="26">
        <v>345.0</v>
      </c>
      <c r="F1839" s="26" t="s">
        <v>47</v>
      </c>
      <c r="G1839" s="26">
        <v>3.0</v>
      </c>
      <c r="H1839" s="26">
        <v>3.0</v>
      </c>
      <c r="I1839" s="26">
        <v>170.0</v>
      </c>
      <c r="J1839" s="26">
        <v>150.0</v>
      </c>
      <c r="K1839" s="26">
        <v>25.0</v>
      </c>
      <c r="N1839" s="26" t="s">
        <v>685</v>
      </c>
    </row>
    <row r="1840">
      <c r="A1840" s="25">
        <v>43348.788610185184</v>
      </c>
      <c r="B1840" s="26" t="s">
        <v>29</v>
      </c>
      <c r="C1840" s="26" t="s">
        <v>160</v>
      </c>
      <c r="D1840" s="26" t="s">
        <v>711</v>
      </c>
      <c r="E1840" s="26">
        <v>305.0</v>
      </c>
      <c r="F1840" s="26" t="s">
        <v>63</v>
      </c>
      <c r="G1840" s="26">
        <v>5.0</v>
      </c>
      <c r="H1840" s="26">
        <v>0.7</v>
      </c>
      <c r="I1840" s="26">
        <v>189.0</v>
      </c>
      <c r="J1840" s="26">
        <v>75.0</v>
      </c>
      <c r="K1840" s="26">
        <v>41.0</v>
      </c>
      <c r="N1840" s="26" t="s">
        <v>691</v>
      </c>
    </row>
    <row r="1841">
      <c r="A1841" s="25">
        <v>43348.83177030092</v>
      </c>
      <c r="B1841" s="26" t="s">
        <v>819</v>
      </c>
      <c r="C1841" s="26" t="s">
        <v>1041</v>
      </c>
      <c r="D1841" s="26" t="s">
        <v>31</v>
      </c>
      <c r="E1841" s="26">
        <v>212.0</v>
      </c>
      <c r="F1841" s="26" t="s">
        <v>63</v>
      </c>
      <c r="G1841" s="26">
        <v>12.0</v>
      </c>
      <c r="H1841" s="26">
        <v>2.0</v>
      </c>
      <c r="N1841" s="26" t="s">
        <v>685</v>
      </c>
    </row>
    <row r="1842">
      <c r="A1842" s="25">
        <v>43348.88378923611</v>
      </c>
      <c r="B1842" s="26" t="s">
        <v>1372</v>
      </c>
      <c r="C1842" s="26" t="s">
        <v>37</v>
      </c>
      <c r="D1842" s="26" t="s">
        <v>31</v>
      </c>
      <c r="E1842" s="26">
        <v>105.0</v>
      </c>
      <c r="F1842" s="26" t="s">
        <v>745</v>
      </c>
      <c r="G1842" s="26">
        <v>6.0</v>
      </c>
      <c r="H1842" s="26">
        <v>6.0</v>
      </c>
      <c r="I1842" s="26">
        <v>96.0</v>
      </c>
      <c r="J1842" s="26">
        <v>7.0</v>
      </c>
      <c r="K1842" s="26">
        <v>2.0</v>
      </c>
      <c r="N1842" s="26" t="s">
        <v>704</v>
      </c>
    </row>
    <row r="1843">
      <c r="A1843" s="25">
        <v>43348.95091671296</v>
      </c>
      <c r="B1843" s="26" t="s">
        <v>268</v>
      </c>
      <c r="C1843" s="26" t="s">
        <v>1198</v>
      </c>
      <c r="D1843" s="26" t="s">
        <v>31</v>
      </c>
      <c r="E1843" s="26">
        <v>108.0</v>
      </c>
      <c r="F1843" s="26" t="s">
        <v>272</v>
      </c>
      <c r="G1843" s="26">
        <v>7.0</v>
      </c>
      <c r="H1843" s="26">
        <v>7.0</v>
      </c>
      <c r="I1843" s="26">
        <v>108.0</v>
      </c>
      <c r="K1843" s="26">
        <v>13.0</v>
      </c>
      <c r="N1843" s="26" t="s">
        <v>704</v>
      </c>
    </row>
    <row r="1844">
      <c r="A1844" s="25">
        <v>43348.952373402775</v>
      </c>
      <c r="B1844" s="26" t="s">
        <v>1373</v>
      </c>
      <c r="C1844" s="26" t="s">
        <v>336</v>
      </c>
      <c r="D1844" s="26" t="s">
        <v>41</v>
      </c>
      <c r="E1844" s="26">
        <v>175.0</v>
      </c>
      <c r="F1844" s="26" t="s">
        <v>481</v>
      </c>
      <c r="G1844" s="26">
        <v>11.0</v>
      </c>
      <c r="H1844" s="26">
        <v>4.0</v>
      </c>
      <c r="N1844" s="26" t="s">
        <v>683</v>
      </c>
    </row>
    <row r="1845">
      <c r="A1845" s="25">
        <v>43348.953436979165</v>
      </c>
      <c r="B1845" s="26" t="s">
        <v>1373</v>
      </c>
      <c r="C1845" s="26" t="s">
        <v>41</v>
      </c>
      <c r="D1845" s="26" t="s">
        <v>41</v>
      </c>
      <c r="E1845" s="26">
        <v>175.0</v>
      </c>
      <c r="F1845" s="26" t="s">
        <v>481</v>
      </c>
      <c r="G1845" s="26">
        <v>11.0</v>
      </c>
      <c r="H1845" s="26">
        <v>4.0</v>
      </c>
      <c r="N1845" s="26" t="s">
        <v>683</v>
      </c>
    </row>
    <row r="1846">
      <c r="A1846" s="25">
        <v>43348.97788465278</v>
      </c>
      <c r="B1846" s="26" t="s">
        <v>371</v>
      </c>
      <c r="C1846" s="26" t="s">
        <v>1374</v>
      </c>
      <c r="D1846" s="26" t="s">
        <v>27</v>
      </c>
      <c r="E1846" s="26">
        <v>260.0</v>
      </c>
      <c r="F1846" s="26" t="s">
        <v>327</v>
      </c>
      <c r="G1846" s="26">
        <v>19.0</v>
      </c>
      <c r="H1846" s="26">
        <v>12.0</v>
      </c>
      <c r="I1846" s="26">
        <v>170.0</v>
      </c>
      <c r="J1846" s="26">
        <v>55.0</v>
      </c>
      <c r="K1846" s="26">
        <v>30.0</v>
      </c>
      <c r="N1846" s="26" t="s">
        <v>1375</v>
      </c>
    </row>
    <row r="1847">
      <c r="A1847" s="25">
        <v>43349.01927815972</v>
      </c>
      <c r="B1847" s="26" t="s">
        <v>258</v>
      </c>
      <c r="C1847" s="26" t="s">
        <v>749</v>
      </c>
      <c r="D1847" s="26" t="s">
        <v>31</v>
      </c>
      <c r="E1847" s="26">
        <v>305.0</v>
      </c>
      <c r="F1847" s="26" t="s">
        <v>756</v>
      </c>
      <c r="G1847" s="26">
        <v>6.0</v>
      </c>
      <c r="H1847" s="26">
        <v>2.0</v>
      </c>
      <c r="I1847" s="26">
        <v>173000.0</v>
      </c>
      <c r="J1847" s="26">
        <v>132000.0</v>
      </c>
      <c r="N1847" s="26" t="s">
        <v>704</v>
      </c>
    </row>
    <row r="1848">
      <c r="A1848" s="25">
        <v>43349.03492777778</v>
      </c>
      <c r="B1848" s="26" t="s">
        <v>48</v>
      </c>
      <c r="C1848" s="26" t="s">
        <v>78</v>
      </c>
      <c r="D1848" s="26" t="s">
        <v>711</v>
      </c>
      <c r="E1848" s="26">
        <v>200.0</v>
      </c>
      <c r="F1848" s="26" t="s">
        <v>50</v>
      </c>
      <c r="G1848" s="26">
        <v>5.0</v>
      </c>
      <c r="H1848" s="26">
        <v>0.25</v>
      </c>
      <c r="I1848" s="26">
        <v>150.0</v>
      </c>
      <c r="J1848" s="26">
        <v>35.0</v>
      </c>
      <c r="K1848" s="26">
        <v>15.0</v>
      </c>
      <c r="N1848" s="26" t="s">
        <v>859</v>
      </c>
    </row>
    <row r="1849">
      <c r="A1849" s="25">
        <v>43349.04387678241</v>
      </c>
      <c r="B1849" s="26" t="s">
        <v>45</v>
      </c>
      <c r="C1849" s="26" t="s">
        <v>116</v>
      </c>
      <c r="D1849" s="26" t="s">
        <v>31</v>
      </c>
      <c r="E1849" s="26">
        <v>220.0</v>
      </c>
      <c r="F1849" s="26" t="s">
        <v>47</v>
      </c>
      <c r="G1849" s="26">
        <v>14.0</v>
      </c>
      <c r="H1849" s="26">
        <v>1.0</v>
      </c>
      <c r="I1849" s="26">
        <v>180.0</v>
      </c>
      <c r="J1849" s="26">
        <v>40.0</v>
      </c>
      <c r="N1849" s="26" t="s">
        <v>685</v>
      </c>
    </row>
    <row r="1850">
      <c r="A1850" s="25">
        <v>43349.41727795139</v>
      </c>
      <c r="B1850" s="26" t="s">
        <v>40</v>
      </c>
      <c r="C1850" s="26">
        <v>63.0</v>
      </c>
      <c r="D1850" s="26" t="s">
        <v>31</v>
      </c>
      <c r="E1850" s="26">
        <v>230.0</v>
      </c>
      <c r="F1850" s="26" t="s">
        <v>47</v>
      </c>
      <c r="G1850" s="26">
        <v>5.0</v>
      </c>
      <c r="H1850" s="26">
        <v>5.0</v>
      </c>
      <c r="I1850" s="26">
        <v>170.0</v>
      </c>
      <c r="J1850" s="26">
        <v>22.0</v>
      </c>
      <c r="K1850" s="26">
        <v>27.0</v>
      </c>
      <c r="N1850" s="26" t="s">
        <v>1376</v>
      </c>
    </row>
    <row r="1851">
      <c r="A1851" s="25">
        <v>43349.42343005787</v>
      </c>
      <c r="B1851" s="26" t="s">
        <v>33</v>
      </c>
      <c r="C1851" s="26" t="s">
        <v>43</v>
      </c>
      <c r="D1851" s="26" t="s">
        <v>31</v>
      </c>
      <c r="E1851" s="26">
        <v>155.0</v>
      </c>
      <c r="F1851" s="26" t="s">
        <v>63</v>
      </c>
      <c r="G1851" s="26">
        <v>5.0</v>
      </c>
      <c r="H1851" s="26">
        <v>0.0</v>
      </c>
      <c r="I1851" s="26">
        <v>155.0</v>
      </c>
      <c r="J1851" s="26">
        <v>40.0</v>
      </c>
      <c r="K1851" s="26">
        <v>50.0</v>
      </c>
      <c r="N1851" s="26" t="s">
        <v>704</v>
      </c>
    </row>
    <row r="1852">
      <c r="A1852" s="25">
        <v>43349.533833379624</v>
      </c>
      <c r="B1852" s="26" t="s">
        <v>1377</v>
      </c>
      <c r="C1852" s="26" t="s">
        <v>421</v>
      </c>
      <c r="D1852" s="26" t="s">
        <v>31</v>
      </c>
      <c r="E1852" s="26">
        <v>100.0</v>
      </c>
      <c r="F1852" s="26" t="s">
        <v>1378</v>
      </c>
      <c r="G1852" s="26">
        <v>10.0</v>
      </c>
      <c r="H1852" s="26">
        <v>5.0</v>
      </c>
      <c r="N1852" s="26" t="s">
        <v>683</v>
      </c>
    </row>
    <row r="1853">
      <c r="A1853" s="25">
        <v>43349.56653548611</v>
      </c>
      <c r="B1853" s="26" t="s">
        <v>1379</v>
      </c>
      <c r="C1853" s="26" t="s">
        <v>1380</v>
      </c>
      <c r="D1853" s="26" t="s">
        <v>31</v>
      </c>
      <c r="E1853" s="26">
        <v>151.0</v>
      </c>
      <c r="F1853" s="26" t="s">
        <v>1107</v>
      </c>
      <c r="G1853" s="26">
        <v>15.0</v>
      </c>
      <c r="H1853" s="26">
        <v>4.0</v>
      </c>
      <c r="I1853" s="26">
        <v>147.0</v>
      </c>
      <c r="K1853" s="26">
        <v>4.0</v>
      </c>
      <c r="N1853" s="26" t="s">
        <v>1381</v>
      </c>
    </row>
    <row r="1854">
      <c r="A1854" s="25">
        <v>43349.61319579861</v>
      </c>
      <c r="B1854" s="26" t="s">
        <v>1382</v>
      </c>
      <c r="C1854" s="26" t="s">
        <v>1383</v>
      </c>
      <c r="D1854" s="26" t="s">
        <v>31</v>
      </c>
      <c r="E1854" s="26">
        <v>190.0</v>
      </c>
      <c r="F1854" s="26" t="s">
        <v>94</v>
      </c>
      <c r="G1854" s="26">
        <v>7.0</v>
      </c>
      <c r="H1854" s="26">
        <v>3.0</v>
      </c>
      <c r="I1854" s="26">
        <v>160.0</v>
      </c>
      <c r="K1854" s="26">
        <v>30.0</v>
      </c>
      <c r="N1854" s="26" t="s">
        <v>683</v>
      </c>
    </row>
    <row r="1855">
      <c r="A1855" s="25">
        <v>43349.64906167824</v>
      </c>
      <c r="B1855" s="26" t="s">
        <v>48</v>
      </c>
      <c r="C1855" s="26" t="s">
        <v>69</v>
      </c>
      <c r="D1855" s="26" t="s">
        <v>31</v>
      </c>
      <c r="E1855" s="26">
        <v>165.0</v>
      </c>
      <c r="F1855" s="26" t="s">
        <v>50</v>
      </c>
      <c r="G1855" s="26">
        <v>0.0</v>
      </c>
      <c r="H1855" s="26">
        <v>0.0</v>
      </c>
      <c r="I1855" s="26">
        <v>115.0</v>
      </c>
      <c r="J1855" s="26">
        <v>38.0</v>
      </c>
      <c r="K1855" s="26">
        <v>12.0</v>
      </c>
      <c r="N1855" s="26" t="s">
        <v>704</v>
      </c>
    </row>
    <row r="1856">
      <c r="A1856" s="25">
        <v>43349.69891196759</v>
      </c>
      <c r="B1856" s="26" t="s">
        <v>80</v>
      </c>
      <c r="C1856" s="26" t="s">
        <v>43</v>
      </c>
      <c r="D1856" s="26" t="s">
        <v>31</v>
      </c>
      <c r="E1856" s="26">
        <v>409.0</v>
      </c>
      <c r="F1856" s="26" t="s">
        <v>47</v>
      </c>
      <c r="G1856" s="26">
        <v>8.0</v>
      </c>
      <c r="H1856" s="26">
        <v>4.0</v>
      </c>
      <c r="N1856" s="26" t="s">
        <v>1384</v>
      </c>
    </row>
    <row r="1857">
      <c r="A1857" s="25">
        <v>43349.70220056713</v>
      </c>
      <c r="B1857" s="26" t="s">
        <v>1385</v>
      </c>
      <c r="C1857" s="26" t="s">
        <v>1386</v>
      </c>
      <c r="D1857" s="26" t="s">
        <v>31</v>
      </c>
      <c r="E1857" s="26">
        <v>105.0</v>
      </c>
      <c r="F1857" s="26" t="s">
        <v>1387</v>
      </c>
      <c r="G1857" s="26">
        <v>0.0</v>
      </c>
      <c r="H1857" s="26">
        <v>0.0</v>
      </c>
      <c r="I1857" s="26">
        <v>95000.0</v>
      </c>
      <c r="K1857" s="26">
        <v>10000.0</v>
      </c>
      <c r="N1857" s="26" t="s">
        <v>683</v>
      </c>
    </row>
    <row r="1858">
      <c r="A1858" s="25">
        <v>43349.73695358796</v>
      </c>
      <c r="B1858" s="26" t="s">
        <v>40</v>
      </c>
      <c r="C1858" s="26">
        <v>63.0</v>
      </c>
      <c r="D1858" s="26" t="s">
        <v>1149</v>
      </c>
      <c r="E1858" s="26">
        <v>100.0</v>
      </c>
      <c r="F1858" s="26" t="s">
        <v>63</v>
      </c>
      <c r="G1858" s="26">
        <v>8.0</v>
      </c>
      <c r="H1858" s="26">
        <v>1.0</v>
      </c>
      <c r="N1858" s="26" t="s">
        <v>1149</v>
      </c>
    </row>
    <row r="1859">
      <c r="A1859" s="25">
        <v>43349.73764931713</v>
      </c>
      <c r="B1859" s="26" t="s">
        <v>1385</v>
      </c>
      <c r="C1859" s="26" t="s">
        <v>1388</v>
      </c>
      <c r="D1859" s="26" t="s">
        <v>31</v>
      </c>
      <c r="E1859" s="26">
        <v>175.0</v>
      </c>
      <c r="F1859" s="26" t="s">
        <v>1387</v>
      </c>
      <c r="G1859" s="26">
        <v>9.0</v>
      </c>
      <c r="H1859" s="26">
        <v>9.0</v>
      </c>
      <c r="I1859" s="26">
        <v>175.0</v>
      </c>
      <c r="K1859" s="26">
        <v>8.0</v>
      </c>
      <c r="N1859" s="26" t="s">
        <v>683</v>
      </c>
    </row>
    <row r="1860">
      <c r="A1860" s="25">
        <v>43349.75613460648</v>
      </c>
      <c r="B1860" s="26" t="s">
        <v>40</v>
      </c>
      <c r="C1860" s="26">
        <v>64.0</v>
      </c>
      <c r="D1860" s="26" t="s">
        <v>31</v>
      </c>
      <c r="E1860" s="26">
        <v>225.0</v>
      </c>
      <c r="F1860" s="26" t="s">
        <v>75</v>
      </c>
      <c r="G1860" s="26">
        <v>7.0</v>
      </c>
      <c r="H1860" s="26">
        <v>7.0</v>
      </c>
      <c r="I1860" s="26">
        <v>166.0</v>
      </c>
      <c r="J1860" s="26">
        <v>20.0</v>
      </c>
      <c r="K1860" s="26">
        <v>20.0</v>
      </c>
      <c r="N1860" s="26" t="s">
        <v>715</v>
      </c>
    </row>
    <row r="1861">
      <c r="A1861" s="25">
        <v>43349.7863168287</v>
      </c>
      <c r="B1861" s="26" t="s">
        <v>1389</v>
      </c>
      <c r="C1861" s="26" t="s">
        <v>336</v>
      </c>
      <c r="D1861" s="26" t="s">
        <v>41</v>
      </c>
      <c r="E1861" s="26">
        <v>143.0</v>
      </c>
      <c r="F1861" s="26" t="s">
        <v>1390</v>
      </c>
      <c r="G1861" s="26">
        <v>7.0</v>
      </c>
      <c r="H1861" s="26">
        <v>2.5</v>
      </c>
      <c r="I1861" s="26">
        <v>143000.0</v>
      </c>
      <c r="N1861" s="26" t="s">
        <v>683</v>
      </c>
    </row>
    <row r="1862">
      <c r="A1862" s="25">
        <v>43349.78778201389</v>
      </c>
      <c r="B1862" s="26" t="s">
        <v>874</v>
      </c>
      <c r="C1862" s="26" t="s">
        <v>610</v>
      </c>
      <c r="D1862" s="26" t="s">
        <v>31</v>
      </c>
      <c r="E1862" s="26">
        <v>187.0</v>
      </c>
      <c r="F1862" s="26" t="s">
        <v>161</v>
      </c>
      <c r="G1862" s="26">
        <v>4.0</v>
      </c>
      <c r="H1862" s="26">
        <v>4.0</v>
      </c>
      <c r="I1862" s="26">
        <v>125000.0</v>
      </c>
      <c r="J1862" s="26">
        <v>46.0</v>
      </c>
      <c r="K1862" s="26">
        <v>16000.0</v>
      </c>
      <c r="N1862" s="26" t="s">
        <v>683</v>
      </c>
    </row>
    <row r="1863">
      <c r="A1863" s="25">
        <v>43349.79387675926</v>
      </c>
      <c r="B1863" s="26" t="s">
        <v>40</v>
      </c>
      <c r="C1863" s="26">
        <v>65.0</v>
      </c>
      <c r="D1863" s="26" t="s">
        <v>31</v>
      </c>
      <c r="E1863" s="26">
        <v>328.0</v>
      </c>
      <c r="F1863" s="26" t="s">
        <v>52</v>
      </c>
      <c r="G1863" s="26">
        <v>11.0</v>
      </c>
      <c r="H1863" s="26">
        <v>4.0</v>
      </c>
      <c r="I1863" s="26">
        <v>188.0</v>
      </c>
      <c r="J1863" s="26">
        <v>108.0</v>
      </c>
      <c r="K1863" s="26">
        <v>32.0</v>
      </c>
      <c r="N1863" s="26" t="s">
        <v>1391</v>
      </c>
    </row>
    <row r="1864">
      <c r="A1864" s="25">
        <v>43349.80556167824</v>
      </c>
      <c r="B1864" s="26" t="s">
        <v>80</v>
      </c>
      <c r="C1864" s="26" t="s">
        <v>430</v>
      </c>
      <c r="D1864" s="26" t="s">
        <v>31</v>
      </c>
      <c r="E1864" s="26">
        <v>231.0</v>
      </c>
      <c r="F1864" s="26" t="s">
        <v>47</v>
      </c>
      <c r="G1864" s="26">
        <v>3.0</v>
      </c>
      <c r="H1864" s="26">
        <v>2.0</v>
      </c>
      <c r="I1864" s="26">
        <v>140.0</v>
      </c>
      <c r="J1864" s="26">
        <v>137.0</v>
      </c>
      <c r="K1864" s="26">
        <v>25.0</v>
      </c>
      <c r="N1864" s="26" t="s">
        <v>751</v>
      </c>
    </row>
    <row r="1865">
      <c r="A1865" s="25">
        <v>43349.811509907406</v>
      </c>
      <c r="B1865" s="26" t="s">
        <v>1392</v>
      </c>
      <c r="C1865" s="26">
        <v>2.0</v>
      </c>
      <c r="D1865" s="26" t="s">
        <v>31</v>
      </c>
      <c r="E1865" s="26">
        <v>88.0</v>
      </c>
      <c r="F1865" s="26" t="s">
        <v>1393</v>
      </c>
      <c r="G1865" s="26">
        <v>2.0</v>
      </c>
      <c r="H1865" s="26">
        <v>1.0</v>
      </c>
      <c r="N1865" s="26" t="s">
        <v>683</v>
      </c>
    </row>
    <row r="1866">
      <c r="A1866" s="25">
        <v>43349.816410370375</v>
      </c>
      <c r="B1866" s="26" t="s">
        <v>1394</v>
      </c>
      <c r="C1866" s="26" t="s">
        <v>1395</v>
      </c>
      <c r="D1866" s="26" t="s">
        <v>31</v>
      </c>
      <c r="E1866" s="26">
        <v>125.0</v>
      </c>
      <c r="F1866" s="26" t="s">
        <v>432</v>
      </c>
      <c r="G1866" s="26">
        <v>7.0</v>
      </c>
      <c r="H1866" s="26">
        <v>2.0</v>
      </c>
      <c r="I1866" s="26">
        <v>107.0</v>
      </c>
      <c r="K1866" s="26">
        <v>15.0</v>
      </c>
      <c r="N1866" s="26" t="s">
        <v>685</v>
      </c>
    </row>
    <row r="1867">
      <c r="A1867" s="25">
        <v>43349.82502142361</v>
      </c>
      <c r="B1867" s="26" t="s">
        <v>1346</v>
      </c>
      <c r="C1867" s="26" t="s">
        <v>1396</v>
      </c>
      <c r="D1867" s="26" t="s">
        <v>41</v>
      </c>
      <c r="E1867" s="26">
        <v>145.0</v>
      </c>
      <c r="F1867" s="26" t="s">
        <v>94</v>
      </c>
      <c r="G1867" s="26">
        <v>16.0</v>
      </c>
      <c r="H1867" s="26">
        <v>5.0</v>
      </c>
      <c r="I1867" s="26">
        <v>135.0</v>
      </c>
      <c r="K1867" s="26">
        <v>10.0</v>
      </c>
      <c r="N1867" s="26" t="s">
        <v>683</v>
      </c>
    </row>
    <row r="1868">
      <c r="A1868" s="25">
        <v>43349.841774560184</v>
      </c>
      <c r="B1868" s="26" t="s">
        <v>1397</v>
      </c>
      <c r="C1868" s="26" t="s">
        <v>353</v>
      </c>
      <c r="D1868" s="26" t="s">
        <v>31</v>
      </c>
      <c r="E1868" s="26">
        <v>129.0</v>
      </c>
      <c r="F1868" s="26" t="s">
        <v>161</v>
      </c>
      <c r="G1868" s="26">
        <v>1.0</v>
      </c>
      <c r="H1868" s="26">
        <v>0.0</v>
      </c>
      <c r="I1868" s="26">
        <v>90.0</v>
      </c>
      <c r="J1868" s="26">
        <v>30.0</v>
      </c>
      <c r="K1868" s="26">
        <v>9.0</v>
      </c>
      <c r="N1868" s="26" t="s">
        <v>683</v>
      </c>
    </row>
    <row r="1869">
      <c r="A1869" s="25">
        <v>43349.84314810185</v>
      </c>
      <c r="B1869" s="27" t="s">
        <v>1398</v>
      </c>
      <c r="C1869" s="26" t="s">
        <v>31</v>
      </c>
      <c r="D1869" s="26" t="s">
        <v>31</v>
      </c>
      <c r="E1869" s="26">
        <v>114.0</v>
      </c>
      <c r="F1869" s="26" t="s">
        <v>94</v>
      </c>
      <c r="G1869" s="26">
        <v>5.0</v>
      </c>
      <c r="H1869" s="26">
        <v>2.0</v>
      </c>
      <c r="I1869" s="26">
        <v>104.0</v>
      </c>
      <c r="K1869" s="26">
        <v>10.0</v>
      </c>
      <c r="N1869" s="26" t="s">
        <v>683</v>
      </c>
    </row>
    <row r="1870">
      <c r="A1870" s="25">
        <v>43349.84520063657</v>
      </c>
      <c r="B1870" s="26" t="s">
        <v>1399</v>
      </c>
      <c r="C1870" s="26" t="s">
        <v>1400</v>
      </c>
      <c r="D1870" s="26" t="s">
        <v>31</v>
      </c>
      <c r="E1870" s="26">
        <v>120.0</v>
      </c>
      <c r="F1870" s="26" t="s">
        <v>1401</v>
      </c>
      <c r="G1870" s="26">
        <v>15.0</v>
      </c>
      <c r="H1870" s="26">
        <v>10.0</v>
      </c>
      <c r="I1870" s="26">
        <v>120.0</v>
      </c>
      <c r="K1870" s="26">
        <v>12.0</v>
      </c>
      <c r="N1870" s="26" t="s">
        <v>704</v>
      </c>
    </row>
    <row r="1871">
      <c r="A1871" s="25">
        <v>43349.84838241898</v>
      </c>
      <c r="B1871" s="26" t="s">
        <v>1402</v>
      </c>
      <c r="C1871" s="26" t="s">
        <v>1403</v>
      </c>
      <c r="D1871" s="26" t="s">
        <v>41</v>
      </c>
      <c r="E1871" s="26">
        <v>120.0</v>
      </c>
      <c r="F1871" s="26" t="s">
        <v>1404</v>
      </c>
      <c r="G1871" s="26">
        <v>25.0</v>
      </c>
      <c r="H1871" s="26">
        <v>5.0</v>
      </c>
      <c r="I1871" s="26">
        <v>100.0</v>
      </c>
      <c r="K1871" s="26">
        <v>20.0</v>
      </c>
      <c r="N1871" s="26" t="s">
        <v>685</v>
      </c>
    </row>
    <row r="1872">
      <c r="A1872" s="25">
        <v>43349.85189413195</v>
      </c>
      <c r="B1872" s="26" t="s">
        <v>1385</v>
      </c>
      <c r="C1872" s="26" t="s">
        <v>1405</v>
      </c>
      <c r="D1872" s="26" t="s">
        <v>31</v>
      </c>
      <c r="E1872" s="26">
        <v>115.0</v>
      </c>
      <c r="F1872" s="26" t="s">
        <v>1387</v>
      </c>
      <c r="G1872" s="26">
        <v>2.0</v>
      </c>
      <c r="H1872" s="26">
        <v>2.0</v>
      </c>
      <c r="I1872" s="26">
        <v>110000.0</v>
      </c>
      <c r="K1872" s="26">
        <v>5000.0</v>
      </c>
      <c r="N1872" s="26" t="s">
        <v>683</v>
      </c>
    </row>
    <row r="1873">
      <c r="A1873" s="25">
        <v>43349.85656584491</v>
      </c>
      <c r="B1873" s="26" t="s">
        <v>1406</v>
      </c>
      <c r="C1873" s="26" t="s">
        <v>1407</v>
      </c>
      <c r="D1873" s="26" t="s">
        <v>1408</v>
      </c>
      <c r="E1873" s="26">
        <v>60.0</v>
      </c>
      <c r="F1873" s="26" t="s">
        <v>1409</v>
      </c>
      <c r="G1873" s="26">
        <v>4.0</v>
      </c>
      <c r="H1873" s="26">
        <v>3.0</v>
      </c>
      <c r="I1873" s="26">
        <v>60.0</v>
      </c>
      <c r="N1873" s="26" t="s">
        <v>683</v>
      </c>
    </row>
    <row r="1874">
      <c r="A1874" s="25">
        <v>43349.88029966435</v>
      </c>
      <c r="B1874" s="26" t="s">
        <v>944</v>
      </c>
      <c r="C1874" s="26" t="s">
        <v>1410</v>
      </c>
      <c r="D1874" s="26" t="s">
        <v>31</v>
      </c>
      <c r="E1874" s="26">
        <v>59.0</v>
      </c>
      <c r="F1874" s="26" t="s">
        <v>1411</v>
      </c>
      <c r="G1874" s="26">
        <v>3.0</v>
      </c>
      <c r="H1874" s="26">
        <v>3.0</v>
      </c>
      <c r="I1874" s="26">
        <v>59.0</v>
      </c>
      <c r="N1874" s="26" t="s">
        <v>683</v>
      </c>
    </row>
    <row r="1875">
      <c r="A1875" s="25">
        <v>43349.88036576389</v>
      </c>
      <c r="B1875" s="26" t="s">
        <v>119</v>
      </c>
      <c r="C1875" s="26" t="s">
        <v>897</v>
      </c>
      <c r="D1875" s="26" t="s">
        <v>31</v>
      </c>
      <c r="E1875" s="26">
        <v>480.0</v>
      </c>
      <c r="F1875" s="26" t="s">
        <v>86</v>
      </c>
      <c r="G1875" s="26">
        <v>13.0</v>
      </c>
      <c r="H1875" s="26">
        <v>1.0</v>
      </c>
      <c r="N1875" s="26" t="s">
        <v>704</v>
      </c>
    </row>
    <row r="1876">
      <c r="A1876" s="25">
        <v>43349.88147784722</v>
      </c>
      <c r="B1876" s="26" t="s">
        <v>123</v>
      </c>
      <c r="C1876" s="26" t="s">
        <v>1412</v>
      </c>
      <c r="D1876" s="26" t="s">
        <v>41</v>
      </c>
      <c r="E1876" s="26">
        <v>610.0</v>
      </c>
      <c r="F1876" s="26" t="s">
        <v>1085</v>
      </c>
      <c r="G1876" s="26">
        <v>18.0</v>
      </c>
      <c r="H1876" s="26">
        <v>6.0</v>
      </c>
      <c r="N1876" s="26" t="s">
        <v>687</v>
      </c>
    </row>
    <row r="1877">
      <c r="A1877" s="25">
        <v>43349.89214599537</v>
      </c>
      <c r="B1877" s="26" t="s">
        <v>127</v>
      </c>
      <c r="C1877" s="26" t="s">
        <v>1413</v>
      </c>
      <c r="D1877" s="26" t="s">
        <v>31</v>
      </c>
      <c r="E1877" s="26">
        <v>170.0</v>
      </c>
      <c r="F1877" s="26" t="s">
        <v>63</v>
      </c>
      <c r="G1877" s="26">
        <v>2.0</v>
      </c>
      <c r="H1877" s="26">
        <v>2.0</v>
      </c>
      <c r="I1877" s="26">
        <v>130000.0</v>
      </c>
      <c r="J1877" s="26">
        <v>27000.0</v>
      </c>
      <c r="K1877" s="26">
        <v>13000.0</v>
      </c>
      <c r="N1877" s="26" t="s">
        <v>685</v>
      </c>
    </row>
    <row r="1878">
      <c r="A1878" s="25">
        <v>43349.9069875</v>
      </c>
      <c r="B1878" s="26" t="s">
        <v>1414</v>
      </c>
      <c r="C1878" s="26" t="s">
        <v>1415</v>
      </c>
      <c r="D1878" s="26" t="s">
        <v>31</v>
      </c>
      <c r="E1878" s="26">
        <v>67.0</v>
      </c>
      <c r="F1878" s="26" t="s">
        <v>1416</v>
      </c>
      <c r="G1878" s="26">
        <v>0.0</v>
      </c>
      <c r="H1878" s="26">
        <v>1.0</v>
      </c>
      <c r="N1878" s="26" t="s">
        <v>728</v>
      </c>
    </row>
    <row r="1879">
      <c r="A1879" s="25">
        <v>43349.92632236111</v>
      </c>
      <c r="B1879" s="26" t="s">
        <v>268</v>
      </c>
      <c r="C1879" s="26" t="s">
        <v>1417</v>
      </c>
      <c r="D1879" s="26" t="s">
        <v>31</v>
      </c>
      <c r="E1879" s="26">
        <v>250.0</v>
      </c>
      <c r="F1879" s="26" t="s">
        <v>238</v>
      </c>
      <c r="G1879" s="26">
        <v>10.0</v>
      </c>
      <c r="H1879" s="26">
        <v>2.0</v>
      </c>
      <c r="I1879" s="26">
        <v>160.0</v>
      </c>
      <c r="J1879" s="26">
        <v>70.0</v>
      </c>
      <c r="K1879" s="26">
        <v>23.0</v>
      </c>
      <c r="N1879" s="26" t="s">
        <v>685</v>
      </c>
    </row>
    <row r="1880">
      <c r="A1880" s="25">
        <v>43349.92686096065</v>
      </c>
      <c r="B1880" s="26" t="s">
        <v>80</v>
      </c>
      <c r="C1880" s="26" t="s">
        <v>73</v>
      </c>
      <c r="D1880" s="26" t="s">
        <v>31</v>
      </c>
      <c r="E1880" s="26">
        <v>248.0</v>
      </c>
      <c r="F1880" s="26" t="s">
        <v>679</v>
      </c>
      <c r="G1880" s="26">
        <v>5.0</v>
      </c>
      <c r="H1880" s="26">
        <v>5.0</v>
      </c>
      <c r="I1880" s="26">
        <v>148.0</v>
      </c>
      <c r="J1880" s="26">
        <v>70.0</v>
      </c>
      <c r="K1880" s="26">
        <v>30.0</v>
      </c>
      <c r="N1880" s="26" t="s">
        <v>685</v>
      </c>
    </row>
    <row r="1881">
      <c r="A1881" s="25">
        <v>43349.93600327546</v>
      </c>
      <c r="B1881" s="26" t="s">
        <v>1418</v>
      </c>
      <c r="C1881" s="26" t="s">
        <v>1419</v>
      </c>
      <c r="D1881" s="26" t="s">
        <v>31</v>
      </c>
      <c r="E1881" s="26">
        <v>135.0</v>
      </c>
      <c r="F1881" s="26" t="s">
        <v>1420</v>
      </c>
      <c r="G1881" s="26">
        <v>8.0</v>
      </c>
      <c r="H1881" s="26">
        <v>1.0</v>
      </c>
      <c r="N1881" s="26" t="s">
        <v>683</v>
      </c>
    </row>
    <row r="1882">
      <c r="A1882" s="25">
        <v>43349.950519895836</v>
      </c>
      <c r="B1882" s="26" t="s">
        <v>319</v>
      </c>
      <c r="C1882" s="26">
        <v>7.0</v>
      </c>
      <c r="D1882" s="26" t="s">
        <v>31</v>
      </c>
      <c r="E1882" s="26">
        <v>100.0</v>
      </c>
      <c r="F1882" s="26" t="s">
        <v>1014</v>
      </c>
      <c r="G1882" s="26">
        <v>3.0</v>
      </c>
      <c r="H1882" s="26">
        <v>4.5</v>
      </c>
      <c r="N1882" s="26" t="s">
        <v>685</v>
      </c>
    </row>
    <row r="1883">
      <c r="A1883" s="25">
        <v>43349.95663543981</v>
      </c>
      <c r="B1883" s="26" t="s">
        <v>1421</v>
      </c>
      <c r="C1883" s="26" t="s">
        <v>1422</v>
      </c>
      <c r="D1883" s="26" t="s">
        <v>31</v>
      </c>
      <c r="E1883" s="26">
        <v>95.0</v>
      </c>
      <c r="F1883" s="26" t="s">
        <v>1423</v>
      </c>
      <c r="G1883" s="26">
        <v>2.0</v>
      </c>
      <c r="H1883" s="26">
        <v>0.0</v>
      </c>
      <c r="N1883" s="26" t="s">
        <v>683</v>
      </c>
    </row>
    <row r="1884">
      <c r="A1884" s="25">
        <v>43349.96035883102</v>
      </c>
      <c r="B1884" s="26" t="s">
        <v>40</v>
      </c>
      <c r="C1884" s="26">
        <v>62.0</v>
      </c>
      <c r="D1884" s="26" t="s">
        <v>31</v>
      </c>
      <c r="E1884" s="26">
        <v>180.0</v>
      </c>
      <c r="F1884" s="26" t="s">
        <v>362</v>
      </c>
      <c r="G1884" s="26">
        <v>5.0</v>
      </c>
      <c r="H1884" s="26">
        <v>3.0</v>
      </c>
      <c r="I1884" s="26">
        <v>145.0</v>
      </c>
      <c r="J1884" s="26">
        <v>13.0</v>
      </c>
      <c r="K1884" s="26">
        <v>22.0</v>
      </c>
      <c r="N1884" s="26" t="s">
        <v>685</v>
      </c>
    </row>
    <row r="1885">
      <c r="A1885" s="25">
        <v>43349.96562054398</v>
      </c>
      <c r="B1885" s="26" t="s">
        <v>168</v>
      </c>
      <c r="C1885" s="26">
        <v>64.0</v>
      </c>
      <c r="D1885" s="26" t="s">
        <v>27</v>
      </c>
      <c r="E1885" s="26">
        <v>200.0</v>
      </c>
      <c r="F1885" s="26" t="s">
        <v>107</v>
      </c>
      <c r="G1885" s="26">
        <v>10.0</v>
      </c>
      <c r="H1885" s="26">
        <v>10.0</v>
      </c>
      <c r="I1885" s="26">
        <v>150.0</v>
      </c>
      <c r="J1885" s="26">
        <v>25.0</v>
      </c>
      <c r="K1885" s="26">
        <v>25.0</v>
      </c>
      <c r="N1885" s="26" t="s">
        <v>1149</v>
      </c>
    </row>
    <row r="1886">
      <c r="A1886" s="25">
        <v>43349.97589328703</v>
      </c>
      <c r="B1886" s="26" t="s">
        <v>40</v>
      </c>
      <c r="C1886" s="26">
        <v>63.0</v>
      </c>
      <c r="D1886" s="26" t="s">
        <v>31</v>
      </c>
      <c r="E1886" s="26">
        <v>190.0</v>
      </c>
      <c r="F1886" s="26" t="s">
        <v>133</v>
      </c>
      <c r="G1886" s="26">
        <v>10.0</v>
      </c>
      <c r="H1886" s="26">
        <v>3.0</v>
      </c>
      <c r="I1886" s="26">
        <v>155.0</v>
      </c>
      <c r="J1886" s="26">
        <v>17.0</v>
      </c>
      <c r="K1886" s="26">
        <v>17.0</v>
      </c>
      <c r="N1886" s="26" t="s">
        <v>683</v>
      </c>
    </row>
    <row r="1887">
      <c r="A1887" s="25">
        <v>43349.98684304398</v>
      </c>
      <c r="B1887" s="26" t="s">
        <v>40</v>
      </c>
      <c r="C1887" s="26">
        <v>61.0</v>
      </c>
      <c r="D1887" s="26" t="s">
        <v>31</v>
      </c>
      <c r="E1887" s="26">
        <v>154.0</v>
      </c>
      <c r="F1887" s="26" t="s">
        <v>63</v>
      </c>
      <c r="G1887" s="26">
        <v>2.0</v>
      </c>
      <c r="H1887" s="26">
        <v>1.0</v>
      </c>
      <c r="I1887" s="26">
        <v>125.0</v>
      </c>
      <c r="J1887" s="26">
        <v>9.0</v>
      </c>
      <c r="K1887" s="26">
        <v>20.0</v>
      </c>
      <c r="N1887" s="26" t="s">
        <v>685</v>
      </c>
    </row>
    <row r="1888">
      <c r="A1888" s="25">
        <v>43350.016377141204</v>
      </c>
      <c r="B1888" s="26" t="s">
        <v>45</v>
      </c>
      <c r="C1888" s="26" t="s">
        <v>102</v>
      </c>
      <c r="D1888" s="26" t="s">
        <v>711</v>
      </c>
      <c r="E1888" s="26">
        <v>215.0</v>
      </c>
      <c r="F1888" s="26" t="s">
        <v>104</v>
      </c>
      <c r="G1888" s="26">
        <v>0.0</v>
      </c>
      <c r="H1888" s="26">
        <v>0.0</v>
      </c>
      <c r="I1888" s="26">
        <v>125.0</v>
      </c>
      <c r="J1888" s="26">
        <v>38.0</v>
      </c>
      <c r="K1888" s="26">
        <v>52.0</v>
      </c>
      <c r="N1888" s="26" t="s">
        <v>691</v>
      </c>
    </row>
    <row r="1889">
      <c r="A1889" s="25">
        <v>43350.02977289352</v>
      </c>
      <c r="B1889" s="26" t="s">
        <v>40</v>
      </c>
      <c r="C1889" s="26">
        <v>64.0</v>
      </c>
      <c r="D1889" s="26" t="s">
        <v>27</v>
      </c>
      <c r="E1889" s="26">
        <v>270.0</v>
      </c>
      <c r="F1889" s="26" t="s">
        <v>1424</v>
      </c>
      <c r="G1889" s="26">
        <v>11.0</v>
      </c>
      <c r="H1889" s="26">
        <v>2.0</v>
      </c>
      <c r="I1889" s="26">
        <v>180.0</v>
      </c>
      <c r="J1889" s="26">
        <v>65.0</v>
      </c>
      <c r="K1889" s="26">
        <v>25.0</v>
      </c>
      <c r="N1889" s="26" t="s">
        <v>1425</v>
      </c>
    </row>
    <row r="1890">
      <c r="A1890" s="25">
        <v>43350.03222013889</v>
      </c>
      <c r="B1890" s="26" t="s">
        <v>1426</v>
      </c>
      <c r="C1890" s="26" t="s">
        <v>37</v>
      </c>
      <c r="D1890" s="26" t="s">
        <v>31</v>
      </c>
      <c r="E1890" s="26">
        <v>90.0</v>
      </c>
      <c r="F1890" s="26" t="s">
        <v>1427</v>
      </c>
      <c r="G1890" s="26">
        <v>5.0</v>
      </c>
      <c r="H1890" s="26">
        <v>3.0</v>
      </c>
      <c r="I1890" s="26">
        <v>80.0</v>
      </c>
      <c r="K1890" s="26">
        <v>10.0</v>
      </c>
      <c r="N1890" s="26" t="s">
        <v>685</v>
      </c>
    </row>
    <row r="1891">
      <c r="A1891" s="25">
        <v>43350.078149560184</v>
      </c>
      <c r="B1891" s="26" t="s">
        <v>55</v>
      </c>
      <c r="C1891" s="26" t="s">
        <v>353</v>
      </c>
      <c r="D1891" s="26" t="s">
        <v>27</v>
      </c>
      <c r="E1891" s="26">
        <v>125.0</v>
      </c>
      <c r="F1891" s="26" t="s">
        <v>75</v>
      </c>
      <c r="G1891" s="26">
        <v>2.0</v>
      </c>
      <c r="H1891" s="26">
        <v>1.0</v>
      </c>
      <c r="N1891" s="26" t="s">
        <v>1428</v>
      </c>
    </row>
    <row r="1892">
      <c r="A1892" s="25">
        <v>43350.08538142361</v>
      </c>
      <c r="B1892" s="26" t="s">
        <v>80</v>
      </c>
      <c r="C1892" s="26" t="s">
        <v>749</v>
      </c>
      <c r="D1892" s="26" t="s">
        <v>31</v>
      </c>
      <c r="E1892" s="26">
        <v>218.0</v>
      </c>
      <c r="F1892" s="26" t="s">
        <v>654</v>
      </c>
      <c r="G1892" s="26">
        <v>9.0</v>
      </c>
      <c r="H1892" s="26">
        <v>8.0</v>
      </c>
      <c r="I1892" s="26">
        <v>129.0</v>
      </c>
      <c r="J1892" s="26">
        <v>67.0</v>
      </c>
      <c r="K1892" s="26">
        <v>22.0</v>
      </c>
      <c r="L1892" s="26" t="s">
        <v>1429</v>
      </c>
      <c r="N1892" s="26" t="s">
        <v>687</v>
      </c>
    </row>
    <row r="1893">
      <c r="A1893" s="25">
        <v>43350.13828267361</v>
      </c>
      <c r="B1893" s="26" t="s">
        <v>1430</v>
      </c>
      <c r="C1893" s="26" t="s">
        <v>37</v>
      </c>
      <c r="D1893" s="26" t="s">
        <v>31</v>
      </c>
      <c r="E1893" s="26">
        <v>50.0</v>
      </c>
      <c r="F1893" s="26" t="s">
        <v>1431</v>
      </c>
      <c r="G1893" s="26">
        <v>4.0</v>
      </c>
      <c r="H1893" s="26">
        <v>2.0</v>
      </c>
      <c r="N1893" s="26" t="s">
        <v>1432</v>
      </c>
    </row>
    <row r="1894">
      <c r="A1894" s="25">
        <v>43350.14353622685</v>
      </c>
      <c r="B1894" s="26" t="s">
        <v>80</v>
      </c>
      <c r="C1894" s="26" t="s">
        <v>430</v>
      </c>
      <c r="D1894" s="26" t="s">
        <v>31</v>
      </c>
      <c r="E1894" s="26">
        <v>81.0</v>
      </c>
      <c r="F1894" s="26" t="s">
        <v>1433</v>
      </c>
      <c r="G1894" s="26">
        <v>5.0</v>
      </c>
      <c r="H1894" s="26">
        <v>2.0</v>
      </c>
      <c r="I1894" s="26">
        <v>45.0</v>
      </c>
      <c r="J1894" s="26">
        <v>23.0</v>
      </c>
      <c r="K1894" s="26">
        <v>12.0</v>
      </c>
      <c r="N1894" s="26" t="s">
        <v>685</v>
      </c>
    </row>
    <row r="1895">
      <c r="A1895" s="25">
        <v>43350.174193287035</v>
      </c>
      <c r="B1895" s="26" t="s">
        <v>33</v>
      </c>
      <c r="C1895" s="26" t="s">
        <v>62</v>
      </c>
      <c r="D1895" s="26" t="s">
        <v>27</v>
      </c>
      <c r="E1895" s="26">
        <v>165.0</v>
      </c>
      <c r="F1895" s="26" t="s">
        <v>100</v>
      </c>
      <c r="G1895" s="26">
        <v>15.0</v>
      </c>
      <c r="H1895" s="26">
        <v>0.0</v>
      </c>
      <c r="I1895" s="26">
        <v>125.0</v>
      </c>
      <c r="N1895" s="26" t="s">
        <v>708</v>
      </c>
    </row>
    <row r="1896">
      <c r="A1896" s="25">
        <v>43350.17933825232</v>
      </c>
      <c r="B1896" s="26" t="s">
        <v>40</v>
      </c>
      <c r="C1896" s="26">
        <v>61.0</v>
      </c>
      <c r="D1896" s="26" t="s">
        <v>31</v>
      </c>
      <c r="E1896" s="26">
        <v>146.0</v>
      </c>
      <c r="F1896" s="26" t="s">
        <v>618</v>
      </c>
      <c r="G1896" s="26">
        <v>5.0</v>
      </c>
      <c r="H1896" s="26">
        <v>2.0</v>
      </c>
      <c r="I1896" s="26">
        <v>127.0</v>
      </c>
      <c r="J1896" s="26">
        <v>7.0</v>
      </c>
      <c r="K1896" s="26">
        <v>12.0</v>
      </c>
      <c r="N1896" s="26" t="s">
        <v>757</v>
      </c>
    </row>
    <row r="1897">
      <c r="A1897" s="25">
        <v>43350.19698260417</v>
      </c>
      <c r="B1897" s="26" t="s">
        <v>268</v>
      </c>
      <c r="C1897" s="26" t="s">
        <v>103</v>
      </c>
      <c r="D1897" s="26" t="s">
        <v>27</v>
      </c>
      <c r="E1897" s="26">
        <v>200.0</v>
      </c>
      <c r="F1897" s="26" t="s">
        <v>72</v>
      </c>
      <c r="G1897" s="26">
        <v>10.0</v>
      </c>
      <c r="H1897" s="26">
        <v>1.0</v>
      </c>
      <c r="N1897" s="26" t="s">
        <v>683</v>
      </c>
    </row>
    <row r="1898">
      <c r="A1898" s="25">
        <v>43350.22143613426</v>
      </c>
      <c r="B1898" s="26" t="s">
        <v>1434</v>
      </c>
      <c r="C1898" s="26" t="s">
        <v>125</v>
      </c>
      <c r="D1898" s="26" t="s">
        <v>31</v>
      </c>
      <c r="E1898" s="26">
        <v>40.0</v>
      </c>
      <c r="F1898" s="26" t="s">
        <v>1435</v>
      </c>
      <c r="G1898" s="26">
        <v>3.0</v>
      </c>
      <c r="H1898" s="26">
        <v>2.0</v>
      </c>
      <c r="N1898" s="26" t="s">
        <v>683</v>
      </c>
    </row>
    <row r="1899">
      <c r="A1899" s="25">
        <v>43350.237522407406</v>
      </c>
      <c r="B1899" s="26" t="s">
        <v>1436</v>
      </c>
      <c r="C1899" s="26" t="s">
        <v>37</v>
      </c>
      <c r="D1899" s="26" t="s">
        <v>31</v>
      </c>
      <c r="E1899" s="26">
        <v>38.0</v>
      </c>
      <c r="F1899" s="26" t="s">
        <v>1437</v>
      </c>
      <c r="G1899" s="26">
        <v>6.0</v>
      </c>
      <c r="H1899" s="26">
        <v>6.0</v>
      </c>
      <c r="I1899" s="26">
        <v>38.0</v>
      </c>
      <c r="N1899" s="26" t="s">
        <v>685</v>
      </c>
    </row>
    <row r="1900">
      <c r="A1900" s="25">
        <v>43350.23833394676</v>
      </c>
      <c r="B1900" s="26" t="s">
        <v>1438</v>
      </c>
      <c r="C1900" s="26" t="s">
        <v>1439</v>
      </c>
      <c r="D1900" s="26" t="s">
        <v>31</v>
      </c>
      <c r="E1900" s="26">
        <v>78.0</v>
      </c>
      <c r="F1900" s="26" t="s">
        <v>1440</v>
      </c>
      <c r="G1900" s="26">
        <v>1.0</v>
      </c>
      <c r="H1900" s="26">
        <v>1.0</v>
      </c>
      <c r="N1900" s="26" t="s">
        <v>1441</v>
      </c>
    </row>
    <row r="1901">
      <c r="A1901" s="25">
        <v>43350.244465428244</v>
      </c>
      <c r="B1901" s="26" t="s">
        <v>1442</v>
      </c>
      <c r="C1901" s="26" t="s">
        <v>37</v>
      </c>
      <c r="D1901" s="26" t="s">
        <v>31</v>
      </c>
      <c r="E1901" s="26">
        <v>126.0</v>
      </c>
      <c r="F1901" s="26" t="s">
        <v>1443</v>
      </c>
      <c r="G1901" s="26">
        <v>5.0</v>
      </c>
      <c r="H1901" s="26">
        <v>2.0</v>
      </c>
      <c r="I1901" s="26">
        <v>115.0</v>
      </c>
      <c r="K1901" s="26">
        <v>11.0</v>
      </c>
      <c r="N1901" s="26" t="s">
        <v>683</v>
      </c>
    </row>
    <row r="1902">
      <c r="A1902" s="25">
        <v>43350.244646875</v>
      </c>
      <c r="B1902" s="26" t="s">
        <v>1444</v>
      </c>
      <c r="C1902" s="26" t="s">
        <v>37</v>
      </c>
      <c r="D1902" s="26" t="s">
        <v>31</v>
      </c>
      <c r="E1902" s="26">
        <v>47.0</v>
      </c>
      <c r="F1902" s="26" t="s">
        <v>1445</v>
      </c>
      <c r="G1902" s="26">
        <v>10.0</v>
      </c>
      <c r="H1902" s="26">
        <v>3.0</v>
      </c>
      <c r="I1902" s="26">
        <v>47.0</v>
      </c>
      <c r="N1902" s="26" t="s">
        <v>685</v>
      </c>
    </row>
    <row r="1903">
      <c r="A1903" s="25">
        <v>43350.24840927083</v>
      </c>
      <c r="B1903" s="26" t="s">
        <v>1446</v>
      </c>
      <c r="C1903" s="26" t="s">
        <v>421</v>
      </c>
      <c r="D1903" s="26" t="s">
        <v>31</v>
      </c>
      <c r="E1903" s="26">
        <v>34.0</v>
      </c>
      <c r="F1903" s="26" t="s">
        <v>1447</v>
      </c>
      <c r="G1903" s="26">
        <v>7.0</v>
      </c>
      <c r="H1903" s="26">
        <v>4.0</v>
      </c>
      <c r="I1903" s="26">
        <v>34.0</v>
      </c>
      <c r="N1903" s="26" t="s">
        <v>685</v>
      </c>
    </row>
    <row r="1904">
      <c r="A1904" s="25">
        <v>43350.269871296296</v>
      </c>
      <c r="B1904" s="26" t="s">
        <v>40</v>
      </c>
      <c r="C1904" s="26">
        <v>61.0</v>
      </c>
      <c r="D1904" s="26" t="s">
        <v>27</v>
      </c>
      <c r="E1904" s="26">
        <v>172.0</v>
      </c>
      <c r="F1904" s="26" t="s">
        <v>1448</v>
      </c>
      <c r="G1904" s="26">
        <v>2.0</v>
      </c>
      <c r="H1904" s="26">
        <v>0.0</v>
      </c>
      <c r="I1904" s="26">
        <v>127.0</v>
      </c>
      <c r="J1904" s="26">
        <v>20.0</v>
      </c>
      <c r="K1904" s="26">
        <v>25.0</v>
      </c>
      <c r="N1904" s="26" t="s">
        <v>1449</v>
      </c>
    </row>
    <row r="1905">
      <c r="A1905" s="25">
        <v>43350.2734971412</v>
      </c>
      <c r="B1905" s="26" t="s">
        <v>1450</v>
      </c>
      <c r="C1905" s="26" t="s">
        <v>37</v>
      </c>
      <c r="D1905" s="26" t="s">
        <v>31</v>
      </c>
      <c r="E1905" s="26">
        <v>85.0</v>
      </c>
      <c r="F1905" s="26" t="s">
        <v>1451</v>
      </c>
      <c r="G1905" s="26">
        <v>9.0</v>
      </c>
      <c r="H1905" s="26">
        <v>1.0</v>
      </c>
      <c r="N1905" s="26" t="s">
        <v>687</v>
      </c>
    </row>
    <row r="1906">
      <c r="A1906" s="25">
        <v>43350.30293668981</v>
      </c>
      <c r="B1906" s="26" t="s">
        <v>1452</v>
      </c>
      <c r="C1906" s="26">
        <v>3.0</v>
      </c>
      <c r="D1906" s="26" t="s">
        <v>31</v>
      </c>
      <c r="E1906" s="26">
        <v>100.0</v>
      </c>
      <c r="F1906" s="26" t="s">
        <v>1453</v>
      </c>
      <c r="G1906" s="26">
        <v>3.0</v>
      </c>
      <c r="H1906" s="26">
        <v>0.5</v>
      </c>
      <c r="N1906" s="26" t="s">
        <v>683</v>
      </c>
    </row>
    <row r="1907">
      <c r="A1907" s="25">
        <v>43350.3053775463</v>
      </c>
      <c r="B1907" s="26" t="s">
        <v>1454</v>
      </c>
      <c r="C1907" s="26">
        <v>28.0</v>
      </c>
      <c r="D1907" s="26" t="s">
        <v>31</v>
      </c>
      <c r="E1907" s="26">
        <v>132.0</v>
      </c>
      <c r="F1907" s="26" t="s">
        <v>1455</v>
      </c>
      <c r="G1907" s="26">
        <v>7.0</v>
      </c>
      <c r="H1907" s="26">
        <v>1.0</v>
      </c>
      <c r="I1907" s="26">
        <v>120.0</v>
      </c>
      <c r="K1907" s="26">
        <v>12.0</v>
      </c>
      <c r="N1907" s="26" t="s">
        <v>1456</v>
      </c>
    </row>
    <row r="1908">
      <c r="A1908" s="25">
        <v>43350.30572208333</v>
      </c>
      <c r="B1908" s="26" t="s">
        <v>1457</v>
      </c>
      <c r="C1908" s="26" t="s">
        <v>31</v>
      </c>
      <c r="D1908" s="26" t="s">
        <v>31</v>
      </c>
      <c r="E1908" s="26">
        <v>18.0</v>
      </c>
      <c r="F1908" s="26" t="s">
        <v>1458</v>
      </c>
      <c r="G1908" s="26">
        <v>3.0</v>
      </c>
      <c r="H1908" s="26">
        <v>1.0</v>
      </c>
      <c r="N1908" s="26" t="s">
        <v>704</v>
      </c>
    </row>
    <row r="1909">
      <c r="A1909" s="25">
        <v>43350.33084909723</v>
      </c>
      <c r="B1909" s="26" t="s">
        <v>1459</v>
      </c>
      <c r="C1909" s="26" t="s">
        <v>353</v>
      </c>
      <c r="D1909" s="26" t="s">
        <v>31</v>
      </c>
      <c r="E1909" s="26">
        <v>75.0</v>
      </c>
      <c r="F1909" s="26" t="s">
        <v>1460</v>
      </c>
      <c r="G1909" s="26">
        <v>3.0</v>
      </c>
      <c r="H1909" s="26">
        <v>1.0</v>
      </c>
      <c r="N1909" s="26" t="s">
        <v>683</v>
      </c>
    </row>
    <row r="1910">
      <c r="A1910" s="25">
        <v>43350.33209739583</v>
      </c>
      <c r="B1910" s="26" t="s">
        <v>1461</v>
      </c>
      <c r="C1910" s="26" t="s">
        <v>1462</v>
      </c>
      <c r="D1910" s="26" t="s">
        <v>1225</v>
      </c>
      <c r="E1910" s="26">
        <v>67.0</v>
      </c>
      <c r="F1910" s="26" t="s">
        <v>1463</v>
      </c>
      <c r="G1910" s="26">
        <v>6.0</v>
      </c>
      <c r="H1910" s="26">
        <v>2.0</v>
      </c>
      <c r="I1910" s="26">
        <v>67.0</v>
      </c>
      <c r="K1910" s="26">
        <v>2.0</v>
      </c>
      <c r="N1910" s="26" t="s">
        <v>696</v>
      </c>
    </row>
    <row r="1911">
      <c r="A1911" s="25">
        <v>43350.362077557875</v>
      </c>
      <c r="B1911" s="26" t="s">
        <v>1464</v>
      </c>
      <c r="C1911" s="26" t="s">
        <v>37</v>
      </c>
      <c r="D1911" s="26" t="s">
        <v>27</v>
      </c>
      <c r="E1911" s="26">
        <v>175.0</v>
      </c>
      <c r="F1911" s="26" t="s">
        <v>1465</v>
      </c>
      <c r="G1911" s="26">
        <v>8.0</v>
      </c>
      <c r="H1911" s="26">
        <v>1.0</v>
      </c>
      <c r="I1911" s="26">
        <v>122.0</v>
      </c>
      <c r="J1911" s="26">
        <v>30.0</v>
      </c>
      <c r="K1911" s="26">
        <v>12.0</v>
      </c>
      <c r="N1911" s="26" t="s">
        <v>699</v>
      </c>
    </row>
    <row r="1912">
      <c r="A1912" s="25">
        <v>43350.366953969904</v>
      </c>
      <c r="B1912" s="26" t="s">
        <v>1466</v>
      </c>
      <c r="C1912" s="26" t="s">
        <v>1467</v>
      </c>
      <c r="D1912" s="26" t="s">
        <v>31</v>
      </c>
      <c r="E1912" s="26">
        <v>110.0</v>
      </c>
      <c r="F1912" s="26" t="s">
        <v>1168</v>
      </c>
      <c r="G1912" s="26">
        <v>5.0</v>
      </c>
      <c r="H1912" s="26">
        <v>1.0</v>
      </c>
      <c r="I1912" s="26">
        <v>110.0</v>
      </c>
      <c r="N1912" s="26" t="s">
        <v>683</v>
      </c>
    </row>
    <row r="1913">
      <c r="A1913" s="25">
        <v>43350.380638877316</v>
      </c>
      <c r="B1913" s="26" t="s">
        <v>80</v>
      </c>
      <c r="C1913" s="26" t="s">
        <v>26</v>
      </c>
      <c r="D1913" s="26" t="s">
        <v>31</v>
      </c>
      <c r="E1913" s="26">
        <v>224.0</v>
      </c>
      <c r="F1913" s="26" t="s">
        <v>94</v>
      </c>
      <c r="G1913" s="26">
        <v>2.0</v>
      </c>
      <c r="H1913" s="26">
        <v>0.0</v>
      </c>
      <c r="I1913" s="26">
        <v>135.0</v>
      </c>
      <c r="J1913" s="26">
        <v>69.0</v>
      </c>
      <c r="K1913" s="26">
        <v>20.0</v>
      </c>
      <c r="N1913" s="26" t="s">
        <v>1134</v>
      </c>
    </row>
    <row r="1914">
      <c r="A1914" s="25">
        <v>43350.405216597224</v>
      </c>
      <c r="B1914" s="26" t="s">
        <v>1468</v>
      </c>
      <c r="C1914" s="26" t="s">
        <v>125</v>
      </c>
      <c r="D1914" s="26" t="s">
        <v>31</v>
      </c>
      <c r="E1914" s="26">
        <v>50.0</v>
      </c>
      <c r="F1914" s="26" t="s">
        <v>1469</v>
      </c>
      <c r="G1914" s="26">
        <v>10.0</v>
      </c>
      <c r="H1914" s="26">
        <v>10.0</v>
      </c>
      <c r="I1914" s="26">
        <v>50.0</v>
      </c>
      <c r="N1914" s="26" t="s">
        <v>708</v>
      </c>
    </row>
    <row r="1915">
      <c r="A1915" s="25">
        <v>43350.40565638889</v>
      </c>
      <c r="B1915" s="26" t="s">
        <v>1470</v>
      </c>
      <c r="C1915" s="26" t="s">
        <v>37</v>
      </c>
      <c r="D1915" s="26" t="s">
        <v>31</v>
      </c>
      <c r="E1915" s="26">
        <v>50.0</v>
      </c>
      <c r="F1915" s="26" t="s">
        <v>1471</v>
      </c>
      <c r="G1915" s="26">
        <v>5.0</v>
      </c>
      <c r="H1915" s="26">
        <v>1.0</v>
      </c>
      <c r="I1915" s="26">
        <v>50.0</v>
      </c>
      <c r="L1915" s="26" t="s">
        <v>1472</v>
      </c>
      <c r="N1915" s="26" t="s">
        <v>683</v>
      </c>
    </row>
    <row r="1916">
      <c r="A1916" s="25">
        <v>43350.40696958333</v>
      </c>
      <c r="B1916" s="26" t="s">
        <v>1473</v>
      </c>
      <c r="C1916" s="26" t="s">
        <v>1474</v>
      </c>
      <c r="D1916" s="26" t="s">
        <v>1475</v>
      </c>
      <c r="E1916" s="26">
        <v>80.0</v>
      </c>
      <c r="F1916" s="26" t="s">
        <v>1463</v>
      </c>
      <c r="G1916" s="26">
        <v>11.0</v>
      </c>
      <c r="H1916" s="26">
        <v>1.0</v>
      </c>
      <c r="I1916" s="26">
        <v>80.0</v>
      </c>
      <c r="K1916" s="26">
        <v>4.0</v>
      </c>
      <c r="N1916" s="26" t="s">
        <v>708</v>
      </c>
    </row>
    <row r="1917">
      <c r="A1917" s="25">
        <v>43350.43302729167</v>
      </c>
      <c r="B1917" s="26" t="s">
        <v>371</v>
      </c>
      <c r="C1917" s="26" t="s">
        <v>372</v>
      </c>
      <c r="D1917" s="26" t="s">
        <v>31</v>
      </c>
      <c r="E1917" s="26">
        <v>184.0</v>
      </c>
      <c r="F1917" s="26" t="s">
        <v>327</v>
      </c>
      <c r="G1917" s="26">
        <v>8.0</v>
      </c>
      <c r="H1917" s="26">
        <v>6.0</v>
      </c>
      <c r="I1917" s="26">
        <v>140.0</v>
      </c>
      <c r="J1917" s="26">
        <v>32.0</v>
      </c>
      <c r="K1917" s="26">
        <v>12.0</v>
      </c>
      <c r="N1917" s="26" t="s">
        <v>1476</v>
      </c>
    </row>
    <row r="1918">
      <c r="A1918" s="25">
        <v>43350.434033391204</v>
      </c>
      <c r="B1918" s="26" t="s">
        <v>80</v>
      </c>
      <c r="C1918" s="26" t="s">
        <v>818</v>
      </c>
      <c r="D1918" s="26" t="s">
        <v>31</v>
      </c>
      <c r="E1918" s="26">
        <v>192.0</v>
      </c>
      <c r="F1918" s="26" t="s">
        <v>199</v>
      </c>
      <c r="G1918" s="26">
        <v>0.0</v>
      </c>
      <c r="H1918" s="26">
        <v>2.0</v>
      </c>
      <c r="I1918" s="26">
        <v>127.0</v>
      </c>
      <c r="J1918" s="26">
        <v>45.0</v>
      </c>
      <c r="K1918" s="26">
        <v>20.0</v>
      </c>
      <c r="N1918" s="26" t="s">
        <v>728</v>
      </c>
    </row>
    <row r="1919">
      <c r="A1919" s="25">
        <v>43350.43425681713</v>
      </c>
      <c r="B1919" s="26" t="s">
        <v>371</v>
      </c>
      <c r="C1919" s="26" t="s">
        <v>541</v>
      </c>
      <c r="D1919" s="26" t="s">
        <v>31</v>
      </c>
      <c r="E1919" s="26">
        <v>140.0</v>
      </c>
      <c r="F1919" s="26" t="s">
        <v>327</v>
      </c>
      <c r="G1919" s="26">
        <v>4.0</v>
      </c>
      <c r="H1919" s="26">
        <v>4.0</v>
      </c>
      <c r="I1919" s="26">
        <v>115.0</v>
      </c>
      <c r="J1919" s="26">
        <v>15.0</v>
      </c>
      <c r="K1919" s="26">
        <v>10.0</v>
      </c>
      <c r="N1919" s="26" t="s">
        <v>1246</v>
      </c>
    </row>
    <row r="1920">
      <c r="A1920" s="25">
        <v>43350.43512646991</v>
      </c>
      <c r="B1920" s="26" t="s">
        <v>371</v>
      </c>
      <c r="C1920" s="26" t="s">
        <v>541</v>
      </c>
      <c r="D1920" s="26" t="s">
        <v>31</v>
      </c>
      <c r="E1920" s="26">
        <v>156.0</v>
      </c>
      <c r="F1920" s="26" t="s">
        <v>327</v>
      </c>
      <c r="G1920" s="26">
        <v>5.0</v>
      </c>
      <c r="H1920" s="26">
        <v>7.0</v>
      </c>
      <c r="I1920" s="26">
        <v>124.0</v>
      </c>
      <c r="J1920" s="26">
        <v>20.0</v>
      </c>
      <c r="K1920" s="26">
        <v>12.0</v>
      </c>
      <c r="N1920" s="26" t="s">
        <v>1244</v>
      </c>
    </row>
    <row r="1921">
      <c r="A1921" s="25">
        <v>43350.45945822917</v>
      </c>
      <c r="B1921" s="26" t="s">
        <v>40</v>
      </c>
      <c r="C1921" s="26">
        <v>59.0</v>
      </c>
      <c r="D1921" s="26" t="s">
        <v>31</v>
      </c>
      <c r="E1921" s="26">
        <v>214.0</v>
      </c>
      <c r="F1921" s="26" t="s">
        <v>52</v>
      </c>
      <c r="G1921" s="26">
        <v>0.0</v>
      </c>
      <c r="H1921" s="26">
        <v>0.0</v>
      </c>
      <c r="I1921" s="26">
        <v>109.0</v>
      </c>
      <c r="J1921" s="26">
        <v>60.0</v>
      </c>
      <c r="K1921" s="26">
        <v>45.0</v>
      </c>
      <c r="N1921" s="26" t="s">
        <v>696</v>
      </c>
    </row>
    <row r="1922">
      <c r="A1922" s="25">
        <v>43350.50711847222</v>
      </c>
      <c r="B1922" s="26" t="s">
        <v>1452</v>
      </c>
      <c r="C1922" s="26" t="s">
        <v>1477</v>
      </c>
      <c r="D1922" s="26" t="s">
        <v>31</v>
      </c>
      <c r="E1922" s="26">
        <v>167.0</v>
      </c>
      <c r="F1922" s="26" t="s">
        <v>1478</v>
      </c>
      <c r="G1922" s="26">
        <v>15.0</v>
      </c>
      <c r="H1922" s="26">
        <v>5.0</v>
      </c>
      <c r="I1922" s="26">
        <v>130.0</v>
      </c>
      <c r="J1922" s="26">
        <v>23.0</v>
      </c>
      <c r="K1922" s="26">
        <v>14.0</v>
      </c>
      <c r="N1922" s="26" t="s">
        <v>683</v>
      </c>
    </row>
    <row r="1923">
      <c r="A1923" s="25">
        <v>43350.51429119213</v>
      </c>
      <c r="B1923" s="26" t="s">
        <v>1479</v>
      </c>
      <c r="C1923" s="26">
        <v>63.0</v>
      </c>
      <c r="D1923" s="26" t="s">
        <v>31</v>
      </c>
      <c r="E1923" s="26">
        <v>188.0</v>
      </c>
      <c r="F1923" s="26" t="s">
        <v>1480</v>
      </c>
      <c r="G1923" s="26">
        <v>9.0</v>
      </c>
      <c r="H1923" s="26">
        <v>9.0</v>
      </c>
      <c r="I1923" s="26">
        <v>155.0</v>
      </c>
      <c r="J1923" s="26">
        <v>150.0</v>
      </c>
      <c r="K1923" s="26">
        <v>150.0</v>
      </c>
      <c r="N1923" s="26" t="s">
        <v>708</v>
      </c>
    </row>
    <row r="1924">
      <c r="A1924" s="25">
        <v>43350.53498210648</v>
      </c>
      <c r="B1924" s="26" t="s">
        <v>40</v>
      </c>
      <c r="C1924" s="26" t="s">
        <v>824</v>
      </c>
      <c r="D1924" s="26" t="s">
        <v>31</v>
      </c>
      <c r="E1924" s="26">
        <v>78.0</v>
      </c>
      <c r="F1924" s="26" t="s">
        <v>1481</v>
      </c>
      <c r="G1924" s="26">
        <v>0.0</v>
      </c>
      <c r="H1924" s="26">
        <v>0.0</v>
      </c>
      <c r="I1924" s="26">
        <v>60.0</v>
      </c>
      <c r="J1924" s="26">
        <v>14.0</v>
      </c>
      <c r="K1924" s="26">
        <v>14.0</v>
      </c>
      <c r="N1924" s="26" t="s">
        <v>691</v>
      </c>
    </row>
    <row r="1925">
      <c r="A1925" s="25">
        <v>43350.547553125</v>
      </c>
      <c r="B1925" s="26" t="s">
        <v>1482</v>
      </c>
      <c r="C1925" s="26" t="s">
        <v>562</v>
      </c>
      <c r="D1925" s="26" t="s">
        <v>31</v>
      </c>
      <c r="E1925" s="26">
        <v>80.0</v>
      </c>
      <c r="F1925" s="26" t="s">
        <v>571</v>
      </c>
      <c r="G1925" s="26">
        <v>2.0</v>
      </c>
      <c r="H1925" s="26">
        <v>2.0</v>
      </c>
      <c r="N1925" s="26" t="s">
        <v>704</v>
      </c>
    </row>
    <row r="1926">
      <c r="A1926" s="25">
        <v>43350.60242326389</v>
      </c>
      <c r="B1926" s="26" t="s">
        <v>1483</v>
      </c>
      <c r="C1926" s="26" t="s">
        <v>37</v>
      </c>
      <c r="D1926" s="26" t="s">
        <v>31</v>
      </c>
      <c r="E1926" s="26">
        <v>180.0</v>
      </c>
      <c r="F1926" s="26" t="s">
        <v>32</v>
      </c>
      <c r="G1926" s="26">
        <v>3.0</v>
      </c>
      <c r="H1926" s="26">
        <v>2.0</v>
      </c>
      <c r="I1926" s="26">
        <v>133.0</v>
      </c>
      <c r="J1926" s="26">
        <v>37.0</v>
      </c>
      <c r="K1926" s="26">
        <v>10.0</v>
      </c>
      <c r="N1926" s="26" t="s">
        <v>685</v>
      </c>
    </row>
    <row r="1927">
      <c r="A1927" s="25">
        <v>43350.66632289352</v>
      </c>
      <c r="B1927" s="26" t="s">
        <v>105</v>
      </c>
      <c r="C1927" s="26" t="s">
        <v>37</v>
      </c>
      <c r="D1927" s="26" t="s">
        <v>31</v>
      </c>
      <c r="E1927" s="26">
        <v>170.0</v>
      </c>
      <c r="F1927" s="26" t="s">
        <v>302</v>
      </c>
      <c r="G1927" s="26">
        <v>10.0</v>
      </c>
      <c r="H1927" s="26">
        <v>7.0</v>
      </c>
      <c r="I1927" s="26">
        <v>145.0</v>
      </c>
      <c r="J1927" s="26">
        <v>10.0</v>
      </c>
      <c r="K1927" s="26">
        <v>15.0</v>
      </c>
      <c r="N1927" s="26" t="s">
        <v>704</v>
      </c>
    </row>
    <row r="1928">
      <c r="A1928" s="25">
        <v>43350.67921809028</v>
      </c>
      <c r="B1928" s="26" t="s">
        <v>1484</v>
      </c>
      <c r="C1928" s="26" t="s">
        <v>1096</v>
      </c>
      <c r="D1928" s="26" t="s">
        <v>31</v>
      </c>
      <c r="E1928" s="26">
        <v>40.0</v>
      </c>
      <c r="F1928" s="26" t="s">
        <v>100</v>
      </c>
      <c r="G1928" s="26">
        <v>1.0</v>
      </c>
      <c r="H1928" s="26">
        <v>0.5</v>
      </c>
      <c r="I1928" s="26">
        <v>40.0</v>
      </c>
      <c r="N1928" s="26" t="s">
        <v>683</v>
      </c>
    </row>
    <row r="1929">
      <c r="A1929" s="25">
        <v>43350.6792180787</v>
      </c>
      <c r="B1929" s="26" t="s">
        <v>1484</v>
      </c>
      <c r="C1929" s="26" t="s">
        <v>1096</v>
      </c>
      <c r="D1929" s="26" t="s">
        <v>31</v>
      </c>
      <c r="E1929" s="26">
        <v>40.0</v>
      </c>
      <c r="F1929" s="26" t="s">
        <v>100</v>
      </c>
      <c r="G1929" s="26">
        <v>1.0</v>
      </c>
      <c r="H1929" s="26">
        <v>0.5</v>
      </c>
      <c r="I1929" s="26">
        <v>40.0</v>
      </c>
      <c r="N1929" s="26" t="s">
        <v>683</v>
      </c>
    </row>
    <row r="1930">
      <c r="A1930" s="25">
        <v>43350.69867046297</v>
      </c>
      <c r="B1930" s="26" t="s">
        <v>33</v>
      </c>
      <c r="C1930" s="26" t="s">
        <v>73</v>
      </c>
      <c r="D1930" s="26" t="s">
        <v>31</v>
      </c>
      <c r="E1930" s="26">
        <v>165.0</v>
      </c>
      <c r="F1930" s="26" t="s">
        <v>1485</v>
      </c>
      <c r="G1930" s="26">
        <v>1.0</v>
      </c>
      <c r="H1930" s="26">
        <v>1.0</v>
      </c>
      <c r="I1930" s="26">
        <v>120.0</v>
      </c>
      <c r="J1930" s="26">
        <v>30.0</v>
      </c>
      <c r="K1930" s="26">
        <v>20.0</v>
      </c>
      <c r="N1930" s="26" t="s">
        <v>699</v>
      </c>
    </row>
    <row r="1931">
      <c r="A1931" s="25">
        <v>43350.730194965276</v>
      </c>
      <c r="B1931" s="26" t="s">
        <v>40</v>
      </c>
      <c r="C1931" s="26">
        <v>61.0</v>
      </c>
      <c r="D1931" s="26" t="s">
        <v>31</v>
      </c>
      <c r="E1931" s="26">
        <v>209.0</v>
      </c>
      <c r="F1931" s="26" t="s">
        <v>52</v>
      </c>
      <c r="G1931" s="26">
        <v>6.0</v>
      </c>
      <c r="H1931" s="26">
        <v>1.0</v>
      </c>
      <c r="I1931" s="26">
        <v>129.0</v>
      </c>
      <c r="J1931" s="26">
        <v>63.0</v>
      </c>
      <c r="K1931" s="26">
        <v>17.0</v>
      </c>
      <c r="N1931" s="26" t="s">
        <v>696</v>
      </c>
    </row>
    <row r="1932">
      <c r="A1932" s="25">
        <v>43350.73707094908</v>
      </c>
      <c r="B1932" s="26" t="s">
        <v>1486</v>
      </c>
      <c r="C1932" s="26" t="s">
        <v>1274</v>
      </c>
      <c r="D1932" s="26" t="s">
        <v>1487</v>
      </c>
      <c r="E1932" s="26">
        <v>45.0</v>
      </c>
      <c r="F1932" s="26" t="s">
        <v>1488</v>
      </c>
      <c r="G1932" s="26">
        <v>1.0</v>
      </c>
      <c r="H1932" s="26">
        <v>1.0</v>
      </c>
      <c r="I1932" s="26">
        <v>45.0</v>
      </c>
      <c r="N1932" s="26" t="s">
        <v>696</v>
      </c>
    </row>
    <row r="1933">
      <c r="A1933" s="25">
        <v>43350.76252015046</v>
      </c>
      <c r="B1933" s="26" t="s">
        <v>1489</v>
      </c>
      <c r="C1933" s="26" t="s">
        <v>427</v>
      </c>
      <c r="D1933" s="26" t="s">
        <v>31</v>
      </c>
      <c r="E1933" s="26">
        <v>104.0</v>
      </c>
      <c r="F1933" s="26" t="s">
        <v>553</v>
      </c>
      <c r="G1933" s="26">
        <v>2.0</v>
      </c>
      <c r="H1933" s="26">
        <v>2.0</v>
      </c>
      <c r="I1933" s="26">
        <v>96.0</v>
      </c>
      <c r="K1933" s="26">
        <v>8.0</v>
      </c>
      <c r="N1933" s="26" t="s">
        <v>683</v>
      </c>
    </row>
    <row r="1934">
      <c r="A1934" s="25">
        <v>43350.8245809838</v>
      </c>
      <c r="B1934" s="26" t="s">
        <v>33</v>
      </c>
      <c r="C1934" s="26" t="s">
        <v>43</v>
      </c>
      <c r="D1934" s="26" t="s">
        <v>27</v>
      </c>
      <c r="E1934" s="26">
        <v>155.0</v>
      </c>
      <c r="F1934" s="26" t="s">
        <v>63</v>
      </c>
      <c r="G1934" s="26">
        <v>3.0</v>
      </c>
      <c r="H1934" s="26">
        <v>1.0</v>
      </c>
      <c r="I1934" s="26">
        <v>100.0</v>
      </c>
      <c r="J1934" s="26">
        <v>45.0</v>
      </c>
      <c r="K1934" s="26">
        <v>10.0</v>
      </c>
      <c r="N1934" s="26" t="s">
        <v>1027</v>
      </c>
    </row>
    <row r="1935">
      <c r="A1935" s="25">
        <v>43350.919338113425</v>
      </c>
      <c r="B1935" s="26" t="s">
        <v>36</v>
      </c>
      <c r="C1935" s="26" t="s">
        <v>1490</v>
      </c>
      <c r="D1935" s="26" t="s">
        <v>27</v>
      </c>
      <c r="E1935" s="26">
        <v>240.0</v>
      </c>
      <c r="F1935" s="26" t="s">
        <v>58</v>
      </c>
      <c r="G1935" s="26">
        <v>5.0</v>
      </c>
      <c r="H1935" s="26">
        <v>2.0</v>
      </c>
      <c r="N1935" s="26" t="s">
        <v>683</v>
      </c>
    </row>
    <row r="1936">
      <c r="A1936" s="25">
        <v>43350.971341400465</v>
      </c>
      <c r="B1936" s="26" t="s">
        <v>1491</v>
      </c>
      <c r="C1936" s="26" t="s">
        <v>73</v>
      </c>
      <c r="D1936" s="26" t="s">
        <v>711</v>
      </c>
      <c r="E1936" s="26">
        <v>278.0</v>
      </c>
      <c r="F1936" s="26" t="s">
        <v>32</v>
      </c>
      <c r="G1936" s="26">
        <v>4.0</v>
      </c>
      <c r="H1936" s="26">
        <v>2.0</v>
      </c>
      <c r="I1936" s="26">
        <v>203.0</v>
      </c>
      <c r="J1936" s="26">
        <v>75.0</v>
      </c>
      <c r="N1936" s="26" t="s">
        <v>691</v>
      </c>
    </row>
    <row r="1937">
      <c r="A1937" s="25">
        <v>43350.99526185185</v>
      </c>
      <c r="B1937" s="26" t="s">
        <v>1492</v>
      </c>
      <c r="C1937" s="26">
        <v>1.0</v>
      </c>
      <c r="D1937" s="26" t="s">
        <v>31</v>
      </c>
      <c r="E1937" s="26">
        <v>75.0</v>
      </c>
      <c r="F1937" s="26" t="s">
        <v>575</v>
      </c>
      <c r="G1937" s="26">
        <v>1.0</v>
      </c>
      <c r="H1937" s="26">
        <v>1.0</v>
      </c>
      <c r="N1937" s="26" t="s">
        <v>704</v>
      </c>
    </row>
    <row r="1938">
      <c r="A1938" s="25">
        <v>43351.00077414352</v>
      </c>
      <c r="B1938" s="26" t="s">
        <v>40</v>
      </c>
      <c r="C1938" s="26">
        <v>65.0</v>
      </c>
      <c r="D1938" s="26" t="s">
        <v>41</v>
      </c>
      <c r="E1938" s="26">
        <v>300.0</v>
      </c>
      <c r="F1938" s="26" t="s">
        <v>75</v>
      </c>
      <c r="G1938" s="26">
        <v>11.0</v>
      </c>
      <c r="H1938" s="26">
        <v>11.0</v>
      </c>
      <c r="N1938" s="26" t="s">
        <v>685</v>
      </c>
    </row>
    <row r="1939">
      <c r="A1939" s="25">
        <v>43351.06516106482</v>
      </c>
      <c r="B1939" s="26" t="s">
        <v>146</v>
      </c>
      <c r="C1939" s="26" t="s">
        <v>31</v>
      </c>
      <c r="D1939" s="26" t="s">
        <v>31</v>
      </c>
      <c r="E1939" s="26">
        <v>200.0</v>
      </c>
      <c r="F1939" s="26" t="s">
        <v>199</v>
      </c>
      <c r="G1939" s="26">
        <v>0.0</v>
      </c>
      <c r="H1939" s="26">
        <v>0.0</v>
      </c>
      <c r="I1939" s="26">
        <v>125.0</v>
      </c>
      <c r="J1939" s="26">
        <v>175.0</v>
      </c>
      <c r="K1939" s="26">
        <v>20.0</v>
      </c>
      <c r="N1939" s="26" t="s">
        <v>691</v>
      </c>
    </row>
    <row r="1940">
      <c r="A1940" s="25">
        <v>43351.09577105324</v>
      </c>
      <c r="B1940" s="26" t="s">
        <v>40</v>
      </c>
      <c r="C1940" s="26">
        <v>60.0</v>
      </c>
      <c r="D1940" s="26" t="s">
        <v>31</v>
      </c>
      <c r="E1940" s="26">
        <v>120.0</v>
      </c>
      <c r="F1940" s="26" t="s">
        <v>52</v>
      </c>
      <c r="G1940" s="26">
        <v>3.0</v>
      </c>
      <c r="H1940" s="26">
        <v>1.0</v>
      </c>
      <c r="N1940" s="26" t="s">
        <v>685</v>
      </c>
    </row>
    <row r="1941">
      <c r="A1941" s="25">
        <v>43351.164856759264</v>
      </c>
      <c r="B1941" s="26" t="s">
        <v>80</v>
      </c>
      <c r="C1941" s="26" t="s">
        <v>176</v>
      </c>
      <c r="D1941" s="26" t="s">
        <v>31</v>
      </c>
      <c r="E1941" s="26">
        <v>640.0</v>
      </c>
      <c r="F1941" s="26" t="s">
        <v>58</v>
      </c>
      <c r="G1941" s="26">
        <v>20.0</v>
      </c>
      <c r="H1941" s="26">
        <v>5.0</v>
      </c>
      <c r="I1941" s="26">
        <v>190.0</v>
      </c>
      <c r="J1941" s="26">
        <v>400.0</v>
      </c>
      <c r="K1941" s="26">
        <v>40.0</v>
      </c>
      <c r="N1941" s="26" t="s">
        <v>1493</v>
      </c>
    </row>
    <row r="1942">
      <c r="A1942" s="25">
        <v>43351.307266840275</v>
      </c>
      <c r="B1942" s="26" t="s">
        <v>80</v>
      </c>
      <c r="C1942" s="26" t="s">
        <v>26</v>
      </c>
      <c r="D1942" s="26" t="s">
        <v>31</v>
      </c>
      <c r="E1942" s="26">
        <v>198.0</v>
      </c>
      <c r="F1942" s="26" t="s">
        <v>51</v>
      </c>
      <c r="G1942" s="26">
        <v>0.0</v>
      </c>
      <c r="H1942" s="26">
        <v>1.0</v>
      </c>
      <c r="I1942" s="26">
        <v>120.0</v>
      </c>
      <c r="J1942" s="26">
        <v>57.0</v>
      </c>
      <c r="K1942" s="26">
        <v>21.0</v>
      </c>
      <c r="N1942" s="26" t="s">
        <v>683</v>
      </c>
    </row>
    <row r="1943">
      <c r="A1943" s="25">
        <v>43351.39737931713</v>
      </c>
      <c r="B1943" s="26" t="s">
        <v>40</v>
      </c>
      <c r="C1943" s="26">
        <v>63.0</v>
      </c>
      <c r="D1943" s="26" t="s">
        <v>31</v>
      </c>
      <c r="E1943" s="26">
        <v>102.0</v>
      </c>
      <c r="F1943" s="26" t="s">
        <v>1494</v>
      </c>
      <c r="G1943" s="26">
        <v>8.0</v>
      </c>
      <c r="H1943" s="26">
        <v>1.0</v>
      </c>
      <c r="I1943" s="26">
        <v>76.0</v>
      </c>
      <c r="J1943" s="26">
        <v>14.0</v>
      </c>
      <c r="K1943" s="26">
        <v>12.0</v>
      </c>
      <c r="N1943" s="26" t="s">
        <v>691</v>
      </c>
    </row>
    <row r="1944">
      <c r="A1944" s="25">
        <v>43351.452425763884</v>
      </c>
      <c r="B1944" s="26" t="s">
        <v>40</v>
      </c>
      <c r="C1944" s="26">
        <v>61.0</v>
      </c>
      <c r="D1944" s="26" t="s">
        <v>31</v>
      </c>
      <c r="E1944" s="26">
        <v>155.0</v>
      </c>
      <c r="F1944" s="26" t="s">
        <v>63</v>
      </c>
      <c r="G1944" s="26">
        <v>4.0</v>
      </c>
      <c r="H1944" s="26">
        <v>4.0</v>
      </c>
      <c r="I1944" s="26">
        <v>133.0</v>
      </c>
      <c r="J1944" s="26">
        <v>7.0</v>
      </c>
      <c r="K1944" s="26">
        <v>14.0</v>
      </c>
      <c r="N1944" s="26" t="s">
        <v>696</v>
      </c>
    </row>
    <row r="1945">
      <c r="A1945" s="25">
        <v>43351.46858821759</v>
      </c>
      <c r="B1945" s="26" t="s">
        <v>64</v>
      </c>
      <c r="C1945" s="26" t="s">
        <v>160</v>
      </c>
      <c r="D1945" s="26" t="s">
        <v>31</v>
      </c>
      <c r="E1945" s="26">
        <v>165.0</v>
      </c>
      <c r="F1945" s="26" t="s">
        <v>1495</v>
      </c>
      <c r="G1945" s="26">
        <v>0.0</v>
      </c>
      <c r="H1945" s="26">
        <v>0.0</v>
      </c>
      <c r="I1945" s="26">
        <v>125000.0</v>
      </c>
      <c r="J1945" s="26">
        <v>40000.0</v>
      </c>
      <c r="N1945" s="26" t="s">
        <v>685</v>
      </c>
    </row>
    <row r="1946">
      <c r="A1946" s="25">
        <v>43351.471639456024</v>
      </c>
      <c r="B1946" s="26" t="s">
        <v>95</v>
      </c>
      <c r="C1946" s="26" t="s">
        <v>96</v>
      </c>
      <c r="D1946" s="26" t="s">
        <v>31</v>
      </c>
      <c r="E1946" s="26">
        <v>340.0</v>
      </c>
      <c r="F1946" s="26" t="s">
        <v>602</v>
      </c>
      <c r="G1946" s="26">
        <v>5.0</v>
      </c>
      <c r="H1946" s="26">
        <v>0.0</v>
      </c>
      <c r="N1946" s="26" t="s">
        <v>704</v>
      </c>
    </row>
    <row r="1947">
      <c r="A1947" s="25">
        <v>43351.58409392361</v>
      </c>
      <c r="B1947" s="26" t="s">
        <v>29</v>
      </c>
      <c r="C1947" s="26" t="s">
        <v>1496</v>
      </c>
      <c r="D1947" s="26" t="s">
        <v>1225</v>
      </c>
      <c r="E1947" s="26">
        <v>172.0</v>
      </c>
      <c r="F1947" s="26" t="s">
        <v>238</v>
      </c>
      <c r="G1947" s="26">
        <v>4.0</v>
      </c>
      <c r="H1947" s="26">
        <v>2.0</v>
      </c>
      <c r="I1947" s="26">
        <v>142000.0</v>
      </c>
      <c r="J1947" s="26">
        <v>15000.0</v>
      </c>
      <c r="K1947" s="26">
        <v>14200.0</v>
      </c>
      <c r="N1947" s="26" t="s">
        <v>1169</v>
      </c>
    </row>
    <row r="1948">
      <c r="A1948" s="25">
        <v>43351.61402126157</v>
      </c>
      <c r="B1948" s="26" t="s">
        <v>1497</v>
      </c>
      <c r="C1948" s="26" t="s">
        <v>1498</v>
      </c>
      <c r="D1948" s="26" t="s">
        <v>27</v>
      </c>
      <c r="E1948" s="26">
        <v>215.0</v>
      </c>
      <c r="F1948" s="26" t="s">
        <v>481</v>
      </c>
      <c r="G1948" s="26">
        <v>13.0</v>
      </c>
      <c r="H1948" s="26">
        <v>5.0</v>
      </c>
      <c r="N1948" s="26" t="s">
        <v>696</v>
      </c>
    </row>
    <row r="1949">
      <c r="A1949" s="25">
        <v>43351.62479609954</v>
      </c>
      <c r="B1949" s="26" t="s">
        <v>146</v>
      </c>
      <c r="C1949" s="26" t="s">
        <v>37</v>
      </c>
      <c r="D1949" s="26" t="s">
        <v>31</v>
      </c>
      <c r="E1949" s="26">
        <v>311.0</v>
      </c>
      <c r="F1949" s="26" t="s">
        <v>58</v>
      </c>
      <c r="G1949" s="26">
        <v>4.0</v>
      </c>
      <c r="H1949" s="26">
        <v>2.0</v>
      </c>
      <c r="I1949" s="26">
        <v>150.0</v>
      </c>
      <c r="J1949" s="26">
        <v>140.0</v>
      </c>
      <c r="K1949" s="26">
        <v>31.0</v>
      </c>
      <c r="N1949" s="26" t="s">
        <v>683</v>
      </c>
    </row>
    <row r="1950">
      <c r="A1950" s="25">
        <v>43351.666302604164</v>
      </c>
      <c r="B1950" s="26" t="s">
        <v>1499</v>
      </c>
      <c r="C1950" s="26" t="s">
        <v>37</v>
      </c>
      <c r="D1950" s="26" t="s">
        <v>31</v>
      </c>
      <c r="E1950" s="26">
        <v>150.0</v>
      </c>
      <c r="F1950" s="26" t="s">
        <v>63</v>
      </c>
      <c r="G1950" s="26">
        <v>8.0</v>
      </c>
      <c r="H1950" s="26">
        <v>1.0</v>
      </c>
      <c r="I1950" s="26">
        <v>130.0</v>
      </c>
      <c r="N1950" s="26" t="s">
        <v>685</v>
      </c>
    </row>
    <row r="1951">
      <c r="A1951" s="25">
        <v>43351.671607118056</v>
      </c>
      <c r="B1951" s="26" t="s">
        <v>146</v>
      </c>
      <c r="C1951" s="26" t="s">
        <v>96</v>
      </c>
      <c r="D1951" s="26" t="s">
        <v>31</v>
      </c>
      <c r="E1951" s="26">
        <v>310.0</v>
      </c>
      <c r="F1951" s="26" t="s">
        <v>1500</v>
      </c>
      <c r="G1951" s="26">
        <v>4.0</v>
      </c>
      <c r="H1951" s="26">
        <v>2.0</v>
      </c>
      <c r="I1951" s="26">
        <v>161.0</v>
      </c>
      <c r="J1951" s="26">
        <v>130.0</v>
      </c>
      <c r="K1951" s="26">
        <v>19.0</v>
      </c>
      <c r="N1951" s="26" t="s">
        <v>1501</v>
      </c>
    </row>
    <row r="1952">
      <c r="A1952" s="25">
        <v>43351.68807618055</v>
      </c>
      <c r="B1952" s="26" t="s">
        <v>1502</v>
      </c>
      <c r="C1952" s="26" t="s">
        <v>37</v>
      </c>
      <c r="D1952" s="26" t="s">
        <v>31</v>
      </c>
      <c r="E1952" s="26">
        <v>189.0</v>
      </c>
      <c r="F1952" s="26" t="s">
        <v>58</v>
      </c>
      <c r="G1952" s="26">
        <v>8.0</v>
      </c>
      <c r="H1952" s="26">
        <v>1.0</v>
      </c>
      <c r="I1952" s="26">
        <v>189.0</v>
      </c>
      <c r="L1952" s="26" t="s">
        <v>1503</v>
      </c>
      <c r="N1952" s="26" t="s">
        <v>704</v>
      </c>
    </row>
    <row r="1953">
      <c r="A1953" s="25">
        <v>43351.78949378472</v>
      </c>
      <c r="B1953" s="26" t="s">
        <v>1504</v>
      </c>
      <c r="C1953" s="26" t="s">
        <v>37</v>
      </c>
      <c r="D1953" s="26" t="s">
        <v>711</v>
      </c>
      <c r="E1953" s="26">
        <v>130.0</v>
      </c>
      <c r="F1953" s="26" t="s">
        <v>1505</v>
      </c>
      <c r="G1953" s="26">
        <v>7.0</v>
      </c>
      <c r="H1953" s="26">
        <v>1.0</v>
      </c>
      <c r="I1953" s="26">
        <v>110.0</v>
      </c>
      <c r="J1953" s="26">
        <v>20.0</v>
      </c>
      <c r="N1953" s="26" t="s">
        <v>691</v>
      </c>
    </row>
    <row r="1954">
      <c r="A1954" s="25">
        <v>43351.959496469906</v>
      </c>
      <c r="B1954" s="26" t="s">
        <v>122</v>
      </c>
      <c r="C1954" s="26" t="s">
        <v>43</v>
      </c>
      <c r="D1954" s="26" t="s">
        <v>31</v>
      </c>
      <c r="E1954" s="26">
        <v>454.0</v>
      </c>
      <c r="F1954" s="26" t="s">
        <v>32</v>
      </c>
      <c r="G1954" s="26">
        <v>6.0</v>
      </c>
      <c r="H1954" s="26">
        <v>0.0</v>
      </c>
      <c r="I1954" s="26">
        <v>185.0</v>
      </c>
      <c r="J1954" s="26">
        <v>269.0</v>
      </c>
      <c r="N1954" s="26" t="s">
        <v>685</v>
      </c>
    </row>
    <row r="1955">
      <c r="A1955" s="25">
        <v>43351.96062053241</v>
      </c>
      <c r="B1955" s="26" t="s">
        <v>122</v>
      </c>
      <c r="C1955" s="26" t="s">
        <v>62</v>
      </c>
      <c r="D1955" s="26" t="s">
        <v>31</v>
      </c>
      <c r="E1955" s="26">
        <v>520.0</v>
      </c>
      <c r="F1955" s="26" t="s">
        <v>32</v>
      </c>
      <c r="G1955" s="26">
        <v>8.0</v>
      </c>
      <c r="H1955" s="26">
        <v>2.0</v>
      </c>
      <c r="I1955" s="26">
        <v>220.0</v>
      </c>
      <c r="J1955" s="26">
        <v>300.0</v>
      </c>
      <c r="N1955" s="26" t="s">
        <v>685</v>
      </c>
    </row>
    <row r="1956">
      <c r="A1956" s="25">
        <v>43352.02251940972</v>
      </c>
      <c r="B1956" s="26" t="s">
        <v>80</v>
      </c>
      <c r="C1956" s="26" t="s">
        <v>430</v>
      </c>
      <c r="D1956" s="26" t="s">
        <v>31</v>
      </c>
      <c r="E1956" s="26">
        <v>300.0</v>
      </c>
      <c r="F1956" s="26" t="s">
        <v>273</v>
      </c>
      <c r="G1956" s="26">
        <v>3.0</v>
      </c>
      <c r="H1956" s="26">
        <v>3.0</v>
      </c>
      <c r="I1956" s="26">
        <v>143.0</v>
      </c>
      <c r="J1956" s="26">
        <v>80.0</v>
      </c>
      <c r="K1956" s="26">
        <v>26.0</v>
      </c>
      <c r="N1956" s="26" t="s">
        <v>685</v>
      </c>
    </row>
    <row r="1957">
      <c r="A1957" s="25">
        <v>43352.12583063658</v>
      </c>
      <c r="B1957" s="26" t="s">
        <v>1018</v>
      </c>
      <c r="C1957" s="26" t="s">
        <v>1506</v>
      </c>
      <c r="D1957" s="26" t="s">
        <v>27</v>
      </c>
      <c r="E1957" s="26">
        <v>175.0</v>
      </c>
      <c r="F1957" s="26" t="s">
        <v>134</v>
      </c>
      <c r="G1957" s="26">
        <v>6.0</v>
      </c>
      <c r="H1957" s="26">
        <v>3.0</v>
      </c>
      <c r="I1957" s="26">
        <v>145.0</v>
      </c>
      <c r="J1957" s="26">
        <v>20.0</v>
      </c>
      <c r="K1957" s="26">
        <v>10.0</v>
      </c>
      <c r="N1957" s="26" t="s">
        <v>1060</v>
      </c>
    </row>
    <row r="1958">
      <c r="A1958" s="25">
        <v>43352.34552940972</v>
      </c>
      <c r="B1958" s="26" t="s">
        <v>380</v>
      </c>
      <c r="C1958" s="26" t="s">
        <v>271</v>
      </c>
      <c r="D1958" s="26" t="s">
        <v>31</v>
      </c>
      <c r="E1958" s="26">
        <v>134.0</v>
      </c>
      <c r="F1958" s="26" t="s">
        <v>100</v>
      </c>
      <c r="G1958" s="26">
        <v>12.0</v>
      </c>
      <c r="H1958" s="26">
        <v>0.0</v>
      </c>
      <c r="I1958" s="26">
        <v>105.0</v>
      </c>
      <c r="J1958" s="26">
        <v>29.0</v>
      </c>
      <c r="N1958" s="26" t="s">
        <v>685</v>
      </c>
    </row>
    <row r="1959">
      <c r="A1959" s="25">
        <v>43352.37128961805</v>
      </c>
      <c r="B1959" s="26" t="s">
        <v>48</v>
      </c>
      <c r="C1959" s="26" t="s">
        <v>69</v>
      </c>
      <c r="D1959" s="26" t="s">
        <v>31</v>
      </c>
      <c r="E1959" s="26">
        <v>166.0</v>
      </c>
      <c r="F1959" s="26" t="s">
        <v>50</v>
      </c>
      <c r="G1959" s="26">
        <v>0.0</v>
      </c>
      <c r="H1959" s="26">
        <v>0.0</v>
      </c>
      <c r="I1959" s="26">
        <v>115.0</v>
      </c>
      <c r="J1959" s="26">
        <v>40.0</v>
      </c>
      <c r="K1959" s="26">
        <v>11.0</v>
      </c>
      <c r="N1959" s="26" t="s">
        <v>685</v>
      </c>
    </row>
    <row r="1960">
      <c r="A1960" s="25">
        <v>43352.43297605324</v>
      </c>
      <c r="B1960" s="26" t="s">
        <v>40</v>
      </c>
      <c r="C1960" s="26">
        <v>63.0</v>
      </c>
      <c r="D1960" s="26" t="s">
        <v>31</v>
      </c>
      <c r="E1960" s="26">
        <v>188.0</v>
      </c>
      <c r="F1960" s="26" t="s">
        <v>75</v>
      </c>
      <c r="G1960" s="26">
        <v>15.0</v>
      </c>
      <c r="H1960" s="26">
        <v>15.0</v>
      </c>
      <c r="I1960" s="26">
        <v>150.0</v>
      </c>
      <c r="J1960" s="26">
        <v>17.0</v>
      </c>
      <c r="K1960" s="26">
        <v>20.0</v>
      </c>
      <c r="N1960" s="26" t="s">
        <v>685</v>
      </c>
    </row>
    <row r="1961">
      <c r="A1961" s="25">
        <v>43352.48897686343</v>
      </c>
      <c r="B1961" s="26" t="s">
        <v>36</v>
      </c>
      <c r="C1961" s="26" t="s">
        <v>610</v>
      </c>
      <c r="D1961" s="26" t="s">
        <v>31</v>
      </c>
      <c r="E1961" s="26">
        <v>260.0</v>
      </c>
      <c r="F1961" s="26" t="s">
        <v>236</v>
      </c>
      <c r="G1961" s="26">
        <v>5.0</v>
      </c>
      <c r="H1961" s="26">
        <v>2.0</v>
      </c>
      <c r="I1961" s="26">
        <v>140.0</v>
      </c>
      <c r="J1961" s="26">
        <v>100.0</v>
      </c>
      <c r="K1961" s="26">
        <v>20.0</v>
      </c>
      <c r="N1961" s="26" t="s">
        <v>685</v>
      </c>
    </row>
    <row r="1962">
      <c r="A1962" s="25">
        <v>43352.49481524306</v>
      </c>
      <c r="B1962" s="26" t="s">
        <v>80</v>
      </c>
      <c r="C1962" s="26" t="s">
        <v>430</v>
      </c>
      <c r="D1962" s="26" t="s">
        <v>31</v>
      </c>
      <c r="E1962" s="26">
        <v>327.0</v>
      </c>
      <c r="F1962" s="26" t="s">
        <v>129</v>
      </c>
      <c r="G1962" s="26">
        <v>10.0</v>
      </c>
      <c r="H1962" s="26">
        <v>1.0</v>
      </c>
      <c r="I1962" s="26">
        <v>155000.0</v>
      </c>
      <c r="J1962" s="26">
        <v>150000.0</v>
      </c>
      <c r="K1962" s="26">
        <v>22000.0</v>
      </c>
      <c r="N1962" s="26" t="s">
        <v>685</v>
      </c>
    </row>
    <row r="1963">
      <c r="A1963" s="25">
        <v>43352.50125133102</v>
      </c>
      <c r="B1963" s="26" t="s">
        <v>268</v>
      </c>
      <c r="C1963" s="26">
        <v>9.0</v>
      </c>
      <c r="D1963" s="26" t="s">
        <v>31</v>
      </c>
      <c r="E1963" s="26">
        <v>180.0</v>
      </c>
      <c r="F1963" s="26" t="s">
        <v>1507</v>
      </c>
      <c r="G1963" s="26">
        <v>13.0</v>
      </c>
      <c r="H1963" s="26">
        <v>1.0</v>
      </c>
      <c r="I1963" s="26">
        <v>149.0</v>
      </c>
      <c r="J1963" s="26">
        <v>15.0</v>
      </c>
      <c r="K1963" s="26">
        <v>15.0</v>
      </c>
      <c r="N1963" s="26" t="s">
        <v>708</v>
      </c>
    </row>
    <row r="1964">
      <c r="A1964" s="25">
        <v>43352.530441423616</v>
      </c>
      <c r="B1964" s="26" t="s">
        <v>33</v>
      </c>
      <c r="C1964" s="26" t="s">
        <v>62</v>
      </c>
      <c r="D1964" s="26" t="s">
        <v>27</v>
      </c>
      <c r="E1964" s="26">
        <v>165.0</v>
      </c>
      <c r="F1964" s="26" t="s">
        <v>63</v>
      </c>
      <c r="G1964" s="26">
        <v>10.0</v>
      </c>
      <c r="H1964" s="26">
        <v>2.0</v>
      </c>
      <c r="N1964" s="26" t="s">
        <v>696</v>
      </c>
    </row>
    <row r="1965">
      <c r="A1965" s="25">
        <v>43352.54138538195</v>
      </c>
      <c r="B1965" s="26" t="s">
        <v>204</v>
      </c>
      <c r="C1965" s="26" t="s">
        <v>26</v>
      </c>
      <c r="D1965" s="26" t="s">
        <v>31</v>
      </c>
      <c r="E1965" s="26">
        <v>130.0</v>
      </c>
      <c r="F1965" s="26" t="s">
        <v>32</v>
      </c>
      <c r="G1965" s="26">
        <v>3.0</v>
      </c>
      <c r="H1965" s="26">
        <v>0.0</v>
      </c>
      <c r="I1965" s="26">
        <v>130.0</v>
      </c>
      <c r="L1965" s="26" t="s">
        <v>1508</v>
      </c>
      <c r="N1965" s="26" t="s">
        <v>704</v>
      </c>
    </row>
    <row r="1966">
      <c r="A1966" s="25">
        <v>43352.585722476855</v>
      </c>
      <c r="B1966" s="26" t="s">
        <v>146</v>
      </c>
      <c r="C1966" s="26" t="s">
        <v>31</v>
      </c>
      <c r="D1966" s="26" t="s">
        <v>31</v>
      </c>
      <c r="E1966" s="26">
        <v>220.0</v>
      </c>
      <c r="F1966" s="26" t="s">
        <v>58</v>
      </c>
      <c r="G1966" s="26">
        <v>2.0</v>
      </c>
      <c r="H1966" s="26">
        <v>0.0</v>
      </c>
      <c r="I1966" s="26">
        <v>155.0</v>
      </c>
      <c r="J1966" s="26">
        <v>50.0</v>
      </c>
      <c r="K1966" s="26">
        <v>15.0</v>
      </c>
      <c r="N1966" s="26" t="s">
        <v>696</v>
      </c>
    </row>
    <row r="1967">
      <c r="A1967" s="25">
        <v>43352.77813923611</v>
      </c>
      <c r="B1967" s="26" t="s">
        <v>1160</v>
      </c>
      <c r="C1967" s="26" t="s">
        <v>191</v>
      </c>
      <c r="D1967" s="26" t="s">
        <v>31</v>
      </c>
      <c r="E1967" s="26">
        <v>210.0</v>
      </c>
      <c r="F1967" s="26" t="s">
        <v>756</v>
      </c>
      <c r="G1967" s="26">
        <v>2.0</v>
      </c>
      <c r="H1967" s="26">
        <v>2.0</v>
      </c>
      <c r="I1967" s="26">
        <v>160.0</v>
      </c>
      <c r="J1967" s="26">
        <v>30.0</v>
      </c>
      <c r="K1967" s="26">
        <v>20.0</v>
      </c>
      <c r="N1967" s="26" t="s">
        <v>685</v>
      </c>
    </row>
    <row r="1968">
      <c r="A1968" s="25">
        <v>43352.80086180556</v>
      </c>
      <c r="B1968" s="26" t="s">
        <v>1509</v>
      </c>
      <c r="C1968" s="26" t="s">
        <v>1341</v>
      </c>
      <c r="D1968" s="26" t="s">
        <v>31</v>
      </c>
      <c r="E1968" s="26">
        <v>86.0</v>
      </c>
      <c r="F1968" s="26" t="s">
        <v>453</v>
      </c>
      <c r="G1968" s="26">
        <v>1.0</v>
      </c>
      <c r="H1968" s="26">
        <v>1.0</v>
      </c>
      <c r="N1968" s="26" t="s">
        <v>683</v>
      </c>
    </row>
    <row r="1969">
      <c r="A1969" s="25">
        <v>43352.81637606482</v>
      </c>
      <c r="B1969" s="26" t="s">
        <v>33</v>
      </c>
      <c r="C1969" s="26" t="s">
        <v>62</v>
      </c>
      <c r="D1969" s="26" t="s">
        <v>27</v>
      </c>
      <c r="E1969" s="26">
        <v>232.0</v>
      </c>
      <c r="F1969" s="26" t="s">
        <v>35</v>
      </c>
      <c r="G1969" s="26">
        <v>4.0</v>
      </c>
      <c r="H1969" s="26">
        <v>0.0</v>
      </c>
      <c r="N1969" s="26" t="s">
        <v>687</v>
      </c>
    </row>
    <row r="1970">
      <c r="A1970" s="25">
        <v>43352.857045185185</v>
      </c>
      <c r="B1970" s="26" t="s">
        <v>1325</v>
      </c>
      <c r="C1970" s="26">
        <v>63.0</v>
      </c>
      <c r="D1970" s="26" t="s">
        <v>27</v>
      </c>
      <c r="E1970" s="26">
        <v>330.0</v>
      </c>
      <c r="F1970" s="26" t="s">
        <v>1510</v>
      </c>
      <c r="G1970" s="26">
        <v>5.0</v>
      </c>
      <c r="H1970" s="26">
        <v>2.0</v>
      </c>
      <c r="I1970" s="26">
        <v>160.0</v>
      </c>
      <c r="J1970" s="26">
        <v>105.0</v>
      </c>
      <c r="K1970" s="26">
        <v>65.0</v>
      </c>
      <c r="N1970" s="26" t="s">
        <v>696</v>
      </c>
    </row>
    <row r="1971">
      <c r="A1971" s="25">
        <v>43352.86452386574</v>
      </c>
      <c r="B1971" s="26" t="s">
        <v>40</v>
      </c>
      <c r="C1971" s="26">
        <v>61.0</v>
      </c>
      <c r="D1971" s="26" t="s">
        <v>27</v>
      </c>
      <c r="E1971" s="26">
        <v>155.0</v>
      </c>
      <c r="F1971" s="26" t="s">
        <v>35</v>
      </c>
      <c r="G1971" s="26">
        <v>3.0</v>
      </c>
      <c r="H1971" s="26">
        <v>3.0</v>
      </c>
      <c r="I1971" s="26">
        <v>133.0</v>
      </c>
      <c r="J1971" s="26">
        <v>6.0</v>
      </c>
      <c r="K1971" s="26">
        <v>16.0</v>
      </c>
      <c r="L1971" s="26" t="s">
        <v>1511</v>
      </c>
      <c r="N1971" s="26" t="s">
        <v>757</v>
      </c>
    </row>
    <row r="1972">
      <c r="A1972" s="25">
        <v>43352.99822997685</v>
      </c>
      <c r="B1972" s="26" t="s">
        <v>139</v>
      </c>
      <c r="C1972" s="26" t="s">
        <v>117</v>
      </c>
      <c r="D1972" s="26" t="s">
        <v>31</v>
      </c>
      <c r="E1972" s="26">
        <v>148.0</v>
      </c>
      <c r="F1972" s="26" t="s">
        <v>47</v>
      </c>
      <c r="G1972" s="26">
        <v>1.0</v>
      </c>
      <c r="H1972" s="26">
        <v>1.0</v>
      </c>
      <c r="I1972" s="26">
        <v>120.0</v>
      </c>
      <c r="J1972" s="26">
        <v>10.0</v>
      </c>
      <c r="K1972" s="26">
        <v>18.0</v>
      </c>
      <c r="N1972" s="26" t="s">
        <v>685</v>
      </c>
    </row>
    <row r="1973">
      <c r="A1973" s="25">
        <v>43353.10658385417</v>
      </c>
      <c r="B1973" s="26" t="s">
        <v>371</v>
      </c>
      <c r="C1973" s="26" t="s">
        <v>372</v>
      </c>
      <c r="D1973" s="26" t="s">
        <v>1142</v>
      </c>
      <c r="E1973" s="26">
        <v>157.0</v>
      </c>
      <c r="F1973" s="26" t="s">
        <v>1512</v>
      </c>
      <c r="G1973" s="26">
        <v>11.0</v>
      </c>
      <c r="H1973" s="26">
        <v>11.0</v>
      </c>
      <c r="I1973" s="26">
        <v>135.0</v>
      </c>
      <c r="J1973" s="26">
        <v>8.0</v>
      </c>
      <c r="K1973" s="26">
        <v>10.0</v>
      </c>
      <c r="N1973" s="26" t="s">
        <v>1163</v>
      </c>
    </row>
    <row r="1974">
      <c r="A1974" s="25">
        <v>43353.24322048611</v>
      </c>
      <c r="B1974" s="26" t="s">
        <v>1426</v>
      </c>
      <c r="C1974" s="26" t="s">
        <v>1513</v>
      </c>
      <c r="D1974" s="26" t="s">
        <v>31</v>
      </c>
      <c r="E1974" s="26">
        <v>49.0</v>
      </c>
      <c r="F1974" s="26" t="s">
        <v>1514</v>
      </c>
      <c r="G1974" s="26">
        <v>3.0</v>
      </c>
      <c r="H1974" s="26">
        <v>1.6</v>
      </c>
      <c r="I1974" s="26">
        <v>35.0</v>
      </c>
      <c r="J1974" s="26">
        <v>1.0</v>
      </c>
      <c r="K1974" s="26">
        <v>2.0</v>
      </c>
      <c r="N1974" s="26" t="s">
        <v>708</v>
      </c>
    </row>
    <row r="1975">
      <c r="A1975" s="25">
        <v>43353.24598752314</v>
      </c>
      <c r="B1975" s="26" t="s">
        <v>1515</v>
      </c>
      <c r="C1975" s="26" t="s">
        <v>37</v>
      </c>
      <c r="D1975" s="26" t="s">
        <v>1422</v>
      </c>
      <c r="E1975" s="26">
        <v>66.0</v>
      </c>
      <c r="F1975" s="26" t="s">
        <v>1516</v>
      </c>
      <c r="G1975" s="26">
        <v>5.0</v>
      </c>
      <c r="H1975" s="26">
        <v>0.6</v>
      </c>
      <c r="I1975" s="26">
        <v>54.0</v>
      </c>
      <c r="J1975" s="26">
        <v>5.0</v>
      </c>
      <c r="K1975" s="26">
        <v>7.0</v>
      </c>
      <c r="N1975" s="26" t="s">
        <v>708</v>
      </c>
    </row>
    <row r="1976">
      <c r="A1976" s="25">
        <v>43353.38464887731</v>
      </c>
      <c r="B1976" s="26" t="s">
        <v>319</v>
      </c>
      <c r="C1976" s="26">
        <v>3.0</v>
      </c>
      <c r="D1976" s="26" t="s">
        <v>1225</v>
      </c>
      <c r="E1976" s="26">
        <v>90.0</v>
      </c>
      <c r="F1976" s="26" t="s">
        <v>58</v>
      </c>
      <c r="G1976" s="26">
        <v>2.0</v>
      </c>
      <c r="H1976" s="26">
        <v>1.0</v>
      </c>
      <c r="I1976" s="26">
        <v>90.0</v>
      </c>
      <c r="N1976" s="26" t="s">
        <v>1517</v>
      </c>
    </row>
    <row r="1977">
      <c r="A1977" s="25">
        <v>43353.46410618056</v>
      </c>
      <c r="B1977" s="26" t="s">
        <v>1518</v>
      </c>
      <c r="C1977" s="26" t="s">
        <v>424</v>
      </c>
      <c r="D1977" s="26" t="s">
        <v>31</v>
      </c>
      <c r="E1977" s="26">
        <v>116.0</v>
      </c>
      <c r="F1977" s="26" t="s">
        <v>521</v>
      </c>
      <c r="G1977" s="26">
        <v>3.0</v>
      </c>
      <c r="H1977" s="26">
        <v>3.0</v>
      </c>
      <c r="I1977" s="26">
        <v>97.0</v>
      </c>
      <c r="J1977" s="26">
        <v>8.0</v>
      </c>
      <c r="K1977" s="26">
        <v>11.0</v>
      </c>
      <c r="N1977" s="26" t="s">
        <v>683</v>
      </c>
    </row>
    <row r="1978">
      <c r="A1978" s="25">
        <v>43353.47856047454</v>
      </c>
      <c r="B1978" s="26" t="s">
        <v>80</v>
      </c>
      <c r="C1978" s="26" t="s">
        <v>26</v>
      </c>
      <c r="D1978" s="26" t="s">
        <v>31</v>
      </c>
      <c r="E1978" s="26">
        <v>183.0</v>
      </c>
      <c r="F1978" s="26" t="s">
        <v>32</v>
      </c>
      <c r="G1978" s="26">
        <v>1.0</v>
      </c>
      <c r="H1978" s="26">
        <v>0.0</v>
      </c>
      <c r="I1978" s="26">
        <v>120.0</v>
      </c>
      <c r="J1978" s="26">
        <v>45.0</v>
      </c>
      <c r="K1978" s="26">
        <v>18.0</v>
      </c>
      <c r="N1978" s="26" t="s">
        <v>704</v>
      </c>
    </row>
    <row r="1979">
      <c r="A1979" s="25">
        <v>43353.532772453706</v>
      </c>
      <c r="B1979" s="26" t="s">
        <v>40</v>
      </c>
      <c r="C1979" s="26">
        <v>63.0</v>
      </c>
      <c r="D1979" s="26" t="s">
        <v>31</v>
      </c>
      <c r="E1979" s="26">
        <v>212.0</v>
      </c>
      <c r="F1979" s="26" t="s">
        <v>56</v>
      </c>
      <c r="G1979" s="26">
        <v>12.0</v>
      </c>
      <c r="H1979" s="26">
        <v>7.0</v>
      </c>
      <c r="I1979" s="26">
        <v>171.0</v>
      </c>
      <c r="J1979" s="26">
        <v>17000.0</v>
      </c>
      <c r="K1979" s="26">
        <v>24000.0</v>
      </c>
      <c r="N1979" s="26" t="s">
        <v>704</v>
      </c>
    </row>
    <row r="1980">
      <c r="A1980" s="25">
        <v>43353.5408649537</v>
      </c>
      <c r="B1980" s="26" t="s">
        <v>48</v>
      </c>
      <c r="C1980" s="26" t="s">
        <v>69</v>
      </c>
      <c r="D1980" s="26" t="s">
        <v>31</v>
      </c>
      <c r="E1980" s="26">
        <v>172.0</v>
      </c>
      <c r="F1980" s="26" t="s">
        <v>50</v>
      </c>
      <c r="G1980" s="26">
        <v>0.0</v>
      </c>
      <c r="H1980" s="26">
        <v>0.0</v>
      </c>
      <c r="I1980" s="26">
        <v>127.0</v>
      </c>
      <c r="J1980" s="26">
        <v>30.0</v>
      </c>
      <c r="K1980" s="26">
        <v>13.0</v>
      </c>
      <c r="N1980" s="26" t="s">
        <v>685</v>
      </c>
    </row>
    <row r="1981">
      <c r="A1981" s="25">
        <v>43353.77968703704</v>
      </c>
      <c r="B1981" s="26" t="s">
        <v>1519</v>
      </c>
      <c r="C1981" s="26" t="s">
        <v>176</v>
      </c>
      <c r="D1981" s="26" t="s">
        <v>31</v>
      </c>
      <c r="E1981" s="26">
        <v>58.0</v>
      </c>
      <c r="F1981" s="26" t="s">
        <v>1494</v>
      </c>
      <c r="G1981" s="26">
        <v>3.0</v>
      </c>
      <c r="H1981" s="26">
        <v>3.0</v>
      </c>
      <c r="I1981" s="26">
        <v>42.0</v>
      </c>
      <c r="J1981" s="26">
        <v>7.0</v>
      </c>
      <c r="K1981" s="26">
        <v>9.0</v>
      </c>
      <c r="L1981" s="26" t="s">
        <v>1520</v>
      </c>
      <c r="N1981" s="26" t="s">
        <v>691</v>
      </c>
    </row>
    <row r="1982">
      <c r="A1982" s="25">
        <v>43353.81987315972</v>
      </c>
      <c r="B1982" s="26" t="s">
        <v>1521</v>
      </c>
      <c r="C1982" s="26" t="s">
        <v>1522</v>
      </c>
      <c r="D1982" s="26" t="s">
        <v>41</v>
      </c>
      <c r="E1982" s="26">
        <v>193.0</v>
      </c>
      <c r="F1982" s="26" t="s">
        <v>58</v>
      </c>
      <c r="G1982" s="26">
        <v>15.0</v>
      </c>
      <c r="H1982" s="26">
        <v>4.0</v>
      </c>
      <c r="N1982" s="26" t="s">
        <v>704</v>
      </c>
    </row>
    <row r="1983">
      <c r="A1983" s="25">
        <v>43353.831342986115</v>
      </c>
      <c r="B1983" s="26" t="s">
        <v>523</v>
      </c>
      <c r="C1983" s="26" t="s">
        <v>306</v>
      </c>
      <c r="D1983" s="26" t="s">
        <v>41</v>
      </c>
      <c r="E1983" s="26">
        <v>400.0</v>
      </c>
      <c r="F1983" s="26" t="s">
        <v>1523</v>
      </c>
      <c r="G1983" s="26">
        <v>18.0</v>
      </c>
      <c r="H1983" s="26">
        <v>12.0</v>
      </c>
      <c r="N1983" s="26" t="s">
        <v>685</v>
      </c>
    </row>
    <row r="1984">
      <c r="A1984" s="25">
        <v>43353.860031585646</v>
      </c>
      <c r="B1984" s="26" t="s">
        <v>40</v>
      </c>
      <c r="C1984" s="26">
        <v>62.0</v>
      </c>
      <c r="D1984" s="26" t="s">
        <v>1234</v>
      </c>
      <c r="E1984" s="26">
        <v>225.0</v>
      </c>
      <c r="F1984" s="26" t="s">
        <v>86</v>
      </c>
      <c r="G1984" s="26">
        <v>2.0</v>
      </c>
      <c r="H1984" s="26">
        <v>1.0</v>
      </c>
      <c r="I1984" s="26">
        <v>155.0</v>
      </c>
      <c r="J1984" s="26">
        <v>55.0</v>
      </c>
      <c r="K1984" s="26">
        <v>15.0</v>
      </c>
      <c r="N1984" s="26" t="s">
        <v>691</v>
      </c>
    </row>
    <row r="1985">
      <c r="A1985" s="25">
        <v>43353.895025439815</v>
      </c>
      <c r="B1985" s="26" t="s">
        <v>36</v>
      </c>
      <c r="C1985" s="26" t="s">
        <v>73</v>
      </c>
      <c r="D1985" s="26" t="s">
        <v>31</v>
      </c>
      <c r="E1985" s="26">
        <v>208.0</v>
      </c>
      <c r="F1985" s="26" t="s">
        <v>58</v>
      </c>
      <c r="G1985" s="26">
        <v>2.0</v>
      </c>
      <c r="H1985" s="26">
        <v>2.0</v>
      </c>
      <c r="I1985" s="26">
        <v>133.0</v>
      </c>
      <c r="J1985" s="26">
        <v>60.0</v>
      </c>
      <c r="K1985" s="26">
        <v>15.0</v>
      </c>
      <c r="N1985" s="26" t="s">
        <v>704</v>
      </c>
    </row>
    <row r="1986">
      <c r="A1986" s="25">
        <v>43353.95851165509</v>
      </c>
      <c r="B1986" s="26" t="s">
        <v>1524</v>
      </c>
      <c r="C1986" s="26" t="s">
        <v>1525</v>
      </c>
      <c r="D1986" s="26" t="s">
        <v>711</v>
      </c>
      <c r="E1986" s="26">
        <v>60.0</v>
      </c>
      <c r="F1986" s="26" t="s">
        <v>1526</v>
      </c>
      <c r="G1986" s="26">
        <v>1.0</v>
      </c>
      <c r="H1986" s="26">
        <v>1.0</v>
      </c>
      <c r="N1986" s="26" t="s">
        <v>1527</v>
      </c>
    </row>
    <row r="1987">
      <c r="A1987" s="25">
        <v>43353.96332318287</v>
      </c>
      <c r="B1987" s="26" t="s">
        <v>1528</v>
      </c>
      <c r="C1987" s="26" t="s">
        <v>824</v>
      </c>
      <c r="D1987" s="26" t="s">
        <v>31</v>
      </c>
      <c r="E1987" s="26">
        <v>105.0</v>
      </c>
      <c r="F1987" s="26" t="s">
        <v>1072</v>
      </c>
      <c r="G1987" s="26">
        <v>0.0</v>
      </c>
      <c r="H1987" s="26">
        <v>1.0</v>
      </c>
      <c r="N1987" s="26" t="s">
        <v>696</v>
      </c>
    </row>
    <row r="1988">
      <c r="A1988" s="25">
        <v>43353.995149131944</v>
      </c>
      <c r="B1988" s="26" t="s">
        <v>40</v>
      </c>
      <c r="C1988" s="26">
        <v>63.0</v>
      </c>
      <c r="D1988" s="26" t="s">
        <v>31</v>
      </c>
      <c r="E1988" s="26">
        <v>215.0</v>
      </c>
      <c r="F1988" s="26" t="s">
        <v>56</v>
      </c>
      <c r="G1988" s="26">
        <v>9.0</v>
      </c>
      <c r="H1988" s="26">
        <v>7.0</v>
      </c>
      <c r="I1988" s="26">
        <v>153.0</v>
      </c>
      <c r="J1988" s="26">
        <v>30.0</v>
      </c>
      <c r="K1988" s="26">
        <v>21.0</v>
      </c>
      <c r="N1988" s="26" t="s">
        <v>685</v>
      </c>
    </row>
    <row r="1989">
      <c r="A1989" s="25">
        <v>43354.01541953704</v>
      </c>
      <c r="B1989" s="26" t="s">
        <v>45</v>
      </c>
      <c r="C1989" s="26" t="s">
        <v>102</v>
      </c>
      <c r="D1989" s="26" t="s">
        <v>31</v>
      </c>
      <c r="E1989" s="26">
        <v>170.0</v>
      </c>
      <c r="F1989" s="26" t="s">
        <v>58</v>
      </c>
      <c r="G1989" s="26">
        <v>2.0</v>
      </c>
      <c r="H1989" s="26">
        <v>2.0</v>
      </c>
      <c r="I1989" s="26">
        <v>130.0</v>
      </c>
      <c r="J1989" s="26">
        <v>30.0</v>
      </c>
      <c r="K1989" s="26">
        <v>10.0</v>
      </c>
      <c r="N1989" s="26" t="s">
        <v>685</v>
      </c>
    </row>
    <row r="1990">
      <c r="A1990" s="25">
        <v>43354.289782175925</v>
      </c>
      <c r="B1990" s="26" t="s">
        <v>80</v>
      </c>
      <c r="C1990" s="26" t="s">
        <v>176</v>
      </c>
      <c r="D1990" s="26" t="s">
        <v>31</v>
      </c>
      <c r="E1990" s="26">
        <v>440.0</v>
      </c>
      <c r="F1990" s="26" t="s">
        <v>199</v>
      </c>
      <c r="G1990" s="26">
        <v>10.0</v>
      </c>
      <c r="H1990" s="26">
        <v>7.0</v>
      </c>
      <c r="I1990" s="26">
        <v>180.0</v>
      </c>
      <c r="J1990" s="26">
        <v>215.0</v>
      </c>
      <c r="K1990" s="26">
        <v>45.0</v>
      </c>
      <c r="N1990" s="26" t="s">
        <v>685</v>
      </c>
    </row>
    <row r="1991">
      <c r="A1991" s="25">
        <v>43354.31743314815</v>
      </c>
      <c r="B1991" s="26" t="s">
        <v>371</v>
      </c>
      <c r="C1991" s="26" t="s">
        <v>541</v>
      </c>
      <c r="D1991" s="26" t="s">
        <v>31</v>
      </c>
      <c r="E1991" s="26">
        <v>148.0</v>
      </c>
      <c r="F1991" s="26" t="s">
        <v>327</v>
      </c>
      <c r="G1991" s="26">
        <v>5.0</v>
      </c>
      <c r="H1991" s="26">
        <v>4.0</v>
      </c>
      <c r="I1991" s="26">
        <v>116.0</v>
      </c>
      <c r="J1991" s="26">
        <v>10.0</v>
      </c>
      <c r="K1991" s="26">
        <v>22.0</v>
      </c>
      <c r="N1991" s="26" t="s">
        <v>1246</v>
      </c>
    </row>
    <row r="1992">
      <c r="A1992" s="25">
        <v>43354.379145659725</v>
      </c>
      <c r="B1992" s="26" t="s">
        <v>40</v>
      </c>
      <c r="C1992" s="26" t="s">
        <v>999</v>
      </c>
      <c r="D1992" s="26" t="s">
        <v>31</v>
      </c>
      <c r="E1992" s="26">
        <v>220.0</v>
      </c>
      <c r="F1992" s="26" t="s">
        <v>56</v>
      </c>
      <c r="G1992" s="26">
        <v>7.0</v>
      </c>
      <c r="H1992" s="26">
        <v>7.0</v>
      </c>
      <c r="I1992" s="26">
        <v>170.0</v>
      </c>
      <c r="J1992" s="26">
        <v>21.0</v>
      </c>
      <c r="K1992" s="26">
        <v>26.0</v>
      </c>
      <c r="N1992" s="26" t="s">
        <v>683</v>
      </c>
    </row>
    <row r="1993">
      <c r="A1993" s="25">
        <v>43354.401663055556</v>
      </c>
      <c r="B1993" s="26" t="s">
        <v>268</v>
      </c>
      <c r="C1993" s="26" t="s">
        <v>572</v>
      </c>
      <c r="D1993" s="26" t="s">
        <v>1529</v>
      </c>
      <c r="E1993" s="26">
        <v>175.0</v>
      </c>
      <c r="F1993" s="26" t="s">
        <v>597</v>
      </c>
      <c r="G1993" s="26">
        <v>6.0</v>
      </c>
      <c r="H1993" s="26">
        <v>2.0</v>
      </c>
      <c r="I1993" s="26">
        <v>135.0</v>
      </c>
      <c r="J1993" s="26">
        <v>22.0</v>
      </c>
      <c r="K1993" s="26">
        <v>16.0</v>
      </c>
      <c r="N1993" s="26" t="s">
        <v>1245</v>
      </c>
    </row>
    <row r="1994">
      <c r="A1994" s="25">
        <v>43354.44795515046</v>
      </c>
      <c r="B1994" s="26" t="s">
        <v>33</v>
      </c>
      <c r="C1994" s="26" t="s">
        <v>62</v>
      </c>
      <c r="D1994" s="26" t="s">
        <v>27</v>
      </c>
      <c r="E1994" s="26">
        <v>200.0</v>
      </c>
      <c r="F1994" s="26" t="s">
        <v>35</v>
      </c>
      <c r="G1994" s="26">
        <v>3.0</v>
      </c>
      <c r="H1994" s="26">
        <v>1.0</v>
      </c>
      <c r="I1994" s="26">
        <v>142000.0</v>
      </c>
      <c r="J1994" s="26">
        <v>30000.0</v>
      </c>
      <c r="N1994" s="26" t="s">
        <v>1530</v>
      </c>
    </row>
    <row r="1995">
      <c r="A1995" s="25">
        <v>43354.47118087963</v>
      </c>
      <c r="B1995" s="26" t="s">
        <v>813</v>
      </c>
      <c r="C1995" s="26" t="s">
        <v>271</v>
      </c>
      <c r="D1995" s="26" t="s">
        <v>31</v>
      </c>
      <c r="E1995" s="26">
        <v>183.0</v>
      </c>
      <c r="F1995" s="26" t="s">
        <v>51</v>
      </c>
      <c r="G1995" s="26">
        <v>4.0</v>
      </c>
      <c r="H1995" s="26">
        <v>0.0</v>
      </c>
      <c r="I1995" s="26">
        <v>155.0</v>
      </c>
      <c r="J1995" s="26">
        <v>25.0</v>
      </c>
      <c r="K1995" s="26">
        <v>3.0</v>
      </c>
      <c r="N1995" s="26" t="s">
        <v>696</v>
      </c>
    </row>
    <row r="1996">
      <c r="A1996" s="25">
        <v>43354.47428293982</v>
      </c>
      <c r="B1996" s="26" t="s">
        <v>1531</v>
      </c>
      <c r="C1996" s="26" t="s">
        <v>1532</v>
      </c>
      <c r="D1996" s="26" t="s">
        <v>27</v>
      </c>
      <c r="E1996" s="26">
        <v>123.0</v>
      </c>
      <c r="F1996" s="26" t="s">
        <v>721</v>
      </c>
      <c r="G1996" s="26">
        <v>3.0</v>
      </c>
      <c r="H1996" s="26">
        <v>2.0</v>
      </c>
      <c r="N1996" s="26" t="s">
        <v>1533</v>
      </c>
    </row>
    <row r="1997">
      <c r="A1997" s="25">
        <v>43354.48717079861</v>
      </c>
      <c r="B1997" s="26" t="s">
        <v>40</v>
      </c>
      <c r="C1997" s="26">
        <v>61.0</v>
      </c>
      <c r="D1997" s="26" t="s">
        <v>31</v>
      </c>
      <c r="E1997" s="26">
        <v>174.0</v>
      </c>
      <c r="F1997" s="26" t="s">
        <v>63</v>
      </c>
      <c r="G1997" s="26">
        <v>2.0</v>
      </c>
      <c r="H1997" s="26">
        <v>1.0</v>
      </c>
      <c r="I1997" s="26">
        <v>129.0</v>
      </c>
      <c r="J1997" s="26">
        <v>30.0</v>
      </c>
      <c r="K1997" s="26">
        <v>15.0</v>
      </c>
      <c r="N1997" s="26" t="s">
        <v>704</v>
      </c>
    </row>
    <row r="1998">
      <c r="A1998" s="25">
        <v>43354.49375638889</v>
      </c>
      <c r="B1998" s="26" t="s">
        <v>119</v>
      </c>
      <c r="C1998" s="26" t="s">
        <v>143</v>
      </c>
      <c r="D1998" s="26" t="s">
        <v>27</v>
      </c>
      <c r="E1998" s="26">
        <v>302.0</v>
      </c>
      <c r="F1998" s="26" t="s">
        <v>32</v>
      </c>
      <c r="G1998" s="26">
        <v>15.0</v>
      </c>
      <c r="H1998" s="26">
        <v>2.0</v>
      </c>
      <c r="I1998" s="26">
        <v>217.0</v>
      </c>
      <c r="J1998" s="26">
        <v>50.0</v>
      </c>
      <c r="K1998" s="26">
        <v>45.0</v>
      </c>
      <c r="N1998" s="26" t="s">
        <v>1043</v>
      </c>
    </row>
    <row r="1999">
      <c r="A1999" s="25">
        <v>43354.495545</v>
      </c>
      <c r="B1999" s="26" t="s">
        <v>40</v>
      </c>
      <c r="C1999" s="26">
        <v>60.0</v>
      </c>
      <c r="D1999" s="26" t="s">
        <v>27</v>
      </c>
      <c r="E1999" s="26">
        <v>110.0</v>
      </c>
      <c r="F1999" s="26" t="s">
        <v>1534</v>
      </c>
      <c r="G1999" s="26">
        <v>4.0</v>
      </c>
      <c r="H1999" s="26">
        <v>1.0</v>
      </c>
      <c r="I1999" s="26">
        <v>97000.0</v>
      </c>
      <c r="K1999" s="26">
        <v>13000.0</v>
      </c>
      <c r="N1999" s="26" t="s">
        <v>1535</v>
      </c>
    </row>
    <row r="2000">
      <c r="A2000" s="25">
        <v>43354.52077231482</v>
      </c>
      <c r="B2000" s="26" t="s">
        <v>1160</v>
      </c>
      <c r="C2000" s="26" t="s">
        <v>915</v>
      </c>
      <c r="D2000" s="26" t="s">
        <v>31</v>
      </c>
      <c r="E2000" s="26">
        <v>155.0</v>
      </c>
      <c r="F2000" s="26" t="s">
        <v>35</v>
      </c>
      <c r="G2000" s="26">
        <v>1.0</v>
      </c>
      <c r="H2000" s="26">
        <v>0.0</v>
      </c>
      <c r="I2000" s="26">
        <v>125.0</v>
      </c>
      <c r="K2000" s="26">
        <v>30.0</v>
      </c>
      <c r="N2000" s="26" t="s">
        <v>683</v>
      </c>
    </row>
    <row r="2001">
      <c r="A2001" s="25">
        <v>43354.58075979167</v>
      </c>
      <c r="B2001" s="26" t="s">
        <v>124</v>
      </c>
      <c r="C2001" s="26" t="s">
        <v>96</v>
      </c>
      <c r="D2001" s="26" t="s">
        <v>31</v>
      </c>
      <c r="E2001" s="26">
        <v>280.0</v>
      </c>
      <c r="F2001" s="26" t="s">
        <v>273</v>
      </c>
      <c r="G2001" s="26">
        <v>7.0</v>
      </c>
      <c r="H2001" s="26">
        <v>5.0</v>
      </c>
      <c r="N2001" s="26" t="s">
        <v>685</v>
      </c>
    </row>
    <row r="2002">
      <c r="A2002" s="25">
        <v>43354.59965599537</v>
      </c>
      <c r="B2002" s="26" t="s">
        <v>45</v>
      </c>
      <c r="C2002" s="26" t="s">
        <v>98</v>
      </c>
      <c r="D2002" s="26" t="s">
        <v>31</v>
      </c>
      <c r="E2002" s="26">
        <v>130.0</v>
      </c>
      <c r="F2002" s="26" t="s">
        <v>1257</v>
      </c>
      <c r="G2002" s="26">
        <v>2.0</v>
      </c>
      <c r="H2002" s="26">
        <v>2.0</v>
      </c>
      <c r="I2002" s="26">
        <v>121.0</v>
      </c>
      <c r="J2002" s="26">
        <v>20.0</v>
      </c>
      <c r="K2002" s="26">
        <v>8.0</v>
      </c>
      <c r="N2002" s="26" t="s">
        <v>691</v>
      </c>
    </row>
    <row r="2003">
      <c r="A2003" s="25">
        <v>43354.6545925463</v>
      </c>
      <c r="B2003" s="26" t="s">
        <v>80</v>
      </c>
      <c r="C2003" s="26" t="s">
        <v>430</v>
      </c>
      <c r="D2003" s="26" t="s">
        <v>31</v>
      </c>
      <c r="E2003" s="26">
        <v>298.0</v>
      </c>
      <c r="F2003" s="26" t="s">
        <v>199</v>
      </c>
      <c r="G2003" s="26">
        <v>18.0</v>
      </c>
      <c r="H2003" s="26">
        <v>5.0</v>
      </c>
      <c r="I2003" s="26">
        <v>161.0</v>
      </c>
      <c r="J2003" s="26">
        <v>27.0</v>
      </c>
      <c r="K2003" s="26">
        <v>21.0</v>
      </c>
      <c r="N2003" s="26" t="s">
        <v>728</v>
      </c>
    </row>
    <row r="2004">
      <c r="A2004" s="25">
        <v>43354.67482555556</v>
      </c>
      <c r="B2004" s="26" t="s">
        <v>1186</v>
      </c>
      <c r="C2004" s="26" t="s">
        <v>430</v>
      </c>
      <c r="D2004" s="26" t="s">
        <v>31</v>
      </c>
      <c r="E2004" s="26">
        <v>267.0</v>
      </c>
      <c r="F2004" s="26" t="s">
        <v>199</v>
      </c>
      <c r="G2004" s="26">
        <v>4.0</v>
      </c>
      <c r="H2004" s="26">
        <v>0.0</v>
      </c>
      <c r="I2004" s="26">
        <v>153.0</v>
      </c>
      <c r="J2004" s="26">
        <v>91.0</v>
      </c>
      <c r="K2004" s="26">
        <v>23.0</v>
      </c>
      <c r="N2004" s="26" t="s">
        <v>704</v>
      </c>
    </row>
    <row r="2005">
      <c r="A2005" s="25">
        <v>43354.761036111115</v>
      </c>
      <c r="B2005" s="26" t="s">
        <v>33</v>
      </c>
      <c r="C2005" s="26" t="s">
        <v>62</v>
      </c>
      <c r="D2005" s="26" t="s">
        <v>41</v>
      </c>
      <c r="E2005" s="26">
        <v>600.0</v>
      </c>
      <c r="F2005" s="26" t="s">
        <v>63</v>
      </c>
      <c r="G2005" s="26">
        <v>15.0</v>
      </c>
      <c r="H2005" s="26">
        <v>6.0</v>
      </c>
      <c r="I2005" s="26">
        <v>160.0</v>
      </c>
      <c r="J2005" s="26">
        <v>440.0</v>
      </c>
      <c r="N2005" s="26" t="s">
        <v>687</v>
      </c>
    </row>
    <row r="2006">
      <c r="A2006" s="25">
        <v>43354.83250671296</v>
      </c>
      <c r="B2006" s="26" t="s">
        <v>48</v>
      </c>
      <c r="C2006" s="26" t="s">
        <v>49</v>
      </c>
      <c r="D2006" s="26" t="s">
        <v>31</v>
      </c>
      <c r="E2006" s="26">
        <v>238.0</v>
      </c>
      <c r="F2006" s="26" t="s">
        <v>63</v>
      </c>
      <c r="G2006" s="26">
        <v>1.0</v>
      </c>
      <c r="H2006" s="26">
        <v>1.0</v>
      </c>
      <c r="I2006" s="26">
        <v>148.0</v>
      </c>
      <c r="J2006" s="26">
        <v>75.0</v>
      </c>
      <c r="K2006" s="26">
        <v>15.0</v>
      </c>
      <c r="N2006" s="26" t="s">
        <v>685</v>
      </c>
    </row>
    <row r="2007">
      <c r="A2007" s="25">
        <v>43354.86738831019</v>
      </c>
      <c r="B2007" s="26" t="s">
        <v>33</v>
      </c>
      <c r="C2007" s="26" t="s">
        <v>62</v>
      </c>
      <c r="D2007" s="26" t="s">
        <v>31</v>
      </c>
      <c r="E2007" s="26">
        <v>350.0</v>
      </c>
      <c r="F2007" s="26" t="s">
        <v>212</v>
      </c>
      <c r="G2007" s="26">
        <v>13.0</v>
      </c>
      <c r="H2007" s="26">
        <v>4.0</v>
      </c>
      <c r="I2007" s="26">
        <v>153000.0</v>
      </c>
      <c r="J2007" s="26">
        <v>200.0</v>
      </c>
      <c r="N2007" s="26" t="s">
        <v>691</v>
      </c>
    </row>
    <row r="2008">
      <c r="A2008" s="25">
        <v>43354.901575509255</v>
      </c>
      <c r="B2008" s="26" t="s">
        <v>40</v>
      </c>
      <c r="C2008" s="26">
        <v>61.0</v>
      </c>
      <c r="D2008" s="26" t="s">
        <v>27</v>
      </c>
      <c r="E2008" s="26">
        <v>50.0</v>
      </c>
      <c r="F2008" s="26" t="s">
        <v>1536</v>
      </c>
      <c r="G2008" s="26">
        <v>3.0</v>
      </c>
      <c r="H2008" s="26">
        <v>3.0</v>
      </c>
      <c r="I2008" s="26">
        <v>29.0</v>
      </c>
      <c r="J2008" s="26">
        <v>10.0</v>
      </c>
      <c r="K2008" s="26">
        <v>8.0</v>
      </c>
      <c r="N2008" s="26" t="s">
        <v>687</v>
      </c>
    </row>
    <row r="2009">
      <c r="A2009" s="25">
        <v>43354.92643908565</v>
      </c>
      <c r="B2009" s="26" t="s">
        <v>420</v>
      </c>
      <c r="C2009" s="26" t="s">
        <v>1537</v>
      </c>
      <c r="D2009" s="26" t="s">
        <v>31</v>
      </c>
      <c r="E2009" s="26">
        <v>52.0</v>
      </c>
      <c r="F2009" s="26" t="s">
        <v>1538</v>
      </c>
      <c r="G2009" s="26">
        <v>4.0</v>
      </c>
      <c r="H2009" s="26">
        <v>4.0</v>
      </c>
      <c r="N2009" s="26" t="s">
        <v>683</v>
      </c>
    </row>
    <row r="2010">
      <c r="A2010" s="25">
        <v>43354.946915486114</v>
      </c>
      <c r="B2010" s="26" t="s">
        <v>80</v>
      </c>
      <c r="C2010" s="26" t="s">
        <v>73</v>
      </c>
      <c r="D2010" s="26" t="s">
        <v>1225</v>
      </c>
      <c r="E2010" s="26">
        <v>270.0</v>
      </c>
      <c r="F2010" s="26" t="s">
        <v>199</v>
      </c>
      <c r="G2010" s="26">
        <v>5.0</v>
      </c>
      <c r="H2010" s="26">
        <v>1.0</v>
      </c>
      <c r="N2010" s="26" t="s">
        <v>691</v>
      </c>
    </row>
    <row r="2011">
      <c r="A2011" s="25">
        <v>43354.96600905093</v>
      </c>
      <c r="B2011" s="26" t="s">
        <v>33</v>
      </c>
      <c r="C2011" s="26" t="s">
        <v>62</v>
      </c>
      <c r="D2011" s="26" t="s">
        <v>1539</v>
      </c>
      <c r="E2011" s="26">
        <v>340.0</v>
      </c>
      <c r="F2011" s="26" t="s">
        <v>35</v>
      </c>
      <c r="G2011" s="26">
        <v>20.0</v>
      </c>
      <c r="H2011" s="26">
        <v>0.25</v>
      </c>
      <c r="N2011" s="26" t="s">
        <v>375</v>
      </c>
    </row>
    <row r="2012">
      <c r="A2012" s="25">
        <v>43355.05890137731</v>
      </c>
      <c r="B2012" s="26" t="s">
        <v>1540</v>
      </c>
      <c r="C2012" s="26" t="s">
        <v>1541</v>
      </c>
      <c r="D2012" s="26" t="s">
        <v>31</v>
      </c>
      <c r="E2012" s="26">
        <v>306.0</v>
      </c>
      <c r="F2012" s="26" t="s">
        <v>232</v>
      </c>
      <c r="G2012" s="26">
        <v>12.0</v>
      </c>
      <c r="H2012" s="26">
        <v>1.0</v>
      </c>
      <c r="N2012" s="26" t="s">
        <v>683</v>
      </c>
    </row>
    <row r="2013">
      <c r="A2013" s="25">
        <v>43355.17329719907</v>
      </c>
      <c r="B2013" s="26" t="s">
        <v>80</v>
      </c>
      <c r="C2013" s="26" t="s">
        <v>62</v>
      </c>
      <c r="D2013" s="26" t="s">
        <v>41</v>
      </c>
      <c r="E2013" s="26">
        <v>445.0</v>
      </c>
      <c r="F2013" s="26" t="s">
        <v>782</v>
      </c>
      <c r="G2013" s="26">
        <v>15.0</v>
      </c>
      <c r="H2013" s="26">
        <v>15.0</v>
      </c>
      <c r="I2013" s="26">
        <v>165.0</v>
      </c>
      <c r="J2013" s="26">
        <v>245.0</v>
      </c>
      <c r="K2013" s="26">
        <v>33.0</v>
      </c>
      <c r="N2013" s="26" t="s">
        <v>685</v>
      </c>
    </row>
    <row r="2014">
      <c r="A2014" s="25">
        <v>43355.3277325</v>
      </c>
      <c r="B2014" s="26" t="s">
        <v>188</v>
      </c>
      <c r="C2014" s="26" t="s">
        <v>26</v>
      </c>
      <c r="D2014" s="26" t="s">
        <v>31</v>
      </c>
      <c r="E2014" s="26">
        <v>310.0</v>
      </c>
      <c r="F2014" s="26" t="s">
        <v>247</v>
      </c>
      <c r="G2014" s="26">
        <v>6.0</v>
      </c>
      <c r="H2014" s="26">
        <v>1.0</v>
      </c>
      <c r="I2014" s="26">
        <v>160.0</v>
      </c>
      <c r="J2014" s="26">
        <v>150.0</v>
      </c>
      <c r="N2014" s="26" t="s">
        <v>687</v>
      </c>
    </row>
    <row r="2015">
      <c r="A2015" s="25">
        <v>43355.47492353009</v>
      </c>
      <c r="B2015" s="26" t="s">
        <v>33</v>
      </c>
      <c r="C2015" s="26" t="s">
        <v>62</v>
      </c>
      <c r="D2015" s="26" t="s">
        <v>27</v>
      </c>
      <c r="E2015" s="26">
        <v>385.0</v>
      </c>
      <c r="F2015" s="26" t="s">
        <v>63</v>
      </c>
      <c r="G2015" s="26">
        <v>15.0</v>
      </c>
      <c r="H2015" s="26">
        <v>3.0</v>
      </c>
      <c r="I2015" s="26">
        <v>160.0</v>
      </c>
      <c r="J2015" s="26">
        <v>200.0</v>
      </c>
      <c r="K2015" s="26">
        <v>25.0</v>
      </c>
      <c r="N2015" s="26" t="s">
        <v>687</v>
      </c>
    </row>
    <row r="2016">
      <c r="A2016" s="25">
        <v>43355.62447556713</v>
      </c>
      <c r="B2016" s="26" t="s">
        <v>25</v>
      </c>
      <c r="C2016" s="26" t="s">
        <v>462</v>
      </c>
      <c r="D2016" s="26" t="s">
        <v>31</v>
      </c>
      <c r="E2016" s="26">
        <v>190.0</v>
      </c>
      <c r="F2016" s="26" t="s">
        <v>1542</v>
      </c>
      <c r="G2016" s="26">
        <v>10.0</v>
      </c>
      <c r="H2016" s="26">
        <v>5.0</v>
      </c>
      <c r="I2016" s="26">
        <v>151.0</v>
      </c>
      <c r="J2016" s="26">
        <v>35.0</v>
      </c>
      <c r="K2016" s="26">
        <v>4.0</v>
      </c>
      <c r="N2016" s="26" t="s">
        <v>696</v>
      </c>
    </row>
    <row r="2017">
      <c r="A2017" s="25">
        <v>43355.74976034722</v>
      </c>
      <c r="B2017" s="26" t="s">
        <v>124</v>
      </c>
      <c r="C2017" s="26" t="s">
        <v>143</v>
      </c>
      <c r="D2017" s="26" t="s">
        <v>27</v>
      </c>
      <c r="E2017" s="26">
        <v>373.0</v>
      </c>
      <c r="F2017" s="26" t="s">
        <v>1115</v>
      </c>
      <c r="G2017" s="26">
        <v>15.0</v>
      </c>
      <c r="H2017" s="26">
        <v>2.0</v>
      </c>
      <c r="N2017" s="26" t="s">
        <v>683</v>
      </c>
    </row>
    <row r="2018">
      <c r="A2018" s="25">
        <v>43355.80247113426</v>
      </c>
      <c r="B2018" s="26" t="s">
        <v>187</v>
      </c>
      <c r="C2018" s="26" t="s">
        <v>73</v>
      </c>
      <c r="D2018" s="26" t="s">
        <v>318</v>
      </c>
      <c r="E2018" s="26">
        <v>315.0</v>
      </c>
      <c r="F2018" s="26" t="s">
        <v>58</v>
      </c>
      <c r="G2018" s="26">
        <v>1.0</v>
      </c>
      <c r="H2018" s="26">
        <v>1.0</v>
      </c>
      <c r="I2018" s="26">
        <v>165.0</v>
      </c>
      <c r="J2018" s="26">
        <v>150.0</v>
      </c>
      <c r="N2018" s="26" t="s">
        <v>691</v>
      </c>
    </row>
    <row r="2019">
      <c r="A2019" s="25">
        <v>43355.86265760417</v>
      </c>
      <c r="B2019" s="26" t="s">
        <v>387</v>
      </c>
      <c r="C2019" s="26" t="s">
        <v>455</v>
      </c>
      <c r="D2019" s="26" t="s">
        <v>1543</v>
      </c>
      <c r="E2019" s="26">
        <v>92.0</v>
      </c>
      <c r="F2019" s="26" t="s">
        <v>1178</v>
      </c>
      <c r="G2019" s="26">
        <v>1.0</v>
      </c>
      <c r="H2019" s="26">
        <v>1.0</v>
      </c>
      <c r="I2019" s="26">
        <v>92.0</v>
      </c>
      <c r="J2019" s="26">
        <v>10.0</v>
      </c>
      <c r="N2019" s="26" t="s">
        <v>683</v>
      </c>
    </row>
    <row r="2020">
      <c r="A2020" s="25">
        <v>43355.92140905093</v>
      </c>
      <c r="B2020" s="26" t="s">
        <v>33</v>
      </c>
      <c r="C2020" s="26" t="s">
        <v>43</v>
      </c>
      <c r="D2020" s="26" t="s">
        <v>1544</v>
      </c>
      <c r="E2020" s="26">
        <v>173.0</v>
      </c>
      <c r="F2020" s="26" t="s">
        <v>88</v>
      </c>
      <c r="G2020" s="26">
        <v>12.0</v>
      </c>
      <c r="H2020" s="26">
        <v>2.0</v>
      </c>
      <c r="I2020" s="26">
        <v>131.0</v>
      </c>
      <c r="J2020" s="26">
        <v>30.0</v>
      </c>
      <c r="K2020" s="26">
        <v>12.0</v>
      </c>
      <c r="N2020" s="26" t="s">
        <v>1134</v>
      </c>
    </row>
    <row r="2021">
      <c r="A2021" s="25">
        <v>43356.00524334491</v>
      </c>
      <c r="B2021" s="26" t="s">
        <v>40</v>
      </c>
      <c r="C2021" s="26">
        <v>61.0</v>
      </c>
      <c r="D2021" s="26" t="s">
        <v>27</v>
      </c>
      <c r="E2021" s="26">
        <v>150.0</v>
      </c>
      <c r="F2021" s="26" t="s">
        <v>1545</v>
      </c>
      <c r="G2021" s="26">
        <v>4.0</v>
      </c>
      <c r="H2021" s="26">
        <v>4.0</v>
      </c>
      <c r="I2021" s="26">
        <v>125.0</v>
      </c>
      <c r="J2021" s="26">
        <v>10.0</v>
      </c>
      <c r="K2021" s="26">
        <v>15.0</v>
      </c>
      <c r="N2021" s="26" t="s">
        <v>691</v>
      </c>
    </row>
    <row r="2022">
      <c r="A2022" s="25">
        <v>43356.03499424769</v>
      </c>
      <c r="B2022" s="26" t="s">
        <v>33</v>
      </c>
      <c r="C2022" s="26" t="s">
        <v>62</v>
      </c>
      <c r="D2022" s="26" t="s">
        <v>299</v>
      </c>
      <c r="E2022" s="26">
        <v>254.0</v>
      </c>
      <c r="F2022" s="26" t="s">
        <v>47</v>
      </c>
      <c r="G2022" s="26">
        <v>6.0</v>
      </c>
      <c r="H2022" s="26">
        <v>4.5</v>
      </c>
      <c r="N2022" s="26" t="s">
        <v>683</v>
      </c>
    </row>
    <row r="2023">
      <c r="A2023" s="25">
        <v>43356.062619027776</v>
      </c>
      <c r="B2023" s="26" t="s">
        <v>40</v>
      </c>
      <c r="C2023" s="26">
        <v>64.0</v>
      </c>
      <c r="D2023" s="26" t="s">
        <v>1066</v>
      </c>
      <c r="E2023" s="26">
        <v>205.0</v>
      </c>
      <c r="F2023" s="26" t="s">
        <v>75</v>
      </c>
      <c r="G2023" s="26">
        <v>10.0</v>
      </c>
      <c r="H2023" s="26">
        <v>1.0</v>
      </c>
      <c r="I2023" s="26">
        <v>150.0</v>
      </c>
      <c r="J2023" s="26">
        <v>15.0</v>
      </c>
      <c r="K2023" s="26">
        <v>15.0</v>
      </c>
      <c r="N2023" s="26" t="s">
        <v>757</v>
      </c>
    </row>
    <row r="2024">
      <c r="A2024" s="25">
        <v>43356.309626284725</v>
      </c>
      <c r="B2024" s="26" t="s">
        <v>40</v>
      </c>
      <c r="C2024" s="26">
        <v>66.0</v>
      </c>
      <c r="D2024" s="26" t="s">
        <v>27</v>
      </c>
      <c r="E2024" s="26">
        <v>380.0</v>
      </c>
      <c r="F2024" s="26" t="s">
        <v>129</v>
      </c>
      <c r="G2024" s="26">
        <v>26.0</v>
      </c>
      <c r="H2024" s="26">
        <v>4.5</v>
      </c>
      <c r="I2024" s="26">
        <v>221.0</v>
      </c>
      <c r="J2024" s="26">
        <v>90.0</v>
      </c>
      <c r="K2024" s="26">
        <v>70.0</v>
      </c>
      <c r="N2024" s="26" t="s">
        <v>1546</v>
      </c>
    </row>
    <row r="2025">
      <c r="A2025" s="25">
        <v>43356.3121646875</v>
      </c>
      <c r="B2025" s="26" t="s">
        <v>40</v>
      </c>
      <c r="C2025" s="26">
        <v>66.0</v>
      </c>
      <c r="D2025" s="26" t="s">
        <v>27</v>
      </c>
      <c r="E2025" s="26">
        <v>380.0</v>
      </c>
      <c r="F2025" s="26" t="s">
        <v>129</v>
      </c>
      <c r="G2025" s="26">
        <v>26.0</v>
      </c>
      <c r="H2025" s="26">
        <v>4.5</v>
      </c>
      <c r="I2025" s="26">
        <v>221.0</v>
      </c>
      <c r="J2025" s="26">
        <v>90.0</v>
      </c>
      <c r="K2025" s="26">
        <v>70.0</v>
      </c>
      <c r="N2025" s="26" t="s">
        <v>1546</v>
      </c>
    </row>
    <row r="2026">
      <c r="A2026" s="25">
        <v>43356.349671516204</v>
      </c>
      <c r="B2026" s="26" t="s">
        <v>40</v>
      </c>
      <c r="C2026" s="26">
        <v>62.0</v>
      </c>
      <c r="D2026" s="26" t="s">
        <v>31</v>
      </c>
      <c r="E2026" s="26">
        <v>237.0</v>
      </c>
      <c r="F2026" s="26" t="s">
        <v>75</v>
      </c>
      <c r="G2026" s="26">
        <v>2.0</v>
      </c>
      <c r="H2026" s="26">
        <v>2.0</v>
      </c>
      <c r="I2026" s="26">
        <v>146900.0</v>
      </c>
      <c r="J2026" s="26">
        <v>73200.0</v>
      </c>
      <c r="K2026" s="26">
        <v>16000.0</v>
      </c>
      <c r="N2026" s="26" t="s">
        <v>683</v>
      </c>
    </row>
    <row r="2027">
      <c r="A2027" s="25">
        <v>43356.41722545139</v>
      </c>
      <c r="B2027" s="26" t="s">
        <v>45</v>
      </c>
      <c r="C2027" s="26" t="s">
        <v>46</v>
      </c>
      <c r="D2027" s="26" t="s">
        <v>41</v>
      </c>
      <c r="E2027" s="26">
        <v>500.0</v>
      </c>
      <c r="F2027" s="26" t="s">
        <v>38</v>
      </c>
      <c r="G2027" s="26">
        <v>16.0</v>
      </c>
      <c r="H2027" s="26">
        <v>7.0</v>
      </c>
      <c r="N2027" s="26" t="s">
        <v>691</v>
      </c>
    </row>
    <row r="2028">
      <c r="A2028" s="25">
        <v>43356.42777753472</v>
      </c>
      <c r="B2028" s="26" t="s">
        <v>45</v>
      </c>
      <c r="C2028" s="26" t="s">
        <v>116</v>
      </c>
      <c r="D2028" s="26" t="s">
        <v>41</v>
      </c>
      <c r="E2028" s="26">
        <v>500.0</v>
      </c>
      <c r="F2028" s="26" t="s">
        <v>54</v>
      </c>
      <c r="G2028" s="26">
        <v>17.0</v>
      </c>
      <c r="H2028" s="26">
        <v>7.0</v>
      </c>
      <c r="N2028" s="26" t="s">
        <v>691</v>
      </c>
    </row>
    <row r="2029">
      <c r="A2029" s="25">
        <v>43356.49759142361</v>
      </c>
      <c r="B2029" s="26" t="s">
        <v>40</v>
      </c>
      <c r="C2029" s="26">
        <v>61.0</v>
      </c>
      <c r="D2029" s="26" t="s">
        <v>31</v>
      </c>
      <c r="E2029" s="26">
        <v>165.0</v>
      </c>
      <c r="F2029" s="26" t="s">
        <v>75</v>
      </c>
      <c r="G2029" s="26">
        <v>3.0</v>
      </c>
      <c r="H2029" s="26">
        <v>0.0</v>
      </c>
      <c r="I2029" s="26">
        <v>130.0</v>
      </c>
      <c r="J2029" s="26">
        <v>5.0</v>
      </c>
      <c r="K2029" s="26">
        <v>15.0</v>
      </c>
      <c r="N2029" s="26" t="s">
        <v>704</v>
      </c>
    </row>
    <row r="2030">
      <c r="A2030" s="25">
        <v>43356.50181003472</v>
      </c>
      <c r="B2030" s="26" t="s">
        <v>268</v>
      </c>
      <c r="C2030" s="26" t="s">
        <v>1064</v>
      </c>
      <c r="D2030" s="26" t="s">
        <v>31</v>
      </c>
      <c r="E2030" s="26">
        <v>331.0</v>
      </c>
      <c r="F2030" s="26" t="s">
        <v>330</v>
      </c>
      <c r="G2030" s="26">
        <v>13.0</v>
      </c>
      <c r="H2030" s="26">
        <v>4.0</v>
      </c>
      <c r="I2030" s="26">
        <v>201.0</v>
      </c>
      <c r="J2030" s="26">
        <v>80.0</v>
      </c>
      <c r="K2030" s="26">
        <v>50.0</v>
      </c>
      <c r="N2030" s="26" t="s">
        <v>1547</v>
      </c>
    </row>
    <row r="2031">
      <c r="A2031" s="25">
        <v>43356.52420210648</v>
      </c>
      <c r="B2031" s="26" t="s">
        <v>1548</v>
      </c>
      <c r="C2031" s="26" t="s">
        <v>1549</v>
      </c>
      <c r="D2031" s="26" t="s">
        <v>31</v>
      </c>
      <c r="E2031" s="26">
        <v>107.0</v>
      </c>
      <c r="F2031" s="26" t="s">
        <v>1550</v>
      </c>
      <c r="G2031" s="26">
        <v>6.0</v>
      </c>
      <c r="H2031" s="26">
        <v>1.0</v>
      </c>
      <c r="N2031" s="26" t="s">
        <v>480</v>
      </c>
    </row>
    <row r="2032">
      <c r="A2032" s="25">
        <v>43356.53334083333</v>
      </c>
      <c r="B2032" s="26" t="s">
        <v>146</v>
      </c>
      <c r="C2032" s="26" t="s">
        <v>737</v>
      </c>
      <c r="D2032" s="26" t="s">
        <v>41</v>
      </c>
      <c r="E2032" s="26">
        <v>450.0</v>
      </c>
      <c r="F2032" s="26" t="s">
        <v>134</v>
      </c>
      <c r="G2032" s="26">
        <v>5.0</v>
      </c>
      <c r="H2032" s="26">
        <v>3.0</v>
      </c>
      <c r="I2032" s="26">
        <v>200.0</v>
      </c>
      <c r="J2032" s="26">
        <v>200.0</v>
      </c>
      <c r="K2032" s="26">
        <v>40000.0</v>
      </c>
      <c r="N2032" s="26" t="s">
        <v>691</v>
      </c>
    </row>
    <row r="2033">
      <c r="A2033" s="25">
        <v>43356.60832414352</v>
      </c>
      <c r="B2033" s="26" t="s">
        <v>1551</v>
      </c>
      <c r="C2033" s="26">
        <v>63.0</v>
      </c>
      <c r="D2033" s="26" t="s">
        <v>31</v>
      </c>
      <c r="E2033" s="26">
        <v>220.0</v>
      </c>
      <c r="F2033" s="26" t="s">
        <v>129</v>
      </c>
      <c r="G2033" s="26">
        <v>14.0</v>
      </c>
      <c r="H2033" s="26">
        <v>12.0</v>
      </c>
      <c r="I2033" s="26">
        <v>157000.0</v>
      </c>
      <c r="J2033" s="26">
        <v>25000.0</v>
      </c>
      <c r="K2033" s="26">
        <v>20000.0</v>
      </c>
      <c r="N2033" s="26" t="s">
        <v>683</v>
      </c>
    </row>
    <row r="2034">
      <c r="A2034" s="25">
        <v>43356.65091216435</v>
      </c>
      <c r="B2034" s="26" t="s">
        <v>187</v>
      </c>
      <c r="C2034" s="26" t="s">
        <v>176</v>
      </c>
      <c r="D2034" s="26" t="s">
        <v>31</v>
      </c>
      <c r="E2034" s="26">
        <v>475.0</v>
      </c>
      <c r="F2034" s="26" t="s">
        <v>72</v>
      </c>
      <c r="G2034" s="26">
        <v>10.0</v>
      </c>
      <c r="H2034" s="26">
        <v>1.0</v>
      </c>
      <c r="I2034" s="26">
        <v>180.0</v>
      </c>
      <c r="J2034" s="26">
        <v>300.0</v>
      </c>
      <c r="N2034" s="26" t="s">
        <v>1134</v>
      </c>
    </row>
    <row r="2035">
      <c r="A2035" s="25">
        <v>43356.703924155096</v>
      </c>
      <c r="B2035" s="26" t="s">
        <v>45</v>
      </c>
      <c r="C2035" s="26" t="s">
        <v>26</v>
      </c>
      <c r="D2035" s="26" t="s">
        <v>1296</v>
      </c>
      <c r="E2035" s="26">
        <v>220.0</v>
      </c>
      <c r="F2035" s="26" t="s">
        <v>104</v>
      </c>
      <c r="G2035" s="26">
        <v>2.0</v>
      </c>
      <c r="H2035" s="26">
        <v>2.0</v>
      </c>
      <c r="N2035" s="26" t="s">
        <v>1163</v>
      </c>
    </row>
    <row r="2036">
      <c r="A2036" s="25">
        <v>43356.75227324074</v>
      </c>
      <c r="B2036" s="26" t="s">
        <v>1552</v>
      </c>
      <c r="C2036" s="26" t="s">
        <v>96</v>
      </c>
      <c r="D2036" s="26" t="s">
        <v>31</v>
      </c>
      <c r="E2036" s="26">
        <v>501.0</v>
      </c>
      <c r="F2036" s="26" t="s">
        <v>58</v>
      </c>
      <c r="G2036" s="26">
        <v>11.0</v>
      </c>
      <c r="H2036" s="26">
        <v>0.0</v>
      </c>
      <c r="I2036" s="26">
        <v>191.0</v>
      </c>
      <c r="J2036" s="26">
        <v>190.0</v>
      </c>
      <c r="K2036" s="26">
        <v>120.0</v>
      </c>
      <c r="N2036" s="26" t="s">
        <v>696</v>
      </c>
    </row>
    <row r="2037">
      <c r="A2037" s="25">
        <v>43356.75227321759</v>
      </c>
      <c r="B2037" s="26" t="s">
        <v>1552</v>
      </c>
      <c r="C2037" s="26" t="s">
        <v>96</v>
      </c>
      <c r="D2037" s="26" t="s">
        <v>31</v>
      </c>
      <c r="E2037" s="26">
        <v>501.0</v>
      </c>
      <c r="F2037" s="26" t="s">
        <v>58</v>
      </c>
      <c r="G2037" s="26">
        <v>11.0</v>
      </c>
      <c r="H2037" s="26">
        <v>0.0</v>
      </c>
      <c r="I2037" s="26">
        <v>191.0</v>
      </c>
      <c r="J2037" s="26">
        <v>190.0</v>
      </c>
      <c r="K2037" s="26">
        <v>120.0</v>
      </c>
      <c r="N2037" s="26" t="s">
        <v>696</v>
      </c>
    </row>
    <row r="2038">
      <c r="A2038" s="25">
        <v>43356.75227324074</v>
      </c>
      <c r="B2038" s="26" t="s">
        <v>36</v>
      </c>
      <c r="C2038" s="26" t="s">
        <v>96</v>
      </c>
      <c r="D2038" s="26" t="s">
        <v>31</v>
      </c>
      <c r="E2038" s="26">
        <v>501.0</v>
      </c>
      <c r="F2038" s="26" t="s">
        <v>58</v>
      </c>
      <c r="G2038" s="26">
        <v>11.0</v>
      </c>
      <c r="H2038" s="26">
        <v>0.0</v>
      </c>
      <c r="I2038" s="26">
        <v>191.0</v>
      </c>
      <c r="J2038" s="26">
        <v>190.0</v>
      </c>
      <c r="K2038" s="26">
        <v>120.0</v>
      </c>
      <c r="N2038" s="26" t="s">
        <v>696</v>
      </c>
    </row>
    <row r="2039">
      <c r="A2039" s="25">
        <v>43356.80409769676</v>
      </c>
      <c r="B2039" s="26" t="s">
        <v>241</v>
      </c>
      <c r="C2039" s="26" t="s">
        <v>125</v>
      </c>
      <c r="D2039" s="26" t="s">
        <v>31</v>
      </c>
      <c r="E2039" s="26">
        <v>220.0</v>
      </c>
      <c r="F2039" s="26" t="s">
        <v>32</v>
      </c>
      <c r="G2039" s="26">
        <v>10.0</v>
      </c>
      <c r="H2039" s="26">
        <v>3.0</v>
      </c>
      <c r="I2039" s="26">
        <v>185.0</v>
      </c>
      <c r="J2039" s="26">
        <v>5.0</v>
      </c>
      <c r="K2039" s="26">
        <v>30.0</v>
      </c>
      <c r="N2039" s="26" t="s">
        <v>685</v>
      </c>
    </row>
    <row r="2040">
      <c r="A2040" s="25">
        <v>43356.80512966435</v>
      </c>
      <c r="B2040" s="26" t="s">
        <v>1553</v>
      </c>
      <c r="C2040" s="26" t="s">
        <v>386</v>
      </c>
      <c r="D2040" s="26" t="s">
        <v>31</v>
      </c>
      <c r="E2040" s="26">
        <v>235.0</v>
      </c>
      <c r="F2040" s="26" t="s">
        <v>32</v>
      </c>
      <c r="G2040" s="26">
        <v>10.0</v>
      </c>
      <c r="H2040" s="26">
        <v>1.0</v>
      </c>
      <c r="I2040" s="26">
        <v>200.0</v>
      </c>
      <c r="J2040" s="26">
        <v>15.0</v>
      </c>
      <c r="K2040" s="26">
        <v>20.0</v>
      </c>
      <c r="N2040" s="26" t="s">
        <v>685</v>
      </c>
    </row>
    <row r="2041">
      <c r="A2041" s="25">
        <v>43356.809273680556</v>
      </c>
      <c r="B2041" s="26" t="s">
        <v>80</v>
      </c>
      <c r="C2041" s="26" t="s">
        <v>176</v>
      </c>
      <c r="D2041" s="26" t="s">
        <v>31</v>
      </c>
      <c r="E2041" s="26">
        <v>340.0</v>
      </c>
      <c r="F2041" s="26" t="s">
        <v>199</v>
      </c>
      <c r="G2041" s="26">
        <v>8.0</v>
      </c>
      <c r="H2041" s="26">
        <v>1.0</v>
      </c>
      <c r="I2041" s="26">
        <v>185.0</v>
      </c>
      <c r="J2041" s="26">
        <v>120.0</v>
      </c>
      <c r="K2041" s="26">
        <v>35.0</v>
      </c>
      <c r="N2041" s="26" t="s">
        <v>1554</v>
      </c>
    </row>
    <row r="2042">
      <c r="A2042" s="25">
        <v>43356.809857314816</v>
      </c>
      <c r="B2042" s="26" t="s">
        <v>33</v>
      </c>
      <c r="C2042" s="26" t="s">
        <v>62</v>
      </c>
      <c r="D2042" s="26" t="s">
        <v>27</v>
      </c>
      <c r="E2042" s="26">
        <v>245.0</v>
      </c>
      <c r="F2042" s="26" t="s">
        <v>247</v>
      </c>
      <c r="G2042" s="26">
        <v>4.0</v>
      </c>
      <c r="H2042" s="26">
        <v>4.0</v>
      </c>
      <c r="I2042" s="26">
        <v>134.0</v>
      </c>
      <c r="J2042" s="26">
        <v>112.0</v>
      </c>
      <c r="N2042" s="26" t="s">
        <v>1555</v>
      </c>
    </row>
    <row r="2043">
      <c r="A2043" s="25">
        <v>43356.823706724535</v>
      </c>
      <c r="B2043" s="26" t="s">
        <v>40</v>
      </c>
      <c r="C2043" s="26">
        <v>59.0</v>
      </c>
      <c r="D2043" s="26" t="s">
        <v>31</v>
      </c>
      <c r="E2043" s="26">
        <v>108.0</v>
      </c>
      <c r="F2043" s="26" t="s">
        <v>52</v>
      </c>
      <c r="G2043" s="26">
        <v>0.0</v>
      </c>
      <c r="H2043" s="26">
        <v>0.0</v>
      </c>
      <c r="I2043" s="26">
        <v>108.0</v>
      </c>
      <c r="J2043" s="26">
        <v>15.0</v>
      </c>
      <c r="K2043" s="26">
        <v>11.0</v>
      </c>
      <c r="N2043" s="26" t="s">
        <v>683</v>
      </c>
    </row>
    <row r="2044">
      <c r="A2044" s="25">
        <v>43356.87409894676</v>
      </c>
      <c r="B2044" s="26" t="s">
        <v>371</v>
      </c>
      <c r="C2044" s="26" t="s">
        <v>372</v>
      </c>
      <c r="D2044" s="26" t="s">
        <v>31</v>
      </c>
      <c r="E2044" s="26">
        <v>190.0</v>
      </c>
      <c r="F2044" s="26" t="s">
        <v>327</v>
      </c>
      <c r="G2044" s="26">
        <v>8.0</v>
      </c>
      <c r="H2044" s="26">
        <v>6.0</v>
      </c>
      <c r="I2044" s="26">
        <v>140.0</v>
      </c>
      <c r="J2044" s="26">
        <v>35.0</v>
      </c>
      <c r="K2044" s="26">
        <v>15.0</v>
      </c>
      <c r="N2044" s="26" t="s">
        <v>1244</v>
      </c>
    </row>
    <row r="2045">
      <c r="A2045" s="25">
        <v>43356.89278895833</v>
      </c>
      <c r="B2045" s="26" t="s">
        <v>122</v>
      </c>
      <c r="C2045" s="26" t="s">
        <v>73</v>
      </c>
      <c r="D2045" s="26" t="s">
        <v>31</v>
      </c>
      <c r="E2045" s="26">
        <v>240.0</v>
      </c>
      <c r="F2045" s="26" t="s">
        <v>58</v>
      </c>
      <c r="G2045" s="26">
        <v>2.0</v>
      </c>
      <c r="H2045" s="26">
        <v>2.0</v>
      </c>
      <c r="I2045" s="26">
        <v>150.0</v>
      </c>
      <c r="N2045" s="26" t="s">
        <v>683</v>
      </c>
    </row>
    <row r="2046">
      <c r="A2046" s="25">
        <v>43356.94894195602</v>
      </c>
      <c r="B2046" s="26" t="s">
        <v>40</v>
      </c>
      <c r="C2046" s="26">
        <v>66.0</v>
      </c>
      <c r="D2046" s="26" t="s">
        <v>1556</v>
      </c>
      <c r="E2046" s="26">
        <v>200.0</v>
      </c>
      <c r="F2046" s="26" t="s">
        <v>52</v>
      </c>
      <c r="G2046" s="26">
        <v>24.0</v>
      </c>
      <c r="H2046" s="26">
        <v>0.0</v>
      </c>
      <c r="I2046" s="26">
        <v>200.0</v>
      </c>
      <c r="J2046" s="26">
        <v>60.0</v>
      </c>
      <c r="K2046" s="26">
        <v>50.0</v>
      </c>
      <c r="N2046" s="26" t="s">
        <v>1163</v>
      </c>
    </row>
    <row r="2047">
      <c r="A2047" s="25">
        <v>43356.99761679398</v>
      </c>
      <c r="B2047" s="26" t="s">
        <v>170</v>
      </c>
      <c r="C2047" s="26" t="s">
        <v>606</v>
      </c>
      <c r="D2047" s="26" t="s">
        <v>41</v>
      </c>
      <c r="E2047" s="26">
        <v>320.0</v>
      </c>
      <c r="F2047" s="26" t="s">
        <v>1557</v>
      </c>
      <c r="G2047" s="26">
        <v>18.0</v>
      </c>
      <c r="H2047" s="26">
        <v>7.0</v>
      </c>
      <c r="N2047" s="26" t="s">
        <v>685</v>
      </c>
    </row>
    <row r="2048">
      <c r="A2048" s="25">
        <v>43357.01609311343</v>
      </c>
      <c r="B2048" s="26" t="s">
        <v>40</v>
      </c>
      <c r="C2048" s="26">
        <v>62.0</v>
      </c>
      <c r="D2048" s="26" t="s">
        <v>31</v>
      </c>
      <c r="E2048" s="26">
        <v>400.0</v>
      </c>
      <c r="F2048" s="26" t="s">
        <v>56</v>
      </c>
      <c r="G2048" s="26">
        <v>6.0</v>
      </c>
      <c r="H2048" s="26">
        <v>6.0</v>
      </c>
      <c r="I2048" s="26">
        <v>190.0</v>
      </c>
      <c r="J2048" s="26">
        <v>170.0</v>
      </c>
      <c r="K2048" s="26">
        <v>40.0</v>
      </c>
      <c r="N2048" s="26" t="s">
        <v>704</v>
      </c>
    </row>
    <row r="2049">
      <c r="A2049" s="25">
        <v>43357.020638229165</v>
      </c>
      <c r="B2049" s="26" t="s">
        <v>80</v>
      </c>
      <c r="C2049" s="26" t="s">
        <v>62</v>
      </c>
      <c r="D2049" s="26" t="s">
        <v>711</v>
      </c>
      <c r="E2049" s="26">
        <v>700.0</v>
      </c>
      <c r="F2049" s="26" t="s">
        <v>1558</v>
      </c>
      <c r="G2049" s="26">
        <v>6.0</v>
      </c>
      <c r="H2049" s="26">
        <v>2.0</v>
      </c>
      <c r="I2049" s="26">
        <v>221.0</v>
      </c>
      <c r="J2049" s="26">
        <v>300.0</v>
      </c>
      <c r="K2049" s="26">
        <v>44.0</v>
      </c>
      <c r="N2049" s="26" t="s">
        <v>691</v>
      </c>
    </row>
    <row r="2050">
      <c r="A2050" s="25">
        <v>43357.25734434028</v>
      </c>
      <c r="B2050" s="26" t="s">
        <v>80</v>
      </c>
      <c r="C2050" s="26" t="s">
        <v>179</v>
      </c>
      <c r="D2050" s="26" t="s">
        <v>31</v>
      </c>
      <c r="E2050" s="26">
        <v>175.0</v>
      </c>
      <c r="F2050" s="26" t="s">
        <v>1072</v>
      </c>
      <c r="G2050" s="26">
        <v>2.0</v>
      </c>
      <c r="H2050" s="26">
        <v>0.0</v>
      </c>
      <c r="I2050" s="26">
        <v>125.0</v>
      </c>
      <c r="J2050" s="26">
        <v>25.0</v>
      </c>
      <c r="K2050" s="26">
        <v>25.0</v>
      </c>
      <c r="N2050" s="26" t="s">
        <v>683</v>
      </c>
    </row>
    <row r="2051">
      <c r="A2051" s="25">
        <v>43357.31116945602</v>
      </c>
      <c r="B2051" s="26" t="s">
        <v>33</v>
      </c>
      <c r="C2051" s="26" t="s">
        <v>62</v>
      </c>
      <c r="D2051" s="26" t="s">
        <v>1066</v>
      </c>
      <c r="E2051" s="26">
        <v>300.0</v>
      </c>
      <c r="F2051" s="26" t="s">
        <v>108</v>
      </c>
      <c r="G2051" s="26">
        <v>20.0</v>
      </c>
      <c r="H2051" s="26">
        <v>3.5</v>
      </c>
      <c r="I2051" s="26">
        <v>131.0</v>
      </c>
      <c r="J2051" s="26">
        <v>55.0</v>
      </c>
      <c r="N2051" s="26" t="s">
        <v>119</v>
      </c>
    </row>
    <row r="2052">
      <c r="A2052" s="25">
        <v>43357.48899225694</v>
      </c>
      <c r="B2052" s="26" t="s">
        <v>40</v>
      </c>
      <c r="C2052" s="26">
        <v>65.0</v>
      </c>
      <c r="D2052" s="26" t="s">
        <v>31</v>
      </c>
      <c r="E2052" s="26">
        <v>275.0</v>
      </c>
      <c r="F2052" s="26" t="s">
        <v>52</v>
      </c>
      <c r="G2052" s="26">
        <v>14.0</v>
      </c>
      <c r="H2052" s="26">
        <v>13.0</v>
      </c>
      <c r="I2052" s="26">
        <v>187.0</v>
      </c>
      <c r="J2052" s="26">
        <v>50.0</v>
      </c>
      <c r="K2052" s="26">
        <v>45.0</v>
      </c>
      <c r="N2052" s="26" t="s">
        <v>683</v>
      </c>
    </row>
    <row r="2053">
      <c r="A2053" s="25">
        <v>43357.49941060186</v>
      </c>
      <c r="B2053" s="26" t="s">
        <v>36</v>
      </c>
      <c r="C2053" s="26" t="s">
        <v>610</v>
      </c>
      <c r="D2053" s="26" t="s">
        <v>31</v>
      </c>
      <c r="E2053" s="26">
        <v>190.0</v>
      </c>
      <c r="F2053" s="26" t="s">
        <v>236</v>
      </c>
      <c r="G2053" s="26">
        <v>2.0</v>
      </c>
      <c r="H2053" s="26">
        <v>2.0</v>
      </c>
      <c r="I2053" s="26">
        <v>130.0</v>
      </c>
      <c r="J2053" s="26">
        <v>50.0</v>
      </c>
      <c r="K2053" s="26">
        <v>10.0</v>
      </c>
      <c r="N2053" s="26" t="s">
        <v>704</v>
      </c>
    </row>
    <row r="2054">
      <c r="A2054" s="25">
        <v>43357.61974234953</v>
      </c>
      <c r="B2054" s="26" t="s">
        <v>407</v>
      </c>
      <c r="C2054" s="26" t="s">
        <v>1062</v>
      </c>
      <c r="D2054" s="26" t="s">
        <v>31</v>
      </c>
      <c r="E2054" s="26">
        <v>191.0</v>
      </c>
      <c r="F2054" s="26" t="s">
        <v>481</v>
      </c>
      <c r="G2054" s="26">
        <v>3.0</v>
      </c>
      <c r="H2054" s="26">
        <v>3.0</v>
      </c>
      <c r="I2054" s="26">
        <v>153.0</v>
      </c>
      <c r="J2054" s="26">
        <v>36.0</v>
      </c>
      <c r="K2054" s="26">
        <v>2.0</v>
      </c>
      <c r="N2054" s="26" t="s">
        <v>708</v>
      </c>
    </row>
    <row r="2055">
      <c r="A2055" s="25">
        <v>43357.65983574074</v>
      </c>
      <c r="B2055" s="26" t="s">
        <v>1160</v>
      </c>
      <c r="C2055" s="26" t="s">
        <v>591</v>
      </c>
      <c r="D2055" s="26" t="s">
        <v>31</v>
      </c>
      <c r="E2055" s="26">
        <v>190.0</v>
      </c>
      <c r="F2055" s="26" t="s">
        <v>63</v>
      </c>
      <c r="G2055" s="26">
        <v>3.0</v>
      </c>
      <c r="H2055" s="26">
        <v>3.0</v>
      </c>
      <c r="I2055" s="26">
        <v>145.0</v>
      </c>
      <c r="J2055" s="26">
        <v>30.0</v>
      </c>
      <c r="K2055" s="26">
        <v>15.0</v>
      </c>
      <c r="N2055" s="26" t="s">
        <v>683</v>
      </c>
    </row>
    <row r="2056">
      <c r="A2056" s="25">
        <v>43357.780578935184</v>
      </c>
      <c r="B2056" s="26" t="s">
        <v>1559</v>
      </c>
      <c r="C2056" s="26" t="s">
        <v>73</v>
      </c>
      <c r="D2056" s="26" t="s">
        <v>31</v>
      </c>
      <c r="E2056" s="26">
        <v>225.0</v>
      </c>
      <c r="F2056" s="26" t="s">
        <v>28</v>
      </c>
      <c r="G2056" s="26">
        <v>8.0</v>
      </c>
      <c r="H2056" s="26">
        <v>1.0</v>
      </c>
      <c r="I2056" s="26">
        <v>155.0</v>
      </c>
      <c r="J2056" s="26">
        <v>59.0</v>
      </c>
      <c r="K2056" s="26">
        <v>11.0</v>
      </c>
      <c r="N2056" s="26" t="s">
        <v>683</v>
      </c>
    </row>
    <row r="2057">
      <c r="A2057" s="25">
        <v>43357.80091019676</v>
      </c>
      <c r="B2057" s="26" t="s">
        <v>371</v>
      </c>
      <c r="C2057" s="26" t="s">
        <v>716</v>
      </c>
      <c r="D2057" s="26" t="s">
        <v>31</v>
      </c>
      <c r="E2057" s="26">
        <v>105.0</v>
      </c>
      <c r="F2057" s="26" t="s">
        <v>327</v>
      </c>
      <c r="G2057" s="26">
        <v>2.0</v>
      </c>
      <c r="H2057" s="26">
        <v>0.0</v>
      </c>
      <c r="I2057" s="26">
        <v>90.0</v>
      </c>
      <c r="J2057" s="26">
        <v>10.0</v>
      </c>
      <c r="K2057" s="26">
        <v>5.0</v>
      </c>
      <c r="N2057" s="26" t="s">
        <v>715</v>
      </c>
    </row>
    <row r="2058">
      <c r="A2058" s="25">
        <v>43357.805432141206</v>
      </c>
      <c r="B2058" s="26" t="s">
        <v>371</v>
      </c>
      <c r="C2058" s="26" t="s">
        <v>716</v>
      </c>
      <c r="D2058" s="26" t="s">
        <v>31</v>
      </c>
      <c r="E2058" s="26">
        <v>112.0</v>
      </c>
      <c r="F2058" s="26" t="s">
        <v>327</v>
      </c>
      <c r="G2058" s="26">
        <v>2.0</v>
      </c>
      <c r="H2058" s="26">
        <v>1.0</v>
      </c>
      <c r="I2058" s="26">
        <v>92.0</v>
      </c>
      <c r="J2058" s="26">
        <v>12.0</v>
      </c>
      <c r="K2058" s="26">
        <v>8.0</v>
      </c>
      <c r="N2058" s="26" t="s">
        <v>728</v>
      </c>
    </row>
    <row r="2059">
      <c r="A2059" s="25">
        <v>43357.868184907406</v>
      </c>
      <c r="B2059" s="26" t="s">
        <v>371</v>
      </c>
      <c r="C2059" s="26" t="s">
        <v>716</v>
      </c>
      <c r="D2059" s="26" t="s">
        <v>31</v>
      </c>
      <c r="E2059" s="26">
        <v>110.0</v>
      </c>
      <c r="F2059" s="26" t="s">
        <v>327</v>
      </c>
      <c r="G2059" s="26">
        <v>2.0</v>
      </c>
      <c r="H2059" s="26">
        <v>0.0</v>
      </c>
      <c r="I2059" s="26">
        <v>96.0</v>
      </c>
      <c r="J2059" s="26">
        <v>10.0</v>
      </c>
      <c r="K2059" s="26">
        <v>4.0</v>
      </c>
      <c r="N2059" s="26" t="s">
        <v>728</v>
      </c>
    </row>
    <row r="2060">
      <c r="A2060" s="25">
        <v>43357.922418125</v>
      </c>
      <c r="B2060" s="26" t="s">
        <v>48</v>
      </c>
      <c r="C2060" s="26" t="s">
        <v>49</v>
      </c>
      <c r="D2060" s="26" t="s">
        <v>31</v>
      </c>
      <c r="E2060" s="26">
        <v>210.0</v>
      </c>
      <c r="F2060" s="26" t="s">
        <v>129</v>
      </c>
      <c r="G2060" s="26">
        <v>2.0</v>
      </c>
      <c r="H2060" s="26">
        <v>2.0</v>
      </c>
      <c r="I2060" s="26">
        <v>142.0</v>
      </c>
      <c r="J2060" s="26">
        <v>57.0</v>
      </c>
      <c r="K2060" s="26">
        <v>10.0</v>
      </c>
      <c r="N2060" s="26" t="s">
        <v>704</v>
      </c>
    </row>
    <row r="2061">
      <c r="A2061" s="25">
        <v>43358.0725516088</v>
      </c>
      <c r="B2061" s="26" t="s">
        <v>407</v>
      </c>
      <c r="C2061" s="26" t="s">
        <v>37</v>
      </c>
      <c r="D2061" s="26" t="s">
        <v>31</v>
      </c>
      <c r="E2061" s="26">
        <v>320.0</v>
      </c>
      <c r="F2061" s="26" t="s">
        <v>481</v>
      </c>
      <c r="G2061" s="26">
        <v>2.0</v>
      </c>
      <c r="H2061" s="26">
        <v>0.0</v>
      </c>
      <c r="N2061" s="26" t="s">
        <v>683</v>
      </c>
    </row>
    <row r="2062">
      <c r="A2062" s="25">
        <v>43358.47576752315</v>
      </c>
      <c r="B2062" s="26" t="s">
        <v>95</v>
      </c>
      <c r="C2062" s="26" t="s">
        <v>96</v>
      </c>
      <c r="D2062" s="26" t="s">
        <v>31</v>
      </c>
      <c r="E2062" s="26">
        <v>320.0</v>
      </c>
      <c r="F2062" s="26" t="s">
        <v>1560</v>
      </c>
      <c r="G2062" s="26">
        <v>10.0</v>
      </c>
      <c r="H2062" s="26">
        <v>1.0</v>
      </c>
      <c r="N2062" s="26" t="s">
        <v>1561</v>
      </c>
    </row>
    <row r="2063">
      <c r="A2063" s="25">
        <v>43358.49307484954</v>
      </c>
      <c r="B2063" s="26" t="s">
        <v>1562</v>
      </c>
      <c r="C2063" s="26" t="s">
        <v>306</v>
      </c>
      <c r="D2063" s="26" t="s">
        <v>41</v>
      </c>
      <c r="E2063" s="26">
        <v>186.0</v>
      </c>
      <c r="F2063" s="26" t="s">
        <v>32</v>
      </c>
      <c r="G2063" s="26">
        <v>9.0</v>
      </c>
      <c r="H2063" s="26">
        <v>1.0</v>
      </c>
      <c r="I2063" s="26">
        <v>170000.0</v>
      </c>
      <c r="J2063" s="26">
        <v>15.0</v>
      </c>
      <c r="N2063" s="26" t="s">
        <v>687</v>
      </c>
    </row>
    <row r="2064">
      <c r="A2064" s="25">
        <v>43358.49406041666</v>
      </c>
      <c r="B2064" s="26" t="s">
        <v>1238</v>
      </c>
      <c r="C2064" s="26" t="s">
        <v>37</v>
      </c>
      <c r="D2064" s="26" t="s">
        <v>31</v>
      </c>
      <c r="E2064" s="26">
        <v>240.0</v>
      </c>
      <c r="F2064" s="26" t="s">
        <v>193</v>
      </c>
      <c r="G2064" s="26">
        <v>8.0</v>
      </c>
      <c r="H2064" s="26">
        <v>4.0</v>
      </c>
      <c r="N2064" s="26" t="s">
        <v>687</v>
      </c>
    </row>
    <row r="2065">
      <c r="A2065" s="25">
        <v>43358.517693483795</v>
      </c>
      <c r="B2065" s="26" t="s">
        <v>371</v>
      </c>
      <c r="C2065" s="26" t="s">
        <v>1174</v>
      </c>
      <c r="D2065" s="26" t="s">
        <v>1174</v>
      </c>
      <c r="E2065" s="26">
        <v>210.0</v>
      </c>
      <c r="F2065" s="26" t="s">
        <v>232</v>
      </c>
      <c r="G2065" s="26">
        <v>16.0</v>
      </c>
      <c r="H2065" s="26">
        <v>1.0</v>
      </c>
      <c r="I2065" s="26">
        <v>210.0</v>
      </c>
      <c r="J2065" s="26">
        <v>40.0</v>
      </c>
      <c r="K2065" s="26">
        <v>50.0</v>
      </c>
      <c r="N2065" s="26" t="s">
        <v>1563</v>
      </c>
    </row>
    <row r="2066">
      <c r="A2066" s="25">
        <v>43358.832895162035</v>
      </c>
      <c r="B2066" s="26" t="s">
        <v>911</v>
      </c>
      <c r="C2066" s="26" t="s">
        <v>572</v>
      </c>
      <c r="D2066" s="26" t="s">
        <v>31</v>
      </c>
      <c r="E2066" s="26">
        <v>150.0</v>
      </c>
      <c r="F2066" s="26" t="s">
        <v>272</v>
      </c>
      <c r="G2066" s="26">
        <v>5.0</v>
      </c>
      <c r="H2066" s="26">
        <v>4.0</v>
      </c>
      <c r="I2066" s="26">
        <v>125.0</v>
      </c>
      <c r="J2066" s="26">
        <v>10.0</v>
      </c>
      <c r="K2066" s="26">
        <v>15.0</v>
      </c>
      <c r="N2066" s="26" t="s">
        <v>704</v>
      </c>
    </row>
    <row r="2067">
      <c r="A2067" s="25">
        <v>43358.89116655092</v>
      </c>
      <c r="B2067" s="26" t="s">
        <v>119</v>
      </c>
      <c r="C2067" s="26" t="s">
        <v>120</v>
      </c>
      <c r="D2067" s="26" t="s">
        <v>31</v>
      </c>
      <c r="E2067" s="26">
        <v>270.0</v>
      </c>
      <c r="F2067" s="26" t="s">
        <v>32</v>
      </c>
      <c r="G2067" s="26">
        <v>9.0</v>
      </c>
      <c r="H2067" s="26">
        <v>3.0</v>
      </c>
      <c r="N2067" s="26" t="s">
        <v>685</v>
      </c>
    </row>
    <row r="2068">
      <c r="A2068" s="25">
        <v>43358.988467800926</v>
      </c>
      <c r="B2068" s="26" t="s">
        <v>268</v>
      </c>
      <c r="C2068" s="26" t="s">
        <v>912</v>
      </c>
      <c r="D2068" s="26" t="s">
        <v>31</v>
      </c>
      <c r="E2068" s="26">
        <v>770.0</v>
      </c>
      <c r="F2068" s="26" t="s">
        <v>272</v>
      </c>
      <c r="G2068" s="26">
        <v>20.0</v>
      </c>
      <c r="H2068" s="26">
        <v>20.0</v>
      </c>
      <c r="I2068" s="26">
        <v>240.0</v>
      </c>
      <c r="J2068" s="26">
        <v>400.0</v>
      </c>
      <c r="K2068" s="26">
        <v>130.0</v>
      </c>
      <c r="N2068" s="26" t="s">
        <v>715</v>
      </c>
    </row>
    <row r="2069">
      <c r="A2069" s="25">
        <v>43358.98899333333</v>
      </c>
      <c r="B2069" s="26" t="s">
        <v>268</v>
      </c>
      <c r="C2069" s="26" t="s">
        <v>912</v>
      </c>
      <c r="D2069" s="26" t="s">
        <v>31</v>
      </c>
      <c r="E2069" s="26">
        <v>770.0</v>
      </c>
      <c r="F2069" s="26" t="s">
        <v>272</v>
      </c>
      <c r="G2069" s="26">
        <v>20.0</v>
      </c>
      <c r="H2069" s="26">
        <v>20.0</v>
      </c>
      <c r="I2069" s="26">
        <v>240.0</v>
      </c>
      <c r="J2069" s="26">
        <v>400.0</v>
      </c>
      <c r="K2069" s="26">
        <v>130.0</v>
      </c>
      <c r="N2069" s="26" t="s">
        <v>715</v>
      </c>
    </row>
    <row r="2070">
      <c r="A2070" s="25">
        <v>43358.990135995366</v>
      </c>
      <c r="B2070" s="26" t="s">
        <v>170</v>
      </c>
      <c r="C2070" s="26" t="s">
        <v>590</v>
      </c>
      <c r="D2070" s="26" t="s">
        <v>31</v>
      </c>
      <c r="E2070" s="26">
        <v>165.0</v>
      </c>
      <c r="F2070" s="26" t="s">
        <v>579</v>
      </c>
      <c r="G2070" s="26">
        <v>14.0</v>
      </c>
      <c r="H2070" s="26">
        <v>4.0</v>
      </c>
      <c r="I2070" s="26">
        <v>121.0</v>
      </c>
      <c r="J2070" s="26">
        <v>15.0</v>
      </c>
      <c r="K2070" s="26">
        <v>10.0</v>
      </c>
      <c r="N2070" s="26" t="s">
        <v>728</v>
      </c>
    </row>
    <row r="2071">
      <c r="A2071" s="25">
        <v>43359.08230091435</v>
      </c>
      <c r="B2071" s="26" t="s">
        <v>380</v>
      </c>
      <c r="C2071" s="26" t="s">
        <v>742</v>
      </c>
      <c r="D2071" s="26" t="s">
        <v>31</v>
      </c>
      <c r="E2071" s="26">
        <v>143.0</v>
      </c>
      <c r="F2071" s="26" t="s">
        <v>599</v>
      </c>
      <c r="G2071" s="26">
        <v>2.0</v>
      </c>
      <c r="H2071" s="26">
        <v>2.0</v>
      </c>
      <c r="I2071" s="26">
        <v>118.0</v>
      </c>
      <c r="J2071" s="26">
        <v>50.0</v>
      </c>
      <c r="K2071" s="26">
        <v>5.0</v>
      </c>
      <c r="N2071" s="26" t="s">
        <v>685</v>
      </c>
    </row>
    <row r="2072">
      <c r="A2072" s="25">
        <v>43359.15328400463</v>
      </c>
      <c r="B2072" s="26" t="s">
        <v>1564</v>
      </c>
      <c r="C2072" s="26">
        <v>3.0</v>
      </c>
      <c r="D2072" s="26" t="s">
        <v>31</v>
      </c>
      <c r="E2072" s="26">
        <v>76.0</v>
      </c>
      <c r="F2072" s="26" t="s">
        <v>1565</v>
      </c>
      <c r="G2072" s="26">
        <v>4.0</v>
      </c>
      <c r="H2072" s="26">
        <v>4.0</v>
      </c>
      <c r="I2072" s="26">
        <v>49.0</v>
      </c>
      <c r="J2072" s="26">
        <v>6.0</v>
      </c>
      <c r="K2072" s="26">
        <v>6.0</v>
      </c>
      <c r="N2072" s="26" t="s">
        <v>685</v>
      </c>
    </row>
    <row r="2073">
      <c r="A2073" s="25">
        <v>43359.192113067125</v>
      </c>
      <c r="B2073" s="26" t="s">
        <v>40</v>
      </c>
      <c r="C2073" s="26">
        <v>65.0</v>
      </c>
      <c r="D2073" s="26" t="s">
        <v>27</v>
      </c>
      <c r="E2073" s="26">
        <v>270.0</v>
      </c>
      <c r="F2073" s="26" t="s">
        <v>792</v>
      </c>
      <c r="G2073" s="26">
        <v>18.0</v>
      </c>
      <c r="H2073" s="26">
        <v>2.0</v>
      </c>
      <c r="N2073" s="26" t="s">
        <v>699</v>
      </c>
    </row>
    <row r="2074">
      <c r="A2074" s="25">
        <v>43359.320839259264</v>
      </c>
      <c r="B2074" s="26" t="s">
        <v>40</v>
      </c>
      <c r="C2074" s="26">
        <v>63.0</v>
      </c>
      <c r="D2074" s="26" t="s">
        <v>711</v>
      </c>
      <c r="E2074" s="26">
        <v>243.0</v>
      </c>
      <c r="F2074" s="26" t="s">
        <v>75</v>
      </c>
      <c r="G2074" s="26">
        <v>2.0</v>
      </c>
      <c r="H2074" s="26">
        <v>1.0</v>
      </c>
      <c r="I2074" s="26">
        <v>154.0</v>
      </c>
      <c r="J2074" s="26">
        <v>78.0</v>
      </c>
      <c r="K2074" s="26">
        <v>11.0</v>
      </c>
      <c r="N2074" s="26" t="s">
        <v>691</v>
      </c>
    </row>
    <row r="2075">
      <c r="A2075" s="25">
        <v>43359.32497194444</v>
      </c>
      <c r="B2075" s="26" t="s">
        <v>80</v>
      </c>
      <c r="C2075" s="26" t="s">
        <v>73</v>
      </c>
      <c r="D2075" s="26" t="s">
        <v>31</v>
      </c>
      <c r="E2075" s="26">
        <v>255.0</v>
      </c>
      <c r="F2075" s="26" t="s">
        <v>47</v>
      </c>
      <c r="G2075" s="26">
        <v>5.0</v>
      </c>
      <c r="H2075" s="26">
        <v>0.0</v>
      </c>
      <c r="I2075" s="26">
        <v>160.0</v>
      </c>
      <c r="J2075" s="26">
        <v>285.0</v>
      </c>
      <c r="K2075" s="26">
        <v>184.0</v>
      </c>
      <c r="N2075" s="26" t="s">
        <v>708</v>
      </c>
    </row>
    <row r="2076">
      <c r="A2076" s="25">
        <v>43359.358848055555</v>
      </c>
      <c r="B2076" s="26" t="s">
        <v>33</v>
      </c>
      <c r="C2076" s="26" t="s">
        <v>76</v>
      </c>
      <c r="D2076" s="26" t="s">
        <v>31</v>
      </c>
      <c r="E2076" s="26">
        <v>250.0</v>
      </c>
      <c r="F2076" s="26" t="s">
        <v>63</v>
      </c>
      <c r="G2076" s="26">
        <v>5.0</v>
      </c>
      <c r="H2076" s="26">
        <v>1.0</v>
      </c>
      <c r="I2076" s="26">
        <v>145.0</v>
      </c>
      <c r="J2076" s="26">
        <v>65.0</v>
      </c>
      <c r="K2076" s="26">
        <v>40.0</v>
      </c>
      <c r="N2076" s="26" t="s">
        <v>685</v>
      </c>
    </row>
    <row r="2077">
      <c r="A2077" s="25">
        <v>43359.401015104166</v>
      </c>
      <c r="B2077" s="26" t="s">
        <v>36</v>
      </c>
      <c r="C2077" s="26" t="s">
        <v>96</v>
      </c>
      <c r="D2077" s="26" t="s">
        <v>31</v>
      </c>
      <c r="E2077" s="26">
        <v>450.0</v>
      </c>
      <c r="F2077" s="26" t="s">
        <v>32</v>
      </c>
      <c r="G2077" s="26">
        <v>18.0</v>
      </c>
      <c r="H2077" s="26">
        <v>2.0</v>
      </c>
      <c r="I2077" s="26">
        <v>195.0</v>
      </c>
      <c r="J2077" s="26">
        <v>220.0</v>
      </c>
      <c r="K2077" s="26">
        <v>35.0</v>
      </c>
      <c r="N2077" s="26" t="s">
        <v>685</v>
      </c>
    </row>
    <row r="2078">
      <c r="A2078" s="25">
        <v>43359.40993684028</v>
      </c>
      <c r="B2078" s="26" t="s">
        <v>80</v>
      </c>
      <c r="C2078" s="26" t="s">
        <v>93</v>
      </c>
      <c r="D2078" s="26" t="s">
        <v>31</v>
      </c>
      <c r="E2078" s="26">
        <v>505.0</v>
      </c>
      <c r="F2078" s="26" t="s">
        <v>134</v>
      </c>
      <c r="G2078" s="26">
        <v>20.0</v>
      </c>
      <c r="H2078" s="26">
        <v>6.0</v>
      </c>
      <c r="I2078" s="26">
        <v>223.0</v>
      </c>
      <c r="J2078" s="26">
        <v>200.0</v>
      </c>
      <c r="K2078" s="26">
        <v>52.0</v>
      </c>
      <c r="N2078" s="26" t="s">
        <v>757</v>
      </c>
    </row>
    <row r="2079">
      <c r="A2079" s="25">
        <v>43359.4139475</v>
      </c>
      <c r="B2079" s="26" t="s">
        <v>33</v>
      </c>
      <c r="C2079" s="26" t="s">
        <v>34</v>
      </c>
      <c r="D2079" s="26" t="s">
        <v>41</v>
      </c>
      <c r="E2079" s="26">
        <v>402.0</v>
      </c>
      <c r="F2079" s="26" t="s">
        <v>63</v>
      </c>
      <c r="G2079" s="26">
        <v>19.0</v>
      </c>
      <c r="H2079" s="26">
        <v>7.0</v>
      </c>
      <c r="I2079" s="26">
        <v>160000.0</v>
      </c>
      <c r="J2079" s="26">
        <v>242.0</v>
      </c>
      <c r="N2079" s="26" t="s">
        <v>683</v>
      </c>
    </row>
    <row r="2080">
      <c r="A2080" s="25">
        <v>43359.41799047454</v>
      </c>
      <c r="B2080" s="26" t="s">
        <v>407</v>
      </c>
      <c r="C2080" s="26" t="s">
        <v>125</v>
      </c>
      <c r="D2080" s="26" t="s">
        <v>31</v>
      </c>
      <c r="E2080" s="26">
        <v>410.0</v>
      </c>
      <c r="F2080" s="26" t="s">
        <v>481</v>
      </c>
      <c r="G2080" s="26">
        <v>12.0</v>
      </c>
      <c r="H2080" s="26">
        <v>1.0</v>
      </c>
      <c r="I2080" s="26">
        <v>220.0</v>
      </c>
      <c r="J2080" s="26">
        <v>190.0</v>
      </c>
      <c r="N2080" s="26" t="s">
        <v>683</v>
      </c>
    </row>
    <row r="2081">
      <c r="A2081" s="25">
        <v>43359.44160939815</v>
      </c>
      <c r="B2081" s="26" t="s">
        <v>319</v>
      </c>
      <c r="C2081" s="26">
        <v>10.0</v>
      </c>
      <c r="D2081" s="26" t="s">
        <v>713</v>
      </c>
      <c r="E2081" s="26">
        <v>295.0</v>
      </c>
      <c r="F2081" s="26" t="s">
        <v>1566</v>
      </c>
      <c r="G2081" s="26">
        <v>25.0</v>
      </c>
      <c r="H2081" s="26">
        <v>25.0</v>
      </c>
      <c r="I2081" s="26">
        <v>195.0</v>
      </c>
      <c r="J2081" s="26">
        <v>25.0</v>
      </c>
      <c r="K2081" s="26">
        <v>75.0</v>
      </c>
      <c r="N2081" s="26" t="s">
        <v>683</v>
      </c>
    </row>
    <row r="2082">
      <c r="A2082" s="25">
        <v>43359.48560383102</v>
      </c>
      <c r="B2082" s="26" t="s">
        <v>40</v>
      </c>
      <c r="C2082" s="26">
        <v>69.0</v>
      </c>
      <c r="D2082" s="26" t="s">
        <v>41</v>
      </c>
      <c r="E2082" s="26">
        <v>999.0</v>
      </c>
      <c r="F2082" s="26" t="s">
        <v>1558</v>
      </c>
      <c r="G2082" s="26">
        <v>27.0</v>
      </c>
      <c r="H2082" s="26">
        <v>25.0</v>
      </c>
      <c r="I2082" s="26">
        <v>300.0</v>
      </c>
      <c r="J2082" s="26">
        <v>1300.0</v>
      </c>
      <c r="K2082" s="26">
        <v>150.0</v>
      </c>
      <c r="L2082" s="26" t="s">
        <v>1567</v>
      </c>
      <c r="N2082" s="26" t="s">
        <v>685</v>
      </c>
    </row>
    <row r="2083">
      <c r="A2083" s="25">
        <v>43359.500729039355</v>
      </c>
      <c r="B2083" s="26" t="s">
        <v>33</v>
      </c>
      <c r="C2083" s="26" t="s">
        <v>73</v>
      </c>
      <c r="D2083" s="26" t="s">
        <v>31</v>
      </c>
      <c r="E2083" s="26">
        <v>170.0</v>
      </c>
      <c r="F2083" s="26" t="s">
        <v>86</v>
      </c>
      <c r="G2083" s="26">
        <v>0.0</v>
      </c>
      <c r="H2083" s="26">
        <v>0.0</v>
      </c>
      <c r="I2083" s="26">
        <v>112.0</v>
      </c>
      <c r="J2083" s="26">
        <v>22.0</v>
      </c>
      <c r="K2083" s="26">
        <v>36.0</v>
      </c>
      <c r="N2083" s="26" t="s">
        <v>691</v>
      </c>
    </row>
    <row r="2084">
      <c r="A2084" s="25">
        <v>43359.54708069444</v>
      </c>
      <c r="B2084" s="26" t="s">
        <v>80</v>
      </c>
      <c r="C2084" s="26" t="s">
        <v>179</v>
      </c>
      <c r="D2084" s="26" t="s">
        <v>31</v>
      </c>
      <c r="E2084" s="26">
        <v>143.0</v>
      </c>
      <c r="F2084" s="26" t="s">
        <v>63</v>
      </c>
      <c r="G2084" s="26">
        <v>0.0</v>
      </c>
      <c r="H2084" s="26">
        <v>0.0</v>
      </c>
      <c r="I2084" s="26">
        <v>105.0</v>
      </c>
      <c r="J2084" s="26">
        <v>23.0</v>
      </c>
      <c r="K2084" s="26">
        <v>15.0</v>
      </c>
      <c r="N2084" s="26" t="s">
        <v>704</v>
      </c>
    </row>
    <row r="2085">
      <c r="A2085" s="25">
        <v>43359.58342601852</v>
      </c>
      <c r="B2085" s="26" t="s">
        <v>33</v>
      </c>
      <c r="C2085" s="26" t="s">
        <v>43</v>
      </c>
      <c r="D2085" s="26" t="s">
        <v>711</v>
      </c>
      <c r="E2085" s="26">
        <v>260.0</v>
      </c>
      <c r="F2085" s="26" t="s">
        <v>236</v>
      </c>
      <c r="G2085" s="26">
        <v>3.0</v>
      </c>
      <c r="H2085" s="26">
        <v>1.0</v>
      </c>
      <c r="I2085" s="26">
        <v>160.0</v>
      </c>
      <c r="J2085" s="26">
        <v>100.0</v>
      </c>
      <c r="N2085" s="26" t="s">
        <v>691</v>
      </c>
    </row>
    <row r="2086">
      <c r="A2086" s="25">
        <v>43359.620101134264</v>
      </c>
      <c r="B2086" s="26" t="s">
        <v>33</v>
      </c>
      <c r="C2086" s="26" t="s">
        <v>43</v>
      </c>
      <c r="D2086" s="26" t="s">
        <v>27</v>
      </c>
      <c r="E2086" s="26">
        <v>144.0</v>
      </c>
      <c r="F2086" s="26" t="s">
        <v>63</v>
      </c>
      <c r="G2086" s="26">
        <v>5.0</v>
      </c>
      <c r="H2086" s="26">
        <v>1.5</v>
      </c>
      <c r="I2086" s="26">
        <v>96.0</v>
      </c>
      <c r="J2086" s="26">
        <v>33.0</v>
      </c>
      <c r="K2086" s="26">
        <v>15.0</v>
      </c>
      <c r="N2086" s="26" t="s">
        <v>1088</v>
      </c>
    </row>
    <row r="2087">
      <c r="A2087" s="25">
        <v>43359.67402185185</v>
      </c>
      <c r="B2087" s="26" t="s">
        <v>119</v>
      </c>
      <c r="C2087" s="26" t="s">
        <v>120</v>
      </c>
      <c r="D2087" s="26" t="s">
        <v>31</v>
      </c>
      <c r="E2087" s="26">
        <v>280.0</v>
      </c>
      <c r="F2087" s="26" t="s">
        <v>656</v>
      </c>
      <c r="G2087" s="26">
        <v>8.0</v>
      </c>
      <c r="H2087" s="26">
        <v>4.0</v>
      </c>
      <c r="I2087" s="26">
        <v>194688.0</v>
      </c>
      <c r="J2087" s="26">
        <v>57000.0</v>
      </c>
      <c r="K2087" s="26">
        <v>29000.0</v>
      </c>
      <c r="N2087" s="26" t="s">
        <v>699</v>
      </c>
    </row>
    <row r="2088">
      <c r="A2088" s="25">
        <v>43359.69152783565</v>
      </c>
      <c r="B2088" s="26" t="s">
        <v>937</v>
      </c>
      <c r="C2088" s="26" t="s">
        <v>833</v>
      </c>
      <c r="D2088" s="26" t="s">
        <v>31</v>
      </c>
      <c r="E2088" s="26">
        <v>140.0</v>
      </c>
      <c r="F2088" s="26" t="s">
        <v>1568</v>
      </c>
      <c r="G2088" s="26">
        <v>4.0</v>
      </c>
      <c r="H2088" s="26">
        <v>0.0</v>
      </c>
      <c r="I2088" s="26">
        <v>140000.0</v>
      </c>
      <c r="N2088" s="26" t="s">
        <v>683</v>
      </c>
    </row>
    <row r="2089">
      <c r="A2089" s="25">
        <v>43359.871337731485</v>
      </c>
      <c r="B2089" s="26" t="s">
        <v>1569</v>
      </c>
      <c r="C2089" s="26" t="s">
        <v>1570</v>
      </c>
      <c r="D2089" s="26" t="s">
        <v>1571</v>
      </c>
      <c r="E2089" s="26">
        <v>132.0</v>
      </c>
      <c r="F2089" s="26" t="s">
        <v>1572</v>
      </c>
      <c r="G2089" s="26">
        <v>20.0</v>
      </c>
      <c r="H2089" s="26">
        <v>6.0</v>
      </c>
      <c r="I2089" s="26">
        <v>112.0</v>
      </c>
      <c r="J2089" s="26">
        <v>1.0</v>
      </c>
      <c r="K2089" s="26">
        <v>20.0</v>
      </c>
      <c r="N2089" s="26" t="s">
        <v>1573</v>
      </c>
    </row>
    <row r="2090">
      <c r="A2090" s="25">
        <v>43359.87891586806</v>
      </c>
      <c r="B2090" s="26" t="s">
        <v>1574</v>
      </c>
      <c r="C2090" s="26" t="s">
        <v>1575</v>
      </c>
      <c r="D2090" s="26" t="s">
        <v>31</v>
      </c>
      <c r="E2090" s="26">
        <v>300.0</v>
      </c>
      <c r="F2090" s="26" t="s">
        <v>1239</v>
      </c>
      <c r="G2090" s="26">
        <v>20.0</v>
      </c>
      <c r="H2090" s="26">
        <v>2.0</v>
      </c>
      <c r="I2090" s="26">
        <v>170.0</v>
      </c>
      <c r="J2090" s="26">
        <v>100.0</v>
      </c>
      <c r="K2090" s="26">
        <v>30.0</v>
      </c>
      <c r="N2090" s="26" t="s">
        <v>708</v>
      </c>
    </row>
    <row r="2091">
      <c r="A2091" s="25">
        <v>43359.89311225695</v>
      </c>
      <c r="B2091" s="26" t="s">
        <v>146</v>
      </c>
      <c r="C2091" s="26" t="s">
        <v>31</v>
      </c>
      <c r="D2091" s="26" t="s">
        <v>31</v>
      </c>
      <c r="E2091" s="26">
        <v>190.0</v>
      </c>
      <c r="F2091" s="26" t="s">
        <v>47</v>
      </c>
      <c r="G2091" s="26">
        <v>3.0</v>
      </c>
      <c r="H2091" s="26">
        <v>1.0</v>
      </c>
      <c r="I2091" s="26">
        <v>130.0</v>
      </c>
      <c r="J2091" s="26">
        <v>40.0</v>
      </c>
      <c r="K2091" s="26">
        <v>20.0</v>
      </c>
      <c r="N2091" s="26" t="s">
        <v>708</v>
      </c>
    </row>
    <row r="2092">
      <c r="A2092" s="25">
        <v>43359.909148900464</v>
      </c>
      <c r="B2092" s="26" t="s">
        <v>33</v>
      </c>
      <c r="C2092" s="26" t="s">
        <v>504</v>
      </c>
      <c r="D2092" s="26" t="s">
        <v>27</v>
      </c>
      <c r="E2092" s="26">
        <v>210.0</v>
      </c>
      <c r="F2092" s="26" t="s">
        <v>63</v>
      </c>
      <c r="G2092" s="26">
        <v>10.0</v>
      </c>
      <c r="H2092" s="26">
        <v>1.0</v>
      </c>
      <c r="I2092" s="26">
        <v>149.0</v>
      </c>
      <c r="J2092" s="26">
        <v>35.0</v>
      </c>
      <c r="K2092" s="26">
        <v>25.0</v>
      </c>
      <c r="N2092" s="26" t="s">
        <v>1043</v>
      </c>
    </row>
    <row r="2093">
      <c r="A2093" s="25">
        <v>43359.98091449074</v>
      </c>
      <c r="B2093" s="26" t="s">
        <v>40</v>
      </c>
      <c r="C2093" s="26">
        <v>67.0</v>
      </c>
      <c r="D2093" s="26" t="s">
        <v>41</v>
      </c>
      <c r="E2093" s="26">
        <v>400.0</v>
      </c>
      <c r="F2093" s="26" t="s">
        <v>302</v>
      </c>
      <c r="G2093" s="26">
        <v>13.0</v>
      </c>
      <c r="H2093" s="26">
        <v>13.0</v>
      </c>
      <c r="I2093" s="26">
        <v>200.0</v>
      </c>
      <c r="J2093" s="26">
        <v>150.0</v>
      </c>
      <c r="K2093" s="26">
        <v>50.0</v>
      </c>
      <c r="N2093" s="26" t="s">
        <v>691</v>
      </c>
    </row>
    <row r="2094">
      <c r="A2094" s="25">
        <v>43360.04856848379</v>
      </c>
      <c r="B2094" s="26" t="s">
        <v>371</v>
      </c>
      <c r="C2094" s="26" t="s">
        <v>125</v>
      </c>
      <c r="D2094" s="26" t="s">
        <v>27</v>
      </c>
      <c r="E2094" s="26">
        <v>227.0</v>
      </c>
      <c r="F2094" s="26" t="s">
        <v>327</v>
      </c>
      <c r="G2094" s="26">
        <v>4.0</v>
      </c>
      <c r="H2094" s="26">
        <v>8.0</v>
      </c>
      <c r="N2094" s="26" t="s">
        <v>691</v>
      </c>
    </row>
    <row r="2095">
      <c r="A2095" s="25">
        <v>43360.105658182874</v>
      </c>
      <c r="B2095" s="26" t="s">
        <v>1186</v>
      </c>
      <c r="C2095" s="26" t="s">
        <v>37</v>
      </c>
      <c r="D2095" s="26" t="s">
        <v>1225</v>
      </c>
      <c r="E2095" s="26">
        <v>980.0</v>
      </c>
      <c r="F2095" s="26" t="s">
        <v>32</v>
      </c>
      <c r="G2095" s="26">
        <v>10.0</v>
      </c>
      <c r="H2095" s="26">
        <v>10.0</v>
      </c>
      <c r="I2095" s="26">
        <v>800.0</v>
      </c>
      <c r="J2095" s="26">
        <v>100.0</v>
      </c>
      <c r="K2095" s="26">
        <v>80.0</v>
      </c>
      <c r="N2095" s="26" t="s">
        <v>687</v>
      </c>
    </row>
    <row r="2096">
      <c r="A2096" s="25">
        <v>43360.29773774305</v>
      </c>
      <c r="B2096" s="26" t="s">
        <v>1434</v>
      </c>
      <c r="C2096" s="26" t="s">
        <v>37</v>
      </c>
      <c r="D2096" s="26" t="s">
        <v>31</v>
      </c>
      <c r="E2096" s="26">
        <v>430.0</v>
      </c>
      <c r="F2096" s="26" t="s">
        <v>97</v>
      </c>
      <c r="G2096" s="26">
        <v>20.0</v>
      </c>
      <c r="H2096" s="26">
        <v>1.0</v>
      </c>
      <c r="I2096" s="26">
        <v>275.0</v>
      </c>
      <c r="J2096" s="26">
        <v>130.0</v>
      </c>
      <c r="K2096" s="26">
        <v>25.0</v>
      </c>
      <c r="N2096" s="26" t="s">
        <v>704</v>
      </c>
    </row>
    <row r="2097">
      <c r="A2097" s="25">
        <v>43360.331478101856</v>
      </c>
      <c r="B2097" s="26" t="s">
        <v>146</v>
      </c>
      <c r="C2097" s="26" t="s">
        <v>31</v>
      </c>
      <c r="D2097" s="26" t="s">
        <v>31</v>
      </c>
      <c r="E2097" s="26">
        <v>188.0</v>
      </c>
      <c r="F2097" s="26" t="s">
        <v>32</v>
      </c>
      <c r="G2097" s="26">
        <v>1.0</v>
      </c>
      <c r="H2097" s="26">
        <v>1.0</v>
      </c>
      <c r="I2097" s="26">
        <v>125.0</v>
      </c>
      <c r="J2097" s="26">
        <v>50.0</v>
      </c>
      <c r="K2097" s="26">
        <v>12.0</v>
      </c>
      <c r="N2097" s="26" t="s">
        <v>751</v>
      </c>
    </row>
    <row r="2098">
      <c r="A2098" s="25">
        <v>43360.55314393518</v>
      </c>
      <c r="B2098" s="26" t="s">
        <v>268</v>
      </c>
      <c r="C2098" s="26" t="s">
        <v>606</v>
      </c>
      <c r="D2098" s="26" t="s">
        <v>31</v>
      </c>
      <c r="E2098" s="26">
        <v>238.0</v>
      </c>
      <c r="F2098" s="26" t="s">
        <v>238</v>
      </c>
      <c r="G2098" s="26">
        <v>12.0</v>
      </c>
      <c r="H2098" s="26">
        <v>12.0</v>
      </c>
      <c r="I2098" s="26">
        <v>172.0</v>
      </c>
      <c r="J2098" s="26">
        <v>40.0</v>
      </c>
      <c r="K2098" s="26">
        <v>25.0</v>
      </c>
      <c r="N2098" s="26" t="s">
        <v>704</v>
      </c>
    </row>
    <row r="2099">
      <c r="A2099" s="25">
        <v>43360.61986577546</v>
      </c>
      <c r="B2099" s="26" t="s">
        <v>154</v>
      </c>
      <c r="C2099" s="26" t="s">
        <v>1576</v>
      </c>
      <c r="D2099" s="26" t="s">
        <v>31</v>
      </c>
      <c r="E2099" s="26">
        <v>432.0</v>
      </c>
      <c r="F2099" s="26" t="s">
        <v>677</v>
      </c>
      <c r="G2099" s="26">
        <v>20.0</v>
      </c>
      <c r="H2099" s="26">
        <v>10.0</v>
      </c>
      <c r="I2099" s="26">
        <v>248.0</v>
      </c>
      <c r="J2099" s="26">
        <v>110.0</v>
      </c>
      <c r="K2099" s="26">
        <v>74.0</v>
      </c>
      <c r="N2099" s="26" t="s">
        <v>757</v>
      </c>
    </row>
    <row r="2100">
      <c r="A2100" s="25">
        <v>43360.62353928241</v>
      </c>
      <c r="B2100" s="26" t="s">
        <v>40</v>
      </c>
      <c r="C2100" s="26">
        <v>63.0</v>
      </c>
      <c r="D2100" s="26" t="s">
        <v>27</v>
      </c>
      <c r="E2100" s="26">
        <v>225.0</v>
      </c>
      <c r="F2100" s="26" t="s">
        <v>35</v>
      </c>
      <c r="G2100" s="26">
        <v>7.0</v>
      </c>
      <c r="H2100" s="26">
        <v>1.0</v>
      </c>
      <c r="I2100" s="26">
        <v>160.0</v>
      </c>
      <c r="J2100" s="26">
        <v>40.0</v>
      </c>
      <c r="K2100" s="26">
        <v>25.0</v>
      </c>
      <c r="N2100" s="26" t="s">
        <v>691</v>
      </c>
    </row>
    <row r="2101">
      <c r="A2101" s="25">
        <v>43360.651020590274</v>
      </c>
      <c r="B2101" s="26" t="s">
        <v>48</v>
      </c>
      <c r="C2101" s="26" t="s">
        <v>43</v>
      </c>
      <c r="D2101" s="26" t="s">
        <v>711</v>
      </c>
      <c r="E2101" s="26">
        <v>240.0</v>
      </c>
      <c r="F2101" s="26" t="s">
        <v>35</v>
      </c>
      <c r="G2101" s="26">
        <v>10.0</v>
      </c>
      <c r="H2101" s="26">
        <v>1.0</v>
      </c>
      <c r="I2101" s="26">
        <v>171.0</v>
      </c>
      <c r="J2101" s="26">
        <v>45.0</v>
      </c>
      <c r="K2101" s="26">
        <v>24.0</v>
      </c>
      <c r="N2101" s="26" t="s">
        <v>683</v>
      </c>
    </row>
    <row r="2102">
      <c r="A2102" s="25">
        <v>43360.68318883102</v>
      </c>
      <c r="B2102" s="26" t="s">
        <v>1577</v>
      </c>
      <c r="C2102" s="26" t="s">
        <v>1578</v>
      </c>
      <c r="D2102" s="26" t="s">
        <v>41</v>
      </c>
      <c r="E2102" s="26">
        <v>250.0</v>
      </c>
      <c r="F2102" s="26" t="s">
        <v>1579</v>
      </c>
      <c r="G2102" s="26">
        <v>12.0</v>
      </c>
      <c r="H2102" s="26">
        <v>6.0</v>
      </c>
      <c r="N2102" s="26" t="s">
        <v>708</v>
      </c>
    </row>
    <row r="2103">
      <c r="A2103" s="25">
        <v>43360.69587185185</v>
      </c>
      <c r="B2103" s="26" t="s">
        <v>36</v>
      </c>
      <c r="C2103" s="26" t="s">
        <v>73</v>
      </c>
      <c r="D2103" s="26" t="s">
        <v>31</v>
      </c>
      <c r="E2103" s="26">
        <v>330.0</v>
      </c>
      <c r="F2103" s="26" t="s">
        <v>32</v>
      </c>
      <c r="G2103" s="26">
        <v>7.0</v>
      </c>
      <c r="H2103" s="26">
        <v>1.0</v>
      </c>
      <c r="I2103" s="26">
        <v>155.0</v>
      </c>
      <c r="J2103" s="26">
        <v>105.0</v>
      </c>
      <c r="K2103" s="26">
        <v>70.0</v>
      </c>
      <c r="N2103" s="26" t="s">
        <v>685</v>
      </c>
    </row>
    <row r="2104">
      <c r="A2104" s="25">
        <v>43360.69656844907</v>
      </c>
      <c r="B2104" s="26" t="s">
        <v>268</v>
      </c>
      <c r="C2104" s="26" t="s">
        <v>966</v>
      </c>
      <c r="D2104" s="26" t="s">
        <v>41</v>
      </c>
      <c r="E2104" s="26">
        <v>190.0</v>
      </c>
      <c r="F2104" s="26" t="s">
        <v>272</v>
      </c>
      <c r="G2104" s="26">
        <v>11.0</v>
      </c>
      <c r="H2104" s="26">
        <v>11.0</v>
      </c>
      <c r="I2104" s="26">
        <v>155000.0</v>
      </c>
      <c r="K2104" s="26">
        <v>35000.0</v>
      </c>
      <c r="N2104" s="26" t="s">
        <v>715</v>
      </c>
    </row>
    <row r="2105">
      <c r="A2105" s="25">
        <v>43360.698587465275</v>
      </c>
      <c r="B2105" s="26" t="s">
        <v>48</v>
      </c>
      <c r="C2105" s="26" t="s">
        <v>166</v>
      </c>
      <c r="D2105" s="26" t="s">
        <v>41</v>
      </c>
      <c r="E2105" s="26">
        <v>360.0</v>
      </c>
      <c r="F2105" s="26" t="s">
        <v>415</v>
      </c>
      <c r="G2105" s="26">
        <v>6.0</v>
      </c>
      <c r="H2105" s="26">
        <v>6.0</v>
      </c>
      <c r="I2105" s="26">
        <v>185400.0</v>
      </c>
      <c r="J2105" s="26">
        <v>149600.0</v>
      </c>
      <c r="N2105" s="26" t="s">
        <v>685</v>
      </c>
    </row>
    <row r="2106">
      <c r="A2106" s="25">
        <v>43360.704717361106</v>
      </c>
      <c r="B2106" s="26" t="s">
        <v>33</v>
      </c>
      <c r="C2106" s="26" t="s">
        <v>275</v>
      </c>
      <c r="D2106" s="26" t="s">
        <v>31</v>
      </c>
      <c r="E2106" s="26">
        <v>170.0</v>
      </c>
      <c r="F2106" s="26" t="s">
        <v>518</v>
      </c>
      <c r="G2106" s="26">
        <v>1.0</v>
      </c>
      <c r="H2106" s="26">
        <v>1.0</v>
      </c>
      <c r="I2106" s="26">
        <v>108.0</v>
      </c>
      <c r="J2106" s="26">
        <v>28.0</v>
      </c>
      <c r="K2106" s="26">
        <v>34.0</v>
      </c>
      <c r="N2106" s="26" t="s">
        <v>683</v>
      </c>
    </row>
    <row r="2107">
      <c r="A2107" s="25">
        <v>43360.711360416666</v>
      </c>
      <c r="B2107" s="26" t="s">
        <v>45</v>
      </c>
      <c r="C2107" s="26" t="s">
        <v>102</v>
      </c>
      <c r="D2107" s="26" t="s">
        <v>31</v>
      </c>
      <c r="E2107" s="26">
        <v>216.0</v>
      </c>
      <c r="F2107" s="26" t="s">
        <v>104</v>
      </c>
      <c r="G2107" s="26">
        <v>2.0</v>
      </c>
      <c r="H2107" s="26">
        <v>2.0</v>
      </c>
      <c r="I2107" s="26">
        <v>145.0</v>
      </c>
      <c r="J2107" s="26">
        <v>51.0</v>
      </c>
      <c r="K2107" s="26">
        <v>20.0</v>
      </c>
      <c r="N2107" s="26" t="s">
        <v>685</v>
      </c>
    </row>
    <row r="2108">
      <c r="A2108" s="25">
        <v>43360.73638333334</v>
      </c>
      <c r="B2108" s="26" t="s">
        <v>80</v>
      </c>
      <c r="C2108" s="26" t="s">
        <v>73</v>
      </c>
      <c r="D2108" s="26" t="s">
        <v>27</v>
      </c>
      <c r="E2108" s="26">
        <v>200.0</v>
      </c>
      <c r="F2108" s="26" t="s">
        <v>51</v>
      </c>
      <c r="G2108" s="26">
        <v>5.0</v>
      </c>
      <c r="H2108" s="26">
        <v>0.0</v>
      </c>
      <c r="I2108" s="26">
        <v>130.0</v>
      </c>
      <c r="J2108" s="26">
        <v>43.0</v>
      </c>
      <c r="K2108" s="26">
        <v>27.0</v>
      </c>
      <c r="N2108" s="26" t="s">
        <v>1181</v>
      </c>
    </row>
    <row r="2109">
      <c r="A2109" s="25">
        <v>43360.787742291664</v>
      </c>
      <c r="B2109" s="26" t="s">
        <v>40</v>
      </c>
      <c r="C2109" s="26">
        <v>63.0</v>
      </c>
      <c r="D2109" s="26" t="s">
        <v>31</v>
      </c>
      <c r="E2109" s="26">
        <v>206.0</v>
      </c>
      <c r="F2109" s="26" t="s">
        <v>63</v>
      </c>
      <c r="G2109" s="26">
        <v>9.0</v>
      </c>
      <c r="H2109" s="26">
        <v>9.0</v>
      </c>
      <c r="I2109" s="26">
        <v>159.0</v>
      </c>
      <c r="J2109" s="26">
        <v>20.0</v>
      </c>
      <c r="K2109" s="26">
        <v>27.0</v>
      </c>
      <c r="N2109" s="26" t="s">
        <v>685</v>
      </c>
    </row>
    <row r="2110">
      <c r="A2110" s="25">
        <v>43360.884268124995</v>
      </c>
      <c r="B2110" s="26" t="s">
        <v>33</v>
      </c>
      <c r="C2110" s="26" t="s">
        <v>381</v>
      </c>
      <c r="D2110" s="26" t="s">
        <v>711</v>
      </c>
      <c r="E2110" s="26">
        <v>300.0</v>
      </c>
      <c r="F2110" s="26" t="s">
        <v>134</v>
      </c>
      <c r="G2110" s="26">
        <v>1.0</v>
      </c>
      <c r="H2110" s="26">
        <v>3.0</v>
      </c>
      <c r="I2110" s="26">
        <v>180.0</v>
      </c>
      <c r="J2110" s="26">
        <v>100.0</v>
      </c>
      <c r="K2110" s="26">
        <v>20.0</v>
      </c>
      <c r="N2110" s="26" t="s">
        <v>691</v>
      </c>
    </row>
    <row r="2111">
      <c r="A2111" s="25">
        <v>43360.8901931713</v>
      </c>
      <c r="B2111" s="26" t="s">
        <v>1574</v>
      </c>
      <c r="C2111" s="26" t="s">
        <v>1580</v>
      </c>
      <c r="D2111" s="26" t="s">
        <v>31</v>
      </c>
      <c r="E2111" s="26">
        <v>350.0</v>
      </c>
      <c r="F2111" s="26" t="s">
        <v>1239</v>
      </c>
      <c r="G2111" s="26">
        <v>13.0</v>
      </c>
      <c r="H2111" s="26">
        <v>3.0</v>
      </c>
      <c r="I2111" s="26">
        <v>170.0</v>
      </c>
      <c r="J2111" s="26">
        <v>150.0</v>
      </c>
      <c r="K2111" s="26">
        <v>30.0</v>
      </c>
      <c r="N2111" s="26" t="s">
        <v>708</v>
      </c>
    </row>
    <row r="2112">
      <c r="A2112" s="25">
        <v>43360.891395706014</v>
      </c>
      <c r="B2112" s="26" t="s">
        <v>33</v>
      </c>
      <c r="C2112" s="26" t="s">
        <v>73</v>
      </c>
      <c r="D2112" s="26" t="s">
        <v>31</v>
      </c>
      <c r="E2112" s="26">
        <v>170.0</v>
      </c>
      <c r="F2112" s="26" t="s">
        <v>94</v>
      </c>
      <c r="G2112" s="26">
        <v>0.0</v>
      </c>
      <c r="H2112" s="26">
        <v>0.0</v>
      </c>
      <c r="N2112" s="26" t="s">
        <v>683</v>
      </c>
    </row>
    <row r="2113">
      <c r="A2113" s="25">
        <v>43360.925134247685</v>
      </c>
      <c r="B2113" s="26" t="s">
        <v>33</v>
      </c>
      <c r="C2113" s="26" t="s">
        <v>62</v>
      </c>
      <c r="D2113" s="26" t="s">
        <v>27</v>
      </c>
      <c r="E2113" s="26">
        <v>189.0</v>
      </c>
      <c r="F2113" s="26" t="s">
        <v>35</v>
      </c>
      <c r="G2113" s="26">
        <v>5.0</v>
      </c>
      <c r="H2113" s="26">
        <v>1.0</v>
      </c>
      <c r="I2113" s="26">
        <v>130.0</v>
      </c>
      <c r="J2113" s="26">
        <v>24.0</v>
      </c>
      <c r="K2113" s="26">
        <v>35.0</v>
      </c>
      <c r="N2113" s="26" t="s">
        <v>1581</v>
      </c>
    </row>
    <row r="2114">
      <c r="A2114" s="25">
        <v>43360.966477766204</v>
      </c>
      <c r="B2114" s="26" t="s">
        <v>119</v>
      </c>
      <c r="C2114" s="26" t="s">
        <v>484</v>
      </c>
      <c r="D2114" s="26" t="s">
        <v>31</v>
      </c>
      <c r="E2114" s="26">
        <v>178.0</v>
      </c>
      <c r="F2114" s="26" t="s">
        <v>32</v>
      </c>
      <c r="G2114" s="26">
        <v>2.0</v>
      </c>
      <c r="H2114" s="26">
        <v>2.0</v>
      </c>
      <c r="I2114" s="26">
        <v>135.0</v>
      </c>
      <c r="J2114" s="26">
        <v>30.0</v>
      </c>
      <c r="K2114" s="26">
        <v>13.0</v>
      </c>
      <c r="N2114" s="26" t="s">
        <v>683</v>
      </c>
    </row>
    <row r="2115">
      <c r="A2115" s="25">
        <v>43361.2162947801</v>
      </c>
      <c r="B2115" s="26" t="s">
        <v>1582</v>
      </c>
      <c r="C2115" s="26">
        <v>9.0</v>
      </c>
      <c r="D2115" s="26" t="s">
        <v>41</v>
      </c>
      <c r="E2115" s="26">
        <v>160.0</v>
      </c>
      <c r="F2115" s="26" t="s">
        <v>1583</v>
      </c>
      <c r="G2115" s="26">
        <v>15.0</v>
      </c>
      <c r="H2115" s="26">
        <v>10.0</v>
      </c>
      <c r="N2115" s="26" t="s">
        <v>696</v>
      </c>
    </row>
    <row r="2116">
      <c r="A2116" s="25">
        <v>43361.31943265046</v>
      </c>
      <c r="B2116" s="26" t="s">
        <v>45</v>
      </c>
      <c r="C2116" s="26" t="s">
        <v>102</v>
      </c>
      <c r="D2116" s="26" t="s">
        <v>31</v>
      </c>
      <c r="E2116" s="26">
        <v>191.0</v>
      </c>
      <c r="F2116" s="26" t="s">
        <v>134</v>
      </c>
      <c r="G2116" s="26">
        <v>5.0</v>
      </c>
      <c r="H2116" s="26">
        <v>2.0</v>
      </c>
      <c r="I2116" s="26">
        <v>128.0</v>
      </c>
      <c r="J2116" s="26">
        <v>50.0</v>
      </c>
      <c r="K2116" s="26">
        <v>13.0</v>
      </c>
      <c r="N2116" s="26" t="s">
        <v>728</v>
      </c>
    </row>
    <row r="2117">
      <c r="A2117" s="25">
        <v>43361.40122119213</v>
      </c>
      <c r="B2117" s="26" t="s">
        <v>48</v>
      </c>
      <c r="C2117" s="26" t="s">
        <v>49</v>
      </c>
      <c r="D2117" s="26" t="s">
        <v>1584</v>
      </c>
      <c r="E2117" s="26">
        <v>200.0</v>
      </c>
      <c r="F2117" s="26" t="s">
        <v>50</v>
      </c>
      <c r="G2117" s="26">
        <v>1.0</v>
      </c>
      <c r="H2117" s="26">
        <v>0.0</v>
      </c>
      <c r="N2117" s="26" t="s">
        <v>715</v>
      </c>
    </row>
    <row r="2118">
      <c r="A2118" s="25">
        <v>43361.40377704861</v>
      </c>
      <c r="B2118" s="26" t="s">
        <v>64</v>
      </c>
      <c r="C2118" s="26" t="s">
        <v>494</v>
      </c>
      <c r="D2118" s="26" t="s">
        <v>31</v>
      </c>
      <c r="E2118" s="26">
        <v>240.0</v>
      </c>
      <c r="F2118" s="26" t="s">
        <v>175</v>
      </c>
      <c r="G2118" s="26">
        <v>6.0</v>
      </c>
      <c r="H2118" s="26">
        <v>4.0</v>
      </c>
      <c r="I2118" s="26">
        <v>135.0</v>
      </c>
      <c r="J2118" s="26">
        <v>90.0</v>
      </c>
      <c r="K2118" s="26">
        <v>25.0</v>
      </c>
      <c r="N2118" s="26" t="s">
        <v>683</v>
      </c>
    </row>
    <row r="2119">
      <c r="A2119" s="25">
        <v>43361.40648331019</v>
      </c>
      <c r="B2119" s="26" t="s">
        <v>36</v>
      </c>
      <c r="C2119" s="26" t="s">
        <v>1032</v>
      </c>
      <c r="D2119" s="26" t="s">
        <v>31</v>
      </c>
      <c r="E2119" s="26">
        <v>720.0</v>
      </c>
      <c r="F2119" s="26" t="s">
        <v>32</v>
      </c>
      <c r="G2119" s="26">
        <v>9.0</v>
      </c>
      <c r="H2119" s="26">
        <v>3.0</v>
      </c>
      <c r="I2119" s="26">
        <v>202.0</v>
      </c>
      <c r="J2119" s="26">
        <v>360.0</v>
      </c>
      <c r="K2119" s="26">
        <v>160.0</v>
      </c>
      <c r="N2119" s="26" t="s">
        <v>683</v>
      </c>
    </row>
    <row r="2120">
      <c r="A2120" s="25">
        <v>43361.45002023148</v>
      </c>
      <c r="B2120" s="26" t="s">
        <v>40</v>
      </c>
      <c r="C2120" s="26">
        <v>64.0</v>
      </c>
      <c r="D2120" s="26" t="s">
        <v>31</v>
      </c>
      <c r="E2120" s="26">
        <v>212.0</v>
      </c>
      <c r="F2120" s="26" t="s">
        <v>75</v>
      </c>
      <c r="G2120" s="26">
        <v>16.0</v>
      </c>
      <c r="H2120" s="26">
        <v>3.0</v>
      </c>
      <c r="I2120" s="26">
        <v>168.0</v>
      </c>
      <c r="J2120" s="26">
        <v>22.0</v>
      </c>
      <c r="K2120" s="26">
        <v>22.0</v>
      </c>
      <c r="N2120" s="26" t="s">
        <v>685</v>
      </c>
    </row>
    <row r="2121">
      <c r="A2121" s="25">
        <v>43361.46807663194</v>
      </c>
      <c r="B2121" s="26" t="s">
        <v>1585</v>
      </c>
      <c r="C2121" s="26" t="s">
        <v>1586</v>
      </c>
      <c r="D2121" s="26" t="s">
        <v>31</v>
      </c>
      <c r="E2121" s="26">
        <v>260.0</v>
      </c>
      <c r="F2121" s="26" t="s">
        <v>32</v>
      </c>
      <c r="G2121" s="26">
        <v>10.0</v>
      </c>
      <c r="H2121" s="26">
        <v>1.0</v>
      </c>
      <c r="I2121" s="26">
        <v>180.0</v>
      </c>
      <c r="J2121" s="26">
        <v>55.0</v>
      </c>
      <c r="K2121" s="26">
        <v>25.0</v>
      </c>
      <c r="N2121" s="26" t="s">
        <v>704</v>
      </c>
    </row>
    <row r="2122">
      <c r="A2122" s="25">
        <v>43361.48175446759</v>
      </c>
      <c r="B2122" s="26" t="s">
        <v>270</v>
      </c>
      <c r="C2122" s="26" t="s">
        <v>271</v>
      </c>
      <c r="D2122" s="26" t="s">
        <v>31</v>
      </c>
      <c r="E2122" s="26">
        <v>345.0</v>
      </c>
      <c r="F2122" s="26" t="s">
        <v>238</v>
      </c>
      <c r="G2122" s="26">
        <v>12.0</v>
      </c>
      <c r="H2122" s="26">
        <v>9.0</v>
      </c>
      <c r="I2122" s="26">
        <v>170.0</v>
      </c>
      <c r="J2122" s="26">
        <v>150.0</v>
      </c>
      <c r="K2122" s="26">
        <v>25.0</v>
      </c>
      <c r="N2122" s="26" t="s">
        <v>683</v>
      </c>
    </row>
    <row r="2123">
      <c r="A2123" s="25">
        <v>43361.48443483796</v>
      </c>
      <c r="B2123" s="26" t="s">
        <v>270</v>
      </c>
      <c r="C2123" s="26" t="s">
        <v>271</v>
      </c>
      <c r="D2123" s="26" t="s">
        <v>31</v>
      </c>
      <c r="E2123" s="26">
        <v>345.0</v>
      </c>
      <c r="F2123" s="26" t="s">
        <v>238</v>
      </c>
      <c r="G2123" s="26">
        <v>12.0</v>
      </c>
      <c r="H2123" s="26">
        <v>9.0</v>
      </c>
      <c r="I2123" s="26">
        <v>170.0</v>
      </c>
      <c r="J2123" s="26">
        <v>150.0</v>
      </c>
      <c r="K2123" s="26">
        <v>25.0</v>
      </c>
      <c r="N2123" s="26" t="s">
        <v>683</v>
      </c>
    </row>
    <row r="2124">
      <c r="A2124" s="25">
        <v>43361.57391190973</v>
      </c>
      <c r="B2124" s="26" t="s">
        <v>33</v>
      </c>
      <c r="C2124" s="26" t="s">
        <v>43</v>
      </c>
      <c r="D2124" s="26" t="s">
        <v>31</v>
      </c>
      <c r="E2124" s="26">
        <v>215.0</v>
      </c>
      <c r="F2124" s="26" t="s">
        <v>35</v>
      </c>
      <c r="G2124" s="26">
        <v>6.0</v>
      </c>
      <c r="H2124" s="26">
        <v>0.0</v>
      </c>
      <c r="I2124" s="26">
        <v>140.0</v>
      </c>
      <c r="J2124" s="26">
        <v>43.0</v>
      </c>
      <c r="K2124" s="26">
        <v>32.0</v>
      </c>
      <c r="N2124" s="26" t="s">
        <v>683</v>
      </c>
    </row>
    <row r="2125">
      <c r="A2125" s="25">
        <v>43361.67379877315</v>
      </c>
      <c r="B2125" s="26" t="s">
        <v>1587</v>
      </c>
      <c r="C2125" s="26">
        <v>18.0</v>
      </c>
      <c r="D2125" s="26" t="s">
        <v>1588</v>
      </c>
      <c r="E2125" s="26">
        <v>194.0</v>
      </c>
      <c r="F2125" s="26" t="s">
        <v>32</v>
      </c>
      <c r="G2125" s="26">
        <v>11.0</v>
      </c>
      <c r="H2125" s="26">
        <v>1.0</v>
      </c>
      <c r="I2125" s="26">
        <v>160.0</v>
      </c>
      <c r="J2125" s="26">
        <v>10.0</v>
      </c>
      <c r="K2125" s="26">
        <v>24.0</v>
      </c>
      <c r="N2125" s="26" t="s">
        <v>1163</v>
      </c>
    </row>
    <row r="2126">
      <c r="A2126" s="25">
        <v>43361.74817670139</v>
      </c>
      <c r="B2126" s="26" t="s">
        <v>146</v>
      </c>
      <c r="C2126" s="26" t="s">
        <v>96</v>
      </c>
      <c r="D2126" s="26" t="s">
        <v>31</v>
      </c>
      <c r="E2126" s="26">
        <v>270.0</v>
      </c>
      <c r="F2126" s="26" t="s">
        <v>94</v>
      </c>
      <c r="G2126" s="26">
        <v>4.0</v>
      </c>
      <c r="H2126" s="26">
        <v>1.0</v>
      </c>
      <c r="I2126" s="26">
        <v>160.0</v>
      </c>
      <c r="J2126" s="26">
        <v>85.0</v>
      </c>
      <c r="K2126" s="26">
        <v>18.0</v>
      </c>
      <c r="N2126" s="26" t="s">
        <v>696</v>
      </c>
    </row>
    <row r="2127">
      <c r="A2127" s="25">
        <v>43361.86047167824</v>
      </c>
      <c r="B2127" s="26" t="s">
        <v>146</v>
      </c>
      <c r="C2127" s="26" t="s">
        <v>31</v>
      </c>
      <c r="D2127" s="26" t="s">
        <v>31</v>
      </c>
      <c r="E2127" s="26">
        <v>223.0</v>
      </c>
      <c r="F2127" s="26" t="s">
        <v>134</v>
      </c>
      <c r="G2127" s="26">
        <v>2.0</v>
      </c>
      <c r="H2127" s="26">
        <v>1.0</v>
      </c>
      <c r="N2127" s="26" t="s">
        <v>685</v>
      </c>
    </row>
    <row r="2128">
      <c r="A2128" s="25">
        <v>43361.86724530093</v>
      </c>
      <c r="B2128" s="26" t="s">
        <v>1589</v>
      </c>
      <c r="C2128" s="26" t="s">
        <v>1590</v>
      </c>
      <c r="D2128" s="26" t="s">
        <v>27</v>
      </c>
      <c r="E2128" s="26">
        <v>190.0</v>
      </c>
      <c r="F2128" s="26" t="s">
        <v>58</v>
      </c>
      <c r="G2128" s="26">
        <v>10.0</v>
      </c>
      <c r="H2128" s="26">
        <v>1.0</v>
      </c>
      <c r="I2128" s="26">
        <v>170.0</v>
      </c>
      <c r="K2128" s="26">
        <v>20000.0</v>
      </c>
      <c r="N2128" s="26" t="s">
        <v>691</v>
      </c>
    </row>
    <row r="2129">
      <c r="A2129" s="25">
        <v>43361.90893372685</v>
      </c>
      <c r="B2129" s="26" t="s">
        <v>95</v>
      </c>
      <c r="C2129" s="26">
        <v>5.0</v>
      </c>
      <c r="D2129" s="26" t="s">
        <v>27</v>
      </c>
      <c r="E2129" s="26">
        <v>400.0</v>
      </c>
      <c r="F2129" s="26">
        <v>3.0</v>
      </c>
      <c r="G2129" s="26">
        <v>15.0</v>
      </c>
      <c r="H2129" s="26">
        <v>5.0</v>
      </c>
      <c r="N2129" s="26" t="s">
        <v>683</v>
      </c>
    </row>
    <row r="2130">
      <c r="A2130" s="25">
        <v>43361.947319224535</v>
      </c>
      <c r="B2130" s="26" t="s">
        <v>40</v>
      </c>
      <c r="C2130" s="26">
        <v>63.0</v>
      </c>
      <c r="D2130" s="26" t="s">
        <v>27</v>
      </c>
      <c r="E2130" s="26">
        <v>222.0</v>
      </c>
      <c r="F2130" s="26" t="s">
        <v>52</v>
      </c>
      <c r="G2130" s="26">
        <v>5.0</v>
      </c>
      <c r="H2130" s="26">
        <v>5.0</v>
      </c>
      <c r="I2130" s="26">
        <v>159.0</v>
      </c>
      <c r="J2130" s="26">
        <v>20.0</v>
      </c>
      <c r="K2130" s="26">
        <v>40.0</v>
      </c>
      <c r="N2130" s="26" t="s">
        <v>1591</v>
      </c>
    </row>
    <row r="2131">
      <c r="A2131" s="25">
        <v>43362.032726273144</v>
      </c>
      <c r="B2131" s="26" t="s">
        <v>371</v>
      </c>
      <c r="C2131" s="26" t="s">
        <v>716</v>
      </c>
      <c r="D2131" s="26" t="s">
        <v>1592</v>
      </c>
      <c r="E2131" s="26">
        <v>115.0</v>
      </c>
      <c r="F2131" s="26" t="s">
        <v>238</v>
      </c>
      <c r="G2131" s="26">
        <v>5.0</v>
      </c>
      <c r="H2131" s="26">
        <v>2.0</v>
      </c>
      <c r="I2131" s="26">
        <v>100.0</v>
      </c>
      <c r="J2131" s="26">
        <v>10.0</v>
      </c>
      <c r="K2131" s="26">
        <v>5.0</v>
      </c>
      <c r="N2131" s="26" t="s">
        <v>1593</v>
      </c>
    </row>
    <row r="2132">
      <c r="A2132" s="25">
        <v>43362.316972141205</v>
      </c>
      <c r="B2132" s="26" t="s">
        <v>1594</v>
      </c>
      <c r="C2132" s="26" t="s">
        <v>1595</v>
      </c>
      <c r="D2132" s="26" t="s">
        <v>1596</v>
      </c>
      <c r="E2132" s="26">
        <v>92.0</v>
      </c>
      <c r="F2132" s="26" t="s">
        <v>725</v>
      </c>
      <c r="G2132" s="26">
        <v>15.0</v>
      </c>
      <c r="H2132" s="26">
        <v>1.0</v>
      </c>
      <c r="I2132" s="26">
        <v>89.0</v>
      </c>
      <c r="K2132" s="26">
        <v>3.0</v>
      </c>
      <c r="N2132" s="26" t="s">
        <v>1597</v>
      </c>
    </row>
    <row r="2133">
      <c r="A2133" s="25">
        <v>43362.324363506945</v>
      </c>
      <c r="B2133" s="26" t="s">
        <v>45</v>
      </c>
      <c r="C2133" s="26" t="s">
        <v>102</v>
      </c>
      <c r="D2133" s="26" t="s">
        <v>31</v>
      </c>
      <c r="E2133" s="26">
        <v>156.0</v>
      </c>
      <c r="F2133" s="26" t="s">
        <v>104</v>
      </c>
      <c r="G2133" s="26">
        <v>5.0</v>
      </c>
      <c r="H2133" s="26">
        <v>9.0</v>
      </c>
      <c r="I2133" s="26">
        <v>120.0</v>
      </c>
      <c r="J2133" s="26">
        <v>20.0</v>
      </c>
      <c r="K2133" s="26">
        <v>16.0</v>
      </c>
      <c r="N2133" s="26" t="s">
        <v>699</v>
      </c>
    </row>
    <row r="2134">
      <c r="A2134" s="25">
        <v>43362.60097018519</v>
      </c>
      <c r="B2134" s="26" t="s">
        <v>33</v>
      </c>
      <c r="C2134" s="26" t="s">
        <v>34</v>
      </c>
      <c r="D2134" s="26" t="s">
        <v>27</v>
      </c>
      <c r="E2134" s="26">
        <v>320.0</v>
      </c>
      <c r="F2134" s="26" t="s">
        <v>63</v>
      </c>
      <c r="G2134" s="26">
        <v>10.0</v>
      </c>
      <c r="H2134" s="26">
        <v>5.0</v>
      </c>
      <c r="N2134" s="26" t="s">
        <v>1598</v>
      </c>
    </row>
    <row r="2135">
      <c r="A2135" s="25">
        <v>43362.601505405095</v>
      </c>
      <c r="B2135" s="26" t="s">
        <v>33</v>
      </c>
      <c r="C2135" s="26" t="s">
        <v>34</v>
      </c>
      <c r="D2135" s="26" t="s">
        <v>27</v>
      </c>
      <c r="E2135" s="26">
        <v>320.0</v>
      </c>
      <c r="F2135" s="26" t="s">
        <v>63</v>
      </c>
      <c r="G2135" s="26">
        <v>10.0</v>
      </c>
      <c r="H2135" s="26">
        <v>5.0</v>
      </c>
      <c r="N2135" s="26" t="s">
        <v>1598</v>
      </c>
    </row>
    <row r="2136">
      <c r="A2136" s="25">
        <v>43362.61977263889</v>
      </c>
      <c r="B2136" s="26" t="s">
        <v>33</v>
      </c>
      <c r="C2136" s="26" t="s">
        <v>73</v>
      </c>
      <c r="D2136" s="26" t="s">
        <v>1599</v>
      </c>
      <c r="E2136" s="26">
        <v>93.0</v>
      </c>
      <c r="F2136" s="26" t="s">
        <v>35</v>
      </c>
      <c r="G2136" s="26">
        <v>7.0</v>
      </c>
      <c r="H2136" s="26">
        <v>2.0</v>
      </c>
      <c r="I2136" s="26">
        <v>72.0</v>
      </c>
      <c r="J2136" s="26">
        <v>12.0</v>
      </c>
      <c r="K2136" s="26">
        <v>9.0</v>
      </c>
      <c r="N2136" s="26" t="s">
        <v>1331</v>
      </c>
    </row>
    <row r="2137">
      <c r="A2137" s="25">
        <v>43362.71337783565</v>
      </c>
      <c r="B2137" s="26" t="s">
        <v>1600</v>
      </c>
      <c r="C2137" s="26" t="s">
        <v>1601</v>
      </c>
      <c r="D2137" s="26" t="s">
        <v>27</v>
      </c>
      <c r="E2137" s="26">
        <v>100.0</v>
      </c>
      <c r="F2137" s="26" t="s">
        <v>1602</v>
      </c>
      <c r="G2137" s="26">
        <v>20.0</v>
      </c>
      <c r="H2137" s="26">
        <v>1.0</v>
      </c>
      <c r="I2137" s="26">
        <v>80.0</v>
      </c>
      <c r="K2137" s="26">
        <v>20.0</v>
      </c>
      <c r="N2137" s="26" t="s">
        <v>715</v>
      </c>
    </row>
    <row r="2138">
      <c r="A2138" s="25">
        <v>43362.717817233795</v>
      </c>
      <c r="B2138" s="26" t="s">
        <v>95</v>
      </c>
      <c r="C2138" s="26" t="s">
        <v>96</v>
      </c>
      <c r="D2138" s="26" t="s">
        <v>41</v>
      </c>
      <c r="E2138" s="26">
        <v>550.0</v>
      </c>
      <c r="F2138" s="26" t="s">
        <v>97</v>
      </c>
      <c r="G2138" s="26">
        <v>14.0</v>
      </c>
      <c r="H2138" s="26">
        <v>2.0</v>
      </c>
      <c r="I2138" s="26">
        <v>550.0</v>
      </c>
      <c r="N2138" s="26" t="s">
        <v>685</v>
      </c>
    </row>
    <row r="2139">
      <c r="A2139" s="25">
        <v>43362.72983358796</v>
      </c>
      <c r="B2139" s="26" t="s">
        <v>1603</v>
      </c>
      <c r="C2139" s="26">
        <v>2.0</v>
      </c>
      <c r="D2139" s="26" t="s">
        <v>27</v>
      </c>
      <c r="E2139" s="26">
        <v>745.0</v>
      </c>
      <c r="F2139" s="26" t="s">
        <v>32</v>
      </c>
      <c r="G2139" s="26">
        <v>5.0</v>
      </c>
      <c r="H2139" s="26">
        <v>2.0</v>
      </c>
      <c r="I2139" s="26">
        <v>145000.0</v>
      </c>
      <c r="J2139" s="26">
        <v>600.0</v>
      </c>
      <c r="N2139" s="26" t="s">
        <v>1604</v>
      </c>
    </row>
    <row r="2140">
      <c r="A2140" s="25">
        <v>43362.736589594904</v>
      </c>
      <c r="B2140" s="26" t="s">
        <v>33</v>
      </c>
      <c r="C2140" s="26" t="s">
        <v>34</v>
      </c>
      <c r="D2140" s="26" t="s">
        <v>27</v>
      </c>
      <c r="E2140" s="26">
        <v>510.0</v>
      </c>
      <c r="F2140" s="26" t="s">
        <v>1292</v>
      </c>
      <c r="G2140" s="26">
        <v>12.0</v>
      </c>
      <c r="H2140" s="26">
        <v>1.0</v>
      </c>
      <c r="I2140" s="26">
        <v>160000.0</v>
      </c>
      <c r="N2140" s="26" t="s">
        <v>1605</v>
      </c>
    </row>
    <row r="2141">
      <c r="A2141" s="25">
        <v>43362.791399849535</v>
      </c>
      <c r="B2141" s="26" t="s">
        <v>1606</v>
      </c>
      <c r="C2141" s="26">
        <v>5.0</v>
      </c>
      <c r="D2141" s="26" t="s">
        <v>713</v>
      </c>
      <c r="E2141" s="26">
        <v>100.0</v>
      </c>
      <c r="F2141" s="26" t="s">
        <v>1607</v>
      </c>
      <c r="G2141" s="26">
        <v>15.0</v>
      </c>
      <c r="H2141" s="26">
        <v>13.0</v>
      </c>
      <c r="N2141" s="26" t="s">
        <v>1608</v>
      </c>
    </row>
    <row r="2142">
      <c r="A2142" s="25">
        <v>43362.87074532408</v>
      </c>
      <c r="B2142" s="26" t="s">
        <v>1609</v>
      </c>
      <c r="C2142" s="26" t="s">
        <v>73</v>
      </c>
      <c r="D2142" s="26" t="s">
        <v>31</v>
      </c>
      <c r="E2142" s="26">
        <v>232.0</v>
      </c>
      <c r="F2142" s="26" t="s">
        <v>86</v>
      </c>
      <c r="G2142" s="26">
        <v>3.0</v>
      </c>
      <c r="H2142" s="26">
        <v>1.0</v>
      </c>
      <c r="I2142" s="26">
        <v>150.0</v>
      </c>
      <c r="J2142" s="26">
        <v>60.0</v>
      </c>
      <c r="K2142" s="26">
        <v>22.0</v>
      </c>
      <c r="N2142" s="26" t="s">
        <v>685</v>
      </c>
    </row>
    <row r="2143">
      <c r="A2143" s="25">
        <v>43362.894904375</v>
      </c>
      <c r="B2143" s="26" t="s">
        <v>1610</v>
      </c>
      <c r="C2143" s="26">
        <v>6.0</v>
      </c>
      <c r="D2143" s="26" t="s">
        <v>31</v>
      </c>
      <c r="E2143" s="26">
        <v>410.0</v>
      </c>
      <c r="F2143" s="26" t="s">
        <v>51</v>
      </c>
      <c r="G2143" s="26">
        <v>20.0</v>
      </c>
      <c r="H2143" s="26">
        <v>3.0</v>
      </c>
      <c r="I2143" s="26">
        <v>210.0</v>
      </c>
      <c r="J2143" s="26">
        <v>150.0</v>
      </c>
      <c r="K2143" s="26">
        <v>50.0</v>
      </c>
      <c r="N2143" s="26" t="s">
        <v>683</v>
      </c>
    </row>
    <row r="2144">
      <c r="A2144" s="25">
        <v>43362.895188634255</v>
      </c>
      <c r="B2144" s="26" t="s">
        <v>80</v>
      </c>
      <c r="C2144" s="26" t="s">
        <v>176</v>
      </c>
      <c r="D2144" s="26" t="s">
        <v>31</v>
      </c>
      <c r="E2144" s="26">
        <v>355.0</v>
      </c>
      <c r="F2144" s="26" t="s">
        <v>51</v>
      </c>
      <c r="G2144" s="26">
        <v>16.0</v>
      </c>
      <c r="H2144" s="26">
        <v>4.0</v>
      </c>
      <c r="I2144" s="26">
        <v>190.0</v>
      </c>
      <c r="J2144" s="26">
        <v>130.0</v>
      </c>
      <c r="K2144" s="26">
        <v>35.0</v>
      </c>
      <c r="N2144" s="26" t="s">
        <v>704</v>
      </c>
    </row>
    <row r="2145">
      <c r="A2145" s="25">
        <v>43362.89680396991</v>
      </c>
      <c r="B2145" s="26" t="s">
        <v>80</v>
      </c>
      <c r="C2145" s="26" t="s">
        <v>176</v>
      </c>
      <c r="D2145" s="26" t="s">
        <v>31</v>
      </c>
      <c r="E2145" s="26">
        <v>355.0</v>
      </c>
      <c r="F2145" s="26" t="s">
        <v>51</v>
      </c>
      <c r="G2145" s="26">
        <v>16.0</v>
      </c>
      <c r="H2145" s="26">
        <v>4.0</v>
      </c>
      <c r="I2145" s="26">
        <v>190.0</v>
      </c>
      <c r="J2145" s="26">
        <v>130.0</v>
      </c>
      <c r="K2145" s="26">
        <v>35.0</v>
      </c>
      <c r="N2145" s="26" t="s">
        <v>704</v>
      </c>
    </row>
    <row r="2146">
      <c r="A2146" s="25">
        <v>43362.90432778935</v>
      </c>
      <c r="B2146" s="26" t="s">
        <v>48</v>
      </c>
      <c r="C2146" s="26" t="s">
        <v>69</v>
      </c>
      <c r="D2146" s="26" t="s">
        <v>31</v>
      </c>
      <c r="E2146" s="26">
        <v>161.0</v>
      </c>
      <c r="F2146" s="26" t="s">
        <v>50</v>
      </c>
      <c r="G2146" s="26">
        <v>0.0</v>
      </c>
      <c r="H2146" s="26">
        <v>0.0</v>
      </c>
      <c r="I2146" s="26">
        <v>110.0</v>
      </c>
      <c r="J2146" s="26">
        <v>40.0</v>
      </c>
      <c r="K2146" s="26">
        <v>11.0</v>
      </c>
      <c r="L2146" s="26" t="s">
        <v>1611</v>
      </c>
      <c r="N2146" s="26" t="s">
        <v>1337</v>
      </c>
    </row>
    <row r="2147">
      <c r="A2147" s="25">
        <v>43362.96517556713</v>
      </c>
      <c r="B2147" s="26" t="s">
        <v>45</v>
      </c>
      <c r="C2147" s="26" t="s">
        <v>102</v>
      </c>
      <c r="D2147" s="26" t="s">
        <v>31</v>
      </c>
      <c r="E2147" s="26">
        <v>220.0</v>
      </c>
      <c r="F2147" s="26" t="s">
        <v>104</v>
      </c>
      <c r="G2147" s="26">
        <v>2.0</v>
      </c>
      <c r="H2147" s="26">
        <v>2.0</v>
      </c>
      <c r="I2147" s="26">
        <v>115.0</v>
      </c>
      <c r="J2147" s="26">
        <v>90.0</v>
      </c>
      <c r="K2147" s="26">
        <v>15.0</v>
      </c>
      <c r="N2147" s="26" t="s">
        <v>699</v>
      </c>
    </row>
    <row r="2148">
      <c r="A2148" s="25">
        <v>43363.00135172454</v>
      </c>
      <c r="B2148" s="26" t="s">
        <v>40</v>
      </c>
      <c r="C2148" s="26">
        <v>64.0</v>
      </c>
      <c r="D2148" s="26" t="s">
        <v>31</v>
      </c>
      <c r="E2148" s="26">
        <v>235.0</v>
      </c>
      <c r="F2148" s="26" t="s">
        <v>212</v>
      </c>
      <c r="G2148" s="26">
        <v>11.0</v>
      </c>
      <c r="H2148" s="26">
        <v>9.0</v>
      </c>
      <c r="I2148" s="26">
        <v>170.0</v>
      </c>
      <c r="J2148" s="26">
        <v>40.0</v>
      </c>
      <c r="K2148" s="26">
        <v>25.0</v>
      </c>
      <c r="N2148" s="26" t="s">
        <v>685</v>
      </c>
    </row>
    <row r="2149">
      <c r="A2149" s="25">
        <v>43363.003232187504</v>
      </c>
      <c r="B2149" s="26" t="s">
        <v>77</v>
      </c>
      <c r="C2149" s="26" t="s">
        <v>78</v>
      </c>
      <c r="D2149" s="26" t="s">
        <v>27</v>
      </c>
      <c r="E2149" s="26">
        <v>198.0</v>
      </c>
      <c r="F2149" s="26" t="s">
        <v>134</v>
      </c>
      <c r="G2149" s="26">
        <v>5.0</v>
      </c>
      <c r="H2149" s="26">
        <v>3.0</v>
      </c>
      <c r="I2149" s="26">
        <v>161.0</v>
      </c>
      <c r="J2149" s="26">
        <v>24.0</v>
      </c>
      <c r="K2149" s="26">
        <v>13.0</v>
      </c>
      <c r="N2149" s="26" t="s">
        <v>1555</v>
      </c>
    </row>
    <row r="2150">
      <c r="A2150" s="25">
        <v>43363.010113553246</v>
      </c>
      <c r="B2150" s="26" t="s">
        <v>204</v>
      </c>
      <c r="C2150" s="26" t="s">
        <v>43</v>
      </c>
      <c r="D2150" s="26" t="s">
        <v>31</v>
      </c>
      <c r="E2150" s="26">
        <v>461.0</v>
      </c>
      <c r="F2150" s="26" t="s">
        <v>32</v>
      </c>
      <c r="G2150" s="26">
        <v>10.0</v>
      </c>
      <c r="H2150" s="26">
        <v>0.0</v>
      </c>
      <c r="I2150" s="26">
        <v>210.0</v>
      </c>
      <c r="J2150" s="26">
        <v>170.0</v>
      </c>
      <c r="K2150" s="26">
        <v>81.0</v>
      </c>
      <c r="N2150" s="26" t="s">
        <v>699</v>
      </c>
    </row>
    <row r="2151">
      <c r="A2151" s="25">
        <v>43363.090361423616</v>
      </c>
      <c r="B2151" s="26" t="s">
        <v>36</v>
      </c>
      <c r="C2151" s="26">
        <v>6.0</v>
      </c>
      <c r="D2151" s="26" t="s">
        <v>31</v>
      </c>
      <c r="E2151" s="26">
        <v>500.0</v>
      </c>
      <c r="F2151" s="26" t="s">
        <v>338</v>
      </c>
      <c r="G2151" s="26">
        <v>15.0</v>
      </c>
      <c r="H2151" s="26">
        <v>2.0</v>
      </c>
      <c r="I2151" s="26">
        <v>200.0</v>
      </c>
      <c r="J2151" s="26">
        <v>255.0</v>
      </c>
      <c r="K2151" s="26">
        <v>45.0</v>
      </c>
      <c r="N2151" s="26" t="s">
        <v>1084</v>
      </c>
    </row>
    <row r="2152">
      <c r="A2152" s="25">
        <v>43363.24724864583</v>
      </c>
      <c r="B2152" s="26" t="s">
        <v>1612</v>
      </c>
      <c r="C2152" s="26" t="s">
        <v>1287</v>
      </c>
      <c r="D2152" s="26" t="s">
        <v>31</v>
      </c>
      <c r="E2152" s="26">
        <v>121.0</v>
      </c>
      <c r="F2152" s="26" t="s">
        <v>1613</v>
      </c>
      <c r="G2152" s="26">
        <v>9.0</v>
      </c>
      <c r="H2152" s="26">
        <v>7.0</v>
      </c>
      <c r="I2152" s="26">
        <v>110.0</v>
      </c>
      <c r="K2152" s="26">
        <v>11.0</v>
      </c>
      <c r="N2152" s="26" t="s">
        <v>685</v>
      </c>
    </row>
    <row r="2153">
      <c r="A2153" s="25">
        <v>43363.43585913195</v>
      </c>
      <c r="B2153" s="26" t="s">
        <v>80</v>
      </c>
      <c r="C2153" s="26" t="s">
        <v>73</v>
      </c>
      <c r="D2153" s="26" t="s">
        <v>1225</v>
      </c>
      <c r="E2153" s="26">
        <v>247.0</v>
      </c>
      <c r="F2153" s="26" t="s">
        <v>51</v>
      </c>
      <c r="G2153" s="26">
        <v>6.0</v>
      </c>
      <c r="H2153" s="26">
        <v>2.0</v>
      </c>
      <c r="N2153" s="26" t="s">
        <v>699</v>
      </c>
    </row>
    <row r="2154">
      <c r="A2154" s="25">
        <v>43363.44824226852</v>
      </c>
      <c r="B2154" s="26" t="s">
        <v>48</v>
      </c>
      <c r="C2154" s="26" t="s">
        <v>49</v>
      </c>
      <c r="D2154" s="26" t="s">
        <v>31</v>
      </c>
      <c r="E2154" s="26">
        <v>220.0</v>
      </c>
      <c r="F2154" s="26" t="s">
        <v>1614</v>
      </c>
      <c r="G2154" s="26">
        <v>5.0</v>
      </c>
      <c r="H2154" s="26">
        <v>1.5</v>
      </c>
      <c r="I2154" s="26">
        <v>150.0</v>
      </c>
      <c r="J2154" s="26">
        <v>55.0</v>
      </c>
      <c r="K2154" s="26">
        <v>15.0</v>
      </c>
      <c r="N2154" s="26" t="s">
        <v>685</v>
      </c>
    </row>
    <row r="2155">
      <c r="A2155" s="25">
        <v>43363.453775462964</v>
      </c>
      <c r="B2155" s="26" t="s">
        <v>142</v>
      </c>
      <c r="C2155" s="26" t="s">
        <v>1615</v>
      </c>
      <c r="D2155" s="26" t="s">
        <v>1616</v>
      </c>
      <c r="E2155" s="26">
        <v>250.0</v>
      </c>
      <c r="F2155" s="26" t="s">
        <v>238</v>
      </c>
      <c r="G2155" s="26">
        <v>3.0</v>
      </c>
      <c r="H2155" s="26">
        <v>1.5</v>
      </c>
      <c r="I2155" s="26">
        <v>140.0</v>
      </c>
      <c r="J2155" s="26">
        <v>100.0</v>
      </c>
      <c r="K2155" s="26">
        <v>10.0</v>
      </c>
      <c r="N2155" s="26" t="s">
        <v>704</v>
      </c>
    </row>
    <row r="2156">
      <c r="A2156" s="25">
        <v>43363.470722314814</v>
      </c>
      <c r="B2156" s="26" t="s">
        <v>187</v>
      </c>
      <c r="C2156" s="26" t="s">
        <v>176</v>
      </c>
      <c r="D2156" s="26" t="s">
        <v>1225</v>
      </c>
      <c r="E2156" s="26">
        <v>395.0</v>
      </c>
      <c r="F2156" s="26" t="s">
        <v>32</v>
      </c>
      <c r="G2156" s="26">
        <v>7.0</v>
      </c>
      <c r="H2156" s="26">
        <v>1.0</v>
      </c>
      <c r="I2156" s="26">
        <v>180.0</v>
      </c>
      <c r="J2156" s="26">
        <v>215.0</v>
      </c>
      <c r="N2156" s="26" t="s">
        <v>1617</v>
      </c>
    </row>
    <row r="2157">
      <c r="A2157" s="25">
        <v>43363.55413993055</v>
      </c>
      <c r="B2157" s="26" t="s">
        <v>33</v>
      </c>
      <c r="C2157" s="26" t="s">
        <v>62</v>
      </c>
      <c r="D2157" s="26" t="s">
        <v>1225</v>
      </c>
      <c r="E2157" s="26">
        <v>220.0</v>
      </c>
      <c r="F2157" s="26" t="s">
        <v>35</v>
      </c>
      <c r="G2157" s="26">
        <v>10.0</v>
      </c>
      <c r="H2157" s="26">
        <v>1.0</v>
      </c>
      <c r="I2157" s="26">
        <v>155.0</v>
      </c>
      <c r="J2157" s="26">
        <v>20.0</v>
      </c>
      <c r="K2157" s="26">
        <v>45.0</v>
      </c>
      <c r="N2157" s="26" t="s">
        <v>1618</v>
      </c>
    </row>
    <row r="2158">
      <c r="A2158" s="25">
        <v>43363.59912136574</v>
      </c>
      <c r="B2158" s="26" t="s">
        <v>95</v>
      </c>
      <c r="C2158" s="26" t="s">
        <v>96</v>
      </c>
      <c r="D2158" s="26" t="s">
        <v>31</v>
      </c>
      <c r="E2158" s="26">
        <v>380.0</v>
      </c>
      <c r="F2158" s="26" t="s">
        <v>97</v>
      </c>
      <c r="G2158" s="26">
        <v>6.0</v>
      </c>
      <c r="H2158" s="26">
        <v>1.0</v>
      </c>
      <c r="I2158" s="26">
        <v>380.0</v>
      </c>
      <c r="N2158" s="26" t="s">
        <v>685</v>
      </c>
    </row>
    <row r="2159">
      <c r="A2159" s="25">
        <v>43363.625116967596</v>
      </c>
      <c r="B2159" s="26" t="s">
        <v>1619</v>
      </c>
      <c r="C2159" s="26">
        <v>3.0</v>
      </c>
      <c r="D2159" s="26" t="s">
        <v>711</v>
      </c>
      <c r="E2159" s="26">
        <v>205.0</v>
      </c>
      <c r="F2159" s="26" t="s">
        <v>1620</v>
      </c>
      <c r="G2159" s="26">
        <v>7.0</v>
      </c>
      <c r="H2159" s="26">
        <v>4.0</v>
      </c>
      <c r="I2159" s="26">
        <v>165.0</v>
      </c>
      <c r="K2159" s="26">
        <v>40.0</v>
      </c>
      <c r="N2159" s="26" t="s">
        <v>1621</v>
      </c>
    </row>
    <row r="2160">
      <c r="A2160" s="25">
        <v>43363.64789502315</v>
      </c>
      <c r="B2160" s="26" t="s">
        <v>557</v>
      </c>
      <c r="C2160" s="26" t="s">
        <v>1622</v>
      </c>
      <c r="D2160" s="26" t="s">
        <v>31</v>
      </c>
      <c r="E2160" s="26">
        <v>115.0</v>
      </c>
      <c r="F2160" s="26" t="s">
        <v>1623</v>
      </c>
      <c r="G2160" s="26">
        <v>2.0</v>
      </c>
      <c r="H2160" s="26">
        <v>1.0</v>
      </c>
      <c r="I2160" s="26">
        <v>105.0</v>
      </c>
      <c r="K2160" s="26">
        <v>10.0</v>
      </c>
      <c r="N2160" s="26" t="s">
        <v>704</v>
      </c>
    </row>
    <row r="2161">
      <c r="A2161" s="25">
        <v>43363.71755325231</v>
      </c>
      <c r="B2161" s="26" t="s">
        <v>1609</v>
      </c>
      <c r="C2161" s="26" t="s">
        <v>73</v>
      </c>
      <c r="D2161" s="26" t="s">
        <v>1225</v>
      </c>
      <c r="E2161" s="26">
        <v>142.0</v>
      </c>
      <c r="F2161" s="26" t="s">
        <v>1624</v>
      </c>
      <c r="G2161" s="26">
        <v>4.0</v>
      </c>
      <c r="H2161" s="26">
        <v>0.5</v>
      </c>
      <c r="N2161" s="26" t="s">
        <v>699</v>
      </c>
    </row>
    <row r="2162">
      <c r="A2162" s="25">
        <v>43363.89108480324</v>
      </c>
      <c r="B2162" s="26" t="s">
        <v>40</v>
      </c>
      <c r="C2162" s="26">
        <v>63.0</v>
      </c>
      <c r="D2162" s="26" t="s">
        <v>1225</v>
      </c>
      <c r="E2162" s="26">
        <v>200.0</v>
      </c>
      <c r="F2162" s="26" t="s">
        <v>75</v>
      </c>
      <c r="G2162" s="26">
        <v>11.0</v>
      </c>
      <c r="H2162" s="26">
        <v>3.0</v>
      </c>
      <c r="I2162" s="26">
        <v>160.0</v>
      </c>
      <c r="J2162" s="26">
        <v>20.0</v>
      </c>
      <c r="K2162" s="26">
        <v>20.0</v>
      </c>
      <c r="N2162" s="26" t="s">
        <v>1261</v>
      </c>
    </row>
    <row r="2163">
      <c r="A2163" s="25">
        <v>43363.90875833333</v>
      </c>
      <c r="B2163" s="26" t="s">
        <v>1625</v>
      </c>
      <c r="C2163" s="26" t="s">
        <v>49</v>
      </c>
      <c r="D2163" s="26" t="s">
        <v>1626</v>
      </c>
      <c r="E2163" s="26">
        <v>147.0</v>
      </c>
      <c r="F2163" s="26" t="s">
        <v>1627</v>
      </c>
      <c r="G2163" s="26">
        <v>5.0</v>
      </c>
      <c r="H2163" s="26">
        <v>5.0</v>
      </c>
      <c r="I2163" s="26">
        <v>117.0</v>
      </c>
      <c r="J2163" s="26">
        <v>14.0</v>
      </c>
      <c r="K2163" s="26">
        <v>17.0</v>
      </c>
      <c r="L2163" s="26" t="s">
        <v>1628</v>
      </c>
      <c r="N2163" s="26" t="s">
        <v>1363</v>
      </c>
    </row>
    <row r="2164">
      <c r="A2164" s="25">
        <v>43363.927303495366</v>
      </c>
      <c r="B2164" s="26" t="s">
        <v>146</v>
      </c>
      <c r="C2164" s="26" t="s">
        <v>504</v>
      </c>
      <c r="D2164" s="26" t="s">
        <v>27</v>
      </c>
      <c r="E2164" s="26">
        <v>300.0</v>
      </c>
      <c r="F2164" s="26" t="s">
        <v>134</v>
      </c>
      <c r="G2164" s="26">
        <v>8.0</v>
      </c>
      <c r="H2164" s="26">
        <v>1.0</v>
      </c>
      <c r="I2164" s="26">
        <v>185.0</v>
      </c>
      <c r="J2164" s="26">
        <v>90.0</v>
      </c>
      <c r="K2164" s="26">
        <v>30.0</v>
      </c>
      <c r="N2164" s="26" t="s">
        <v>691</v>
      </c>
    </row>
    <row r="2165">
      <c r="A2165" s="25">
        <v>43363.93290997685</v>
      </c>
      <c r="B2165" s="26" t="s">
        <v>95</v>
      </c>
      <c r="C2165" s="26" t="s">
        <v>1629</v>
      </c>
      <c r="D2165" s="26" t="s">
        <v>41</v>
      </c>
      <c r="E2165" s="26">
        <v>450.0</v>
      </c>
      <c r="F2165" s="26" t="s">
        <v>97</v>
      </c>
      <c r="G2165" s="26">
        <v>20.0</v>
      </c>
      <c r="H2165" s="26">
        <v>7.0</v>
      </c>
      <c r="I2165" s="26">
        <v>450.0</v>
      </c>
      <c r="N2165" s="26" t="s">
        <v>685</v>
      </c>
    </row>
    <row r="2166">
      <c r="A2166" s="25">
        <v>43363.945117766205</v>
      </c>
      <c r="B2166" s="26" t="s">
        <v>95</v>
      </c>
      <c r="C2166" s="26" t="s">
        <v>96</v>
      </c>
      <c r="D2166" s="26" t="s">
        <v>31</v>
      </c>
      <c r="E2166" s="26">
        <v>630.0</v>
      </c>
      <c r="F2166" s="26" t="s">
        <v>97</v>
      </c>
      <c r="G2166" s="26">
        <v>10.0</v>
      </c>
      <c r="H2166" s="26">
        <v>1.0</v>
      </c>
      <c r="I2166" s="26">
        <v>600000.0</v>
      </c>
      <c r="J2166" s="26">
        <v>30.0</v>
      </c>
      <c r="N2166" s="26" t="s">
        <v>685</v>
      </c>
    </row>
    <row r="2167">
      <c r="A2167" s="25">
        <v>43363.97272978009</v>
      </c>
      <c r="B2167" s="26" t="s">
        <v>80</v>
      </c>
      <c r="C2167" s="26" t="s">
        <v>26</v>
      </c>
      <c r="D2167" s="26" t="s">
        <v>31</v>
      </c>
      <c r="E2167" s="26">
        <v>190.0</v>
      </c>
      <c r="F2167" s="26" t="s">
        <v>35</v>
      </c>
      <c r="G2167" s="26">
        <v>1.0</v>
      </c>
      <c r="H2167" s="26">
        <v>0.0</v>
      </c>
      <c r="I2167" s="26">
        <v>120.0</v>
      </c>
      <c r="J2167" s="26">
        <v>50.0</v>
      </c>
      <c r="K2167" s="26">
        <v>20.0</v>
      </c>
      <c r="N2167" s="26" t="s">
        <v>699</v>
      </c>
    </row>
    <row r="2168">
      <c r="A2168" s="25">
        <v>43364.153100787036</v>
      </c>
      <c r="B2168" s="26" t="s">
        <v>170</v>
      </c>
      <c r="C2168" s="26">
        <v>6.0</v>
      </c>
      <c r="D2168" s="26" t="s">
        <v>31</v>
      </c>
      <c r="E2168" s="26">
        <v>60.0</v>
      </c>
      <c r="F2168" s="26" t="s">
        <v>1630</v>
      </c>
      <c r="G2168" s="26">
        <v>2.0</v>
      </c>
      <c r="H2168" s="26">
        <v>2.0</v>
      </c>
      <c r="N2168" s="26" t="s">
        <v>691</v>
      </c>
    </row>
    <row r="2169">
      <c r="A2169" s="25">
        <v>43364.25021827546</v>
      </c>
      <c r="B2169" s="26" t="s">
        <v>124</v>
      </c>
      <c r="C2169" s="26" t="s">
        <v>1631</v>
      </c>
      <c r="D2169" s="26" t="s">
        <v>1225</v>
      </c>
      <c r="E2169" s="26">
        <v>190.0</v>
      </c>
      <c r="F2169" s="26" t="s">
        <v>459</v>
      </c>
      <c r="G2169" s="26">
        <v>15.0</v>
      </c>
      <c r="H2169" s="26">
        <v>4.0</v>
      </c>
      <c r="I2169" s="26">
        <v>135000.0</v>
      </c>
      <c r="K2169" s="26">
        <v>15000.0</v>
      </c>
      <c r="N2169" s="26" t="s">
        <v>1632</v>
      </c>
    </row>
    <row r="2170">
      <c r="A2170" s="25">
        <v>43364.29193443287</v>
      </c>
      <c r="B2170" s="26" t="s">
        <v>80</v>
      </c>
      <c r="C2170" s="26" t="s">
        <v>179</v>
      </c>
      <c r="D2170" s="26" t="s">
        <v>31</v>
      </c>
      <c r="E2170" s="26">
        <v>193.0</v>
      </c>
      <c r="F2170" s="26" t="s">
        <v>94</v>
      </c>
      <c r="G2170" s="26">
        <v>2.0</v>
      </c>
      <c r="H2170" s="26">
        <v>2.0</v>
      </c>
      <c r="I2170" s="26">
        <v>120.0</v>
      </c>
      <c r="J2170" s="26">
        <v>60.0</v>
      </c>
      <c r="K2170" s="26">
        <v>13.0</v>
      </c>
      <c r="N2170" s="26" t="s">
        <v>696</v>
      </c>
    </row>
    <row r="2171">
      <c r="A2171" s="25">
        <v>43364.32735385417</v>
      </c>
      <c r="B2171" s="26" t="s">
        <v>33</v>
      </c>
      <c r="C2171" s="26" t="s">
        <v>504</v>
      </c>
      <c r="D2171" s="26" t="s">
        <v>27</v>
      </c>
      <c r="E2171" s="26">
        <v>155.0</v>
      </c>
      <c r="F2171" s="26" t="s">
        <v>1633</v>
      </c>
      <c r="G2171" s="26">
        <v>9.0</v>
      </c>
      <c r="H2171" s="26">
        <v>2.0</v>
      </c>
      <c r="N2171" s="26" t="s">
        <v>696</v>
      </c>
    </row>
    <row r="2172">
      <c r="A2172" s="25">
        <v>43364.33431199074</v>
      </c>
      <c r="B2172" s="26" t="s">
        <v>142</v>
      </c>
      <c r="C2172" s="26">
        <v>4.0</v>
      </c>
      <c r="D2172" s="26" t="s">
        <v>31</v>
      </c>
      <c r="E2172" s="26">
        <v>350.0</v>
      </c>
      <c r="F2172" s="26" t="s">
        <v>238</v>
      </c>
      <c r="G2172" s="26">
        <v>10.0</v>
      </c>
      <c r="H2172" s="26">
        <v>0.0</v>
      </c>
      <c r="I2172" s="26">
        <v>200.0</v>
      </c>
      <c r="J2172" s="26">
        <v>130.0</v>
      </c>
      <c r="K2172" s="26">
        <v>20.0</v>
      </c>
      <c r="N2172" s="26" t="s">
        <v>691</v>
      </c>
    </row>
    <row r="2173">
      <c r="A2173" s="25">
        <v>43364.33431520833</v>
      </c>
      <c r="B2173" s="26" t="s">
        <v>142</v>
      </c>
      <c r="C2173" s="26">
        <v>4.0</v>
      </c>
      <c r="D2173" s="26" t="s">
        <v>31</v>
      </c>
      <c r="E2173" s="26">
        <v>350.0</v>
      </c>
      <c r="F2173" s="26" t="s">
        <v>238</v>
      </c>
      <c r="G2173" s="26">
        <v>10.0</v>
      </c>
      <c r="H2173" s="26">
        <v>0.0</v>
      </c>
      <c r="I2173" s="26">
        <v>200.0</v>
      </c>
      <c r="J2173" s="26">
        <v>130.0</v>
      </c>
      <c r="K2173" s="26">
        <v>20.0</v>
      </c>
      <c r="N2173" s="26" t="s">
        <v>691</v>
      </c>
    </row>
    <row r="2174">
      <c r="A2174" s="25">
        <v>43364.36967267361</v>
      </c>
      <c r="B2174" s="26" t="s">
        <v>33</v>
      </c>
      <c r="C2174" s="26" t="s">
        <v>76</v>
      </c>
      <c r="D2174" s="26" t="s">
        <v>31</v>
      </c>
      <c r="E2174" s="26">
        <v>250.0</v>
      </c>
      <c r="F2174" s="26" t="s">
        <v>35</v>
      </c>
      <c r="G2174" s="26">
        <v>3.0</v>
      </c>
      <c r="H2174" s="26">
        <v>2.0</v>
      </c>
      <c r="N2174" s="26" t="s">
        <v>699</v>
      </c>
    </row>
    <row r="2175">
      <c r="A2175" s="25">
        <v>43364.387523067126</v>
      </c>
      <c r="B2175" s="26" t="s">
        <v>33</v>
      </c>
      <c r="C2175" s="26" t="s">
        <v>76</v>
      </c>
      <c r="D2175" s="26" t="s">
        <v>31</v>
      </c>
      <c r="E2175" s="26">
        <v>192.0</v>
      </c>
      <c r="F2175" s="26" t="s">
        <v>63</v>
      </c>
      <c r="G2175" s="26">
        <v>3.0</v>
      </c>
      <c r="H2175" s="26">
        <v>3.0</v>
      </c>
      <c r="I2175" s="26">
        <v>139.0</v>
      </c>
      <c r="J2175" s="26">
        <v>53.0</v>
      </c>
      <c r="N2175" s="26" t="s">
        <v>683</v>
      </c>
    </row>
    <row r="2176">
      <c r="A2176" s="25">
        <v>43364.39113082176</v>
      </c>
      <c r="B2176" s="26" t="s">
        <v>371</v>
      </c>
      <c r="C2176" s="26" t="s">
        <v>1634</v>
      </c>
      <c r="D2176" s="26" t="s">
        <v>41</v>
      </c>
      <c r="E2176" s="26">
        <v>315.0</v>
      </c>
      <c r="F2176" s="26" t="s">
        <v>327</v>
      </c>
      <c r="G2176" s="26">
        <v>20.0</v>
      </c>
      <c r="H2176" s="26">
        <v>16.0</v>
      </c>
      <c r="I2176" s="26">
        <v>195.0</v>
      </c>
      <c r="J2176" s="26">
        <v>80.0</v>
      </c>
      <c r="K2176" s="26">
        <v>35.0</v>
      </c>
      <c r="N2176" s="26" t="s">
        <v>1635</v>
      </c>
    </row>
    <row r="2177">
      <c r="A2177" s="25">
        <v>43364.524372280095</v>
      </c>
      <c r="B2177" s="26" t="s">
        <v>33</v>
      </c>
      <c r="C2177" s="26" t="s">
        <v>275</v>
      </c>
      <c r="D2177" s="26" t="s">
        <v>713</v>
      </c>
      <c r="E2177" s="26">
        <v>120.0</v>
      </c>
      <c r="F2177" s="26" t="s">
        <v>35</v>
      </c>
      <c r="G2177" s="26">
        <v>10.0</v>
      </c>
      <c r="H2177" s="26">
        <v>3.0</v>
      </c>
      <c r="I2177" s="26">
        <v>115.0</v>
      </c>
      <c r="K2177" s="26">
        <v>12.0</v>
      </c>
      <c r="N2177" s="26" t="s">
        <v>683</v>
      </c>
    </row>
    <row r="2178">
      <c r="A2178" s="25">
        <v>43364.53159491898</v>
      </c>
      <c r="B2178" s="26" t="s">
        <v>371</v>
      </c>
      <c r="C2178" s="26" t="s">
        <v>372</v>
      </c>
      <c r="D2178" s="26" t="s">
        <v>31</v>
      </c>
      <c r="E2178" s="26">
        <v>180.0</v>
      </c>
      <c r="F2178" s="26" t="s">
        <v>238</v>
      </c>
      <c r="G2178" s="26">
        <v>10.0</v>
      </c>
      <c r="H2178" s="26">
        <v>6.0</v>
      </c>
      <c r="I2178" s="26">
        <v>144.0</v>
      </c>
      <c r="J2178" s="26">
        <v>15.0</v>
      </c>
      <c r="K2178" s="26">
        <v>12.0</v>
      </c>
      <c r="N2178" s="26" t="s">
        <v>693</v>
      </c>
    </row>
    <row r="2179">
      <c r="A2179" s="25">
        <v>43364.73696887732</v>
      </c>
      <c r="B2179" s="26" t="s">
        <v>463</v>
      </c>
      <c r="C2179" s="26" t="s">
        <v>78</v>
      </c>
      <c r="D2179" s="26" t="s">
        <v>31</v>
      </c>
      <c r="E2179" s="26">
        <v>196.0</v>
      </c>
      <c r="F2179" s="26" t="s">
        <v>453</v>
      </c>
      <c r="G2179" s="26">
        <v>6.0</v>
      </c>
      <c r="H2179" s="26">
        <v>5.0</v>
      </c>
      <c r="I2179" s="26">
        <v>180.0</v>
      </c>
      <c r="J2179" s="26">
        <v>16.0</v>
      </c>
      <c r="N2179" s="26" t="s">
        <v>685</v>
      </c>
    </row>
    <row r="2180">
      <c r="A2180" s="25">
        <v>43364.74862741899</v>
      </c>
      <c r="B2180" s="26" t="s">
        <v>1636</v>
      </c>
      <c r="C2180" s="26">
        <v>5.0</v>
      </c>
      <c r="D2180" s="26" t="s">
        <v>27</v>
      </c>
      <c r="E2180" s="26">
        <v>10.0</v>
      </c>
      <c r="F2180" s="26" t="s">
        <v>1637</v>
      </c>
      <c r="G2180" s="26">
        <v>11.0</v>
      </c>
      <c r="H2180" s="26">
        <v>1.0</v>
      </c>
      <c r="N2180" s="26" t="s">
        <v>715</v>
      </c>
    </row>
    <row r="2181">
      <c r="A2181" s="25">
        <v>43364.797324618055</v>
      </c>
      <c r="B2181" s="26" t="s">
        <v>40</v>
      </c>
      <c r="C2181" s="26">
        <v>63.0</v>
      </c>
      <c r="D2181" s="26" t="s">
        <v>27</v>
      </c>
      <c r="E2181" s="26">
        <v>162.0</v>
      </c>
      <c r="F2181" s="26" t="s">
        <v>1638</v>
      </c>
      <c r="G2181" s="26">
        <v>15.0</v>
      </c>
      <c r="H2181" s="26">
        <v>8.0</v>
      </c>
      <c r="N2181" s="26" t="s">
        <v>1639</v>
      </c>
    </row>
    <row r="2182">
      <c r="A2182" s="25">
        <v>43364.80952888889</v>
      </c>
      <c r="B2182" s="26" t="s">
        <v>33</v>
      </c>
      <c r="C2182" s="26">
        <v>7.0</v>
      </c>
      <c r="D2182" s="26" t="s">
        <v>27</v>
      </c>
      <c r="E2182" s="26">
        <v>350.0</v>
      </c>
      <c r="F2182" s="26" t="s">
        <v>133</v>
      </c>
      <c r="G2182" s="26">
        <v>9.0</v>
      </c>
      <c r="H2182" s="26">
        <v>5.0</v>
      </c>
      <c r="N2182" s="26" t="s">
        <v>1027</v>
      </c>
    </row>
    <row r="2183">
      <c r="A2183" s="25">
        <v>43364.83277408565</v>
      </c>
      <c r="B2183" s="26" t="s">
        <v>36</v>
      </c>
      <c r="C2183" s="26" t="s">
        <v>1490</v>
      </c>
      <c r="D2183" s="26" t="s">
        <v>27</v>
      </c>
      <c r="E2183" s="26">
        <v>391.0</v>
      </c>
      <c r="F2183" s="26" t="s">
        <v>297</v>
      </c>
      <c r="G2183" s="26">
        <v>8.0</v>
      </c>
      <c r="H2183" s="26">
        <v>0.5</v>
      </c>
      <c r="I2183" s="26">
        <v>160.0</v>
      </c>
      <c r="J2183" s="26">
        <v>171.0</v>
      </c>
      <c r="K2183" s="26">
        <v>60.0</v>
      </c>
      <c r="N2183" s="26" t="s">
        <v>1640</v>
      </c>
    </row>
    <row r="2184">
      <c r="A2184" s="25">
        <v>43364.85070967593</v>
      </c>
      <c r="B2184" s="26" t="s">
        <v>33</v>
      </c>
      <c r="C2184" s="26" t="s">
        <v>381</v>
      </c>
      <c r="D2184" s="26" t="s">
        <v>31</v>
      </c>
      <c r="E2184" s="26">
        <v>390.0</v>
      </c>
      <c r="F2184" s="26" t="s">
        <v>575</v>
      </c>
      <c r="G2184" s="26">
        <v>8.0</v>
      </c>
      <c r="H2184" s="26">
        <v>4.0</v>
      </c>
      <c r="I2184" s="26">
        <v>160000.0</v>
      </c>
      <c r="J2184" s="26">
        <v>230.0</v>
      </c>
      <c r="N2184" s="26" t="s">
        <v>685</v>
      </c>
    </row>
    <row r="2185">
      <c r="A2185" s="25">
        <v>43364.85353582176</v>
      </c>
      <c r="B2185" s="26" t="s">
        <v>33</v>
      </c>
      <c r="C2185" s="26" t="s">
        <v>62</v>
      </c>
      <c r="D2185" s="26" t="s">
        <v>27</v>
      </c>
      <c r="E2185" s="26">
        <v>295.0</v>
      </c>
      <c r="F2185" s="26" t="s">
        <v>35</v>
      </c>
      <c r="G2185" s="26">
        <v>17.0</v>
      </c>
      <c r="H2185" s="26">
        <v>3.0</v>
      </c>
      <c r="N2185" s="26" t="s">
        <v>1641</v>
      </c>
    </row>
    <row r="2186">
      <c r="A2186" s="25">
        <v>43364.942730497685</v>
      </c>
      <c r="B2186" s="26" t="s">
        <v>1502</v>
      </c>
      <c r="C2186" s="26">
        <v>1.0</v>
      </c>
      <c r="D2186" s="26" t="s">
        <v>31</v>
      </c>
      <c r="E2186" s="26">
        <v>140.0</v>
      </c>
      <c r="F2186" s="26" t="s">
        <v>63</v>
      </c>
      <c r="G2186" s="26">
        <v>2.0</v>
      </c>
      <c r="H2186" s="26">
        <v>0.5</v>
      </c>
      <c r="I2186" s="26">
        <v>140.0</v>
      </c>
      <c r="J2186" s="26">
        <v>10.0</v>
      </c>
      <c r="N2186" s="26" t="s">
        <v>685</v>
      </c>
    </row>
    <row r="2187">
      <c r="A2187" s="25">
        <v>43364.96464287037</v>
      </c>
      <c r="B2187" s="26" t="s">
        <v>45</v>
      </c>
      <c r="C2187" s="26" t="s">
        <v>102</v>
      </c>
      <c r="D2187" s="26" t="s">
        <v>31</v>
      </c>
      <c r="E2187" s="26">
        <v>205.0</v>
      </c>
      <c r="F2187" s="26" t="s">
        <v>104</v>
      </c>
      <c r="G2187" s="26">
        <v>1.0</v>
      </c>
      <c r="H2187" s="26">
        <v>1.0</v>
      </c>
      <c r="I2187" s="26">
        <v>130.0</v>
      </c>
      <c r="J2187" s="26">
        <v>60.0</v>
      </c>
      <c r="K2187" s="26">
        <v>15.0</v>
      </c>
      <c r="N2187" s="26" t="s">
        <v>691</v>
      </c>
    </row>
    <row r="2188">
      <c r="A2188" s="25">
        <v>43364.97247622685</v>
      </c>
      <c r="B2188" s="26" t="s">
        <v>25</v>
      </c>
      <c r="C2188" s="26" t="s">
        <v>143</v>
      </c>
      <c r="D2188" s="26" t="s">
        <v>27</v>
      </c>
      <c r="E2188" s="26">
        <v>200.0</v>
      </c>
      <c r="F2188" s="26" t="s">
        <v>28</v>
      </c>
      <c r="G2188" s="26">
        <v>19.0</v>
      </c>
      <c r="H2188" s="26">
        <v>2.0</v>
      </c>
      <c r="N2188" s="26" t="s">
        <v>691</v>
      </c>
    </row>
    <row r="2189">
      <c r="A2189" s="25">
        <v>43364.97344266204</v>
      </c>
      <c r="B2189" s="26" t="s">
        <v>25</v>
      </c>
      <c r="C2189" s="26" t="s">
        <v>143</v>
      </c>
      <c r="D2189" s="26" t="s">
        <v>27</v>
      </c>
      <c r="E2189" s="26">
        <v>220.0</v>
      </c>
      <c r="F2189" s="26" t="s">
        <v>134</v>
      </c>
      <c r="G2189" s="26">
        <v>20.0</v>
      </c>
      <c r="H2189" s="26">
        <v>2.0</v>
      </c>
      <c r="N2189" s="26" t="s">
        <v>691</v>
      </c>
    </row>
    <row r="2190">
      <c r="A2190" s="25">
        <v>43365.017990057866</v>
      </c>
      <c r="B2190" s="26" t="s">
        <v>1642</v>
      </c>
      <c r="C2190" s="26" t="s">
        <v>191</v>
      </c>
      <c r="D2190" s="26" t="s">
        <v>27</v>
      </c>
      <c r="E2190" s="26">
        <v>185.0</v>
      </c>
      <c r="F2190" s="26" t="s">
        <v>1643</v>
      </c>
      <c r="G2190" s="26">
        <v>12.0</v>
      </c>
      <c r="H2190" s="26">
        <v>4.0</v>
      </c>
      <c r="N2190" s="26" t="s">
        <v>1644</v>
      </c>
    </row>
    <row r="2191">
      <c r="A2191" s="25">
        <v>43365.02486957176</v>
      </c>
      <c r="B2191" s="26" t="s">
        <v>64</v>
      </c>
      <c r="C2191" s="26" t="s">
        <v>1173</v>
      </c>
      <c r="D2191" s="26" t="s">
        <v>31</v>
      </c>
      <c r="E2191" s="26">
        <v>295.0</v>
      </c>
      <c r="F2191" s="26" t="s">
        <v>175</v>
      </c>
      <c r="G2191" s="26">
        <v>9.0</v>
      </c>
      <c r="H2191" s="26">
        <v>4.0</v>
      </c>
      <c r="I2191" s="26">
        <v>182.0</v>
      </c>
      <c r="J2191" s="26">
        <v>73.0</v>
      </c>
      <c r="K2191" s="26">
        <v>40.0</v>
      </c>
      <c r="N2191" s="26" t="s">
        <v>685</v>
      </c>
    </row>
    <row r="2192">
      <c r="A2192" s="25">
        <v>43365.02679614583</v>
      </c>
      <c r="B2192" s="26" t="s">
        <v>40</v>
      </c>
      <c r="C2192" s="26">
        <v>60.0</v>
      </c>
      <c r="D2192" s="26" t="s">
        <v>31</v>
      </c>
      <c r="E2192" s="26">
        <v>206.0</v>
      </c>
      <c r="F2192" s="26" t="s">
        <v>63</v>
      </c>
      <c r="G2192" s="26">
        <v>1.0</v>
      </c>
      <c r="H2192" s="26">
        <v>1.0</v>
      </c>
      <c r="I2192" s="26">
        <v>120.0</v>
      </c>
      <c r="J2192" s="26">
        <v>67.0</v>
      </c>
      <c r="K2192" s="26">
        <v>19.0</v>
      </c>
      <c r="N2192" s="26" t="s">
        <v>683</v>
      </c>
    </row>
    <row r="2193">
      <c r="A2193" s="25">
        <v>43365.02774394676</v>
      </c>
      <c r="B2193" s="26" t="s">
        <v>204</v>
      </c>
      <c r="C2193" s="26" t="s">
        <v>62</v>
      </c>
      <c r="D2193" s="26" t="s">
        <v>41</v>
      </c>
      <c r="E2193" s="26">
        <v>600.0</v>
      </c>
      <c r="F2193" s="26" t="s">
        <v>32</v>
      </c>
      <c r="G2193" s="26">
        <v>13.0</v>
      </c>
      <c r="H2193" s="26">
        <v>0.0</v>
      </c>
      <c r="I2193" s="26">
        <v>240.0</v>
      </c>
      <c r="J2193" s="26">
        <v>300.0</v>
      </c>
      <c r="K2193" s="26">
        <v>60.0</v>
      </c>
      <c r="L2193" s="26" t="s">
        <v>1645</v>
      </c>
      <c r="N2193" s="26" t="s">
        <v>704</v>
      </c>
    </row>
    <row r="2194">
      <c r="A2194" s="25">
        <v>43365.04988222222</v>
      </c>
      <c r="B2194" s="26" t="s">
        <v>33</v>
      </c>
      <c r="C2194" s="26" t="s">
        <v>62</v>
      </c>
      <c r="D2194" s="26" t="s">
        <v>27</v>
      </c>
      <c r="E2194" s="26">
        <v>214.0</v>
      </c>
      <c r="F2194" s="26" t="s">
        <v>63</v>
      </c>
      <c r="G2194" s="26">
        <v>5.0</v>
      </c>
      <c r="H2194" s="26">
        <v>2.0</v>
      </c>
      <c r="I2194" s="26">
        <v>142.0</v>
      </c>
      <c r="J2194" s="26">
        <v>32.0</v>
      </c>
      <c r="K2194" s="26">
        <v>40.0</v>
      </c>
      <c r="N2194" s="26" t="s">
        <v>696</v>
      </c>
    </row>
    <row r="2195">
      <c r="A2195" s="25">
        <v>43365.067228935186</v>
      </c>
      <c r="B2195" s="26" t="s">
        <v>33</v>
      </c>
      <c r="C2195" s="26" t="s">
        <v>43</v>
      </c>
      <c r="D2195" s="26" t="s">
        <v>31</v>
      </c>
      <c r="E2195" s="26">
        <v>277.0</v>
      </c>
      <c r="F2195" s="26" t="s">
        <v>35</v>
      </c>
      <c r="G2195" s="26">
        <v>12.0</v>
      </c>
      <c r="H2195" s="26">
        <v>3.0</v>
      </c>
      <c r="I2195" s="26">
        <v>131500.0</v>
      </c>
      <c r="J2195" s="26">
        <v>146000.0</v>
      </c>
      <c r="N2195" s="26" t="s">
        <v>683</v>
      </c>
    </row>
    <row r="2196">
      <c r="A2196" s="25">
        <v>43365.12528037037</v>
      </c>
      <c r="B2196" s="26" t="s">
        <v>40</v>
      </c>
      <c r="C2196" s="26">
        <v>59.0</v>
      </c>
      <c r="D2196" s="26" t="s">
        <v>31</v>
      </c>
      <c r="E2196" s="26">
        <v>146.0</v>
      </c>
      <c r="F2196" s="26" t="s">
        <v>75</v>
      </c>
      <c r="G2196" s="26">
        <v>2.0</v>
      </c>
      <c r="H2196" s="26">
        <v>2.0</v>
      </c>
      <c r="I2196" s="26">
        <v>108.0</v>
      </c>
      <c r="J2196" s="26">
        <v>30.0</v>
      </c>
      <c r="K2196" s="26">
        <v>8.0</v>
      </c>
      <c r="N2196" s="26" t="s">
        <v>174</v>
      </c>
    </row>
    <row r="2197">
      <c r="A2197" s="25">
        <v>43365.20015480324</v>
      </c>
      <c r="B2197" s="26" t="s">
        <v>1646</v>
      </c>
      <c r="C2197" s="26" t="s">
        <v>1647</v>
      </c>
      <c r="D2197" s="26" t="s">
        <v>41</v>
      </c>
      <c r="E2197" s="26">
        <v>400.0</v>
      </c>
      <c r="F2197" s="26" t="s">
        <v>247</v>
      </c>
      <c r="G2197" s="26">
        <v>15.0</v>
      </c>
      <c r="H2197" s="26">
        <v>7.0</v>
      </c>
      <c r="N2197" s="26" t="s">
        <v>696</v>
      </c>
    </row>
    <row r="2198">
      <c r="A2198" s="25">
        <v>43365.20163513889</v>
      </c>
      <c r="B2198" s="26" t="s">
        <v>819</v>
      </c>
      <c r="C2198" s="26" t="s">
        <v>306</v>
      </c>
      <c r="D2198" s="26" t="s">
        <v>41</v>
      </c>
      <c r="E2198" s="26">
        <v>400.0</v>
      </c>
      <c r="F2198" s="26" t="s">
        <v>32</v>
      </c>
      <c r="G2198" s="26">
        <v>10.0</v>
      </c>
      <c r="H2198" s="26">
        <v>3.0</v>
      </c>
      <c r="N2198" s="26" t="s">
        <v>683</v>
      </c>
    </row>
    <row r="2199">
      <c r="A2199" s="25">
        <v>43365.28330728009</v>
      </c>
      <c r="B2199" s="26" t="s">
        <v>33</v>
      </c>
      <c r="C2199" s="26" t="s">
        <v>62</v>
      </c>
      <c r="D2199" s="26" t="s">
        <v>1648</v>
      </c>
      <c r="E2199" s="26">
        <v>150.0</v>
      </c>
      <c r="F2199" s="26" t="s">
        <v>63</v>
      </c>
      <c r="G2199" s="26">
        <v>7.0</v>
      </c>
      <c r="H2199" s="26">
        <v>3.5</v>
      </c>
      <c r="I2199" s="26">
        <v>113.0</v>
      </c>
      <c r="J2199" s="26">
        <v>35.0</v>
      </c>
      <c r="N2199" s="26" t="s">
        <v>1649</v>
      </c>
    </row>
    <row r="2200">
      <c r="A2200" s="25">
        <v>43365.28487334491</v>
      </c>
      <c r="B2200" s="26" t="s">
        <v>45</v>
      </c>
      <c r="C2200" s="26" t="s">
        <v>149</v>
      </c>
      <c r="D2200" s="26" t="s">
        <v>31</v>
      </c>
      <c r="E2200" s="26">
        <v>352.0</v>
      </c>
      <c r="F2200" s="26" t="s">
        <v>1650</v>
      </c>
      <c r="G2200" s="26">
        <v>14.0</v>
      </c>
      <c r="H2200" s="26">
        <v>5.0</v>
      </c>
      <c r="I2200" s="26">
        <v>182.0</v>
      </c>
      <c r="J2200" s="26">
        <v>140.0</v>
      </c>
      <c r="K2200" s="26">
        <v>30.0</v>
      </c>
      <c r="N2200" s="26" t="s">
        <v>685</v>
      </c>
    </row>
    <row r="2201">
      <c r="A2201" s="25">
        <v>43365.32769571759</v>
      </c>
      <c r="B2201" s="26" t="s">
        <v>36</v>
      </c>
      <c r="C2201" s="26" t="s">
        <v>610</v>
      </c>
      <c r="D2201" s="26" t="s">
        <v>31</v>
      </c>
      <c r="E2201" s="26">
        <v>202.0</v>
      </c>
      <c r="F2201" s="26" t="s">
        <v>1651</v>
      </c>
      <c r="G2201" s="26">
        <v>5.0</v>
      </c>
      <c r="H2201" s="26">
        <v>1.0</v>
      </c>
      <c r="I2201" s="26">
        <v>142.0</v>
      </c>
      <c r="J2201" s="26">
        <v>49.0</v>
      </c>
      <c r="K2201" s="26">
        <v>11.0</v>
      </c>
      <c r="N2201" s="26" t="s">
        <v>1652</v>
      </c>
    </row>
    <row r="2202">
      <c r="A2202" s="25">
        <v>43365.43284783565</v>
      </c>
      <c r="B2202" s="26" t="s">
        <v>48</v>
      </c>
      <c r="C2202" s="26" t="s">
        <v>70</v>
      </c>
      <c r="D2202" s="26" t="s">
        <v>1653</v>
      </c>
      <c r="E2202" s="26">
        <v>660.0</v>
      </c>
      <c r="F2202" s="26" t="s">
        <v>50</v>
      </c>
      <c r="G2202" s="26">
        <v>15.0</v>
      </c>
      <c r="H2202" s="26">
        <v>4.0</v>
      </c>
      <c r="N2202" s="26" t="s">
        <v>708</v>
      </c>
    </row>
    <row r="2203">
      <c r="A2203" s="25">
        <v>43365.436022395836</v>
      </c>
      <c r="B2203" s="26" t="s">
        <v>48</v>
      </c>
      <c r="C2203" s="26" t="s">
        <v>166</v>
      </c>
      <c r="D2203" s="26" t="s">
        <v>31</v>
      </c>
      <c r="E2203" s="26">
        <v>362.0</v>
      </c>
      <c r="F2203" s="26" t="s">
        <v>63</v>
      </c>
      <c r="G2203" s="26">
        <v>10.0</v>
      </c>
      <c r="H2203" s="26">
        <v>1.0</v>
      </c>
      <c r="I2203" s="26">
        <v>194.0</v>
      </c>
      <c r="J2203" s="26">
        <v>140.0</v>
      </c>
      <c r="K2203" s="26">
        <v>28.0</v>
      </c>
      <c r="N2203" s="26" t="s">
        <v>685</v>
      </c>
    </row>
    <row r="2204">
      <c r="A2204" s="25">
        <v>43365.44532621528</v>
      </c>
      <c r="B2204" s="26" t="s">
        <v>182</v>
      </c>
      <c r="C2204" s="26" t="s">
        <v>73</v>
      </c>
      <c r="D2204" s="26" t="s">
        <v>31</v>
      </c>
      <c r="E2204" s="26">
        <v>255.0</v>
      </c>
      <c r="F2204" s="26" t="s">
        <v>134</v>
      </c>
      <c r="G2204" s="26">
        <v>6.0</v>
      </c>
      <c r="H2204" s="26">
        <v>3.0</v>
      </c>
      <c r="I2204" s="26">
        <v>142.0</v>
      </c>
      <c r="N2204" s="26" t="s">
        <v>685</v>
      </c>
    </row>
    <row r="2205">
      <c r="A2205" s="25">
        <v>43365.44535309028</v>
      </c>
      <c r="B2205" s="26" t="s">
        <v>182</v>
      </c>
      <c r="C2205" s="26" t="s">
        <v>73</v>
      </c>
      <c r="D2205" s="26" t="s">
        <v>31</v>
      </c>
      <c r="E2205" s="26">
        <v>255.0</v>
      </c>
      <c r="F2205" s="26" t="s">
        <v>134</v>
      </c>
      <c r="G2205" s="26">
        <v>6.0</v>
      </c>
      <c r="H2205" s="26">
        <v>3.0</v>
      </c>
      <c r="I2205" s="26">
        <v>142.0</v>
      </c>
      <c r="N2205" s="26" t="s">
        <v>685</v>
      </c>
    </row>
    <row r="2206">
      <c r="A2206" s="25">
        <v>43365.44673402778</v>
      </c>
      <c r="B2206" s="26" t="s">
        <v>33</v>
      </c>
      <c r="C2206" s="26" t="s">
        <v>62</v>
      </c>
      <c r="D2206" s="26" t="s">
        <v>27</v>
      </c>
      <c r="E2206" s="26">
        <v>203.0</v>
      </c>
      <c r="F2206" s="26" t="s">
        <v>35</v>
      </c>
      <c r="G2206" s="26">
        <v>4.0</v>
      </c>
      <c r="H2206" s="26">
        <v>0.0</v>
      </c>
      <c r="I2206" s="26">
        <v>142.0</v>
      </c>
      <c r="J2206" s="26">
        <v>31.0</v>
      </c>
      <c r="K2206" s="26">
        <v>23.0</v>
      </c>
      <c r="L2206" s="26" t="s">
        <v>1654</v>
      </c>
      <c r="N2206" s="26" t="s">
        <v>685</v>
      </c>
    </row>
    <row r="2207">
      <c r="A2207" s="25">
        <v>43365.512940243054</v>
      </c>
      <c r="B2207" s="26" t="s">
        <v>40</v>
      </c>
      <c r="C2207" s="26">
        <v>59.0</v>
      </c>
      <c r="D2207" s="26" t="s">
        <v>31</v>
      </c>
      <c r="E2207" s="26">
        <v>165.0</v>
      </c>
      <c r="F2207" s="26" t="s">
        <v>75</v>
      </c>
      <c r="G2207" s="26">
        <v>0.0</v>
      </c>
      <c r="H2207" s="26">
        <v>0.0</v>
      </c>
      <c r="I2207" s="26">
        <v>109.0</v>
      </c>
      <c r="J2207" s="26">
        <v>30.0</v>
      </c>
      <c r="K2207" s="26">
        <v>25.0</v>
      </c>
      <c r="N2207" s="26" t="s">
        <v>704</v>
      </c>
    </row>
    <row r="2208">
      <c r="A2208" s="25">
        <v>43365.51686667824</v>
      </c>
      <c r="B2208" s="26" t="s">
        <v>1655</v>
      </c>
      <c r="C2208" s="26" t="s">
        <v>37</v>
      </c>
      <c r="D2208" s="26" t="s">
        <v>31</v>
      </c>
      <c r="E2208" s="26">
        <v>110.0</v>
      </c>
      <c r="F2208" s="26" t="s">
        <v>1656</v>
      </c>
      <c r="G2208" s="26">
        <v>30.0</v>
      </c>
      <c r="H2208" s="26">
        <v>8.0</v>
      </c>
      <c r="I2208" s="26">
        <v>110.0</v>
      </c>
      <c r="N2208" s="26" t="s">
        <v>683</v>
      </c>
    </row>
    <row r="2209">
      <c r="A2209" s="25">
        <v>43365.64269283565</v>
      </c>
      <c r="B2209" s="26" t="s">
        <v>80</v>
      </c>
      <c r="C2209" s="26" t="s">
        <v>73</v>
      </c>
      <c r="D2209" s="26" t="s">
        <v>31</v>
      </c>
      <c r="E2209" s="26">
        <v>261.0</v>
      </c>
      <c r="F2209" s="26" t="s">
        <v>32</v>
      </c>
      <c r="G2209" s="26">
        <v>6.0</v>
      </c>
      <c r="H2209" s="26">
        <v>6.0</v>
      </c>
      <c r="I2209" s="26">
        <v>158.0</v>
      </c>
      <c r="J2209" s="26">
        <v>75.0</v>
      </c>
      <c r="K2209" s="26">
        <v>28.0</v>
      </c>
      <c r="N2209" s="26" t="s">
        <v>683</v>
      </c>
    </row>
    <row r="2210">
      <c r="A2210" s="25">
        <v>43365.68308501157</v>
      </c>
      <c r="B2210" s="26" t="s">
        <v>371</v>
      </c>
      <c r="C2210" s="26" t="s">
        <v>716</v>
      </c>
      <c r="D2210" s="26" t="s">
        <v>31</v>
      </c>
      <c r="E2210" s="26">
        <v>119.0</v>
      </c>
      <c r="F2210" s="26" t="s">
        <v>327</v>
      </c>
      <c r="G2210" s="26">
        <v>4.0</v>
      </c>
      <c r="H2210" s="26">
        <v>3.0</v>
      </c>
      <c r="I2210" s="26">
        <v>104.0</v>
      </c>
      <c r="J2210" s="26">
        <v>5.0</v>
      </c>
      <c r="K2210" s="26">
        <v>10.0</v>
      </c>
      <c r="N2210" s="26" t="s">
        <v>715</v>
      </c>
    </row>
    <row r="2211">
      <c r="A2211" s="25">
        <v>43365.69308660879</v>
      </c>
      <c r="B2211" s="26" t="s">
        <v>1657</v>
      </c>
      <c r="C2211" s="26">
        <v>4.0</v>
      </c>
      <c r="D2211" s="26" t="s">
        <v>41</v>
      </c>
      <c r="E2211" s="26">
        <v>165.0</v>
      </c>
      <c r="F2211" s="26" t="s">
        <v>32</v>
      </c>
      <c r="G2211" s="26">
        <v>7.0</v>
      </c>
      <c r="H2211" s="26">
        <v>5.0</v>
      </c>
      <c r="I2211" s="26">
        <v>135.0</v>
      </c>
      <c r="J2211" s="26">
        <v>10.0</v>
      </c>
      <c r="K2211" s="26">
        <v>20.0</v>
      </c>
      <c r="N2211" s="26" t="s">
        <v>683</v>
      </c>
    </row>
    <row r="2212">
      <c r="A2212" s="25">
        <v>43365.84244680556</v>
      </c>
      <c r="B2212" s="26" t="s">
        <v>1658</v>
      </c>
      <c r="C2212" s="26" t="s">
        <v>1659</v>
      </c>
      <c r="D2212" s="26" t="s">
        <v>31</v>
      </c>
      <c r="E2212" s="26">
        <v>150.0</v>
      </c>
      <c r="F2212" s="26" t="s">
        <v>94</v>
      </c>
      <c r="G2212" s="26">
        <v>9.0</v>
      </c>
      <c r="H2212" s="26">
        <v>0.0</v>
      </c>
      <c r="N2212" s="26" t="s">
        <v>683</v>
      </c>
    </row>
    <row r="2213">
      <c r="A2213" s="25">
        <v>43365.84709163195</v>
      </c>
      <c r="B2213" s="26" t="s">
        <v>48</v>
      </c>
      <c r="C2213" s="26" t="s">
        <v>49</v>
      </c>
      <c r="D2213" s="26" t="s">
        <v>31</v>
      </c>
      <c r="E2213" s="26">
        <v>225.0</v>
      </c>
      <c r="F2213" s="26" t="s">
        <v>50</v>
      </c>
      <c r="G2213" s="26">
        <v>3.0</v>
      </c>
      <c r="H2213" s="26">
        <v>2.0</v>
      </c>
      <c r="I2213" s="26">
        <v>150.0</v>
      </c>
      <c r="J2213" s="26">
        <v>60.0</v>
      </c>
      <c r="K2213" s="26">
        <v>15.0</v>
      </c>
      <c r="N2213" s="26" t="s">
        <v>683</v>
      </c>
    </row>
    <row r="2214">
      <c r="A2214" s="25">
        <v>43365.91444045139</v>
      </c>
      <c r="B2214" s="26" t="s">
        <v>80</v>
      </c>
      <c r="C2214" s="26" t="s">
        <v>179</v>
      </c>
      <c r="D2214" s="26" t="s">
        <v>1660</v>
      </c>
      <c r="E2214" s="26">
        <v>132.0</v>
      </c>
      <c r="F2214" s="26" t="s">
        <v>35</v>
      </c>
      <c r="G2214" s="26">
        <v>4.0</v>
      </c>
      <c r="H2214" s="26">
        <v>0.0</v>
      </c>
      <c r="I2214" s="26">
        <v>100.0</v>
      </c>
      <c r="J2214" s="26">
        <v>17.0</v>
      </c>
      <c r="K2214" s="26">
        <v>15.0</v>
      </c>
      <c r="L2214" s="26" t="s">
        <v>1661</v>
      </c>
      <c r="N2214" s="26" t="s">
        <v>691</v>
      </c>
    </row>
    <row r="2215">
      <c r="A2215" s="25">
        <v>43365.915809004626</v>
      </c>
      <c r="B2215" s="26" t="s">
        <v>33</v>
      </c>
      <c r="C2215" s="26" t="s">
        <v>43</v>
      </c>
      <c r="D2215" s="26" t="s">
        <v>31</v>
      </c>
      <c r="E2215" s="26">
        <v>190.0</v>
      </c>
      <c r="F2215" s="26" t="s">
        <v>35</v>
      </c>
      <c r="G2215" s="26">
        <v>2.0</v>
      </c>
      <c r="H2215" s="26">
        <v>2.0</v>
      </c>
      <c r="I2215" s="26">
        <v>131.0</v>
      </c>
      <c r="J2215" s="26">
        <v>59.0</v>
      </c>
      <c r="N2215" s="26" t="s">
        <v>683</v>
      </c>
    </row>
    <row r="2216">
      <c r="A2216" s="25">
        <v>43365.95390079861</v>
      </c>
      <c r="B2216" s="26" t="s">
        <v>80</v>
      </c>
      <c r="C2216" s="26" t="s">
        <v>73</v>
      </c>
      <c r="D2216" s="26" t="s">
        <v>31</v>
      </c>
      <c r="E2216" s="26">
        <v>276.0</v>
      </c>
      <c r="F2216" s="26" t="s">
        <v>199</v>
      </c>
      <c r="G2216" s="26">
        <v>10.0</v>
      </c>
      <c r="H2216" s="26">
        <v>2.0</v>
      </c>
      <c r="I2216" s="26">
        <v>159.0</v>
      </c>
      <c r="J2216" s="26">
        <v>83.0</v>
      </c>
      <c r="K2216" s="26">
        <v>34.0</v>
      </c>
      <c r="N2216" s="26" t="s">
        <v>683</v>
      </c>
    </row>
    <row r="2217">
      <c r="A2217" s="25">
        <v>43365.99243778935</v>
      </c>
      <c r="B2217" s="26" t="s">
        <v>33</v>
      </c>
      <c r="C2217" s="26" t="s">
        <v>62</v>
      </c>
      <c r="D2217" s="26" t="s">
        <v>27</v>
      </c>
      <c r="E2217" s="26">
        <v>233.0</v>
      </c>
      <c r="F2217" s="26" t="s">
        <v>35</v>
      </c>
      <c r="G2217" s="26">
        <v>11.0</v>
      </c>
      <c r="H2217" s="26">
        <v>4.5</v>
      </c>
      <c r="I2217" s="26">
        <v>121.0</v>
      </c>
      <c r="J2217" s="26">
        <v>112.0</v>
      </c>
      <c r="N2217" s="26" t="s">
        <v>1662</v>
      </c>
    </row>
    <row r="2218">
      <c r="A2218" s="25">
        <v>43365.996935462965</v>
      </c>
      <c r="B2218" s="26" t="s">
        <v>40</v>
      </c>
      <c r="C2218" s="26">
        <v>61.0</v>
      </c>
      <c r="D2218" s="26" t="s">
        <v>31</v>
      </c>
      <c r="E2218" s="26">
        <v>237.0</v>
      </c>
      <c r="F2218" s="26" t="s">
        <v>32</v>
      </c>
      <c r="G2218" s="26">
        <v>3.0</v>
      </c>
      <c r="H2218" s="26">
        <v>1.0</v>
      </c>
      <c r="I2218" s="26">
        <v>159.0</v>
      </c>
      <c r="J2218" s="26">
        <v>65.0</v>
      </c>
      <c r="K2218" s="26">
        <v>13.0</v>
      </c>
      <c r="N2218" s="26" t="s">
        <v>685</v>
      </c>
    </row>
    <row r="2219">
      <c r="A2219" s="25">
        <v>43366.03139920138</v>
      </c>
      <c r="B2219" s="26" t="s">
        <v>40</v>
      </c>
      <c r="C2219" s="26">
        <v>59.0</v>
      </c>
      <c r="D2219" s="26" t="s">
        <v>27</v>
      </c>
      <c r="E2219" s="26">
        <v>148.0</v>
      </c>
      <c r="F2219" s="26" t="s">
        <v>35</v>
      </c>
      <c r="G2219" s="26">
        <v>0.0</v>
      </c>
      <c r="H2219" s="26">
        <v>0.0</v>
      </c>
      <c r="I2219" s="26">
        <v>108.0</v>
      </c>
      <c r="J2219" s="26">
        <v>20.0</v>
      </c>
      <c r="K2219" s="26">
        <v>20.0</v>
      </c>
      <c r="N2219" s="26" t="s">
        <v>1663</v>
      </c>
    </row>
    <row r="2220">
      <c r="A2220" s="25">
        <v>43366.0420519676</v>
      </c>
      <c r="B2220" s="26" t="s">
        <v>45</v>
      </c>
      <c r="C2220" s="26" t="s">
        <v>98</v>
      </c>
      <c r="D2220" s="26" t="s">
        <v>31</v>
      </c>
      <c r="E2220" s="26">
        <v>152.0</v>
      </c>
      <c r="F2220" s="26" t="s">
        <v>47</v>
      </c>
      <c r="G2220" s="26">
        <v>0.0</v>
      </c>
      <c r="H2220" s="26">
        <v>0.0</v>
      </c>
      <c r="I2220" s="26">
        <v>110.0</v>
      </c>
      <c r="J2220" s="26">
        <v>12.0</v>
      </c>
      <c r="K2220" s="26">
        <v>30.0</v>
      </c>
      <c r="N2220" s="26" t="s">
        <v>683</v>
      </c>
    </row>
    <row r="2221">
      <c r="A2221" s="25">
        <v>43366.16231572916</v>
      </c>
      <c r="B2221" s="26" t="s">
        <v>33</v>
      </c>
      <c r="C2221" s="26" t="s">
        <v>43</v>
      </c>
      <c r="D2221" s="26" t="s">
        <v>1234</v>
      </c>
      <c r="E2221" s="26">
        <v>174.0</v>
      </c>
      <c r="F2221" s="26" t="s">
        <v>63</v>
      </c>
      <c r="G2221" s="26">
        <v>1.0</v>
      </c>
      <c r="H2221" s="26">
        <v>1.0</v>
      </c>
      <c r="I2221" s="26">
        <v>144.0</v>
      </c>
      <c r="J2221" s="26">
        <v>30.0</v>
      </c>
      <c r="N2221" s="26" t="s">
        <v>691</v>
      </c>
    </row>
    <row r="2222">
      <c r="A2222" s="25">
        <v>43366.18708059027</v>
      </c>
      <c r="B2222" s="26" t="s">
        <v>40</v>
      </c>
      <c r="C2222" s="26">
        <v>67.0</v>
      </c>
      <c r="D2222" s="26" t="s">
        <v>31</v>
      </c>
      <c r="E2222" s="26">
        <v>497.0</v>
      </c>
      <c r="F2222" s="26" t="s">
        <v>75</v>
      </c>
      <c r="G2222" s="26">
        <v>12.0</v>
      </c>
      <c r="H2222" s="26">
        <v>9.0</v>
      </c>
      <c r="I2222" s="26">
        <v>222.0</v>
      </c>
      <c r="J2222" s="26">
        <v>200.0</v>
      </c>
      <c r="K2222" s="26">
        <v>75.0</v>
      </c>
      <c r="N2222" s="26" t="s">
        <v>685</v>
      </c>
    </row>
    <row r="2223">
      <c r="A2223" s="25">
        <v>43366.347026944444</v>
      </c>
      <c r="B2223" s="26" t="s">
        <v>33</v>
      </c>
      <c r="C2223" s="26" t="s">
        <v>912</v>
      </c>
      <c r="D2223" s="26" t="s">
        <v>713</v>
      </c>
      <c r="E2223" s="26">
        <v>300.0</v>
      </c>
      <c r="F2223" s="26" t="s">
        <v>459</v>
      </c>
      <c r="G2223" s="26">
        <v>16.0</v>
      </c>
      <c r="H2223" s="26">
        <v>16.0</v>
      </c>
      <c r="N2223" s="26" t="s">
        <v>715</v>
      </c>
    </row>
    <row r="2224">
      <c r="A2224" s="25">
        <v>43366.355467650465</v>
      </c>
      <c r="B2224" s="26" t="s">
        <v>55</v>
      </c>
      <c r="C2224" s="26">
        <v>63.0</v>
      </c>
      <c r="D2224" s="26" t="s">
        <v>713</v>
      </c>
      <c r="E2224" s="26">
        <v>235.0</v>
      </c>
      <c r="F2224" s="26" t="s">
        <v>1664</v>
      </c>
      <c r="G2224" s="26">
        <v>10.0</v>
      </c>
      <c r="H2224" s="26">
        <v>0.0</v>
      </c>
      <c r="I2224" s="26">
        <v>155.0</v>
      </c>
      <c r="J2224" s="26">
        <v>40.0</v>
      </c>
      <c r="K2224" s="26">
        <v>40.0</v>
      </c>
      <c r="N2224" s="26" t="s">
        <v>691</v>
      </c>
    </row>
    <row r="2225">
      <c r="A2225" s="25">
        <v>43366.44723979167</v>
      </c>
      <c r="B2225" s="26" t="s">
        <v>45</v>
      </c>
      <c r="C2225" s="26" t="s">
        <v>102</v>
      </c>
      <c r="D2225" s="26" t="s">
        <v>31</v>
      </c>
      <c r="E2225" s="26">
        <v>283.0</v>
      </c>
      <c r="F2225" s="26" t="s">
        <v>104</v>
      </c>
      <c r="G2225" s="26">
        <v>10.0</v>
      </c>
      <c r="H2225" s="26">
        <v>0.0</v>
      </c>
      <c r="I2225" s="26">
        <v>170.0</v>
      </c>
      <c r="J2225" s="26">
        <v>57.0</v>
      </c>
      <c r="K2225" s="26">
        <v>63.0</v>
      </c>
      <c r="L2225" s="26" t="s">
        <v>1665</v>
      </c>
      <c r="N2225" s="26" t="s">
        <v>699</v>
      </c>
    </row>
    <row r="2226">
      <c r="A2226" s="25">
        <v>43366.507516990736</v>
      </c>
      <c r="B2226" s="26" t="s">
        <v>77</v>
      </c>
      <c r="C2226" s="26" t="s">
        <v>898</v>
      </c>
      <c r="D2226" s="26" t="s">
        <v>711</v>
      </c>
      <c r="E2226" s="26">
        <v>160.0</v>
      </c>
      <c r="F2226" s="26" t="s">
        <v>1666</v>
      </c>
      <c r="G2226" s="26">
        <v>1.0</v>
      </c>
      <c r="H2226" s="26">
        <v>1.0</v>
      </c>
      <c r="I2226" s="26">
        <v>130.0</v>
      </c>
      <c r="J2226" s="26">
        <v>10.0</v>
      </c>
      <c r="K2226" s="26">
        <v>20.0</v>
      </c>
      <c r="N2226" s="26" t="s">
        <v>1134</v>
      </c>
    </row>
    <row r="2227">
      <c r="A2227" s="25">
        <v>43366.51754328704</v>
      </c>
      <c r="B2227" s="26" t="s">
        <v>40</v>
      </c>
      <c r="C2227" s="26">
        <v>59.0</v>
      </c>
      <c r="D2227" s="26" t="s">
        <v>31</v>
      </c>
      <c r="E2227" s="26">
        <v>157.0</v>
      </c>
      <c r="F2227" s="26" t="s">
        <v>52</v>
      </c>
      <c r="G2227" s="26">
        <v>0.0</v>
      </c>
      <c r="H2227" s="26">
        <v>0.0</v>
      </c>
      <c r="I2227" s="26">
        <v>109.0</v>
      </c>
      <c r="J2227" s="26">
        <v>18.0</v>
      </c>
      <c r="K2227" s="26">
        <v>30.0</v>
      </c>
      <c r="N2227" s="26" t="s">
        <v>811</v>
      </c>
    </row>
    <row r="2228">
      <c r="A2228" s="25">
        <v>43366.560048541665</v>
      </c>
      <c r="B2228" s="26" t="s">
        <v>673</v>
      </c>
      <c r="C2228" s="26">
        <v>5.0</v>
      </c>
      <c r="D2228" s="26" t="s">
        <v>711</v>
      </c>
      <c r="E2228" s="26">
        <v>220.0</v>
      </c>
      <c r="F2228" s="26" t="s">
        <v>238</v>
      </c>
      <c r="G2228" s="26">
        <v>7.0</v>
      </c>
      <c r="H2228" s="26">
        <v>2.5</v>
      </c>
      <c r="I2228" s="26">
        <v>150.0</v>
      </c>
      <c r="J2228" s="26">
        <v>50.0</v>
      </c>
      <c r="K2228" s="26">
        <v>20.0</v>
      </c>
      <c r="N2228" s="26" t="s">
        <v>1667</v>
      </c>
    </row>
    <row r="2229">
      <c r="A2229" s="25">
        <v>43366.59429170139</v>
      </c>
      <c r="B2229" s="26" t="s">
        <v>40</v>
      </c>
      <c r="C2229" s="26">
        <v>65.0</v>
      </c>
      <c r="D2229" s="26" t="s">
        <v>31</v>
      </c>
      <c r="E2229" s="26">
        <v>320.0</v>
      </c>
      <c r="F2229" s="26" t="s">
        <v>75</v>
      </c>
      <c r="G2229" s="26">
        <v>10.0</v>
      </c>
      <c r="H2229" s="26">
        <v>1.0</v>
      </c>
      <c r="I2229" s="26">
        <v>190.0</v>
      </c>
      <c r="J2229" s="26">
        <v>100.0</v>
      </c>
      <c r="K2229" s="26">
        <v>30.0</v>
      </c>
      <c r="N2229" s="26" t="s">
        <v>691</v>
      </c>
    </row>
    <row r="2230">
      <c r="A2230" s="25">
        <v>43366.641473020834</v>
      </c>
      <c r="B2230" s="26" t="s">
        <v>80</v>
      </c>
      <c r="C2230" s="26" t="s">
        <v>73</v>
      </c>
      <c r="D2230" s="26" t="s">
        <v>31</v>
      </c>
      <c r="E2230" s="26">
        <v>250.0</v>
      </c>
      <c r="F2230" s="26" t="s">
        <v>1668</v>
      </c>
      <c r="G2230" s="26">
        <v>5.0</v>
      </c>
      <c r="H2230" s="26">
        <v>5.0</v>
      </c>
      <c r="I2230" s="26">
        <v>125.0</v>
      </c>
      <c r="J2230" s="26">
        <v>100.0</v>
      </c>
      <c r="K2230" s="26">
        <v>25.0</v>
      </c>
      <c r="N2230" s="26" t="s">
        <v>685</v>
      </c>
    </row>
    <row r="2231">
      <c r="A2231" s="25">
        <v>43366.65254751158</v>
      </c>
      <c r="B2231" s="26" t="s">
        <v>1669</v>
      </c>
      <c r="C2231" s="26" t="s">
        <v>1578</v>
      </c>
      <c r="D2231" s="26" t="s">
        <v>27</v>
      </c>
      <c r="E2231" s="26">
        <v>230.0</v>
      </c>
      <c r="F2231" s="26" t="s">
        <v>481</v>
      </c>
      <c r="G2231" s="26">
        <v>15.0</v>
      </c>
      <c r="H2231" s="26">
        <v>5.0</v>
      </c>
      <c r="N2231" s="26" t="s">
        <v>1670</v>
      </c>
    </row>
    <row r="2232">
      <c r="A2232" s="25">
        <v>43366.65390553241</v>
      </c>
      <c r="B2232" s="26" t="s">
        <v>80</v>
      </c>
      <c r="C2232" s="26" t="s">
        <v>62</v>
      </c>
      <c r="D2232" s="26" t="s">
        <v>27</v>
      </c>
      <c r="E2232" s="26">
        <v>230.0</v>
      </c>
      <c r="F2232" s="26" t="s">
        <v>51</v>
      </c>
      <c r="G2232" s="26">
        <v>14.0</v>
      </c>
      <c r="H2232" s="26">
        <v>5.0</v>
      </c>
      <c r="N2232" s="26" t="s">
        <v>1670</v>
      </c>
    </row>
    <row r="2233">
      <c r="A2233" s="25">
        <v>43366.661954525465</v>
      </c>
      <c r="B2233" s="26" t="s">
        <v>174</v>
      </c>
      <c r="C2233" s="26" t="s">
        <v>1671</v>
      </c>
      <c r="D2233" s="26" t="s">
        <v>41</v>
      </c>
      <c r="E2233" s="26">
        <v>292.0</v>
      </c>
      <c r="F2233" s="26" t="s">
        <v>320</v>
      </c>
      <c r="G2233" s="26">
        <v>15.0</v>
      </c>
      <c r="H2233" s="26">
        <v>4.0</v>
      </c>
      <c r="I2233" s="26">
        <v>250.0</v>
      </c>
      <c r="K2233" s="26">
        <v>42.0</v>
      </c>
      <c r="N2233" s="26" t="s">
        <v>174</v>
      </c>
    </row>
    <row r="2234">
      <c r="A2234" s="25">
        <v>43366.78528211806</v>
      </c>
      <c r="B2234" s="26" t="s">
        <v>319</v>
      </c>
      <c r="C2234" s="26">
        <v>9.0</v>
      </c>
      <c r="D2234" s="26" t="s">
        <v>1672</v>
      </c>
      <c r="E2234" s="26">
        <v>170.0</v>
      </c>
      <c r="F2234" s="26" t="s">
        <v>1673</v>
      </c>
      <c r="G2234" s="26">
        <v>2.0</v>
      </c>
      <c r="H2234" s="26">
        <v>2.0</v>
      </c>
      <c r="I2234" s="26">
        <v>161.0</v>
      </c>
      <c r="K2234" s="26">
        <v>9.0</v>
      </c>
      <c r="N2234" s="26" t="s">
        <v>691</v>
      </c>
    </row>
    <row r="2235">
      <c r="A2235" s="25">
        <v>43366.87548275463</v>
      </c>
      <c r="B2235" s="26" t="s">
        <v>40</v>
      </c>
      <c r="C2235" s="26">
        <v>62.0</v>
      </c>
      <c r="D2235" s="26" t="s">
        <v>31</v>
      </c>
      <c r="E2235" s="26">
        <v>193.0</v>
      </c>
      <c r="F2235" s="26" t="s">
        <v>75</v>
      </c>
      <c r="G2235" s="26">
        <v>8.0</v>
      </c>
      <c r="H2235" s="26">
        <v>0.0</v>
      </c>
      <c r="I2235" s="26">
        <v>145.0</v>
      </c>
      <c r="J2235" s="26">
        <v>33.0</v>
      </c>
      <c r="K2235" s="26">
        <v>15.0</v>
      </c>
      <c r="N2235" s="26" t="s">
        <v>683</v>
      </c>
    </row>
    <row r="2236">
      <c r="A2236" s="25">
        <v>43366.876773958335</v>
      </c>
      <c r="B2236" s="26" t="s">
        <v>40</v>
      </c>
      <c r="C2236" s="26">
        <v>63.0</v>
      </c>
      <c r="D2236" s="26" t="s">
        <v>31</v>
      </c>
      <c r="E2236" s="26">
        <v>233.0</v>
      </c>
      <c r="F2236" s="26" t="s">
        <v>75</v>
      </c>
      <c r="G2236" s="26">
        <v>9.0</v>
      </c>
      <c r="H2236" s="26">
        <v>1.0</v>
      </c>
      <c r="I2236" s="26">
        <v>165.0</v>
      </c>
      <c r="J2236" s="26">
        <v>50.0</v>
      </c>
      <c r="K2236" s="26">
        <v>18.0</v>
      </c>
      <c r="N2236" s="26" t="s">
        <v>683</v>
      </c>
    </row>
    <row r="2237">
      <c r="A2237" s="25">
        <v>43366.880075787034</v>
      </c>
      <c r="B2237" s="26" t="s">
        <v>765</v>
      </c>
      <c r="C2237" s="26" t="s">
        <v>1671</v>
      </c>
      <c r="D2237" s="26" t="s">
        <v>27</v>
      </c>
      <c r="E2237" s="26">
        <v>475.0</v>
      </c>
      <c r="F2237" s="26" t="s">
        <v>238</v>
      </c>
      <c r="G2237" s="26">
        <v>19.0</v>
      </c>
      <c r="H2237" s="26">
        <v>4.0</v>
      </c>
      <c r="I2237" s="26">
        <v>250.0</v>
      </c>
      <c r="J2237" s="26">
        <v>150.0</v>
      </c>
      <c r="K2237" s="26">
        <v>75.0</v>
      </c>
      <c r="N2237" s="26" t="s">
        <v>685</v>
      </c>
    </row>
    <row r="2238">
      <c r="A2238" s="25">
        <v>43366.91012295139</v>
      </c>
      <c r="B2238" s="26" t="s">
        <v>80</v>
      </c>
      <c r="C2238" s="26" t="s">
        <v>1674</v>
      </c>
      <c r="D2238" s="26" t="s">
        <v>27</v>
      </c>
      <c r="E2238" s="26">
        <v>163.0</v>
      </c>
      <c r="F2238" s="26" t="s">
        <v>199</v>
      </c>
      <c r="G2238" s="26">
        <v>0.0</v>
      </c>
      <c r="H2238" s="26">
        <v>0.0</v>
      </c>
      <c r="I2238" s="26">
        <v>120.0</v>
      </c>
      <c r="J2238" s="26">
        <v>25.0</v>
      </c>
      <c r="K2238" s="26">
        <v>18.0</v>
      </c>
      <c r="N2238" s="26" t="s">
        <v>1318</v>
      </c>
    </row>
    <row r="2239">
      <c r="A2239" s="25">
        <v>43366.94587954861</v>
      </c>
      <c r="B2239" s="26" t="s">
        <v>33</v>
      </c>
      <c r="C2239" s="26" t="s">
        <v>43</v>
      </c>
      <c r="D2239" s="26" t="s">
        <v>1599</v>
      </c>
      <c r="E2239" s="26">
        <v>120.0</v>
      </c>
      <c r="F2239" s="26" t="s">
        <v>35</v>
      </c>
      <c r="G2239" s="26">
        <v>10.0</v>
      </c>
      <c r="H2239" s="26">
        <v>2.0</v>
      </c>
      <c r="I2239" s="26">
        <v>100.0</v>
      </c>
      <c r="J2239" s="26">
        <v>24.0</v>
      </c>
      <c r="N2239" s="26" t="s">
        <v>1675</v>
      </c>
    </row>
    <row r="2240">
      <c r="A2240" s="25">
        <v>43366.97926425926</v>
      </c>
      <c r="B2240" s="26" t="s">
        <v>25</v>
      </c>
      <c r="C2240" s="26" t="s">
        <v>1365</v>
      </c>
      <c r="D2240" s="26" t="s">
        <v>31</v>
      </c>
      <c r="E2240" s="26">
        <v>400.0</v>
      </c>
      <c r="F2240" s="26" t="s">
        <v>453</v>
      </c>
      <c r="G2240" s="26">
        <v>10.0</v>
      </c>
      <c r="H2240" s="26">
        <v>2.0</v>
      </c>
      <c r="I2240" s="26">
        <v>200.0</v>
      </c>
      <c r="J2240" s="26">
        <v>180.0</v>
      </c>
      <c r="K2240" s="26">
        <v>20.0</v>
      </c>
      <c r="N2240" s="26" t="s">
        <v>685</v>
      </c>
    </row>
    <row r="2241">
      <c r="A2241" s="25">
        <v>43367.461575243055</v>
      </c>
      <c r="B2241" s="26" t="s">
        <v>48</v>
      </c>
      <c r="C2241" s="26">
        <v>5.0</v>
      </c>
      <c r="D2241" s="26" t="s">
        <v>31</v>
      </c>
      <c r="E2241" s="26">
        <v>577.0</v>
      </c>
      <c r="F2241" s="26" t="s">
        <v>50</v>
      </c>
      <c r="G2241" s="26">
        <v>6.0</v>
      </c>
      <c r="H2241" s="26">
        <v>3.0</v>
      </c>
      <c r="I2241" s="26">
        <v>187.0</v>
      </c>
      <c r="J2241" s="26">
        <v>363.0</v>
      </c>
      <c r="K2241" s="26">
        <v>27.0</v>
      </c>
      <c r="N2241" s="26" t="s">
        <v>691</v>
      </c>
    </row>
    <row r="2242">
      <c r="A2242" s="25">
        <v>43367.48668179398</v>
      </c>
      <c r="B2242" s="26" t="s">
        <v>48</v>
      </c>
      <c r="C2242" s="26" t="s">
        <v>26</v>
      </c>
      <c r="D2242" s="26" t="s">
        <v>27</v>
      </c>
      <c r="E2242" s="26">
        <v>160.0</v>
      </c>
      <c r="F2242" s="26" t="s">
        <v>35</v>
      </c>
      <c r="G2242" s="26">
        <v>1.0</v>
      </c>
      <c r="H2242" s="26">
        <v>1.0</v>
      </c>
      <c r="I2242" s="26">
        <v>120.0</v>
      </c>
      <c r="J2242" s="26">
        <v>40.0</v>
      </c>
      <c r="K2242" s="26">
        <v>10.0</v>
      </c>
      <c r="N2242" s="26" t="s">
        <v>1644</v>
      </c>
    </row>
    <row r="2243">
      <c r="A2243" s="25">
        <v>43367.52951310185</v>
      </c>
      <c r="B2243" s="26" t="s">
        <v>33</v>
      </c>
      <c r="C2243" s="26" t="s">
        <v>1676</v>
      </c>
      <c r="D2243" s="26" t="s">
        <v>41</v>
      </c>
      <c r="E2243" s="26">
        <v>620.0</v>
      </c>
      <c r="F2243" s="26" t="s">
        <v>35</v>
      </c>
      <c r="G2243" s="26">
        <v>20.0</v>
      </c>
      <c r="H2243" s="26">
        <v>4.0</v>
      </c>
      <c r="N2243" s="26" t="s">
        <v>685</v>
      </c>
    </row>
    <row r="2244">
      <c r="A2244" s="25">
        <v>43367.59946138889</v>
      </c>
      <c r="B2244" s="26" t="s">
        <v>139</v>
      </c>
      <c r="C2244" s="26" t="s">
        <v>78</v>
      </c>
      <c r="D2244" s="26" t="s">
        <v>31</v>
      </c>
      <c r="E2244" s="26">
        <v>190.0</v>
      </c>
      <c r="F2244" s="26" t="s">
        <v>134</v>
      </c>
      <c r="G2244" s="26">
        <v>6.0</v>
      </c>
      <c r="H2244" s="26">
        <v>6.0</v>
      </c>
      <c r="I2244" s="26">
        <v>150.0</v>
      </c>
      <c r="J2244" s="26">
        <v>20.0</v>
      </c>
      <c r="K2244" s="26">
        <v>20.0</v>
      </c>
      <c r="N2244" s="26" t="s">
        <v>685</v>
      </c>
    </row>
    <row r="2245">
      <c r="A2245" s="25">
        <v>43367.6494925463</v>
      </c>
      <c r="B2245" s="26" t="s">
        <v>1677</v>
      </c>
      <c r="C2245" s="26" t="s">
        <v>191</v>
      </c>
      <c r="D2245" s="26" t="s">
        <v>27</v>
      </c>
      <c r="E2245" s="26">
        <v>94.0</v>
      </c>
      <c r="F2245" s="26" t="s">
        <v>161</v>
      </c>
      <c r="G2245" s="26">
        <v>3.0</v>
      </c>
      <c r="H2245" s="26">
        <v>1.0</v>
      </c>
      <c r="I2245" s="26">
        <v>80.0</v>
      </c>
      <c r="J2245" s="26">
        <v>6.0</v>
      </c>
      <c r="K2245" s="26">
        <v>8.0</v>
      </c>
      <c r="N2245" s="26" t="s">
        <v>685</v>
      </c>
    </row>
    <row r="2246">
      <c r="A2246" s="25">
        <v>43367.6604497338</v>
      </c>
      <c r="B2246" s="26" t="s">
        <v>33</v>
      </c>
      <c r="C2246" s="26" t="s">
        <v>34</v>
      </c>
      <c r="D2246" s="26" t="s">
        <v>41</v>
      </c>
      <c r="E2246" s="26">
        <v>400.0</v>
      </c>
      <c r="F2246" s="26" t="s">
        <v>63</v>
      </c>
      <c r="G2246" s="26">
        <v>23.0</v>
      </c>
      <c r="H2246" s="26">
        <v>1.0</v>
      </c>
      <c r="N2246" s="26" t="s">
        <v>685</v>
      </c>
    </row>
    <row r="2247">
      <c r="A2247" s="25">
        <v>43367.667187847226</v>
      </c>
      <c r="B2247" s="26" t="s">
        <v>1678</v>
      </c>
      <c r="C2247" s="26" t="s">
        <v>103</v>
      </c>
      <c r="D2247" s="26" t="s">
        <v>41</v>
      </c>
      <c r="E2247" s="26">
        <v>485.0</v>
      </c>
      <c r="F2247" s="26" t="s">
        <v>94</v>
      </c>
      <c r="G2247" s="26">
        <v>15.0</v>
      </c>
      <c r="H2247" s="26">
        <v>12.0</v>
      </c>
      <c r="I2247" s="26">
        <v>345.0</v>
      </c>
      <c r="K2247" s="26">
        <v>140.0</v>
      </c>
      <c r="N2247" s="26" t="s">
        <v>685</v>
      </c>
    </row>
    <row r="2248">
      <c r="A2248" s="25">
        <v>43367.75373165509</v>
      </c>
      <c r="B2248" s="26" t="s">
        <v>765</v>
      </c>
      <c r="C2248" s="26" t="s">
        <v>1671</v>
      </c>
      <c r="D2248" s="26" t="s">
        <v>27</v>
      </c>
      <c r="E2248" s="26">
        <v>590.0</v>
      </c>
      <c r="F2248" s="26" t="s">
        <v>453</v>
      </c>
      <c r="G2248" s="26">
        <v>18.0</v>
      </c>
      <c r="H2248" s="26">
        <v>5.0</v>
      </c>
      <c r="I2248" s="26">
        <v>270.0</v>
      </c>
      <c r="J2248" s="26">
        <v>250.0</v>
      </c>
      <c r="K2248" s="26">
        <v>70.0</v>
      </c>
      <c r="N2248" s="26" t="s">
        <v>685</v>
      </c>
    </row>
    <row r="2249">
      <c r="A2249" s="25">
        <v>43367.761735162036</v>
      </c>
      <c r="B2249" s="26" t="s">
        <v>33</v>
      </c>
      <c r="C2249" s="26" t="s">
        <v>62</v>
      </c>
      <c r="D2249" s="26" t="s">
        <v>31</v>
      </c>
      <c r="E2249" s="26">
        <v>429.0</v>
      </c>
      <c r="F2249" s="26" t="s">
        <v>35</v>
      </c>
      <c r="G2249" s="26">
        <v>21.0</v>
      </c>
      <c r="H2249" s="26">
        <v>2.0</v>
      </c>
      <c r="I2249" s="26">
        <v>160.0</v>
      </c>
      <c r="J2249" s="26">
        <v>269.0</v>
      </c>
      <c r="N2249" s="26" t="s">
        <v>685</v>
      </c>
    </row>
    <row r="2250">
      <c r="A2250" s="25">
        <v>43367.82828008102</v>
      </c>
      <c r="B2250" s="26" t="s">
        <v>48</v>
      </c>
      <c r="C2250" s="26" t="s">
        <v>78</v>
      </c>
      <c r="D2250" s="26" t="s">
        <v>1225</v>
      </c>
      <c r="E2250" s="26">
        <v>250.0</v>
      </c>
      <c r="F2250" s="26" t="s">
        <v>415</v>
      </c>
      <c r="G2250" s="26">
        <v>2.0</v>
      </c>
      <c r="H2250" s="26">
        <v>2.0</v>
      </c>
      <c r="I2250" s="26">
        <v>140.0</v>
      </c>
      <c r="J2250" s="26">
        <v>95.0</v>
      </c>
      <c r="K2250" s="26">
        <v>15.0</v>
      </c>
      <c r="N2250" s="26" t="s">
        <v>1679</v>
      </c>
    </row>
    <row r="2251">
      <c r="A2251" s="25">
        <v>43367.843225335644</v>
      </c>
      <c r="B2251" s="26" t="s">
        <v>33</v>
      </c>
      <c r="C2251" s="26" t="s">
        <v>62</v>
      </c>
      <c r="D2251" s="26" t="s">
        <v>31</v>
      </c>
      <c r="E2251" s="26">
        <v>625.0</v>
      </c>
      <c r="F2251" s="26" t="s">
        <v>32</v>
      </c>
      <c r="G2251" s="26">
        <v>20.0</v>
      </c>
      <c r="H2251" s="26">
        <v>2.0</v>
      </c>
      <c r="I2251" s="26">
        <v>181.0</v>
      </c>
      <c r="J2251" s="26">
        <v>444000.0</v>
      </c>
      <c r="N2251" s="26" t="s">
        <v>685</v>
      </c>
    </row>
    <row r="2252">
      <c r="A2252" s="25">
        <v>43367.852229421296</v>
      </c>
      <c r="B2252" s="26" t="s">
        <v>33</v>
      </c>
      <c r="C2252" s="26" t="s">
        <v>43</v>
      </c>
      <c r="D2252" s="26" t="s">
        <v>31</v>
      </c>
      <c r="E2252" s="26">
        <v>281.0</v>
      </c>
      <c r="F2252" s="26" t="s">
        <v>94</v>
      </c>
      <c r="G2252" s="26">
        <v>4.0</v>
      </c>
      <c r="H2252" s="26">
        <v>1.0</v>
      </c>
      <c r="I2252" s="26">
        <v>166.0</v>
      </c>
      <c r="J2252" s="26">
        <v>75.0</v>
      </c>
      <c r="K2252" s="26">
        <v>40.0</v>
      </c>
      <c r="N2252" s="26" t="s">
        <v>704</v>
      </c>
    </row>
    <row r="2253">
      <c r="A2253" s="25">
        <v>43367.886832777775</v>
      </c>
      <c r="B2253" s="26" t="s">
        <v>371</v>
      </c>
      <c r="C2253" s="26" t="s">
        <v>541</v>
      </c>
      <c r="D2253" s="26" t="s">
        <v>31</v>
      </c>
      <c r="E2253" s="26">
        <v>130.0</v>
      </c>
      <c r="F2253" s="26" t="s">
        <v>459</v>
      </c>
      <c r="G2253" s="26">
        <v>4.0</v>
      </c>
      <c r="H2253" s="26">
        <v>2.0</v>
      </c>
      <c r="I2253" s="26">
        <v>108.0</v>
      </c>
      <c r="J2253" s="26">
        <v>12.0</v>
      </c>
      <c r="K2253" s="26">
        <v>10.0</v>
      </c>
      <c r="N2253" s="26" t="s">
        <v>817</v>
      </c>
    </row>
    <row r="2254">
      <c r="A2254" s="25">
        <v>43367.94556025463</v>
      </c>
      <c r="B2254" s="26" t="s">
        <v>268</v>
      </c>
      <c r="C2254" s="26" t="s">
        <v>1064</v>
      </c>
      <c r="D2254" s="26" t="s">
        <v>31</v>
      </c>
      <c r="E2254" s="26">
        <v>325.0</v>
      </c>
      <c r="F2254" s="26" t="s">
        <v>238</v>
      </c>
      <c r="G2254" s="26">
        <v>15.0</v>
      </c>
      <c r="H2254" s="26">
        <v>3.0</v>
      </c>
      <c r="I2254" s="26">
        <v>175.0</v>
      </c>
      <c r="J2254" s="26">
        <v>100.0</v>
      </c>
      <c r="K2254" s="26">
        <v>60.0</v>
      </c>
      <c r="N2254" s="26" t="s">
        <v>715</v>
      </c>
    </row>
    <row r="2255">
      <c r="A2255" s="25">
        <v>43368.13876271991</v>
      </c>
      <c r="B2255" s="26" t="s">
        <v>45</v>
      </c>
      <c r="C2255" s="26" t="s">
        <v>116</v>
      </c>
      <c r="D2255" s="26" t="s">
        <v>31</v>
      </c>
      <c r="E2255" s="26">
        <v>351.0</v>
      </c>
      <c r="F2255" s="26" t="s">
        <v>134</v>
      </c>
      <c r="G2255" s="26">
        <v>34.0</v>
      </c>
      <c r="H2255" s="26">
        <v>3.0</v>
      </c>
      <c r="I2255" s="26">
        <v>214.0</v>
      </c>
      <c r="J2255" s="26">
        <v>117.0</v>
      </c>
      <c r="K2255" s="26">
        <v>20.0</v>
      </c>
      <c r="N2255" s="26" t="s">
        <v>708</v>
      </c>
    </row>
    <row r="2256">
      <c r="A2256" s="25">
        <v>43368.27908256944</v>
      </c>
      <c r="B2256" s="26" t="s">
        <v>548</v>
      </c>
      <c r="C2256" s="26">
        <v>9.0</v>
      </c>
      <c r="D2256" s="26" t="s">
        <v>1680</v>
      </c>
      <c r="E2256" s="26">
        <v>119.0</v>
      </c>
      <c r="F2256" s="26" t="s">
        <v>1681</v>
      </c>
      <c r="G2256" s="26">
        <v>5.0</v>
      </c>
      <c r="H2256" s="26">
        <v>5.0</v>
      </c>
      <c r="I2256" s="26">
        <v>119.0</v>
      </c>
      <c r="J2256" s="26">
        <v>2.0</v>
      </c>
      <c r="K2256" s="26">
        <v>6.0</v>
      </c>
      <c r="N2256" s="26" t="s">
        <v>1682</v>
      </c>
    </row>
    <row r="2257">
      <c r="A2257" s="25">
        <v>43368.333863645836</v>
      </c>
      <c r="B2257" s="26" t="s">
        <v>873</v>
      </c>
      <c r="C2257" s="26" t="s">
        <v>103</v>
      </c>
      <c r="D2257" s="26" t="s">
        <v>31</v>
      </c>
      <c r="E2257" s="26">
        <v>325.0</v>
      </c>
      <c r="F2257" s="26" t="s">
        <v>97</v>
      </c>
      <c r="G2257" s="26">
        <v>4.0</v>
      </c>
      <c r="H2257" s="26">
        <v>1.0</v>
      </c>
      <c r="I2257" s="26">
        <v>250.0</v>
      </c>
      <c r="J2257" s="26">
        <v>75.0</v>
      </c>
      <c r="N2257" s="26" t="s">
        <v>691</v>
      </c>
    </row>
    <row r="2258">
      <c r="A2258" s="25">
        <v>43368.36933130787</v>
      </c>
      <c r="B2258" s="26" t="s">
        <v>319</v>
      </c>
      <c r="C2258" s="26">
        <v>7.0</v>
      </c>
      <c r="D2258" s="26" t="s">
        <v>27</v>
      </c>
      <c r="E2258" s="26">
        <v>140.0</v>
      </c>
      <c r="F2258" s="26" t="s">
        <v>58</v>
      </c>
      <c r="G2258" s="26">
        <v>5.0</v>
      </c>
      <c r="H2258" s="26">
        <v>1.0</v>
      </c>
      <c r="N2258" s="26" t="s">
        <v>691</v>
      </c>
    </row>
    <row r="2259">
      <c r="A2259" s="25">
        <v>43368.383513078705</v>
      </c>
      <c r="B2259" s="26" t="s">
        <v>1683</v>
      </c>
      <c r="C2259" s="26" t="s">
        <v>1684</v>
      </c>
      <c r="D2259" s="26" t="s">
        <v>31</v>
      </c>
      <c r="E2259" s="26">
        <v>154.0</v>
      </c>
      <c r="F2259" s="26" t="s">
        <v>1420</v>
      </c>
      <c r="G2259" s="26">
        <v>6.0</v>
      </c>
      <c r="H2259" s="26">
        <v>6.0</v>
      </c>
      <c r="I2259" s="26">
        <v>148.0</v>
      </c>
      <c r="J2259" s="26">
        <v>5.0</v>
      </c>
      <c r="K2259" s="26">
        <v>1.0</v>
      </c>
      <c r="L2259" s="26" t="s">
        <v>1685</v>
      </c>
      <c r="N2259" s="26" t="s">
        <v>683</v>
      </c>
    </row>
    <row r="2260">
      <c r="A2260" s="25">
        <v>43368.38379071759</v>
      </c>
      <c r="B2260" s="26" t="s">
        <v>48</v>
      </c>
      <c r="C2260" s="26" t="s">
        <v>49</v>
      </c>
      <c r="D2260" s="26" t="s">
        <v>31</v>
      </c>
      <c r="E2260" s="26">
        <v>251.0</v>
      </c>
      <c r="F2260" s="26" t="s">
        <v>50</v>
      </c>
      <c r="G2260" s="26">
        <v>3.0</v>
      </c>
      <c r="H2260" s="26">
        <v>1.0</v>
      </c>
      <c r="I2260" s="26">
        <v>160.0</v>
      </c>
      <c r="J2260" s="26">
        <v>75.0</v>
      </c>
      <c r="K2260" s="26">
        <v>16.0</v>
      </c>
      <c r="N2260" s="26" t="s">
        <v>696</v>
      </c>
    </row>
    <row r="2261">
      <c r="A2261" s="25">
        <v>43368.38756930556</v>
      </c>
      <c r="B2261" s="26" t="s">
        <v>523</v>
      </c>
      <c r="C2261" s="26" t="s">
        <v>1274</v>
      </c>
      <c r="D2261" s="26" t="s">
        <v>31</v>
      </c>
      <c r="E2261" s="26">
        <v>164.0</v>
      </c>
      <c r="F2261" s="26" t="s">
        <v>94</v>
      </c>
      <c r="G2261" s="26">
        <v>3.0</v>
      </c>
      <c r="H2261" s="26">
        <v>3.0</v>
      </c>
      <c r="I2261" s="26">
        <v>145.0</v>
      </c>
      <c r="K2261" s="26">
        <v>19.0</v>
      </c>
      <c r="N2261" s="26" t="s">
        <v>687</v>
      </c>
    </row>
    <row r="2262">
      <c r="A2262" s="25">
        <v>43368.40024761574</v>
      </c>
      <c r="B2262" s="26" t="s">
        <v>1686</v>
      </c>
      <c r="C2262" s="26" t="s">
        <v>1687</v>
      </c>
      <c r="D2262" s="26" t="s">
        <v>41</v>
      </c>
      <c r="E2262" s="26">
        <v>71.0</v>
      </c>
      <c r="F2262" s="26" t="s">
        <v>1688</v>
      </c>
      <c r="G2262" s="26">
        <v>10.0</v>
      </c>
      <c r="H2262" s="26">
        <v>4.0</v>
      </c>
      <c r="N2262" s="26" t="s">
        <v>1689</v>
      </c>
    </row>
    <row r="2263">
      <c r="A2263" s="25">
        <v>43368.45176108796</v>
      </c>
      <c r="B2263" s="26" t="s">
        <v>48</v>
      </c>
      <c r="C2263" s="26" t="s">
        <v>43</v>
      </c>
      <c r="D2263" s="26" t="s">
        <v>27</v>
      </c>
      <c r="E2263" s="26">
        <v>310.0</v>
      </c>
      <c r="F2263" s="26" t="s">
        <v>133</v>
      </c>
      <c r="G2263" s="26">
        <v>4.0</v>
      </c>
      <c r="H2263" s="26">
        <v>1.0</v>
      </c>
      <c r="I2263" s="26">
        <v>175.0</v>
      </c>
      <c r="J2263" s="26">
        <v>110.0</v>
      </c>
      <c r="K2263" s="26">
        <v>25.0</v>
      </c>
      <c r="N2263" s="26" t="s">
        <v>1690</v>
      </c>
    </row>
    <row r="2264">
      <c r="A2264" s="25">
        <v>43368.52476796297</v>
      </c>
      <c r="B2264" s="26" t="s">
        <v>1691</v>
      </c>
      <c r="C2264" s="26" t="s">
        <v>70</v>
      </c>
      <c r="D2264" s="26" t="s">
        <v>1692</v>
      </c>
      <c r="E2264" s="26">
        <v>40.0</v>
      </c>
      <c r="F2264" s="26" t="s">
        <v>140</v>
      </c>
      <c r="G2264" s="26">
        <v>15.0</v>
      </c>
      <c r="H2264" s="26">
        <v>6.0</v>
      </c>
      <c r="K2264" s="26">
        <v>6.0</v>
      </c>
      <c r="N2264" s="26" t="s">
        <v>1693</v>
      </c>
    </row>
    <row r="2265">
      <c r="A2265" s="25">
        <v>43368.60519307871</v>
      </c>
      <c r="B2265" s="26" t="s">
        <v>783</v>
      </c>
      <c r="C2265" s="26" t="s">
        <v>37</v>
      </c>
      <c r="D2265" s="26" t="s">
        <v>31</v>
      </c>
      <c r="E2265" s="26">
        <v>250.0</v>
      </c>
      <c r="F2265" s="26" t="s">
        <v>485</v>
      </c>
      <c r="G2265" s="26">
        <v>10.0</v>
      </c>
      <c r="H2265" s="26">
        <v>8.0</v>
      </c>
      <c r="I2265" s="26">
        <v>170000.0</v>
      </c>
      <c r="K2265" s="26">
        <v>80000.0</v>
      </c>
      <c r="N2265" s="26" t="s">
        <v>683</v>
      </c>
    </row>
    <row r="2266">
      <c r="A2266" s="25">
        <v>43368.664365543984</v>
      </c>
      <c r="B2266" s="26" t="s">
        <v>33</v>
      </c>
      <c r="C2266" s="26" t="s">
        <v>62</v>
      </c>
      <c r="D2266" s="26" t="s">
        <v>27</v>
      </c>
      <c r="E2266" s="26">
        <v>250.0</v>
      </c>
      <c r="F2266" s="26" t="s">
        <v>35</v>
      </c>
      <c r="G2266" s="26">
        <v>12.0</v>
      </c>
      <c r="H2266" s="26">
        <v>5.0</v>
      </c>
      <c r="I2266" s="26">
        <v>150.0</v>
      </c>
      <c r="J2266" s="26">
        <v>100.0</v>
      </c>
      <c r="N2266" s="26" t="s">
        <v>699</v>
      </c>
    </row>
    <row r="2267">
      <c r="A2267" s="25">
        <v>43368.69357444445</v>
      </c>
      <c r="B2267" s="26" t="s">
        <v>187</v>
      </c>
      <c r="C2267" s="26" t="s">
        <v>179</v>
      </c>
      <c r="D2267" s="26" t="s">
        <v>31</v>
      </c>
      <c r="E2267" s="26">
        <v>249.0</v>
      </c>
      <c r="F2267" s="26" t="s">
        <v>32</v>
      </c>
      <c r="G2267" s="26">
        <v>0.0</v>
      </c>
      <c r="H2267" s="26">
        <v>0.0</v>
      </c>
      <c r="I2267" s="26">
        <v>130.0</v>
      </c>
      <c r="J2267" s="26">
        <v>70.0</v>
      </c>
      <c r="K2267" s="26">
        <v>50.0</v>
      </c>
      <c r="N2267" s="26" t="s">
        <v>704</v>
      </c>
    </row>
    <row r="2268">
      <c r="A2268" s="25">
        <v>43368.75489231481</v>
      </c>
      <c r="B2268" s="26" t="s">
        <v>33</v>
      </c>
      <c r="C2268" s="26" t="s">
        <v>73</v>
      </c>
      <c r="D2268" s="26" t="s">
        <v>31</v>
      </c>
      <c r="E2268" s="26">
        <v>160.0</v>
      </c>
      <c r="F2268" s="26" t="s">
        <v>1694</v>
      </c>
      <c r="G2268" s="26">
        <v>1.0</v>
      </c>
      <c r="H2268" s="26">
        <v>1.0</v>
      </c>
      <c r="N2268" s="26" t="s">
        <v>691</v>
      </c>
    </row>
    <row r="2269">
      <c r="A2269" s="25">
        <v>43368.76339773148</v>
      </c>
      <c r="B2269" s="26" t="s">
        <v>170</v>
      </c>
      <c r="C2269" s="26" t="s">
        <v>424</v>
      </c>
      <c r="D2269" s="26" t="s">
        <v>31</v>
      </c>
      <c r="E2269" s="26">
        <v>116.0</v>
      </c>
      <c r="F2269" s="26" t="s">
        <v>521</v>
      </c>
      <c r="G2269" s="26">
        <v>3.0</v>
      </c>
      <c r="H2269" s="26">
        <v>3.0</v>
      </c>
      <c r="I2269" s="26">
        <v>97.0</v>
      </c>
      <c r="J2269" s="26">
        <v>8.0</v>
      </c>
      <c r="K2269" s="26">
        <v>11.0</v>
      </c>
      <c r="N2269" s="26" t="s">
        <v>683</v>
      </c>
    </row>
    <row r="2270">
      <c r="A2270" s="25">
        <v>43368.85935532408</v>
      </c>
      <c r="B2270" s="26" t="s">
        <v>139</v>
      </c>
      <c r="C2270" s="26" t="s">
        <v>184</v>
      </c>
      <c r="D2270" s="26" t="s">
        <v>31</v>
      </c>
      <c r="E2270" s="26">
        <v>188.0</v>
      </c>
      <c r="F2270" s="26" t="s">
        <v>134</v>
      </c>
      <c r="G2270" s="26">
        <v>3.0</v>
      </c>
      <c r="H2270" s="26">
        <v>3.0</v>
      </c>
      <c r="I2270" s="26">
        <v>148.0</v>
      </c>
      <c r="J2270" s="26">
        <v>20.0</v>
      </c>
      <c r="K2270" s="26">
        <v>20.0</v>
      </c>
      <c r="N2270" s="26" t="s">
        <v>685</v>
      </c>
    </row>
    <row r="2271">
      <c r="A2271" s="25">
        <v>43368.89213596065</v>
      </c>
      <c r="B2271" s="26" t="s">
        <v>146</v>
      </c>
      <c r="C2271" s="26" t="s">
        <v>125</v>
      </c>
      <c r="D2271" s="26" t="s">
        <v>31</v>
      </c>
      <c r="E2271" s="26">
        <v>350.0</v>
      </c>
      <c r="F2271" s="26" t="s">
        <v>199</v>
      </c>
      <c r="G2271" s="26">
        <v>5.0</v>
      </c>
      <c r="H2271" s="26">
        <v>5.0</v>
      </c>
      <c r="N2271" s="26" t="s">
        <v>685</v>
      </c>
    </row>
    <row r="2272">
      <c r="A2272" s="25">
        <v>43368.91743083333</v>
      </c>
      <c r="B2272" s="26" t="s">
        <v>80</v>
      </c>
      <c r="C2272" s="26" t="s">
        <v>73</v>
      </c>
      <c r="D2272" s="26" t="s">
        <v>31</v>
      </c>
      <c r="E2272" s="26">
        <v>238.0</v>
      </c>
      <c r="F2272" s="26" t="s">
        <v>51</v>
      </c>
      <c r="G2272" s="26">
        <v>8.0</v>
      </c>
      <c r="H2272" s="26">
        <v>0.0</v>
      </c>
      <c r="I2272" s="26">
        <v>135.0</v>
      </c>
      <c r="J2272" s="26">
        <v>83.0</v>
      </c>
      <c r="K2272" s="26">
        <v>20.0</v>
      </c>
      <c r="N2272" s="26" t="s">
        <v>80</v>
      </c>
    </row>
    <row r="2273">
      <c r="A2273" s="25">
        <v>43368.93292253472</v>
      </c>
      <c r="B2273" s="26" t="s">
        <v>45</v>
      </c>
      <c r="C2273" s="26" t="s">
        <v>116</v>
      </c>
      <c r="D2273" s="26" t="s">
        <v>31</v>
      </c>
      <c r="E2273" s="26">
        <v>490.0</v>
      </c>
      <c r="F2273" s="26" t="s">
        <v>104</v>
      </c>
      <c r="G2273" s="26">
        <v>8.0</v>
      </c>
      <c r="H2273" s="26">
        <v>6.0</v>
      </c>
      <c r="I2273" s="26">
        <v>180.0</v>
      </c>
      <c r="J2273" s="26">
        <v>280.0</v>
      </c>
      <c r="K2273" s="26">
        <v>30.0</v>
      </c>
      <c r="N2273" s="26" t="s">
        <v>699</v>
      </c>
    </row>
    <row r="2274">
      <c r="A2274" s="25">
        <v>43369.03625226852</v>
      </c>
      <c r="B2274" s="26" t="s">
        <v>80</v>
      </c>
      <c r="C2274" s="26" t="s">
        <v>430</v>
      </c>
      <c r="D2274" s="26" t="s">
        <v>31</v>
      </c>
      <c r="E2274" s="26">
        <v>230.0</v>
      </c>
      <c r="F2274" s="26" t="s">
        <v>35</v>
      </c>
      <c r="G2274" s="26">
        <v>5.0</v>
      </c>
      <c r="H2274" s="26">
        <v>0.0</v>
      </c>
      <c r="I2274" s="26">
        <v>135.0</v>
      </c>
      <c r="J2274" s="26">
        <v>75.0</v>
      </c>
      <c r="K2274" s="26">
        <v>20.0</v>
      </c>
      <c r="N2274" s="26" t="s">
        <v>685</v>
      </c>
    </row>
    <row r="2275">
      <c r="A2275" s="25">
        <v>43369.05085402778</v>
      </c>
      <c r="B2275" s="26" t="s">
        <v>40</v>
      </c>
      <c r="C2275" s="26">
        <v>59.0</v>
      </c>
      <c r="D2275" s="26" t="s">
        <v>31</v>
      </c>
      <c r="E2275" s="26">
        <v>136.0</v>
      </c>
      <c r="F2275" s="26" t="s">
        <v>75</v>
      </c>
      <c r="G2275" s="26">
        <v>0.0</v>
      </c>
      <c r="H2275" s="26">
        <v>0.0</v>
      </c>
      <c r="I2275" s="26">
        <v>110.0</v>
      </c>
      <c r="J2275" s="26">
        <v>15.0</v>
      </c>
      <c r="K2275" s="26">
        <v>11.0</v>
      </c>
      <c r="N2275" s="26" t="s">
        <v>704</v>
      </c>
    </row>
    <row r="2276">
      <c r="A2276" s="25">
        <v>43369.18233214121</v>
      </c>
      <c r="B2276" s="26" t="s">
        <v>1695</v>
      </c>
      <c r="C2276" s="26" t="s">
        <v>1167</v>
      </c>
      <c r="D2276" s="26" t="s">
        <v>27</v>
      </c>
      <c r="E2276" s="26">
        <v>97.0</v>
      </c>
      <c r="F2276" s="26" t="s">
        <v>485</v>
      </c>
      <c r="G2276" s="26">
        <v>1.0</v>
      </c>
      <c r="H2276" s="26">
        <v>5.0</v>
      </c>
      <c r="N2276" s="26" t="s">
        <v>685</v>
      </c>
    </row>
    <row r="2277">
      <c r="A2277" s="25">
        <v>43369.242042812504</v>
      </c>
      <c r="B2277" s="26" t="s">
        <v>944</v>
      </c>
      <c r="C2277" s="26" t="s">
        <v>306</v>
      </c>
      <c r="D2277" s="26" t="s">
        <v>306</v>
      </c>
      <c r="E2277" s="26">
        <v>104.0</v>
      </c>
      <c r="F2277" s="26" t="s">
        <v>1696</v>
      </c>
      <c r="G2277" s="26">
        <v>6.0</v>
      </c>
      <c r="H2277" s="26">
        <v>5.0</v>
      </c>
      <c r="N2277" s="26" t="s">
        <v>1697</v>
      </c>
    </row>
    <row r="2278">
      <c r="A2278" s="25">
        <v>43369.25162047453</v>
      </c>
      <c r="B2278" s="26" t="s">
        <v>665</v>
      </c>
      <c r="C2278" s="26" t="s">
        <v>37</v>
      </c>
      <c r="D2278" s="26" t="s">
        <v>31</v>
      </c>
      <c r="E2278" s="26">
        <v>190.0</v>
      </c>
      <c r="F2278" s="26" t="s">
        <v>320</v>
      </c>
      <c r="G2278" s="26">
        <v>10.0</v>
      </c>
      <c r="H2278" s="26">
        <v>8.0</v>
      </c>
      <c r="I2278" s="26">
        <v>145.0</v>
      </c>
      <c r="J2278" s="26">
        <v>15.0</v>
      </c>
      <c r="K2278" s="26">
        <v>25.0</v>
      </c>
      <c r="N2278" s="26" t="s">
        <v>704</v>
      </c>
    </row>
    <row r="2279">
      <c r="A2279" s="25">
        <v>43369.25549173611</v>
      </c>
      <c r="B2279" s="26" t="s">
        <v>33</v>
      </c>
      <c r="C2279" s="26" t="s">
        <v>999</v>
      </c>
      <c r="D2279" s="26" t="s">
        <v>31</v>
      </c>
      <c r="E2279" s="26">
        <v>340.0</v>
      </c>
      <c r="F2279" s="26" t="s">
        <v>360</v>
      </c>
      <c r="G2279" s="26">
        <v>13.0</v>
      </c>
      <c r="H2279" s="26">
        <v>3.0</v>
      </c>
      <c r="I2279" s="26">
        <v>180.0</v>
      </c>
      <c r="J2279" s="26">
        <v>160.0</v>
      </c>
      <c r="N2279" s="26" t="s">
        <v>683</v>
      </c>
    </row>
    <row r="2280">
      <c r="A2280" s="25">
        <v>43369.3035583912</v>
      </c>
      <c r="B2280" s="26" t="s">
        <v>268</v>
      </c>
      <c r="C2280" s="26">
        <v>12.0</v>
      </c>
      <c r="D2280" s="26" t="s">
        <v>31</v>
      </c>
      <c r="E2280" s="26">
        <v>365.0</v>
      </c>
      <c r="F2280" s="26" t="s">
        <v>238</v>
      </c>
      <c r="G2280" s="26">
        <v>18.0</v>
      </c>
      <c r="H2280" s="26">
        <v>6.0</v>
      </c>
      <c r="I2280" s="26">
        <v>215.0</v>
      </c>
      <c r="J2280" s="26">
        <v>75.0</v>
      </c>
      <c r="K2280" s="26">
        <v>75.0</v>
      </c>
      <c r="N2280" s="26" t="s">
        <v>685</v>
      </c>
    </row>
    <row r="2281">
      <c r="A2281" s="25">
        <v>43369.31811248843</v>
      </c>
      <c r="B2281" s="26" t="s">
        <v>1677</v>
      </c>
      <c r="C2281" s="26" t="s">
        <v>191</v>
      </c>
      <c r="D2281" s="26" t="s">
        <v>27</v>
      </c>
      <c r="E2281" s="26">
        <v>94.0</v>
      </c>
      <c r="F2281" s="26" t="s">
        <v>161</v>
      </c>
      <c r="G2281" s="26">
        <v>2.0</v>
      </c>
      <c r="H2281" s="26">
        <v>0.75</v>
      </c>
      <c r="I2281" s="26">
        <v>80.0</v>
      </c>
      <c r="J2281" s="26">
        <v>5.0</v>
      </c>
      <c r="K2281" s="26">
        <v>8.0</v>
      </c>
      <c r="N2281" s="26" t="s">
        <v>685</v>
      </c>
    </row>
    <row r="2282">
      <c r="A2282" s="25">
        <v>43369.33207366898</v>
      </c>
      <c r="B2282" s="26" t="s">
        <v>1698</v>
      </c>
      <c r="C2282" s="26" t="s">
        <v>37</v>
      </c>
      <c r="D2282" s="26" t="s">
        <v>1225</v>
      </c>
      <c r="E2282" s="26">
        <v>60.0</v>
      </c>
      <c r="F2282" s="26" t="s">
        <v>140</v>
      </c>
      <c r="G2282" s="26">
        <v>6.0</v>
      </c>
      <c r="H2282" s="26">
        <v>6.0</v>
      </c>
      <c r="N2282" s="26" t="s">
        <v>699</v>
      </c>
    </row>
    <row r="2283">
      <c r="A2283" s="25">
        <v>43369.39871150463</v>
      </c>
      <c r="B2283" s="26" t="s">
        <v>33</v>
      </c>
      <c r="C2283" s="26" t="s">
        <v>43</v>
      </c>
      <c r="D2283" s="26" t="s">
        <v>31</v>
      </c>
      <c r="E2283" s="26">
        <v>230.0</v>
      </c>
      <c r="F2283" s="26" t="s">
        <v>63</v>
      </c>
      <c r="G2283" s="26">
        <v>3.0</v>
      </c>
      <c r="H2283" s="26">
        <v>3.0</v>
      </c>
      <c r="I2283" s="26">
        <v>130.0</v>
      </c>
      <c r="J2283" s="26">
        <v>100.0</v>
      </c>
      <c r="N2283" s="26" t="s">
        <v>685</v>
      </c>
    </row>
    <row r="2284">
      <c r="A2284" s="25">
        <v>43369.42107581018</v>
      </c>
      <c r="B2284" s="26" t="s">
        <v>1699</v>
      </c>
      <c r="C2284" s="26" t="s">
        <v>1700</v>
      </c>
      <c r="D2284" s="26" t="s">
        <v>711</v>
      </c>
      <c r="E2284" s="26">
        <v>130.0</v>
      </c>
      <c r="F2284" s="26" t="s">
        <v>161</v>
      </c>
      <c r="G2284" s="26">
        <v>3.0</v>
      </c>
      <c r="H2284" s="26">
        <v>1.0</v>
      </c>
      <c r="N2284" s="26" t="s">
        <v>691</v>
      </c>
    </row>
    <row r="2285">
      <c r="A2285" s="25">
        <v>43369.424688796295</v>
      </c>
      <c r="B2285" s="26" t="s">
        <v>874</v>
      </c>
      <c r="C2285" s="26" t="s">
        <v>125</v>
      </c>
      <c r="D2285" s="26" t="s">
        <v>27</v>
      </c>
      <c r="E2285" s="26">
        <v>157.0</v>
      </c>
      <c r="F2285" s="26" t="s">
        <v>161</v>
      </c>
      <c r="G2285" s="26">
        <v>2.0</v>
      </c>
      <c r="H2285" s="26">
        <v>2.0</v>
      </c>
      <c r="I2285" s="26">
        <v>130.0</v>
      </c>
      <c r="J2285" s="26">
        <v>12.0</v>
      </c>
      <c r="K2285" s="26">
        <v>15.0</v>
      </c>
      <c r="L2285" s="26" t="s">
        <v>1701</v>
      </c>
      <c r="N2285" s="26" t="s">
        <v>696</v>
      </c>
    </row>
    <row r="2286">
      <c r="A2286" s="25">
        <v>43369.42486944444</v>
      </c>
      <c r="B2286" s="26" t="s">
        <v>64</v>
      </c>
      <c r="C2286" s="26" t="s">
        <v>494</v>
      </c>
      <c r="D2286" s="26" t="s">
        <v>31</v>
      </c>
      <c r="E2286" s="26">
        <v>64.0</v>
      </c>
      <c r="F2286" s="26" t="s">
        <v>1688</v>
      </c>
      <c r="G2286" s="26">
        <v>8.0</v>
      </c>
      <c r="H2286" s="26">
        <v>4.0</v>
      </c>
      <c r="I2286" s="26">
        <v>38.0</v>
      </c>
      <c r="J2286" s="26">
        <v>10.0</v>
      </c>
      <c r="K2286" s="26">
        <v>8.0</v>
      </c>
      <c r="N2286" s="26" t="s">
        <v>704</v>
      </c>
    </row>
    <row r="2287">
      <c r="A2287" s="25">
        <v>43369.47879804399</v>
      </c>
      <c r="B2287" s="26" t="s">
        <v>371</v>
      </c>
      <c r="C2287" s="26" t="s">
        <v>372</v>
      </c>
      <c r="D2287" s="26" t="s">
        <v>31</v>
      </c>
      <c r="E2287" s="26">
        <v>180.0</v>
      </c>
      <c r="F2287" s="26" t="s">
        <v>459</v>
      </c>
      <c r="G2287" s="26">
        <v>8.0</v>
      </c>
      <c r="H2287" s="26">
        <v>6.0</v>
      </c>
      <c r="I2287" s="26">
        <v>136.0</v>
      </c>
      <c r="J2287" s="26">
        <v>14.0</v>
      </c>
      <c r="K2287" s="26">
        <v>30.0</v>
      </c>
      <c r="N2287" s="26" t="s">
        <v>1247</v>
      </c>
    </row>
    <row r="2288">
      <c r="A2288" s="25">
        <v>43369.47951881944</v>
      </c>
      <c r="B2288" s="26" t="s">
        <v>371</v>
      </c>
      <c r="C2288" s="26" t="s">
        <v>372</v>
      </c>
      <c r="D2288" s="26" t="s">
        <v>31</v>
      </c>
      <c r="E2288" s="26">
        <v>195.0</v>
      </c>
      <c r="F2288" s="26" t="s">
        <v>459</v>
      </c>
      <c r="G2288" s="26">
        <v>12.0</v>
      </c>
      <c r="H2288" s="26">
        <v>10.0</v>
      </c>
      <c r="I2288" s="26">
        <v>145.0</v>
      </c>
      <c r="J2288" s="26">
        <v>15.0</v>
      </c>
      <c r="K2288" s="26">
        <v>35.0</v>
      </c>
      <c r="L2288" s="26" t="s">
        <v>1702</v>
      </c>
      <c r="N2288" s="26" t="s">
        <v>1244</v>
      </c>
    </row>
    <row r="2289">
      <c r="A2289" s="25">
        <v>43369.49702458333</v>
      </c>
      <c r="B2289" s="26" t="s">
        <v>371</v>
      </c>
      <c r="C2289" s="26" t="s">
        <v>716</v>
      </c>
      <c r="D2289" s="26" t="s">
        <v>31</v>
      </c>
      <c r="E2289" s="26">
        <v>111.0</v>
      </c>
      <c r="F2289" s="26" t="s">
        <v>459</v>
      </c>
      <c r="G2289" s="26">
        <v>2.0</v>
      </c>
      <c r="H2289" s="26">
        <v>0.0</v>
      </c>
      <c r="I2289" s="26">
        <v>96.0</v>
      </c>
      <c r="J2289" s="26">
        <v>7.0</v>
      </c>
      <c r="K2289" s="26">
        <v>8.0</v>
      </c>
      <c r="N2289" s="26" t="s">
        <v>685</v>
      </c>
    </row>
    <row r="2290">
      <c r="A2290" s="25">
        <v>43369.50688184028</v>
      </c>
      <c r="B2290" s="26" t="s">
        <v>343</v>
      </c>
      <c r="C2290" s="26" t="s">
        <v>1703</v>
      </c>
      <c r="D2290" s="26" t="s">
        <v>41</v>
      </c>
      <c r="E2290" s="26">
        <v>175.0</v>
      </c>
      <c r="F2290" s="26" t="s">
        <v>1704</v>
      </c>
      <c r="G2290" s="26">
        <v>5.0</v>
      </c>
      <c r="H2290" s="26">
        <v>3.0</v>
      </c>
      <c r="N2290" s="26" t="s">
        <v>696</v>
      </c>
    </row>
    <row r="2291">
      <c r="A2291" s="25">
        <v>43369.50733289352</v>
      </c>
      <c r="B2291" s="26" t="s">
        <v>343</v>
      </c>
      <c r="C2291" s="26" t="s">
        <v>1703</v>
      </c>
      <c r="D2291" s="26" t="s">
        <v>41</v>
      </c>
      <c r="E2291" s="26">
        <v>175.0</v>
      </c>
      <c r="F2291" s="26" t="s">
        <v>1704</v>
      </c>
      <c r="G2291" s="26">
        <v>5.0</v>
      </c>
      <c r="H2291" s="26">
        <v>3.0</v>
      </c>
      <c r="N2291" s="26" t="s">
        <v>696</v>
      </c>
    </row>
    <row r="2292">
      <c r="A2292" s="25">
        <v>43369.50777930555</v>
      </c>
      <c r="B2292" s="26" t="s">
        <v>343</v>
      </c>
      <c r="C2292" s="26" t="s">
        <v>1703</v>
      </c>
      <c r="D2292" s="26" t="s">
        <v>41</v>
      </c>
      <c r="E2292" s="26">
        <v>175.0</v>
      </c>
      <c r="F2292" s="26" t="s">
        <v>1704</v>
      </c>
      <c r="G2292" s="26">
        <v>5.0</v>
      </c>
      <c r="H2292" s="26">
        <v>3.0</v>
      </c>
      <c r="N2292" s="26" t="s">
        <v>696</v>
      </c>
    </row>
    <row r="2293">
      <c r="A2293" s="25">
        <v>43369.50800503472</v>
      </c>
      <c r="B2293" s="26" t="s">
        <v>343</v>
      </c>
      <c r="C2293" s="26" t="s">
        <v>1703</v>
      </c>
      <c r="D2293" s="26" t="s">
        <v>41</v>
      </c>
      <c r="E2293" s="26">
        <v>175.0</v>
      </c>
      <c r="F2293" s="26" t="s">
        <v>1704</v>
      </c>
      <c r="G2293" s="26">
        <v>5.0</v>
      </c>
      <c r="H2293" s="26">
        <v>3.0</v>
      </c>
      <c r="N2293" s="26" t="s">
        <v>696</v>
      </c>
    </row>
    <row r="2294">
      <c r="A2294" s="25">
        <v>43369.51969136574</v>
      </c>
      <c r="B2294" s="26" t="s">
        <v>1018</v>
      </c>
      <c r="C2294" s="26">
        <v>5.0</v>
      </c>
      <c r="D2294" s="26" t="s">
        <v>1225</v>
      </c>
      <c r="E2294" s="26">
        <v>80.0</v>
      </c>
      <c r="F2294" s="26" t="s">
        <v>1705</v>
      </c>
      <c r="G2294" s="26">
        <v>5.0</v>
      </c>
      <c r="H2294" s="26">
        <v>3.0</v>
      </c>
      <c r="N2294" s="26" t="s">
        <v>696</v>
      </c>
    </row>
    <row r="2295">
      <c r="A2295" s="25">
        <v>43369.53949966435</v>
      </c>
      <c r="B2295" s="26" t="s">
        <v>371</v>
      </c>
      <c r="C2295" s="26" t="s">
        <v>372</v>
      </c>
      <c r="D2295" s="26" t="s">
        <v>31</v>
      </c>
      <c r="E2295" s="26">
        <v>160.0</v>
      </c>
      <c r="F2295" s="26" t="s">
        <v>327</v>
      </c>
      <c r="G2295" s="26">
        <v>7.0</v>
      </c>
      <c r="H2295" s="26">
        <v>7.0</v>
      </c>
      <c r="I2295" s="26">
        <v>130.0</v>
      </c>
      <c r="J2295" s="26">
        <v>20.0</v>
      </c>
      <c r="K2295" s="26">
        <v>10.0</v>
      </c>
      <c r="N2295" s="26" t="s">
        <v>817</v>
      </c>
    </row>
    <row r="2296">
      <c r="A2296" s="25">
        <v>43369.54184690972</v>
      </c>
      <c r="B2296" s="26" t="s">
        <v>319</v>
      </c>
      <c r="C2296" s="26">
        <v>8.0</v>
      </c>
      <c r="D2296" s="26" t="s">
        <v>1706</v>
      </c>
      <c r="E2296" s="26">
        <v>125.0</v>
      </c>
      <c r="F2296" s="26" t="s">
        <v>1075</v>
      </c>
      <c r="G2296" s="26">
        <v>10.0</v>
      </c>
      <c r="H2296" s="26">
        <v>5.0</v>
      </c>
      <c r="I2296" s="26">
        <v>125.0</v>
      </c>
      <c r="K2296" s="26">
        <v>2.0</v>
      </c>
      <c r="N2296" s="26" t="s">
        <v>704</v>
      </c>
    </row>
    <row r="2297">
      <c r="A2297" s="25">
        <v>43369.542077129634</v>
      </c>
      <c r="B2297" s="26" t="s">
        <v>80</v>
      </c>
      <c r="C2297" s="26" t="s">
        <v>179</v>
      </c>
      <c r="D2297" s="26" t="s">
        <v>31</v>
      </c>
      <c r="E2297" s="26">
        <v>218.0</v>
      </c>
      <c r="F2297" s="26" t="s">
        <v>51</v>
      </c>
      <c r="G2297" s="26">
        <v>1.0</v>
      </c>
      <c r="H2297" s="26">
        <v>0.0</v>
      </c>
      <c r="I2297" s="26">
        <v>135.0</v>
      </c>
      <c r="J2297" s="26">
        <v>63.0</v>
      </c>
      <c r="K2297" s="26">
        <v>20.0</v>
      </c>
      <c r="N2297" s="26" t="s">
        <v>685</v>
      </c>
    </row>
    <row r="2298">
      <c r="A2298" s="25">
        <v>43369.57655309028</v>
      </c>
      <c r="B2298" s="26" t="s">
        <v>1707</v>
      </c>
      <c r="C2298" s="26" t="s">
        <v>1708</v>
      </c>
      <c r="D2298" s="26" t="s">
        <v>952</v>
      </c>
      <c r="E2298" s="26">
        <v>138.0</v>
      </c>
      <c r="F2298" s="26" t="s">
        <v>32</v>
      </c>
      <c r="G2298" s="26">
        <v>12.0</v>
      </c>
      <c r="H2298" s="26">
        <v>8.0</v>
      </c>
      <c r="I2298" s="26">
        <v>138.0</v>
      </c>
      <c r="N2298" s="26" t="s">
        <v>683</v>
      </c>
    </row>
    <row r="2299">
      <c r="A2299" s="25">
        <v>43369.59848954861</v>
      </c>
      <c r="B2299" s="26" t="s">
        <v>1709</v>
      </c>
      <c r="C2299" s="26" t="s">
        <v>1710</v>
      </c>
      <c r="D2299" s="26" t="s">
        <v>27</v>
      </c>
      <c r="E2299" s="26">
        <v>150.0</v>
      </c>
      <c r="F2299" s="26" t="s">
        <v>1711</v>
      </c>
      <c r="G2299" s="26">
        <v>10.0</v>
      </c>
      <c r="H2299" s="26">
        <v>4.0</v>
      </c>
      <c r="I2299" s="26">
        <v>140.0</v>
      </c>
      <c r="N2299" s="26" t="s">
        <v>1181</v>
      </c>
    </row>
    <row r="2300">
      <c r="A2300" s="25">
        <v>43369.62303445602</v>
      </c>
      <c r="B2300" s="26" t="s">
        <v>33</v>
      </c>
      <c r="C2300" s="26" t="s">
        <v>275</v>
      </c>
      <c r="D2300" s="26" t="s">
        <v>31</v>
      </c>
      <c r="E2300" s="26">
        <v>154.0</v>
      </c>
      <c r="F2300" s="26" t="s">
        <v>63</v>
      </c>
      <c r="G2300" s="26">
        <v>2.0</v>
      </c>
      <c r="H2300" s="26">
        <v>1.0</v>
      </c>
      <c r="N2300" s="26" t="s">
        <v>683</v>
      </c>
    </row>
    <row r="2301">
      <c r="A2301" s="25">
        <v>43369.655493495375</v>
      </c>
      <c r="B2301" s="26" t="s">
        <v>256</v>
      </c>
      <c r="C2301" s="26" t="s">
        <v>184</v>
      </c>
      <c r="D2301" s="26" t="s">
        <v>31</v>
      </c>
      <c r="E2301" s="26">
        <v>380.0</v>
      </c>
      <c r="F2301" s="26" t="s">
        <v>32</v>
      </c>
      <c r="G2301" s="26">
        <v>10.0</v>
      </c>
      <c r="H2301" s="26">
        <v>4.0</v>
      </c>
      <c r="I2301" s="26">
        <v>185.0</v>
      </c>
      <c r="J2301" s="26">
        <v>165.0</v>
      </c>
      <c r="K2301" s="26">
        <v>28.0</v>
      </c>
      <c r="N2301" s="26" t="s">
        <v>687</v>
      </c>
    </row>
    <row r="2302">
      <c r="A2302" s="25">
        <v>43369.76173913194</v>
      </c>
      <c r="B2302" s="26" t="s">
        <v>80</v>
      </c>
      <c r="C2302" s="26" t="s">
        <v>630</v>
      </c>
      <c r="D2302" s="26" t="s">
        <v>27</v>
      </c>
      <c r="E2302" s="26">
        <v>887.0</v>
      </c>
      <c r="F2302" s="26" t="s">
        <v>32</v>
      </c>
      <c r="G2302" s="26">
        <v>17.0</v>
      </c>
      <c r="H2302" s="26">
        <v>8.0</v>
      </c>
      <c r="I2302" s="26">
        <v>260.0</v>
      </c>
      <c r="J2302" s="26">
        <v>550.0</v>
      </c>
      <c r="K2302" s="26">
        <v>70.0</v>
      </c>
      <c r="N2302" s="26" t="s">
        <v>1712</v>
      </c>
    </row>
    <row r="2303">
      <c r="A2303" s="25">
        <v>43369.77121641204</v>
      </c>
      <c r="B2303" s="26" t="s">
        <v>319</v>
      </c>
      <c r="C2303" s="26" t="s">
        <v>37</v>
      </c>
      <c r="D2303" s="26" t="s">
        <v>1225</v>
      </c>
      <c r="E2303" s="26">
        <v>125.0</v>
      </c>
      <c r="F2303" s="26" t="s">
        <v>1713</v>
      </c>
      <c r="G2303" s="26">
        <v>12.0</v>
      </c>
      <c r="H2303" s="26">
        <v>4.5</v>
      </c>
      <c r="N2303" s="26" t="s">
        <v>1714</v>
      </c>
    </row>
    <row r="2304">
      <c r="A2304" s="25">
        <v>43369.80585729166</v>
      </c>
      <c r="B2304" s="26" t="s">
        <v>33</v>
      </c>
      <c r="C2304" s="26" t="s">
        <v>73</v>
      </c>
      <c r="D2304" s="26" t="s">
        <v>31</v>
      </c>
      <c r="E2304" s="26">
        <v>104.0</v>
      </c>
      <c r="F2304" s="26" t="s">
        <v>63</v>
      </c>
      <c r="G2304" s="26">
        <v>1.0</v>
      </c>
      <c r="H2304" s="26">
        <v>1.0</v>
      </c>
      <c r="N2304" s="26" t="s">
        <v>685</v>
      </c>
    </row>
    <row r="2305">
      <c r="A2305" s="25">
        <v>43369.806311747685</v>
      </c>
      <c r="B2305" s="26" t="s">
        <v>40</v>
      </c>
      <c r="C2305" s="26">
        <v>62.0</v>
      </c>
      <c r="D2305" s="26" t="s">
        <v>27</v>
      </c>
      <c r="E2305" s="26">
        <v>159.0</v>
      </c>
      <c r="F2305" s="26" t="s">
        <v>75</v>
      </c>
      <c r="G2305" s="26">
        <v>10.0</v>
      </c>
      <c r="H2305" s="26">
        <v>5.0</v>
      </c>
      <c r="I2305" s="26">
        <v>135.0</v>
      </c>
      <c r="J2305" s="26">
        <v>11.0</v>
      </c>
      <c r="K2305" s="26">
        <v>13.0</v>
      </c>
      <c r="N2305" s="26" t="s">
        <v>696</v>
      </c>
    </row>
    <row r="2306">
      <c r="A2306" s="25">
        <v>43369.807581064815</v>
      </c>
      <c r="B2306" s="26" t="s">
        <v>1715</v>
      </c>
      <c r="C2306" s="26">
        <v>1.0</v>
      </c>
      <c r="D2306" s="26" t="s">
        <v>27</v>
      </c>
      <c r="E2306" s="26">
        <v>60.0</v>
      </c>
      <c r="F2306" s="26" t="s">
        <v>503</v>
      </c>
      <c r="G2306" s="26">
        <v>1.0</v>
      </c>
      <c r="H2306" s="26">
        <v>1.0</v>
      </c>
      <c r="I2306" s="26">
        <v>60.0</v>
      </c>
      <c r="N2306" s="26" t="s">
        <v>1716</v>
      </c>
    </row>
    <row r="2307">
      <c r="A2307" s="25">
        <v>43369.8083561574</v>
      </c>
      <c r="B2307" s="26" t="s">
        <v>33</v>
      </c>
      <c r="C2307" s="26">
        <v>5.0</v>
      </c>
      <c r="D2307" s="26" t="s">
        <v>27</v>
      </c>
      <c r="E2307" s="26">
        <v>120.0</v>
      </c>
      <c r="F2307" s="26" t="s">
        <v>1717</v>
      </c>
      <c r="G2307" s="26">
        <v>3.0</v>
      </c>
      <c r="H2307" s="26">
        <v>3.0</v>
      </c>
      <c r="N2307" s="26" t="s">
        <v>1716</v>
      </c>
    </row>
    <row r="2308">
      <c r="A2308" s="25">
        <v>43369.83590818287</v>
      </c>
      <c r="B2308" s="26" t="s">
        <v>270</v>
      </c>
      <c r="C2308" s="26" t="s">
        <v>271</v>
      </c>
      <c r="D2308" s="26" t="s">
        <v>27</v>
      </c>
      <c r="E2308" s="26">
        <v>260.0</v>
      </c>
      <c r="F2308" s="26" t="s">
        <v>35</v>
      </c>
      <c r="G2308" s="26">
        <v>9.0</v>
      </c>
      <c r="H2308" s="26">
        <v>1.0</v>
      </c>
      <c r="I2308" s="26">
        <v>170.0</v>
      </c>
      <c r="J2308" s="26">
        <v>60.0</v>
      </c>
      <c r="K2308" s="26">
        <v>25.0</v>
      </c>
      <c r="N2308" s="26" t="s">
        <v>683</v>
      </c>
    </row>
    <row r="2309">
      <c r="A2309" s="25">
        <v>43369.83682420139</v>
      </c>
      <c r="B2309" s="26" t="s">
        <v>33</v>
      </c>
      <c r="C2309" s="26" t="s">
        <v>43</v>
      </c>
      <c r="D2309" s="26" t="s">
        <v>31</v>
      </c>
      <c r="E2309" s="26">
        <v>218.0</v>
      </c>
      <c r="F2309" s="26" t="s">
        <v>58</v>
      </c>
      <c r="G2309" s="26">
        <v>4.0</v>
      </c>
      <c r="H2309" s="26">
        <v>2.0</v>
      </c>
      <c r="I2309" s="26">
        <v>144720.0</v>
      </c>
      <c r="J2309" s="26">
        <v>73075.0</v>
      </c>
      <c r="N2309" s="26" t="s">
        <v>685</v>
      </c>
    </row>
    <row r="2310">
      <c r="A2310" s="25">
        <v>43369.83914939815</v>
      </c>
      <c r="B2310" s="26" t="s">
        <v>33</v>
      </c>
      <c r="C2310" s="26" t="s">
        <v>73</v>
      </c>
      <c r="D2310" s="26" t="s">
        <v>31</v>
      </c>
      <c r="E2310" s="26">
        <v>125.0</v>
      </c>
      <c r="F2310" s="26" t="s">
        <v>35</v>
      </c>
      <c r="G2310" s="26">
        <v>10.0</v>
      </c>
      <c r="H2310" s="26">
        <v>1.0</v>
      </c>
      <c r="I2310" s="26">
        <v>111.0</v>
      </c>
      <c r="J2310" s="26">
        <v>10.0</v>
      </c>
      <c r="K2310" s="26">
        <v>4.0</v>
      </c>
      <c r="N2310" s="26" t="s">
        <v>691</v>
      </c>
    </row>
    <row r="2311">
      <c r="A2311" s="25">
        <v>43369.84587747685</v>
      </c>
      <c r="B2311" s="26" t="s">
        <v>36</v>
      </c>
      <c r="C2311" s="26" t="s">
        <v>96</v>
      </c>
      <c r="D2311" s="26" t="s">
        <v>31</v>
      </c>
      <c r="E2311" s="26">
        <v>535.0</v>
      </c>
      <c r="F2311" s="26" t="s">
        <v>32</v>
      </c>
      <c r="G2311" s="26">
        <v>20.0</v>
      </c>
      <c r="H2311" s="26">
        <v>3.0</v>
      </c>
      <c r="I2311" s="26">
        <v>181.0</v>
      </c>
      <c r="J2311" s="26">
        <v>328.0</v>
      </c>
      <c r="K2311" s="26">
        <v>26.0</v>
      </c>
      <c r="N2311" s="26" t="s">
        <v>696</v>
      </c>
    </row>
    <row r="2312">
      <c r="A2312" s="25">
        <v>43369.86614005787</v>
      </c>
      <c r="B2312" s="26" t="s">
        <v>40</v>
      </c>
      <c r="C2312" s="26">
        <v>65.0</v>
      </c>
      <c r="D2312" s="26" t="s">
        <v>31</v>
      </c>
      <c r="E2312" s="26">
        <v>272.0</v>
      </c>
      <c r="F2312" s="26" t="s">
        <v>94</v>
      </c>
      <c r="G2312" s="26">
        <v>10.0</v>
      </c>
      <c r="H2312" s="26">
        <v>5.0</v>
      </c>
      <c r="I2312" s="26">
        <v>210.0</v>
      </c>
      <c r="J2312" s="26">
        <v>28.0</v>
      </c>
      <c r="K2312" s="26">
        <v>34.0</v>
      </c>
      <c r="N2312" s="26" t="s">
        <v>751</v>
      </c>
    </row>
    <row r="2313">
      <c r="A2313" s="25">
        <v>43369.89967456018</v>
      </c>
      <c r="B2313" s="26" t="s">
        <v>95</v>
      </c>
      <c r="C2313" s="26" t="s">
        <v>96</v>
      </c>
      <c r="D2313" s="26" t="s">
        <v>31</v>
      </c>
      <c r="E2313" s="26">
        <v>350.0</v>
      </c>
      <c r="F2313" s="26" t="s">
        <v>97</v>
      </c>
      <c r="G2313" s="26">
        <v>4.0</v>
      </c>
      <c r="H2313" s="26">
        <v>0.0</v>
      </c>
      <c r="I2313" s="26">
        <v>350.0</v>
      </c>
      <c r="N2313" s="26" t="s">
        <v>1718</v>
      </c>
    </row>
    <row r="2314">
      <c r="A2314" s="25">
        <v>43369.926715740745</v>
      </c>
      <c r="B2314" s="26" t="s">
        <v>80</v>
      </c>
      <c r="C2314" s="26" t="s">
        <v>73</v>
      </c>
      <c r="D2314" s="26" t="s">
        <v>711</v>
      </c>
      <c r="E2314" s="26">
        <v>210.0</v>
      </c>
      <c r="F2314" s="26" t="s">
        <v>199</v>
      </c>
      <c r="G2314" s="26">
        <v>1.0</v>
      </c>
      <c r="H2314" s="26">
        <v>1.0</v>
      </c>
      <c r="I2314" s="26">
        <v>132.0</v>
      </c>
      <c r="J2314" s="26">
        <v>42.0</v>
      </c>
      <c r="K2314" s="26">
        <v>36.0</v>
      </c>
      <c r="N2314" s="26" t="s">
        <v>683</v>
      </c>
    </row>
    <row r="2315">
      <c r="A2315" s="25">
        <v>43369.92749770833</v>
      </c>
      <c r="B2315" s="26" t="s">
        <v>80</v>
      </c>
      <c r="C2315" s="26" t="s">
        <v>73</v>
      </c>
      <c r="D2315" s="26" t="s">
        <v>711</v>
      </c>
      <c r="E2315" s="26">
        <v>210.0</v>
      </c>
      <c r="F2315" s="26" t="s">
        <v>199</v>
      </c>
      <c r="G2315" s="26">
        <v>1.0</v>
      </c>
      <c r="H2315" s="26">
        <v>1.0</v>
      </c>
      <c r="I2315" s="26">
        <v>132.0</v>
      </c>
      <c r="J2315" s="26">
        <v>42.0</v>
      </c>
      <c r="K2315" s="26">
        <v>36.0</v>
      </c>
      <c r="N2315" s="26" t="s">
        <v>683</v>
      </c>
    </row>
    <row r="2316">
      <c r="A2316" s="25">
        <v>43369.963224374995</v>
      </c>
      <c r="B2316" s="26" t="s">
        <v>170</v>
      </c>
      <c r="C2316" s="26" t="s">
        <v>424</v>
      </c>
      <c r="D2316" s="26" t="s">
        <v>31</v>
      </c>
      <c r="E2316" s="26">
        <v>113.0</v>
      </c>
      <c r="F2316" s="26" t="s">
        <v>521</v>
      </c>
      <c r="G2316" s="26">
        <v>1.0</v>
      </c>
      <c r="H2316" s="26">
        <v>1.0</v>
      </c>
      <c r="I2316" s="26">
        <v>108.0</v>
      </c>
      <c r="J2316" s="26">
        <v>7.0</v>
      </c>
      <c r="K2316" s="26">
        <v>5.0</v>
      </c>
      <c r="L2316" s="26" t="s">
        <v>1719</v>
      </c>
      <c r="N2316" s="26" t="s">
        <v>691</v>
      </c>
    </row>
    <row r="2317">
      <c r="A2317" s="25">
        <v>43369.96343263889</v>
      </c>
      <c r="B2317" s="26" t="s">
        <v>146</v>
      </c>
      <c r="C2317" s="26" t="s">
        <v>737</v>
      </c>
      <c r="D2317" s="26" t="s">
        <v>31</v>
      </c>
      <c r="E2317" s="26">
        <v>450.0</v>
      </c>
      <c r="F2317" s="26" t="s">
        <v>47</v>
      </c>
      <c r="G2317" s="26">
        <v>8.0</v>
      </c>
      <c r="H2317" s="26">
        <v>4.0</v>
      </c>
      <c r="N2317" s="26" t="s">
        <v>704</v>
      </c>
    </row>
    <row r="2318">
      <c r="A2318" s="25">
        <v>43369.98528810185</v>
      </c>
      <c r="B2318" s="26" t="s">
        <v>40</v>
      </c>
      <c r="C2318" s="26">
        <v>59.0</v>
      </c>
      <c r="D2318" s="26" t="s">
        <v>27</v>
      </c>
      <c r="E2318" s="26">
        <v>156.0</v>
      </c>
      <c r="F2318" s="26" t="s">
        <v>63</v>
      </c>
      <c r="G2318" s="26">
        <v>0.0</v>
      </c>
      <c r="H2318" s="26">
        <v>0.0</v>
      </c>
      <c r="I2318" s="26">
        <v>108.0</v>
      </c>
      <c r="J2318" s="26">
        <v>23.0</v>
      </c>
      <c r="K2318" s="26">
        <v>25.0</v>
      </c>
      <c r="N2318" s="26" t="s">
        <v>757</v>
      </c>
    </row>
    <row r="2319">
      <c r="A2319" s="25">
        <v>43370.0100349537</v>
      </c>
      <c r="B2319" s="26" t="s">
        <v>40</v>
      </c>
      <c r="C2319" s="26">
        <v>65.0</v>
      </c>
      <c r="D2319" s="26" t="s">
        <v>1225</v>
      </c>
      <c r="E2319" s="26">
        <v>270.0</v>
      </c>
      <c r="F2319" s="26" t="s">
        <v>133</v>
      </c>
      <c r="G2319" s="26">
        <v>10.0</v>
      </c>
      <c r="H2319" s="26">
        <v>7.0</v>
      </c>
      <c r="I2319" s="26">
        <v>190.0</v>
      </c>
      <c r="J2319" s="26">
        <v>40.0</v>
      </c>
      <c r="K2319" s="26">
        <v>40.0</v>
      </c>
      <c r="N2319" s="26" t="s">
        <v>1720</v>
      </c>
    </row>
    <row r="2320">
      <c r="A2320" s="25">
        <v>43370.01136966435</v>
      </c>
      <c r="B2320" s="26" t="s">
        <v>45</v>
      </c>
      <c r="C2320" s="26" t="s">
        <v>116</v>
      </c>
      <c r="D2320" s="26" t="s">
        <v>1529</v>
      </c>
      <c r="E2320" s="26">
        <v>300.0</v>
      </c>
      <c r="F2320" s="26" t="s">
        <v>104</v>
      </c>
      <c r="G2320" s="26">
        <v>11.0</v>
      </c>
      <c r="H2320" s="26">
        <v>4.0</v>
      </c>
      <c r="I2320" s="26">
        <v>170.0</v>
      </c>
      <c r="J2320" s="26">
        <v>105.0</v>
      </c>
      <c r="K2320" s="26">
        <v>25.0</v>
      </c>
      <c r="N2320" s="26" t="s">
        <v>1163</v>
      </c>
    </row>
    <row r="2321">
      <c r="A2321" s="25">
        <v>43370.10095384259</v>
      </c>
      <c r="B2321" s="26" t="s">
        <v>45</v>
      </c>
      <c r="C2321" s="26" t="s">
        <v>116</v>
      </c>
      <c r="D2321" s="26" t="s">
        <v>31</v>
      </c>
      <c r="E2321" s="26">
        <v>350.0</v>
      </c>
      <c r="F2321" s="26" t="s">
        <v>104</v>
      </c>
      <c r="G2321" s="26">
        <v>14.0</v>
      </c>
      <c r="H2321" s="26">
        <v>4.0</v>
      </c>
      <c r="N2321" s="26" t="s">
        <v>683</v>
      </c>
    </row>
    <row r="2322">
      <c r="A2322" s="25">
        <v>43370.1073693287</v>
      </c>
      <c r="B2322" s="26" t="s">
        <v>33</v>
      </c>
      <c r="C2322" s="26" t="s">
        <v>43</v>
      </c>
      <c r="D2322" s="26" t="s">
        <v>31</v>
      </c>
      <c r="E2322" s="26">
        <v>230.0</v>
      </c>
      <c r="F2322" s="26" t="s">
        <v>35</v>
      </c>
      <c r="G2322" s="26">
        <v>5.0</v>
      </c>
      <c r="H2322" s="26">
        <v>3.0</v>
      </c>
      <c r="I2322" s="26">
        <v>141.0</v>
      </c>
      <c r="J2322" s="26">
        <v>89.0</v>
      </c>
      <c r="N2322" s="26" t="s">
        <v>691</v>
      </c>
    </row>
    <row r="2323">
      <c r="A2323" s="25">
        <v>43370.11115994213</v>
      </c>
      <c r="B2323" s="26" t="s">
        <v>45</v>
      </c>
      <c r="C2323" s="26" t="s">
        <v>102</v>
      </c>
      <c r="D2323" s="26" t="s">
        <v>1721</v>
      </c>
      <c r="E2323" s="26">
        <v>176.0</v>
      </c>
      <c r="F2323" s="26" t="s">
        <v>104</v>
      </c>
      <c r="G2323" s="26">
        <v>0.0</v>
      </c>
      <c r="H2323" s="26">
        <v>0.0</v>
      </c>
      <c r="I2323" s="26">
        <v>135.0</v>
      </c>
      <c r="J2323" s="26">
        <v>26.0</v>
      </c>
      <c r="K2323" s="26">
        <v>15.0</v>
      </c>
      <c r="N2323" s="26" t="s">
        <v>1722</v>
      </c>
    </row>
    <row r="2324">
      <c r="A2324" s="25">
        <v>43370.11685665509</v>
      </c>
      <c r="B2324" s="26" t="s">
        <v>33</v>
      </c>
      <c r="C2324" s="26" t="s">
        <v>43</v>
      </c>
      <c r="D2324" s="26" t="s">
        <v>31</v>
      </c>
      <c r="E2324" s="26">
        <v>186.0</v>
      </c>
      <c r="F2324" s="26" t="s">
        <v>35</v>
      </c>
      <c r="G2324" s="26">
        <v>2.0</v>
      </c>
      <c r="H2324" s="26">
        <v>2.0</v>
      </c>
      <c r="N2324" s="26" t="s">
        <v>704</v>
      </c>
    </row>
    <row r="2325">
      <c r="A2325" s="25">
        <v>43370.12410943287</v>
      </c>
      <c r="B2325" s="26" t="s">
        <v>33</v>
      </c>
      <c r="C2325" s="26">
        <v>5.0</v>
      </c>
      <c r="D2325" s="26" t="s">
        <v>711</v>
      </c>
      <c r="E2325" s="26">
        <v>115.0</v>
      </c>
      <c r="F2325" s="26" t="s">
        <v>63</v>
      </c>
      <c r="G2325" s="26">
        <v>6.0</v>
      </c>
      <c r="H2325" s="26">
        <v>2.0</v>
      </c>
      <c r="N2325" s="26" t="s">
        <v>691</v>
      </c>
    </row>
    <row r="2326">
      <c r="A2326" s="25">
        <v>43370.12414854167</v>
      </c>
      <c r="B2326" s="26" t="s">
        <v>33</v>
      </c>
      <c r="C2326" s="26">
        <v>5.0</v>
      </c>
      <c r="D2326" s="26" t="s">
        <v>711</v>
      </c>
      <c r="E2326" s="26">
        <v>115.0</v>
      </c>
      <c r="F2326" s="26" t="s">
        <v>63</v>
      </c>
      <c r="G2326" s="26">
        <v>6.0</v>
      </c>
      <c r="H2326" s="26">
        <v>2.0</v>
      </c>
      <c r="N2326" s="26" t="s">
        <v>691</v>
      </c>
    </row>
    <row r="2327">
      <c r="A2327" s="25">
        <v>43370.131237546295</v>
      </c>
      <c r="B2327" s="26" t="s">
        <v>64</v>
      </c>
      <c r="C2327" s="26" t="s">
        <v>1723</v>
      </c>
      <c r="D2327" s="26" t="s">
        <v>31</v>
      </c>
      <c r="E2327" s="26">
        <v>310.0</v>
      </c>
      <c r="F2327" s="26" t="s">
        <v>175</v>
      </c>
      <c r="G2327" s="26">
        <v>15.0</v>
      </c>
      <c r="H2327" s="26">
        <v>5.0</v>
      </c>
      <c r="I2327" s="26">
        <v>175.0</v>
      </c>
      <c r="J2327" s="26">
        <v>99.0</v>
      </c>
      <c r="K2327" s="26">
        <v>36.0</v>
      </c>
      <c r="N2327" s="26" t="s">
        <v>685</v>
      </c>
    </row>
    <row r="2328">
      <c r="A2328" s="25">
        <v>43370.140346527776</v>
      </c>
      <c r="B2328" s="26" t="s">
        <v>146</v>
      </c>
      <c r="C2328" s="26" t="s">
        <v>737</v>
      </c>
      <c r="D2328" s="26" t="s">
        <v>31</v>
      </c>
      <c r="E2328" s="26">
        <v>400.0</v>
      </c>
      <c r="F2328" s="26" t="s">
        <v>47</v>
      </c>
      <c r="G2328" s="26">
        <v>8.0</v>
      </c>
      <c r="H2328" s="26">
        <v>2.0</v>
      </c>
      <c r="I2328" s="26">
        <v>193.0</v>
      </c>
      <c r="J2328" s="26">
        <v>180.0</v>
      </c>
      <c r="K2328" s="26">
        <v>27.0</v>
      </c>
      <c r="N2328" s="26" t="s">
        <v>685</v>
      </c>
    </row>
    <row r="2329">
      <c r="A2329" s="25">
        <v>43370.1448353125</v>
      </c>
      <c r="B2329" s="26" t="s">
        <v>819</v>
      </c>
      <c r="C2329" s="26" t="s">
        <v>96</v>
      </c>
      <c r="D2329" s="26" t="s">
        <v>31</v>
      </c>
      <c r="E2329" s="26">
        <v>325.0</v>
      </c>
      <c r="F2329" s="26" t="s">
        <v>175</v>
      </c>
      <c r="G2329" s="26">
        <v>11.0</v>
      </c>
      <c r="H2329" s="26">
        <v>3.0</v>
      </c>
      <c r="N2329" s="26" t="s">
        <v>683</v>
      </c>
    </row>
    <row r="2330">
      <c r="A2330" s="25">
        <v>43370.203588564815</v>
      </c>
      <c r="B2330" s="26" t="s">
        <v>48</v>
      </c>
      <c r="C2330" s="26" t="s">
        <v>166</v>
      </c>
      <c r="D2330" s="26" t="s">
        <v>31</v>
      </c>
      <c r="E2330" s="26">
        <v>410.0</v>
      </c>
      <c r="F2330" s="26" t="s">
        <v>50</v>
      </c>
      <c r="G2330" s="26">
        <v>9.0</v>
      </c>
      <c r="H2330" s="26">
        <v>2.0</v>
      </c>
      <c r="I2330" s="26">
        <v>180.0</v>
      </c>
      <c r="J2330" s="26">
        <v>200.0</v>
      </c>
      <c r="K2330" s="26">
        <v>30.0</v>
      </c>
      <c r="N2330" s="26" t="s">
        <v>1724</v>
      </c>
    </row>
    <row r="2331">
      <c r="A2331" s="25">
        <v>43370.213820902776</v>
      </c>
      <c r="B2331" s="26" t="s">
        <v>258</v>
      </c>
      <c r="C2331" s="26" t="s">
        <v>818</v>
      </c>
      <c r="D2331" s="26" t="s">
        <v>31</v>
      </c>
      <c r="E2331" s="26">
        <v>210.0</v>
      </c>
      <c r="F2331" s="26" t="s">
        <v>58</v>
      </c>
      <c r="G2331" s="26">
        <v>1.0</v>
      </c>
      <c r="H2331" s="26">
        <v>1.0</v>
      </c>
      <c r="I2331" s="26">
        <v>145.0</v>
      </c>
      <c r="J2331" s="26">
        <v>50.0</v>
      </c>
      <c r="K2331" s="26">
        <v>15.0</v>
      </c>
      <c r="N2331" s="26" t="s">
        <v>683</v>
      </c>
    </row>
    <row r="2332">
      <c r="A2332" s="25">
        <v>43370.21885103009</v>
      </c>
      <c r="B2332" s="26" t="s">
        <v>105</v>
      </c>
      <c r="C2332" s="26" t="s">
        <v>191</v>
      </c>
      <c r="D2332" s="26" t="s">
        <v>31</v>
      </c>
      <c r="E2332" s="26">
        <v>145.0</v>
      </c>
      <c r="F2332" s="26" t="s">
        <v>302</v>
      </c>
      <c r="G2332" s="26">
        <v>4.0</v>
      </c>
      <c r="H2332" s="26">
        <v>1.0</v>
      </c>
      <c r="I2332" s="26">
        <v>130.0</v>
      </c>
      <c r="K2332" s="26">
        <v>15.0</v>
      </c>
      <c r="N2332" s="26" t="s">
        <v>683</v>
      </c>
    </row>
    <row r="2333">
      <c r="A2333" s="25">
        <v>43370.27222341435</v>
      </c>
      <c r="B2333" s="26" t="s">
        <v>33</v>
      </c>
      <c r="C2333" s="26" t="s">
        <v>62</v>
      </c>
      <c r="D2333" s="26" t="s">
        <v>31</v>
      </c>
      <c r="E2333" s="26">
        <v>247.0</v>
      </c>
      <c r="F2333" s="26" t="s">
        <v>35</v>
      </c>
      <c r="G2333" s="26">
        <v>10.0</v>
      </c>
      <c r="H2333" s="26">
        <v>8.0</v>
      </c>
      <c r="I2333" s="26">
        <v>145.0</v>
      </c>
      <c r="J2333" s="26">
        <v>102.0</v>
      </c>
      <c r="N2333" s="26" t="s">
        <v>683</v>
      </c>
    </row>
    <row r="2334">
      <c r="A2334" s="25">
        <v>43370.29801496528</v>
      </c>
      <c r="B2334" s="26" t="s">
        <v>36</v>
      </c>
      <c r="C2334" s="26" t="s">
        <v>73</v>
      </c>
      <c r="D2334" s="26" t="s">
        <v>31</v>
      </c>
      <c r="E2334" s="26">
        <v>280.0</v>
      </c>
      <c r="F2334" s="26" t="s">
        <v>32</v>
      </c>
      <c r="G2334" s="26">
        <v>3.0</v>
      </c>
      <c r="H2334" s="26">
        <v>1.0</v>
      </c>
      <c r="I2334" s="26">
        <v>147.0</v>
      </c>
      <c r="J2334" s="26">
        <v>125.0</v>
      </c>
      <c r="K2334" s="26">
        <v>13.0</v>
      </c>
      <c r="N2334" s="26" t="s">
        <v>699</v>
      </c>
    </row>
    <row r="2335">
      <c r="A2335" s="25">
        <v>43370.29883636574</v>
      </c>
      <c r="B2335" s="26" t="s">
        <v>45</v>
      </c>
      <c r="C2335" s="26" t="s">
        <v>102</v>
      </c>
      <c r="D2335" s="26" t="s">
        <v>31</v>
      </c>
      <c r="E2335" s="26">
        <v>170.0</v>
      </c>
      <c r="F2335" s="26" t="s">
        <v>104</v>
      </c>
      <c r="G2335" s="26">
        <v>7.0</v>
      </c>
      <c r="H2335" s="26">
        <v>1.0</v>
      </c>
      <c r="N2335" s="26" t="s">
        <v>693</v>
      </c>
    </row>
    <row r="2336">
      <c r="A2336" s="25">
        <v>43370.311742986116</v>
      </c>
      <c r="B2336" s="26" t="s">
        <v>45</v>
      </c>
      <c r="C2336" s="26" t="s">
        <v>149</v>
      </c>
      <c r="D2336" s="26" t="s">
        <v>31</v>
      </c>
      <c r="E2336" s="26">
        <v>550.0</v>
      </c>
      <c r="F2336" s="26" t="s">
        <v>92</v>
      </c>
      <c r="G2336" s="26">
        <v>14.0</v>
      </c>
      <c r="H2336" s="26">
        <v>6.0</v>
      </c>
      <c r="I2336" s="26">
        <v>220.0</v>
      </c>
      <c r="J2336" s="26">
        <v>280.0</v>
      </c>
      <c r="K2336" s="26">
        <v>50.0</v>
      </c>
      <c r="N2336" s="26" t="s">
        <v>1363</v>
      </c>
    </row>
    <row r="2337">
      <c r="A2337" s="25">
        <v>43370.313996111116</v>
      </c>
      <c r="B2337" s="26" t="s">
        <v>29</v>
      </c>
      <c r="C2337" s="26" t="s">
        <v>764</v>
      </c>
      <c r="D2337" s="26" t="s">
        <v>31</v>
      </c>
      <c r="E2337" s="26">
        <v>125.0</v>
      </c>
      <c r="F2337" s="26" t="s">
        <v>238</v>
      </c>
      <c r="G2337" s="26">
        <v>4.0</v>
      </c>
      <c r="H2337" s="26">
        <v>2.5</v>
      </c>
      <c r="N2337" s="26" t="s">
        <v>685</v>
      </c>
    </row>
    <row r="2338">
      <c r="A2338" s="25">
        <v>43370.331800740736</v>
      </c>
      <c r="B2338" s="26" t="s">
        <v>33</v>
      </c>
      <c r="C2338" s="26" t="s">
        <v>43</v>
      </c>
      <c r="D2338" s="26" t="s">
        <v>31</v>
      </c>
      <c r="E2338" s="26">
        <v>185.0</v>
      </c>
      <c r="F2338" s="26" t="s">
        <v>35</v>
      </c>
      <c r="G2338" s="26">
        <v>4.0</v>
      </c>
      <c r="H2338" s="26">
        <v>1.0</v>
      </c>
      <c r="I2338" s="26">
        <v>140.0</v>
      </c>
      <c r="J2338" s="26">
        <v>5.0</v>
      </c>
      <c r="K2338" s="26">
        <v>40.0</v>
      </c>
      <c r="N2338" s="26" t="s">
        <v>683</v>
      </c>
    </row>
    <row r="2339">
      <c r="A2339" s="25">
        <v>43370.35251336805</v>
      </c>
      <c r="B2339" s="26" t="s">
        <v>1725</v>
      </c>
      <c r="C2339" s="26" t="s">
        <v>37</v>
      </c>
      <c r="D2339" s="26" t="s">
        <v>1225</v>
      </c>
      <c r="E2339" s="26">
        <v>315.0</v>
      </c>
      <c r="F2339" s="26" t="s">
        <v>238</v>
      </c>
      <c r="G2339" s="26">
        <v>15.0</v>
      </c>
      <c r="H2339" s="26">
        <v>3.0</v>
      </c>
      <c r="I2339" s="26">
        <v>280.0</v>
      </c>
      <c r="J2339" s="26">
        <v>10.0</v>
      </c>
      <c r="K2339" s="26">
        <v>25.0</v>
      </c>
      <c r="N2339" s="26" t="s">
        <v>683</v>
      </c>
    </row>
    <row r="2340">
      <c r="A2340" s="25">
        <v>43370.35415223379</v>
      </c>
      <c r="B2340" s="26" t="s">
        <v>146</v>
      </c>
      <c r="C2340" s="26" t="s">
        <v>31</v>
      </c>
      <c r="D2340" s="26" t="s">
        <v>31</v>
      </c>
      <c r="E2340" s="26">
        <v>258.0</v>
      </c>
      <c r="F2340" s="26" t="s">
        <v>134</v>
      </c>
      <c r="G2340" s="26">
        <v>3.0</v>
      </c>
      <c r="H2340" s="26">
        <v>2.0</v>
      </c>
      <c r="I2340" s="26">
        <v>148.0</v>
      </c>
      <c r="J2340" s="26">
        <v>90.0</v>
      </c>
      <c r="K2340" s="26">
        <v>20.0</v>
      </c>
      <c r="N2340" s="26" t="s">
        <v>757</v>
      </c>
    </row>
    <row r="2341">
      <c r="A2341" s="25">
        <v>43370.43575446759</v>
      </c>
      <c r="B2341" s="26" t="s">
        <v>146</v>
      </c>
      <c r="C2341" s="26" t="s">
        <v>737</v>
      </c>
      <c r="D2341" s="26" t="s">
        <v>41</v>
      </c>
      <c r="E2341" s="26">
        <v>435.0</v>
      </c>
      <c r="F2341" s="26" t="s">
        <v>134</v>
      </c>
      <c r="G2341" s="26">
        <v>14.0</v>
      </c>
      <c r="H2341" s="26">
        <v>4.0</v>
      </c>
      <c r="I2341" s="26">
        <v>210.0</v>
      </c>
      <c r="J2341" s="26">
        <v>200.0</v>
      </c>
      <c r="K2341" s="26">
        <v>25.0</v>
      </c>
      <c r="N2341" s="26" t="s">
        <v>685</v>
      </c>
    </row>
    <row r="2342">
      <c r="A2342" s="25">
        <v>43370.44159122685</v>
      </c>
      <c r="B2342" s="26" t="s">
        <v>1726</v>
      </c>
      <c r="C2342" s="26">
        <v>5.0</v>
      </c>
      <c r="D2342" s="26" t="s">
        <v>31</v>
      </c>
      <c r="E2342" s="26">
        <v>242.0</v>
      </c>
      <c r="F2342" s="26" t="s">
        <v>238</v>
      </c>
      <c r="G2342" s="26">
        <v>10.0</v>
      </c>
      <c r="H2342" s="26">
        <v>1.0</v>
      </c>
      <c r="I2342" s="26">
        <v>175.0</v>
      </c>
      <c r="J2342" s="26">
        <v>63.0</v>
      </c>
      <c r="K2342" s="26">
        <v>4.0</v>
      </c>
      <c r="N2342" s="26" t="s">
        <v>683</v>
      </c>
    </row>
    <row r="2343">
      <c r="A2343" s="25">
        <v>43370.457855636574</v>
      </c>
      <c r="B2343" s="26" t="s">
        <v>1727</v>
      </c>
      <c r="C2343" s="26" t="s">
        <v>1728</v>
      </c>
      <c r="D2343" s="26" t="s">
        <v>31</v>
      </c>
      <c r="E2343" s="26">
        <v>125.0</v>
      </c>
      <c r="F2343" s="26" t="s">
        <v>481</v>
      </c>
      <c r="G2343" s="26">
        <v>7.0</v>
      </c>
      <c r="H2343" s="26">
        <v>4.0</v>
      </c>
      <c r="I2343" s="26">
        <v>120.0</v>
      </c>
      <c r="J2343" s="26">
        <v>5.0</v>
      </c>
      <c r="N2343" s="26" t="s">
        <v>708</v>
      </c>
    </row>
    <row r="2344">
      <c r="A2344" s="25">
        <v>43370.463407083334</v>
      </c>
      <c r="B2344" s="26" t="s">
        <v>1729</v>
      </c>
      <c r="C2344" s="26" t="s">
        <v>113</v>
      </c>
      <c r="D2344" s="26" t="s">
        <v>1730</v>
      </c>
      <c r="E2344" s="26">
        <v>200.0</v>
      </c>
      <c r="F2344" s="26" t="s">
        <v>134</v>
      </c>
      <c r="G2344" s="26">
        <v>15.0</v>
      </c>
      <c r="H2344" s="26">
        <v>9.0</v>
      </c>
      <c r="I2344" s="26">
        <v>165.0</v>
      </c>
      <c r="J2344" s="26">
        <v>20.0</v>
      </c>
      <c r="K2344" s="26">
        <v>15.0</v>
      </c>
      <c r="N2344" s="26" t="s">
        <v>685</v>
      </c>
    </row>
    <row r="2345">
      <c r="A2345" s="25">
        <v>43370.4740681713</v>
      </c>
      <c r="B2345" s="26" t="s">
        <v>45</v>
      </c>
      <c r="C2345" s="26" t="s">
        <v>102</v>
      </c>
      <c r="D2345" s="26" t="s">
        <v>31</v>
      </c>
      <c r="E2345" s="26">
        <v>153.0</v>
      </c>
      <c r="F2345" s="26" t="s">
        <v>104</v>
      </c>
      <c r="G2345" s="26">
        <v>0.0</v>
      </c>
      <c r="H2345" s="26">
        <v>0.0</v>
      </c>
      <c r="I2345" s="26">
        <v>115.0</v>
      </c>
      <c r="J2345" s="26">
        <v>18.0</v>
      </c>
      <c r="K2345" s="26">
        <v>15.0</v>
      </c>
      <c r="N2345" s="26" t="s">
        <v>685</v>
      </c>
    </row>
    <row r="2346">
      <c r="A2346" s="25">
        <v>43370.48918774306</v>
      </c>
      <c r="B2346" s="26" t="s">
        <v>33</v>
      </c>
      <c r="C2346" s="26">
        <v>5.0</v>
      </c>
      <c r="D2346" s="26" t="s">
        <v>711</v>
      </c>
      <c r="E2346" s="26">
        <v>15.0</v>
      </c>
      <c r="F2346" s="26" t="s">
        <v>63</v>
      </c>
      <c r="G2346" s="26">
        <v>5.0</v>
      </c>
      <c r="H2346" s="26">
        <v>0.0</v>
      </c>
      <c r="N2346" s="26" t="s">
        <v>691</v>
      </c>
    </row>
    <row r="2347">
      <c r="A2347" s="25">
        <v>43370.49971708334</v>
      </c>
      <c r="B2347" s="26" t="s">
        <v>1731</v>
      </c>
      <c r="C2347" s="26" t="s">
        <v>73</v>
      </c>
      <c r="D2347" s="26" t="s">
        <v>31</v>
      </c>
      <c r="E2347" s="26">
        <v>177.0</v>
      </c>
      <c r="F2347" s="26" t="s">
        <v>656</v>
      </c>
      <c r="G2347" s="26">
        <v>8.0</v>
      </c>
      <c r="H2347" s="26">
        <v>1.0</v>
      </c>
      <c r="I2347" s="26">
        <v>165000.0</v>
      </c>
      <c r="K2347" s="26">
        <v>12000.0</v>
      </c>
      <c r="M2347" s="26" t="s">
        <v>458</v>
      </c>
      <c r="N2347" s="26" t="s">
        <v>683</v>
      </c>
    </row>
    <row r="2348">
      <c r="A2348" s="25">
        <v>43370.501318483795</v>
      </c>
      <c r="B2348" s="26" t="s">
        <v>200</v>
      </c>
      <c r="C2348" s="26" t="s">
        <v>31</v>
      </c>
      <c r="D2348" s="26" t="s">
        <v>31</v>
      </c>
      <c r="E2348" s="26">
        <v>200.0</v>
      </c>
      <c r="F2348" s="26" t="s">
        <v>1732</v>
      </c>
      <c r="G2348" s="26">
        <v>3.0</v>
      </c>
      <c r="H2348" s="26">
        <v>0.0</v>
      </c>
      <c r="I2348" s="26">
        <v>150.0</v>
      </c>
      <c r="J2348" s="26">
        <v>50.0</v>
      </c>
      <c r="N2348" s="26" t="s">
        <v>685</v>
      </c>
    </row>
    <row r="2349">
      <c r="A2349" s="25">
        <v>43370.52500988426</v>
      </c>
      <c r="B2349" s="26" t="s">
        <v>371</v>
      </c>
      <c r="C2349" s="26" t="s">
        <v>372</v>
      </c>
      <c r="D2349" s="26" t="s">
        <v>1733</v>
      </c>
      <c r="E2349" s="26">
        <v>179.0</v>
      </c>
      <c r="F2349" s="26" t="s">
        <v>327</v>
      </c>
      <c r="G2349" s="26">
        <v>10.0</v>
      </c>
      <c r="H2349" s="26">
        <v>11.0</v>
      </c>
      <c r="I2349" s="26">
        <v>129.0</v>
      </c>
      <c r="J2349" s="26">
        <v>30.0</v>
      </c>
      <c r="K2349" s="26">
        <v>20.0</v>
      </c>
      <c r="N2349" s="26" t="s">
        <v>1734</v>
      </c>
    </row>
    <row r="2350">
      <c r="A2350" s="25">
        <v>43370.54331685185</v>
      </c>
      <c r="B2350" s="26" t="s">
        <v>45</v>
      </c>
      <c r="C2350" s="26" t="s">
        <v>806</v>
      </c>
      <c r="D2350" s="26" t="s">
        <v>41</v>
      </c>
      <c r="E2350" s="26">
        <v>450.0</v>
      </c>
      <c r="F2350" s="26" t="s">
        <v>92</v>
      </c>
      <c r="G2350" s="26">
        <v>10.0</v>
      </c>
      <c r="H2350" s="26">
        <v>10.0</v>
      </c>
      <c r="I2350" s="26">
        <v>205.0</v>
      </c>
      <c r="J2350" s="26">
        <v>215.0</v>
      </c>
      <c r="K2350" s="26">
        <v>35.0</v>
      </c>
      <c r="N2350" s="26" t="s">
        <v>699</v>
      </c>
    </row>
    <row r="2351">
      <c r="A2351" s="25">
        <v>43370.56448851852</v>
      </c>
      <c r="B2351" s="26" t="s">
        <v>170</v>
      </c>
      <c r="C2351" s="26" t="s">
        <v>572</v>
      </c>
      <c r="D2351" s="26" t="s">
        <v>31</v>
      </c>
      <c r="E2351" s="26">
        <v>193.0</v>
      </c>
      <c r="F2351" s="26" t="s">
        <v>478</v>
      </c>
      <c r="G2351" s="26">
        <v>19.0</v>
      </c>
      <c r="H2351" s="26">
        <v>19.0</v>
      </c>
      <c r="I2351" s="26">
        <v>138.0</v>
      </c>
      <c r="J2351" s="26">
        <v>15.0</v>
      </c>
      <c r="K2351" s="26">
        <v>31.0</v>
      </c>
      <c r="N2351" s="26" t="s">
        <v>1735</v>
      </c>
    </row>
    <row r="2352">
      <c r="A2352" s="25">
        <v>43370.58623872686</v>
      </c>
      <c r="B2352" s="26" t="s">
        <v>80</v>
      </c>
      <c r="C2352" s="26" t="s">
        <v>430</v>
      </c>
      <c r="D2352" s="26" t="s">
        <v>31</v>
      </c>
      <c r="E2352" s="26">
        <v>200.0</v>
      </c>
      <c r="F2352" s="26" t="s">
        <v>35</v>
      </c>
      <c r="G2352" s="26">
        <v>3.0</v>
      </c>
      <c r="H2352" s="26">
        <v>0.0</v>
      </c>
      <c r="I2352" s="26">
        <v>130.0</v>
      </c>
      <c r="J2352" s="26">
        <v>50.0</v>
      </c>
      <c r="K2352" s="26">
        <v>20.0</v>
      </c>
      <c r="N2352" s="26" t="s">
        <v>685</v>
      </c>
    </row>
    <row r="2353">
      <c r="A2353" s="25">
        <v>43370.59694216435</v>
      </c>
      <c r="B2353" s="26" t="s">
        <v>146</v>
      </c>
      <c r="C2353" s="26" t="s">
        <v>31</v>
      </c>
      <c r="D2353" s="26" t="s">
        <v>31</v>
      </c>
      <c r="E2353" s="26">
        <v>190.0</v>
      </c>
      <c r="F2353" s="26" t="s">
        <v>32</v>
      </c>
      <c r="G2353" s="26">
        <v>1.0</v>
      </c>
      <c r="H2353" s="26">
        <v>1.0</v>
      </c>
      <c r="N2353" s="26" t="s">
        <v>685</v>
      </c>
    </row>
    <row r="2354">
      <c r="A2354" s="25">
        <v>43370.600625127314</v>
      </c>
      <c r="B2354" s="26" t="s">
        <v>45</v>
      </c>
      <c r="C2354" s="26" t="s">
        <v>116</v>
      </c>
      <c r="D2354" s="26" t="s">
        <v>31</v>
      </c>
      <c r="E2354" s="26">
        <v>333.0</v>
      </c>
      <c r="F2354" s="26" t="s">
        <v>104</v>
      </c>
      <c r="G2354" s="26">
        <v>7.0</v>
      </c>
      <c r="H2354" s="26">
        <v>4.0</v>
      </c>
      <c r="N2354" s="26" t="s">
        <v>699</v>
      </c>
    </row>
    <row r="2355">
      <c r="A2355" s="25">
        <v>43370.60478692129</v>
      </c>
      <c r="B2355" s="26" t="s">
        <v>33</v>
      </c>
      <c r="C2355" s="26" t="s">
        <v>43</v>
      </c>
      <c r="D2355" s="26" t="s">
        <v>31</v>
      </c>
      <c r="E2355" s="26">
        <v>317.0</v>
      </c>
      <c r="F2355" s="26" t="s">
        <v>175</v>
      </c>
      <c r="G2355" s="26">
        <v>6.0</v>
      </c>
      <c r="H2355" s="26">
        <v>6.0</v>
      </c>
      <c r="I2355" s="26">
        <v>167.0</v>
      </c>
      <c r="J2355" s="26">
        <v>90.0</v>
      </c>
      <c r="K2355" s="26">
        <v>60.0</v>
      </c>
      <c r="N2355" s="26" t="s">
        <v>715</v>
      </c>
    </row>
    <row r="2356">
      <c r="A2356" s="25">
        <v>43370.61813859954</v>
      </c>
      <c r="B2356" s="26" t="s">
        <v>36</v>
      </c>
      <c r="C2356" s="26" t="s">
        <v>1032</v>
      </c>
      <c r="D2356" s="26" t="s">
        <v>31</v>
      </c>
      <c r="E2356" s="26">
        <v>500.0</v>
      </c>
      <c r="F2356" s="26" t="s">
        <v>58</v>
      </c>
      <c r="G2356" s="26">
        <v>8.0</v>
      </c>
      <c r="H2356" s="26">
        <v>1.0</v>
      </c>
      <c r="I2356" s="26">
        <v>198.0</v>
      </c>
      <c r="J2356" s="26">
        <v>250.0</v>
      </c>
      <c r="K2356" s="26">
        <v>52.0</v>
      </c>
      <c r="N2356" s="26" t="s">
        <v>1121</v>
      </c>
    </row>
    <row r="2357">
      <c r="A2357" s="25">
        <v>43370.61966427084</v>
      </c>
      <c r="B2357" s="26" t="s">
        <v>204</v>
      </c>
      <c r="C2357" s="26" t="s">
        <v>62</v>
      </c>
      <c r="D2357" s="26" t="s">
        <v>31</v>
      </c>
      <c r="E2357" s="26">
        <v>580.0</v>
      </c>
      <c r="F2357" s="26" t="s">
        <v>1736</v>
      </c>
      <c r="G2357" s="26">
        <v>10.0</v>
      </c>
      <c r="H2357" s="26">
        <v>4.0</v>
      </c>
      <c r="I2357" s="26">
        <v>230.0</v>
      </c>
      <c r="J2357" s="26">
        <v>300.0</v>
      </c>
      <c r="K2357" s="26">
        <v>50.0</v>
      </c>
      <c r="N2357" s="26" t="s">
        <v>691</v>
      </c>
    </row>
    <row r="2358">
      <c r="A2358" s="25">
        <v>43370.62186864583</v>
      </c>
      <c r="B2358" s="26" t="s">
        <v>33</v>
      </c>
      <c r="C2358" s="26" t="s">
        <v>73</v>
      </c>
      <c r="D2358" s="26" t="s">
        <v>1225</v>
      </c>
      <c r="E2358" s="26">
        <v>133.0</v>
      </c>
      <c r="F2358" s="26" t="s">
        <v>35</v>
      </c>
      <c r="G2358" s="26">
        <v>1.0</v>
      </c>
      <c r="H2358" s="26">
        <v>0.0</v>
      </c>
      <c r="I2358" s="26">
        <v>100.0</v>
      </c>
      <c r="K2358" s="26">
        <v>30.0</v>
      </c>
      <c r="N2358" s="26" t="s">
        <v>174</v>
      </c>
    </row>
    <row r="2359">
      <c r="A2359" s="25">
        <v>43370.621920034726</v>
      </c>
      <c r="B2359" s="26" t="s">
        <v>146</v>
      </c>
      <c r="C2359" s="26" t="s">
        <v>31</v>
      </c>
      <c r="D2359" s="26" t="s">
        <v>31</v>
      </c>
      <c r="E2359" s="26">
        <v>188.0</v>
      </c>
      <c r="F2359" s="26" t="s">
        <v>47</v>
      </c>
      <c r="G2359" s="26">
        <v>7.0</v>
      </c>
      <c r="H2359" s="26">
        <v>1.0</v>
      </c>
      <c r="I2359" s="26">
        <v>127.0</v>
      </c>
      <c r="J2359" s="26">
        <v>38.0</v>
      </c>
      <c r="K2359" s="26">
        <v>13.0</v>
      </c>
      <c r="N2359" s="26" t="s">
        <v>704</v>
      </c>
    </row>
    <row r="2360">
      <c r="A2360" s="25">
        <v>43370.628814270836</v>
      </c>
      <c r="B2360" s="26" t="s">
        <v>48</v>
      </c>
      <c r="C2360" s="26" t="s">
        <v>49</v>
      </c>
      <c r="D2360" s="26" t="s">
        <v>31</v>
      </c>
      <c r="E2360" s="26">
        <v>255.0</v>
      </c>
      <c r="F2360" s="26" t="s">
        <v>50</v>
      </c>
      <c r="G2360" s="26">
        <v>5.0</v>
      </c>
      <c r="H2360" s="26">
        <v>0.0</v>
      </c>
      <c r="I2360" s="26">
        <v>160.0</v>
      </c>
      <c r="J2360" s="26">
        <v>45.0</v>
      </c>
      <c r="K2360" s="26">
        <v>50.0</v>
      </c>
      <c r="N2360" s="26" t="s">
        <v>683</v>
      </c>
    </row>
    <row r="2361">
      <c r="A2361" s="25">
        <v>43370.63127666667</v>
      </c>
      <c r="B2361" s="26" t="s">
        <v>187</v>
      </c>
      <c r="C2361" s="26" t="s">
        <v>430</v>
      </c>
      <c r="D2361" s="26" t="s">
        <v>31</v>
      </c>
      <c r="E2361" s="26">
        <v>250.0</v>
      </c>
      <c r="F2361" s="26" t="s">
        <v>32</v>
      </c>
      <c r="G2361" s="26">
        <v>4.0</v>
      </c>
      <c r="H2361" s="26">
        <v>0.0</v>
      </c>
      <c r="I2361" s="26">
        <v>155.0</v>
      </c>
      <c r="J2361" s="26">
        <v>75.0</v>
      </c>
      <c r="K2361" s="26">
        <v>20.0</v>
      </c>
      <c r="N2361" s="26" t="s">
        <v>683</v>
      </c>
    </row>
    <row r="2362">
      <c r="A2362" s="25">
        <v>43370.63586375</v>
      </c>
      <c r="B2362" s="26" t="s">
        <v>187</v>
      </c>
      <c r="C2362" s="26" t="s">
        <v>430</v>
      </c>
      <c r="D2362" s="26" t="s">
        <v>31</v>
      </c>
      <c r="E2362" s="26">
        <v>280.0</v>
      </c>
      <c r="F2362" s="26" t="s">
        <v>32</v>
      </c>
      <c r="G2362" s="26">
        <v>5.0</v>
      </c>
      <c r="H2362" s="26">
        <v>0.0</v>
      </c>
      <c r="I2362" s="26">
        <v>175.0</v>
      </c>
      <c r="J2362" s="26">
        <v>75.0</v>
      </c>
      <c r="K2362" s="26">
        <v>20.0</v>
      </c>
      <c r="N2362" s="26" t="s">
        <v>683</v>
      </c>
    </row>
    <row r="2363">
      <c r="A2363" s="25">
        <v>43370.63937013889</v>
      </c>
      <c r="B2363" s="26" t="s">
        <v>187</v>
      </c>
      <c r="C2363" s="26" t="s">
        <v>430</v>
      </c>
      <c r="D2363" s="26" t="s">
        <v>31</v>
      </c>
      <c r="E2363" s="26">
        <v>370.0</v>
      </c>
      <c r="F2363" s="26" t="s">
        <v>32</v>
      </c>
      <c r="G2363" s="26">
        <v>4.0</v>
      </c>
      <c r="H2363" s="26">
        <v>0.0</v>
      </c>
      <c r="I2363" s="26">
        <v>192.0</v>
      </c>
      <c r="J2363" s="26">
        <v>140.0</v>
      </c>
      <c r="K2363" s="26">
        <v>38.0</v>
      </c>
      <c r="N2363" s="26" t="s">
        <v>704</v>
      </c>
    </row>
    <row r="2364">
      <c r="A2364" s="25">
        <v>43370.63956549768</v>
      </c>
      <c r="B2364" s="26" t="s">
        <v>36</v>
      </c>
      <c r="C2364" s="26" t="s">
        <v>43</v>
      </c>
      <c r="D2364" s="26" t="s">
        <v>27</v>
      </c>
      <c r="E2364" s="26">
        <v>374.0</v>
      </c>
      <c r="F2364" s="26" t="s">
        <v>32</v>
      </c>
      <c r="G2364" s="26">
        <v>10.0</v>
      </c>
      <c r="H2364" s="26">
        <v>2.0</v>
      </c>
      <c r="I2364" s="26">
        <v>184.0</v>
      </c>
      <c r="J2364" s="26">
        <v>170.0</v>
      </c>
      <c r="K2364" s="26">
        <v>20.0</v>
      </c>
      <c r="N2364" s="26" t="s">
        <v>683</v>
      </c>
    </row>
    <row r="2365">
      <c r="A2365" s="25">
        <v>43370.64252309028</v>
      </c>
      <c r="B2365" s="26" t="s">
        <v>33</v>
      </c>
      <c r="C2365" s="26" t="s">
        <v>43</v>
      </c>
      <c r="D2365" s="26" t="s">
        <v>31</v>
      </c>
      <c r="E2365" s="26">
        <v>260.0</v>
      </c>
      <c r="F2365" s="26" t="s">
        <v>35</v>
      </c>
      <c r="G2365" s="26">
        <v>10.0</v>
      </c>
      <c r="H2365" s="26">
        <v>2.0</v>
      </c>
      <c r="I2365" s="26">
        <v>143.0</v>
      </c>
      <c r="J2365" s="26">
        <v>60.0</v>
      </c>
      <c r="K2365" s="26">
        <v>57.0</v>
      </c>
      <c r="N2365" s="26" t="s">
        <v>685</v>
      </c>
    </row>
    <row r="2366">
      <c r="A2366" s="25">
        <v>43370.64666103009</v>
      </c>
      <c r="B2366" s="26" t="s">
        <v>40</v>
      </c>
      <c r="C2366" s="26">
        <v>65.0</v>
      </c>
      <c r="D2366" s="26" t="s">
        <v>31</v>
      </c>
      <c r="E2366" s="26">
        <v>200.0</v>
      </c>
      <c r="F2366" s="26" t="s">
        <v>35</v>
      </c>
      <c r="G2366" s="26">
        <v>4.0</v>
      </c>
      <c r="H2366" s="26">
        <v>0.0</v>
      </c>
      <c r="I2366" s="26">
        <v>120.0</v>
      </c>
      <c r="J2366" s="26">
        <v>40.0</v>
      </c>
      <c r="K2366" s="26">
        <v>40.0</v>
      </c>
      <c r="N2366" s="26" t="s">
        <v>751</v>
      </c>
    </row>
    <row r="2367">
      <c r="A2367" s="25">
        <v>43370.66429383102</v>
      </c>
      <c r="B2367" s="26" t="s">
        <v>80</v>
      </c>
      <c r="C2367" s="26" t="s">
        <v>43</v>
      </c>
      <c r="D2367" s="26" t="s">
        <v>31</v>
      </c>
      <c r="E2367" s="26">
        <v>300.0</v>
      </c>
      <c r="F2367" s="26" t="s">
        <v>51</v>
      </c>
      <c r="G2367" s="26">
        <v>10.0</v>
      </c>
      <c r="H2367" s="26">
        <v>4.0</v>
      </c>
      <c r="I2367" s="26">
        <v>164.0</v>
      </c>
      <c r="J2367" s="26">
        <v>100.0</v>
      </c>
      <c r="K2367" s="26">
        <v>40.0</v>
      </c>
      <c r="N2367" s="26" t="s">
        <v>704</v>
      </c>
    </row>
    <row r="2368">
      <c r="A2368" s="25">
        <v>43370.66445880787</v>
      </c>
      <c r="B2368" s="26" t="s">
        <v>819</v>
      </c>
      <c r="C2368" s="26" t="s">
        <v>1737</v>
      </c>
      <c r="D2368" s="26" t="s">
        <v>31</v>
      </c>
      <c r="E2368" s="26">
        <v>160.0</v>
      </c>
      <c r="F2368" s="26" t="s">
        <v>175</v>
      </c>
      <c r="G2368" s="26">
        <v>2.0</v>
      </c>
      <c r="H2368" s="26">
        <v>2.0</v>
      </c>
      <c r="I2368" s="26">
        <v>130.0</v>
      </c>
      <c r="J2368" s="26">
        <v>20.0</v>
      </c>
      <c r="K2368" s="26">
        <v>10.0</v>
      </c>
      <c r="N2368" s="26" t="s">
        <v>696</v>
      </c>
    </row>
    <row r="2369">
      <c r="A2369" s="25">
        <v>43370.6769746875</v>
      </c>
      <c r="B2369" s="26" t="s">
        <v>33</v>
      </c>
      <c r="C2369" s="26" t="s">
        <v>275</v>
      </c>
      <c r="D2369" s="26" t="s">
        <v>31</v>
      </c>
      <c r="E2369" s="26">
        <v>148.0</v>
      </c>
      <c r="F2369" s="26" t="s">
        <v>175</v>
      </c>
      <c r="G2369" s="26">
        <v>1.0</v>
      </c>
      <c r="H2369" s="26">
        <v>0.0</v>
      </c>
      <c r="I2369" s="26">
        <v>116.0</v>
      </c>
      <c r="J2369" s="26">
        <v>17.0</v>
      </c>
      <c r="K2369" s="26">
        <v>25.0</v>
      </c>
      <c r="N2369" s="26" t="s">
        <v>704</v>
      </c>
    </row>
    <row r="2370">
      <c r="A2370" s="25">
        <v>43370.686218622686</v>
      </c>
      <c r="B2370" s="26" t="s">
        <v>187</v>
      </c>
      <c r="C2370" s="26" t="s">
        <v>69</v>
      </c>
      <c r="D2370" s="26" t="s">
        <v>31</v>
      </c>
      <c r="E2370" s="26">
        <v>200.0</v>
      </c>
      <c r="F2370" s="26" t="s">
        <v>32</v>
      </c>
      <c r="G2370" s="26">
        <v>1.0</v>
      </c>
      <c r="H2370" s="26">
        <v>1.0</v>
      </c>
      <c r="N2370" s="26" t="s">
        <v>699</v>
      </c>
    </row>
    <row r="2371">
      <c r="A2371" s="25">
        <v>43370.70594755787</v>
      </c>
      <c r="B2371" s="26" t="s">
        <v>45</v>
      </c>
      <c r="C2371" s="26">
        <v>3.0</v>
      </c>
      <c r="D2371" s="26" t="s">
        <v>1738</v>
      </c>
      <c r="E2371" s="26">
        <v>194.0</v>
      </c>
      <c r="F2371" s="26" t="s">
        <v>104</v>
      </c>
      <c r="G2371" s="26">
        <v>5.0</v>
      </c>
      <c r="H2371" s="26">
        <v>2.0</v>
      </c>
      <c r="I2371" s="26">
        <v>134.0</v>
      </c>
      <c r="J2371" s="26">
        <v>50.0</v>
      </c>
      <c r="K2371" s="26">
        <v>10.0</v>
      </c>
      <c r="N2371" s="26" t="s">
        <v>728</v>
      </c>
    </row>
    <row r="2372">
      <c r="A2372" s="25">
        <v>43370.7088893287</v>
      </c>
      <c r="B2372" s="26" t="s">
        <v>139</v>
      </c>
      <c r="C2372" s="26" t="s">
        <v>1739</v>
      </c>
      <c r="D2372" s="26" t="s">
        <v>41</v>
      </c>
      <c r="E2372" s="26">
        <v>463.0</v>
      </c>
      <c r="F2372" s="26" t="s">
        <v>134</v>
      </c>
      <c r="G2372" s="26">
        <v>12.0</v>
      </c>
      <c r="H2372" s="26">
        <v>12.0</v>
      </c>
      <c r="I2372" s="26">
        <v>253.0</v>
      </c>
      <c r="J2372" s="26">
        <v>150.0</v>
      </c>
      <c r="K2372" s="26">
        <v>60.0</v>
      </c>
      <c r="N2372" s="26" t="s">
        <v>685</v>
      </c>
    </row>
    <row r="2373">
      <c r="A2373" s="25">
        <v>43370.730594085646</v>
      </c>
      <c r="B2373" s="26" t="s">
        <v>371</v>
      </c>
      <c r="C2373" s="26" t="s">
        <v>716</v>
      </c>
      <c r="D2373" s="26" t="s">
        <v>31</v>
      </c>
      <c r="E2373" s="26">
        <v>106.0</v>
      </c>
      <c r="F2373" s="26" t="s">
        <v>459</v>
      </c>
      <c r="G2373" s="26">
        <v>2.0</v>
      </c>
      <c r="H2373" s="26">
        <v>0.0</v>
      </c>
      <c r="I2373" s="26">
        <v>90.0</v>
      </c>
      <c r="J2373" s="26">
        <v>8.0</v>
      </c>
      <c r="K2373" s="26">
        <v>8.0</v>
      </c>
      <c r="N2373" s="26" t="s">
        <v>1245</v>
      </c>
    </row>
    <row r="2374">
      <c r="A2374" s="25">
        <v>43370.73096864583</v>
      </c>
      <c r="B2374" s="26" t="s">
        <v>256</v>
      </c>
      <c r="C2374" s="26" t="s">
        <v>184</v>
      </c>
      <c r="D2374" s="26" t="s">
        <v>31</v>
      </c>
      <c r="E2374" s="26">
        <v>355.0</v>
      </c>
      <c r="F2374" s="26" t="s">
        <v>35</v>
      </c>
      <c r="G2374" s="26">
        <v>10.0</v>
      </c>
      <c r="H2374" s="26">
        <v>0.0</v>
      </c>
      <c r="I2374" s="26">
        <v>200.0</v>
      </c>
      <c r="J2374" s="26">
        <v>125.0</v>
      </c>
      <c r="K2374" s="26">
        <v>30.0</v>
      </c>
      <c r="N2374" s="26" t="s">
        <v>757</v>
      </c>
    </row>
    <row r="2375">
      <c r="A2375" s="25">
        <v>43370.731333414355</v>
      </c>
      <c r="B2375" s="26" t="s">
        <v>371</v>
      </c>
      <c r="C2375" s="26" t="s">
        <v>716</v>
      </c>
      <c r="D2375" s="26" t="s">
        <v>31</v>
      </c>
      <c r="E2375" s="26">
        <v>116.0</v>
      </c>
      <c r="F2375" s="26" t="s">
        <v>238</v>
      </c>
      <c r="G2375" s="26">
        <v>2.0</v>
      </c>
      <c r="H2375" s="26">
        <v>1.0</v>
      </c>
      <c r="I2375" s="26">
        <v>98.0</v>
      </c>
      <c r="J2375" s="26">
        <v>10.0</v>
      </c>
      <c r="K2375" s="26">
        <v>8.0</v>
      </c>
      <c r="N2375" s="26" t="s">
        <v>1244</v>
      </c>
    </row>
    <row r="2376">
      <c r="A2376" s="25">
        <v>43370.735029166666</v>
      </c>
      <c r="B2376" s="26" t="s">
        <v>119</v>
      </c>
      <c r="C2376" s="26" t="s">
        <v>484</v>
      </c>
      <c r="D2376" s="26" t="s">
        <v>31</v>
      </c>
      <c r="E2376" s="26">
        <v>200.0</v>
      </c>
      <c r="F2376" s="26" t="s">
        <v>32</v>
      </c>
      <c r="G2376" s="26">
        <v>4.0</v>
      </c>
      <c r="H2376" s="26">
        <v>1.0</v>
      </c>
      <c r="N2376" s="26" t="s">
        <v>685</v>
      </c>
    </row>
    <row r="2377">
      <c r="A2377" s="25">
        <v>43370.7687408912</v>
      </c>
      <c r="B2377" s="26" t="s">
        <v>1740</v>
      </c>
      <c r="C2377" s="26">
        <v>1.0</v>
      </c>
      <c r="D2377" s="26" t="s">
        <v>1741</v>
      </c>
      <c r="E2377" s="26">
        <v>60.0</v>
      </c>
      <c r="F2377" s="26" t="s">
        <v>1742</v>
      </c>
      <c r="G2377" s="26">
        <v>0.0</v>
      </c>
      <c r="H2377" s="26">
        <v>0.0</v>
      </c>
      <c r="I2377" s="26">
        <v>60.0</v>
      </c>
      <c r="N2377" s="26" t="s">
        <v>1743</v>
      </c>
    </row>
    <row r="2378">
      <c r="A2378" s="25">
        <v>43370.781246886574</v>
      </c>
      <c r="B2378" s="26" t="s">
        <v>119</v>
      </c>
      <c r="C2378" s="26" t="s">
        <v>120</v>
      </c>
      <c r="D2378" s="26" t="s">
        <v>31</v>
      </c>
      <c r="E2378" s="26">
        <v>190.0</v>
      </c>
      <c r="F2378" s="26" t="s">
        <v>32</v>
      </c>
      <c r="G2378" s="26">
        <v>13.0</v>
      </c>
      <c r="H2378" s="26">
        <v>1.0</v>
      </c>
      <c r="N2378" s="26" t="s">
        <v>685</v>
      </c>
    </row>
    <row r="2379">
      <c r="A2379" s="25">
        <v>43370.795262141204</v>
      </c>
      <c r="B2379" s="26" t="s">
        <v>1744</v>
      </c>
      <c r="C2379" s="26" t="s">
        <v>1745</v>
      </c>
      <c r="D2379" s="26" t="s">
        <v>31</v>
      </c>
      <c r="E2379" s="26">
        <v>150.0</v>
      </c>
      <c r="F2379" s="26" t="s">
        <v>32</v>
      </c>
      <c r="G2379" s="26">
        <v>3.0</v>
      </c>
      <c r="H2379" s="26">
        <v>3.0</v>
      </c>
      <c r="N2379" s="26" t="s">
        <v>751</v>
      </c>
    </row>
    <row r="2380">
      <c r="A2380" s="25">
        <v>43370.809353449076</v>
      </c>
      <c r="B2380" s="26" t="s">
        <v>40</v>
      </c>
      <c r="C2380" s="26">
        <v>59.0</v>
      </c>
      <c r="D2380" s="26" t="s">
        <v>27</v>
      </c>
      <c r="E2380" s="26">
        <v>106.0</v>
      </c>
      <c r="F2380" s="26" t="s">
        <v>35</v>
      </c>
      <c r="G2380" s="26">
        <v>1.0</v>
      </c>
      <c r="H2380" s="26">
        <v>1.0</v>
      </c>
      <c r="N2380" s="26" t="s">
        <v>685</v>
      </c>
    </row>
    <row r="2381">
      <c r="A2381" s="25">
        <v>43370.82626619213</v>
      </c>
      <c r="B2381" s="26" t="s">
        <v>48</v>
      </c>
      <c r="C2381" s="26" t="s">
        <v>166</v>
      </c>
      <c r="D2381" s="26" t="s">
        <v>31</v>
      </c>
      <c r="E2381" s="26">
        <v>380.0</v>
      </c>
      <c r="F2381" s="26" t="s">
        <v>50</v>
      </c>
      <c r="G2381" s="26">
        <v>10.0</v>
      </c>
      <c r="H2381" s="26">
        <v>0.0</v>
      </c>
      <c r="I2381" s="26">
        <v>200.0</v>
      </c>
      <c r="J2381" s="26">
        <v>150.0</v>
      </c>
      <c r="K2381" s="26">
        <v>30.0</v>
      </c>
      <c r="N2381" s="26" t="s">
        <v>691</v>
      </c>
    </row>
    <row r="2382">
      <c r="A2382" s="25">
        <v>43370.82794944444</v>
      </c>
      <c r="B2382" s="26" t="s">
        <v>40</v>
      </c>
      <c r="C2382" s="26">
        <v>67.0</v>
      </c>
      <c r="D2382" s="26" t="s">
        <v>27</v>
      </c>
      <c r="E2382" s="26">
        <v>374.0</v>
      </c>
      <c r="F2382" s="26" t="s">
        <v>75</v>
      </c>
      <c r="G2382" s="26">
        <v>20.0</v>
      </c>
      <c r="H2382" s="26">
        <v>5.0</v>
      </c>
      <c r="N2382" s="26" t="s">
        <v>1746</v>
      </c>
    </row>
    <row r="2383">
      <c r="A2383" s="25">
        <v>43370.83717810185</v>
      </c>
      <c r="B2383" s="26" t="s">
        <v>33</v>
      </c>
      <c r="C2383" s="26" t="s">
        <v>34</v>
      </c>
      <c r="D2383" s="26" t="s">
        <v>27</v>
      </c>
      <c r="E2383" s="26">
        <v>425.0</v>
      </c>
      <c r="F2383" s="26" t="s">
        <v>108</v>
      </c>
      <c r="G2383" s="26">
        <v>6.0</v>
      </c>
      <c r="H2383" s="26">
        <v>6.0</v>
      </c>
      <c r="N2383" s="26" t="s">
        <v>1747</v>
      </c>
    </row>
    <row r="2384">
      <c r="A2384" s="25">
        <v>43370.85577534723</v>
      </c>
      <c r="B2384" s="26" t="s">
        <v>48</v>
      </c>
      <c r="C2384" s="26" t="s">
        <v>49</v>
      </c>
      <c r="D2384" s="26" t="s">
        <v>31</v>
      </c>
      <c r="E2384" s="26">
        <v>276.0</v>
      </c>
      <c r="F2384" s="26" t="s">
        <v>35</v>
      </c>
      <c r="G2384" s="26">
        <v>4.0</v>
      </c>
      <c r="H2384" s="26">
        <v>0.0</v>
      </c>
      <c r="I2384" s="26">
        <v>160.0</v>
      </c>
      <c r="J2384" s="26">
        <v>100.0</v>
      </c>
      <c r="K2384" s="26">
        <v>16.0</v>
      </c>
      <c r="L2384" s="26" t="s">
        <v>1748</v>
      </c>
      <c r="N2384" s="26" t="s">
        <v>691</v>
      </c>
    </row>
    <row r="2385">
      <c r="A2385" s="25">
        <v>43370.857703518515</v>
      </c>
      <c r="B2385" s="26" t="s">
        <v>48</v>
      </c>
      <c r="C2385" s="26" t="s">
        <v>78</v>
      </c>
      <c r="D2385" s="26" t="s">
        <v>1544</v>
      </c>
      <c r="E2385" s="26">
        <v>170.0</v>
      </c>
      <c r="F2385" s="26" t="s">
        <v>50</v>
      </c>
      <c r="G2385" s="26">
        <v>4.0</v>
      </c>
      <c r="H2385" s="26">
        <v>1.0</v>
      </c>
      <c r="N2385" s="26" t="s">
        <v>1134</v>
      </c>
    </row>
    <row r="2386">
      <c r="A2386" s="25">
        <v>43370.858747025464</v>
      </c>
      <c r="B2386" s="26" t="s">
        <v>204</v>
      </c>
      <c r="C2386" s="26" t="s">
        <v>43</v>
      </c>
      <c r="D2386" s="26" t="s">
        <v>31</v>
      </c>
      <c r="E2386" s="26">
        <v>204.0</v>
      </c>
      <c r="F2386" s="26" t="s">
        <v>32</v>
      </c>
      <c r="G2386" s="26">
        <v>3.0</v>
      </c>
      <c r="H2386" s="26">
        <v>2.0</v>
      </c>
      <c r="N2386" s="26" t="s">
        <v>704</v>
      </c>
    </row>
    <row r="2387">
      <c r="A2387" s="25">
        <v>43370.91778017361</v>
      </c>
      <c r="B2387" s="26" t="s">
        <v>80</v>
      </c>
      <c r="C2387" s="26" t="s">
        <v>430</v>
      </c>
      <c r="D2387" s="26" t="s">
        <v>1749</v>
      </c>
      <c r="E2387" s="26">
        <v>230.0</v>
      </c>
      <c r="F2387" s="26" t="s">
        <v>35</v>
      </c>
      <c r="G2387" s="26">
        <v>12.0</v>
      </c>
      <c r="H2387" s="26">
        <v>0.0</v>
      </c>
      <c r="I2387" s="26">
        <v>140.0</v>
      </c>
      <c r="J2387" s="26">
        <v>70.0</v>
      </c>
      <c r="K2387" s="26">
        <v>21.0</v>
      </c>
      <c r="N2387" s="26" t="s">
        <v>728</v>
      </c>
    </row>
    <row r="2388">
      <c r="A2388" s="25">
        <v>43370.92446001158</v>
      </c>
      <c r="B2388" s="26" t="s">
        <v>119</v>
      </c>
      <c r="C2388" s="26" t="s">
        <v>120</v>
      </c>
      <c r="D2388" s="26" t="s">
        <v>31</v>
      </c>
      <c r="E2388" s="26">
        <v>245.0</v>
      </c>
      <c r="F2388" s="26" t="s">
        <v>32</v>
      </c>
      <c r="G2388" s="26">
        <v>3.0</v>
      </c>
      <c r="H2388" s="26">
        <v>1.0</v>
      </c>
      <c r="I2388" s="26">
        <v>190.0</v>
      </c>
      <c r="J2388" s="26">
        <v>46.0</v>
      </c>
      <c r="K2388" s="26">
        <v>19.0</v>
      </c>
      <c r="N2388" s="26" t="s">
        <v>691</v>
      </c>
    </row>
    <row r="2389">
      <c r="A2389" s="25">
        <v>43370.95735427084</v>
      </c>
      <c r="B2389" s="26" t="s">
        <v>146</v>
      </c>
      <c r="C2389" s="26" t="s">
        <v>96</v>
      </c>
      <c r="D2389" s="26" t="s">
        <v>31</v>
      </c>
      <c r="E2389" s="26">
        <v>262.0</v>
      </c>
      <c r="F2389" s="26" t="s">
        <v>32</v>
      </c>
      <c r="G2389" s="26">
        <v>4.0</v>
      </c>
      <c r="H2389" s="26">
        <v>4.0</v>
      </c>
      <c r="I2389" s="26">
        <v>162.0</v>
      </c>
      <c r="J2389" s="26">
        <v>85.0</v>
      </c>
      <c r="K2389" s="26">
        <v>15.0</v>
      </c>
      <c r="N2389" s="26" t="s">
        <v>704</v>
      </c>
    </row>
    <row r="2390">
      <c r="A2390" s="25">
        <v>43370.998364224535</v>
      </c>
      <c r="B2390" s="26" t="s">
        <v>36</v>
      </c>
      <c r="C2390" s="26" t="s">
        <v>26</v>
      </c>
      <c r="D2390" s="26" t="s">
        <v>31</v>
      </c>
      <c r="E2390" s="26">
        <v>160.0</v>
      </c>
      <c r="F2390" s="26" t="s">
        <v>32</v>
      </c>
      <c r="G2390" s="26">
        <v>2.0</v>
      </c>
      <c r="H2390" s="26">
        <v>2.0</v>
      </c>
      <c r="I2390" s="26">
        <v>115.0</v>
      </c>
      <c r="J2390" s="26">
        <v>40.0</v>
      </c>
      <c r="K2390" s="26">
        <v>10.0</v>
      </c>
      <c r="N2390" s="26" t="s">
        <v>685</v>
      </c>
    </row>
    <row r="2391">
      <c r="A2391" s="25">
        <v>43371.00751552083</v>
      </c>
      <c r="B2391" s="26" t="s">
        <v>80</v>
      </c>
      <c r="C2391" s="26" t="s">
        <v>176</v>
      </c>
      <c r="D2391" s="26" t="s">
        <v>31</v>
      </c>
      <c r="E2391" s="26">
        <v>420.0</v>
      </c>
      <c r="F2391" s="26" t="s">
        <v>51</v>
      </c>
      <c r="G2391" s="26">
        <v>5.0</v>
      </c>
      <c r="H2391" s="26">
        <v>5.0</v>
      </c>
      <c r="N2391" s="26" t="s">
        <v>691</v>
      </c>
    </row>
    <row r="2392">
      <c r="A2392" s="25">
        <v>43371.01047486111</v>
      </c>
      <c r="B2392" s="26" t="s">
        <v>45</v>
      </c>
      <c r="C2392" s="26" t="s">
        <v>102</v>
      </c>
      <c r="D2392" s="26" t="s">
        <v>1750</v>
      </c>
      <c r="E2392" s="26">
        <v>149.0</v>
      </c>
      <c r="F2392" s="26" t="s">
        <v>104</v>
      </c>
      <c r="G2392" s="26">
        <v>4.0</v>
      </c>
      <c r="H2392" s="26">
        <v>0.0</v>
      </c>
      <c r="I2392" s="26">
        <v>122.0</v>
      </c>
      <c r="J2392" s="26">
        <v>26.0</v>
      </c>
      <c r="L2392" s="26" t="s">
        <v>1751</v>
      </c>
      <c r="N2392" s="26" t="s">
        <v>1163</v>
      </c>
    </row>
    <row r="2393">
      <c r="A2393" s="25">
        <v>43371.04045479167</v>
      </c>
      <c r="B2393" s="26" t="s">
        <v>45</v>
      </c>
      <c r="C2393" s="26" t="s">
        <v>102</v>
      </c>
      <c r="D2393" s="26" t="s">
        <v>711</v>
      </c>
      <c r="E2393" s="26">
        <v>188.0</v>
      </c>
      <c r="F2393" s="26" t="s">
        <v>1752</v>
      </c>
      <c r="G2393" s="26">
        <v>6.0</v>
      </c>
      <c r="H2393" s="26">
        <v>1.0</v>
      </c>
      <c r="I2393" s="26">
        <v>125.0</v>
      </c>
      <c r="J2393" s="26">
        <v>50.0</v>
      </c>
      <c r="K2393" s="26">
        <v>14.0</v>
      </c>
      <c r="N2393" s="26" t="s">
        <v>691</v>
      </c>
    </row>
    <row r="2394">
      <c r="A2394" s="25">
        <v>43371.05869637731</v>
      </c>
      <c r="B2394" s="26" t="s">
        <v>45</v>
      </c>
      <c r="C2394" s="26" t="s">
        <v>102</v>
      </c>
      <c r="D2394" s="26" t="s">
        <v>31</v>
      </c>
      <c r="E2394" s="26">
        <v>200.0</v>
      </c>
      <c r="F2394" s="26" t="s">
        <v>104</v>
      </c>
      <c r="G2394" s="26">
        <v>3.0</v>
      </c>
      <c r="H2394" s="26">
        <v>1.5</v>
      </c>
      <c r="N2394" s="26" t="s">
        <v>699</v>
      </c>
    </row>
    <row r="2395">
      <c r="A2395" s="25">
        <v>43371.09364846065</v>
      </c>
      <c r="B2395" s="26" t="s">
        <v>119</v>
      </c>
      <c r="C2395" s="26" t="s">
        <v>1753</v>
      </c>
      <c r="D2395" s="26" t="s">
        <v>31</v>
      </c>
      <c r="E2395" s="26">
        <v>159.0</v>
      </c>
      <c r="F2395" s="26" t="s">
        <v>32</v>
      </c>
      <c r="G2395" s="26">
        <v>0.0</v>
      </c>
      <c r="H2395" s="26">
        <v>0.0</v>
      </c>
      <c r="I2395" s="26">
        <v>125.0</v>
      </c>
      <c r="J2395" s="26">
        <v>21.0</v>
      </c>
      <c r="K2395" s="26">
        <v>13.0</v>
      </c>
      <c r="L2395" s="26" t="s">
        <v>1754</v>
      </c>
      <c r="N2395" s="26" t="s">
        <v>683</v>
      </c>
    </row>
    <row r="2396">
      <c r="A2396" s="25">
        <v>43371.23251289352</v>
      </c>
      <c r="B2396" s="26" t="s">
        <v>33</v>
      </c>
      <c r="C2396" s="26" t="s">
        <v>73</v>
      </c>
      <c r="D2396" s="26" t="s">
        <v>31</v>
      </c>
      <c r="E2396" s="26">
        <v>134.0</v>
      </c>
      <c r="F2396" s="26" t="s">
        <v>140</v>
      </c>
      <c r="G2396" s="26">
        <v>1.0</v>
      </c>
      <c r="H2396" s="26">
        <v>1.0</v>
      </c>
      <c r="I2396" s="26">
        <v>104.0</v>
      </c>
      <c r="J2396" s="26">
        <v>3.0</v>
      </c>
      <c r="K2396" s="26">
        <v>20.0</v>
      </c>
      <c r="N2396" s="26" t="s">
        <v>683</v>
      </c>
    </row>
    <row r="2397">
      <c r="A2397" s="25">
        <v>43371.291873333335</v>
      </c>
      <c r="B2397" s="26" t="s">
        <v>80</v>
      </c>
      <c r="C2397" s="26" t="s">
        <v>73</v>
      </c>
      <c r="D2397" s="26" t="s">
        <v>31</v>
      </c>
      <c r="E2397" s="26">
        <v>210.0</v>
      </c>
      <c r="F2397" s="26" t="s">
        <v>51</v>
      </c>
      <c r="G2397" s="26">
        <v>8.0</v>
      </c>
      <c r="H2397" s="26">
        <v>2.5</v>
      </c>
      <c r="N2397" s="26" t="s">
        <v>728</v>
      </c>
    </row>
    <row r="2398">
      <c r="A2398" s="25">
        <v>43371.29914137731</v>
      </c>
      <c r="B2398" s="26" t="s">
        <v>33</v>
      </c>
      <c r="C2398" s="26" t="s">
        <v>62</v>
      </c>
      <c r="D2398" s="26" t="s">
        <v>31</v>
      </c>
      <c r="E2398" s="26">
        <v>350.0</v>
      </c>
      <c r="F2398" s="26" t="s">
        <v>104</v>
      </c>
      <c r="G2398" s="26">
        <v>7.0</v>
      </c>
      <c r="H2398" s="26">
        <v>6.0</v>
      </c>
      <c r="N2398" s="26" t="s">
        <v>728</v>
      </c>
    </row>
    <row r="2399">
      <c r="A2399" s="25">
        <v>43371.300263784724</v>
      </c>
      <c r="B2399" s="26" t="s">
        <v>29</v>
      </c>
      <c r="C2399" s="26" t="s">
        <v>1755</v>
      </c>
      <c r="D2399" s="26" t="s">
        <v>31</v>
      </c>
      <c r="E2399" s="26">
        <v>260.0</v>
      </c>
      <c r="F2399" s="26" t="s">
        <v>238</v>
      </c>
      <c r="G2399" s="26">
        <v>20.0</v>
      </c>
      <c r="H2399" s="26">
        <v>7.0</v>
      </c>
      <c r="I2399" s="26">
        <v>210.0</v>
      </c>
      <c r="J2399" s="26">
        <v>25.0</v>
      </c>
      <c r="K2399" s="26">
        <v>25.0</v>
      </c>
      <c r="N2399" s="26" t="s">
        <v>685</v>
      </c>
    </row>
    <row r="2400">
      <c r="A2400" s="25">
        <v>43371.315648414355</v>
      </c>
      <c r="B2400" s="26" t="s">
        <v>48</v>
      </c>
      <c r="C2400" s="26" t="s">
        <v>166</v>
      </c>
      <c r="D2400" s="26" t="s">
        <v>31</v>
      </c>
      <c r="E2400" s="26">
        <v>350.0</v>
      </c>
      <c r="F2400" s="26" t="s">
        <v>50</v>
      </c>
      <c r="G2400" s="26">
        <v>6.0</v>
      </c>
      <c r="H2400" s="26">
        <v>1.0</v>
      </c>
      <c r="I2400" s="26">
        <v>180.0</v>
      </c>
      <c r="J2400" s="26">
        <v>140.0</v>
      </c>
      <c r="K2400" s="26">
        <v>30.0</v>
      </c>
      <c r="N2400" s="26" t="s">
        <v>683</v>
      </c>
    </row>
    <row r="2401">
      <c r="A2401" s="25">
        <v>43371.34706585648</v>
      </c>
      <c r="B2401" s="26" t="s">
        <v>33</v>
      </c>
      <c r="C2401" s="26" t="s">
        <v>73</v>
      </c>
      <c r="D2401" s="26" t="s">
        <v>31</v>
      </c>
      <c r="E2401" s="26">
        <v>145.0</v>
      </c>
      <c r="F2401" s="26" t="s">
        <v>35</v>
      </c>
      <c r="G2401" s="26">
        <v>1.0</v>
      </c>
      <c r="H2401" s="26">
        <v>0.0</v>
      </c>
      <c r="N2401" s="26" t="s">
        <v>685</v>
      </c>
    </row>
    <row r="2402">
      <c r="A2402" s="25">
        <v>43371.35071950231</v>
      </c>
      <c r="B2402" s="26" t="s">
        <v>29</v>
      </c>
      <c r="C2402" s="26" t="s">
        <v>1756</v>
      </c>
      <c r="D2402" s="26" t="s">
        <v>41</v>
      </c>
      <c r="E2402" s="26">
        <v>350.0</v>
      </c>
      <c r="F2402" s="26" t="s">
        <v>32</v>
      </c>
      <c r="G2402" s="26">
        <v>10.0</v>
      </c>
      <c r="H2402" s="26">
        <v>7.0</v>
      </c>
      <c r="N2402" s="26" t="s">
        <v>687</v>
      </c>
    </row>
    <row r="2403">
      <c r="A2403" s="25">
        <v>43371.35693729167</v>
      </c>
      <c r="B2403" s="26" t="s">
        <v>45</v>
      </c>
      <c r="C2403" s="26" t="s">
        <v>102</v>
      </c>
      <c r="D2403" s="26" t="s">
        <v>31</v>
      </c>
      <c r="E2403" s="26">
        <v>210.0</v>
      </c>
      <c r="F2403" s="26" t="s">
        <v>134</v>
      </c>
      <c r="G2403" s="26">
        <v>5.0</v>
      </c>
      <c r="H2403" s="26">
        <v>3.5</v>
      </c>
      <c r="I2403" s="26">
        <v>148.0</v>
      </c>
      <c r="J2403" s="26">
        <v>60.0</v>
      </c>
      <c r="K2403" s="26">
        <v>8.0</v>
      </c>
      <c r="N2403" s="26" t="s">
        <v>691</v>
      </c>
    </row>
    <row r="2404">
      <c r="A2404" s="25">
        <v>43371.40360711806</v>
      </c>
      <c r="B2404" s="26" t="s">
        <v>25</v>
      </c>
      <c r="C2404" s="26" t="s">
        <v>1739</v>
      </c>
      <c r="D2404" s="26" t="s">
        <v>41</v>
      </c>
      <c r="E2404" s="26">
        <v>270.0</v>
      </c>
      <c r="F2404" s="26" t="s">
        <v>28</v>
      </c>
      <c r="G2404" s="26">
        <v>23.0</v>
      </c>
      <c r="H2404" s="26">
        <v>4.0</v>
      </c>
      <c r="I2404" s="26">
        <v>225.0</v>
      </c>
      <c r="J2404" s="26">
        <v>45.0</v>
      </c>
      <c r="N2404" s="26" t="s">
        <v>685</v>
      </c>
    </row>
    <row r="2405">
      <c r="A2405" s="25">
        <v>43371.41566435185</v>
      </c>
      <c r="B2405" s="26" t="s">
        <v>146</v>
      </c>
      <c r="C2405" s="26" t="s">
        <v>31</v>
      </c>
      <c r="D2405" s="26" t="s">
        <v>31</v>
      </c>
      <c r="E2405" s="26">
        <v>169.0</v>
      </c>
      <c r="F2405" s="26" t="s">
        <v>134</v>
      </c>
      <c r="G2405" s="26">
        <v>0.0</v>
      </c>
      <c r="H2405" s="26">
        <v>0.0</v>
      </c>
      <c r="I2405" s="26">
        <v>120.0</v>
      </c>
      <c r="J2405" s="26">
        <v>37.0</v>
      </c>
      <c r="K2405" s="26">
        <v>12.0</v>
      </c>
      <c r="N2405" s="26" t="s">
        <v>696</v>
      </c>
    </row>
    <row r="2406">
      <c r="A2406" s="25">
        <v>43371.41742572917</v>
      </c>
      <c r="B2406" s="26" t="s">
        <v>40</v>
      </c>
      <c r="C2406" s="26">
        <v>63.0</v>
      </c>
      <c r="D2406" s="26" t="s">
        <v>711</v>
      </c>
      <c r="E2406" s="26">
        <v>215.0</v>
      </c>
      <c r="F2406" s="26" t="s">
        <v>75</v>
      </c>
      <c r="G2406" s="26">
        <v>10.0</v>
      </c>
      <c r="H2406" s="26">
        <v>10.0</v>
      </c>
      <c r="I2406" s="26">
        <v>160.0</v>
      </c>
      <c r="J2406" s="26">
        <v>35.0</v>
      </c>
      <c r="K2406" s="26">
        <v>20.0</v>
      </c>
      <c r="N2406" s="26" t="s">
        <v>691</v>
      </c>
    </row>
    <row r="2407">
      <c r="A2407" s="25">
        <v>43371.42606254629</v>
      </c>
      <c r="B2407" s="26" t="s">
        <v>45</v>
      </c>
      <c r="C2407" s="26" t="s">
        <v>716</v>
      </c>
      <c r="D2407" s="26" t="s">
        <v>31</v>
      </c>
      <c r="E2407" s="26">
        <v>125.0</v>
      </c>
      <c r="F2407" s="26" t="s">
        <v>104</v>
      </c>
      <c r="G2407" s="26">
        <v>6.0</v>
      </c>
      <c r="H2407" s="26">
        <v>2.0</v>
      </c>
      <c r="I2407" s="26">
        <v>125.0</v>
      </c>
      <c r="N2407" s="26" t="s">
        <v>728</v>
      </c>
    </row>
    <row r="2408">
      <c r="A2408" s="25">
        <v>43371.476335671294</v>
      </c>
      <c r="B2408" s="26" t="s">
        <v>40</v>
      </c>
      <c r="C2408" s="26">
        <v>61.0</v>
      </c>
      <c r="D2408" s="26" t="s">
        <v>31</v>
      </c>
      <c r="E2408" s="26">
        <v>166.0</v>
      </c>
      <c r="F2408" s="26" t="s">
        <v>35</v>
      </c>
      <c r="G2408" s="26">
        <v>3.0</v>
      </c>
      <c r="H2408" s="26">
        <v>1.0</v>
      </c>
      <c r="I2408" s="26">
        <v>134.0</v>
      </c>
      <c r="J2408" s="26">
        <v>20.0</v>
      </c>
      <c r="K2408" s="26">
        <v>12.0</v>
      </c>
      <c r="N2408" s="26" t="s">
        <v>685</v>
      </c>
    </row>
    <row r="2409">
      <c r="A2409" s="25">
        <v>43371.484870636574</v>
      </c>
      <c r="B2409" s="26" t="s">
        <v>426</v>
      </c>
      <c r="C2409" s="26" t="s">
        <v>588</v>
      </c>
      <c r="D2409" s="26" t="s">
        <v>31</v>
      </c>
      <c r="E2409" s="26">
        <v>80.0</v>
      </c>
      <c r="F2409" s="26" t="s">
        <v>94</v>
      </c>
      <c r="G2409" s="26">
        <v>1.0</v>
      </c>
      <c r="H2409" s="26">
        <v>1.0</v>
      </c>
      <c r="N2409" s="26" t="s">
        <v>683</v>
      </c>
    </row>
    <row r="2410">
      <c r="A2410" s="25">
        <v>43371.49112759259</v>
      </c>
      <c r="B2410" s="26" t="s">
        <v>122</v>
      </c>
      <c r="C2410" s="26" t="s">
        <v>43</v>
      </c>
      <c r="D2410" s="26" t="s">
        <v>41</v>
      </c>
      <c r="E2410" s="26">
        <v>475.0</v>
      </c>
      <c r="F2410" s="26" t="s">
        <v>32</v>
      </c>
      <c r="G2410" s="26">
        <v>15.0</v>
      </c>
      <c r="H2410" s="26">
        <v>2.0</v>
      </c>
      <c r="I2410" s="26">
        <v>201.0</v>
      </c>
      <c r="J2410" s="26">
        <v>274.0</v>
      </c>
      <c r="N2410" s="26" t="s">
        <v>757</v>
      </c>
    </row>
    <row r="2411">
      <c r="A2411" s="25">
        <v>43371.492002349536</v>
      </c>
      <c r="B2411" s="26" t="s">
        <v>80</v>
      </c>
      <c r="C2411" s="26" t="s">
        <v>62</v>
      </c>
      <c r="D2411" s="26" t="s">
        <v>27</v>
      </c>
      <c r="E2411" s="26">
        <v>390.0</v>
      </c>
      <c r="F2411" s="26" t="s">
        <v>35</v>
      </c>
      <c r="G2411" s="26">
        <v>10.0</v>
      </c>
      <c r="H2411" s="26">
        <v>5.5</v>
      </c>
      <c r="I2411" s="26">
        <v>200.0</v>
      </c>
      <c r="J2411" s="26">
        <v>135.0</v>
      </c>
      <c r="K2411" s="26">
        <v>55.0</v>
      </c>
      <c r="N2411" s="26" t="s">
        <v>781</v>
      </c>
    </row>
    <row r="2412">
      <c r="A2412" s="25">
        <v>43371.50360940972</v>
      </c>
      <c r="B2412" s="26" t="s">
        <v>319</v>
      </c>
      <c r="C2412" s="26" t="s">
        <v>1094</v>
      </c>
      <c r="D2412" s="26" t="s">
        <v>31</v>
      </c>
      <c r="E2412" s="26">
        <v>76.0</v>
      </c>
      <c r="F2412" s="26" t="s">
        <v>320</v>
      </c>
      <c r="G2412" s="26">
        <v>2.0</v>
      </c>
      <c r="H2412" s="26">
        <v>2.0</v>
      </c>
      <c r="N2412" s="26" t="s">
        <v>704</v>
      </c>
    </row>
    <row r="2413">
      <c r="A2413" s="25">
        <v>43371.504500787036</v>
      </c>
      <c r="B2413" s="26" t="s">
        <v>319</v>
      </c>
      <c r="C2413" s="26" t="s">
        <v>372</v>
      </c>
      <c r="D2413" s="26" t="s">
        <v>31</v>
      </c>
      <c r="E2413" s="26">
        <v>101.0</v>
      </c>
      <c r="F2413" s="26" t="s">
        <v>320</v>
      </c>
      <c r="G2413" s="26">
        <v>3.0</v>
      </c>
      <c r="H2413" s="26">
        <v>3.0</v>
      </c>
      <c r="N2413" s="26" t="s">
        <v>683</v>
      </c>
    </row>
    <row r="2414">
      <c r="A2414" s="25">
        <v>43371.52293357639</v>
      </c>
      <c r="B2414" s="26" t="s">
        <v>36</v>
      </c>
      <c r="C2414" s="26" t="s">
        <v>496</v>
      </c>
      <c r="D2414" s="26" t="s">
        <v>713</v>
      </c>
      <c r="E2414" s="26">
        <v>155.0</v>
      </c>
      <c r="F2414" s="26" t="s">
        <v>32</v>
      </c>
      <c r="G2414" s="26">
        <v>17.0</v>
      </c>
      <c r="H2414" s="26">
        <v>4.0</v>
      </c>
      <c r="I2414" s="26">
        <v>145.0</v>
      </c>
      <c r="K2414" s="26">
        <v>10.0</v>
      </c>
      <c r="N2414" s="26" t="s">
        <v>1254</v>
      </c>
    </row>
    <row r="2415">
      <c r="A2415" s="25">
        <v>43371.538681805556</v>
      </c>
      <c r="B2415" s="26" t="s">
        <v>1757</v>
      </c>
      <c r="C2415" s="26">
        <v>59.0</v>
      </c>
      <c r="D2415" s="26" t="s">
        <v>31</v>
      </c>
      <c r="E2415" s="26">
        <v>115.0</v>
      </c>
      <c r="F2415" s="26" t="s">
        <v>35</v>
      </c>
      <c r="G2415" s="26">
        <v>0.0</v>
      </c>
      <c r="H2415" s="26">
        <v>0.0</v>
      </c>
      <c r="N2415" s="26" t="s">
        <v>691</v>
      </c>
    </row>
    <row r="2416">
      <c r="A2416" s="25">
        <v>43371.54707355324</v>
      </c>
      <c r="B2416" s="26" t="s">
        <v>45</v>
      </c>
      <c r="C2416" s="26" t="s">
        <v>116</v>
      </c>
      <c r="D2416" s="26" t="s">
        <v>31</v>
      </c>
      <c r="E2416" s="26">
        <v>291.0</v>
      </c>
      <c r="F2416" s="26" t="s">
        <v>58</v>
      </c>
      <c r="G2416" s="26">
        <v>3.0</v>
      </c>
      <c r="H2416" s="26">
        <v>3.0</v>
      </c>
      <c r="I2416" s="26">
        <v>155.0</v>
      </c>
      <c r="J2416" s="26">
        <v>120.0</v>
      </c>
      <c r="K2416" s="26">
        <v>22.0</v>
      </c>
      <c r="N2416" s="26" t="s">
        <v>699</v>
      </c>
    </row>
    <row r="2417">
      <c r="A2417" s="25">
        <v>43371.591232743056</v>
      </c>
      <c r="B2417" s="26" t="s">
        <v>40</v>
      </c>
      <c r="C2417" s="26">
        <v>61.0</v>
      </c>
      <c r="D2417" s="26" t="s">
        <v>31</v>
      </c>
      <c r="E2417" s="26">
        <v>108.0</v>
      </c>
      <c r="F2417" s="26" t="s">
        <v>44</v>
      </c>
      <c r="G2417" s="26">
        <v>2.0</v>
      </c>
      <c r="H2417" s="26">
        <v>2.0</v>
      </c>
      <c r="I2417" s="26">
        <v>77.0</v>
      </c>
      <c r="J2417" s="26">
        <v>9.0</v>
      </c>
      <c r="K2417" s="26">
        <v>22.0</v>
      </c>
      <c r="N2417" s="26" t="s">
        <v>685</v>
      </c>
    </row>
    <row r="2418">
      <c r="A2418" s="25">
        <v>43371.606939652775</v>
      </c>
      <c r="B2418" s="26" t="s">
        <v>48</v>
      </c>
      <c r="C2418" s="26" t="s">
        <v>49</v>
      </c>
      <c r="D2418" s="26" t="s">
        <v>31</v>
      </c>
      <c r="E2418" s="26">
        <v>200.0</v>
      </c>
      <c r="F2418" s="26" t="s">
        <v>50</v>
      </c>
      <c r="G2418" s="26">
        <v>15.0</v>
      </c>
      <c r="H2418" s="26">
        <v>2.0</v>
      </c>
      <c r="I2418" s="26">
        <v>150.0</v>
      </c>
      <c r="J2418" s="26">
        <v>50.0</v>
      </c>
      <c r="N2418" s="26" t="s">
        <v>699</v>
      </c>
    </row>
    <row r="2419">
      <c r="A2419" s="25">
        <v>43371.62021342592</v>
      </c>
      <c r="B2419" s="26" t="s">
        <v>119</v>
      </c>
      <c r="C2419" s="26" t="s">
        <v>1758</v>
      </c>
      <c r="D2419" s="26" t="s">
        <v>31</v>
      </c>
      <c r="E2419" s="26">
        <v>285.0</v>
      </c>
      <c r="F2419" s="26" t="s">
        <v>32</v>
      </c>
      <c r="G2419" s="26">
        <v>6.0</v>
      </c>
      <c r="H2419" s="26">
        <v>1.0</v>
      </c>
      <c r="I2419" s="26">
        <v>205.0</v>
      </c>
      <c r="J2419" s="26">
        <v>45.0</v>
      </c>
      <c r="K2419" s="26">
        <v>32.0</v>
      </c>
      <c r="N2419" s="26" t="s">
        <v>685</v>
      </c>
    </row>
    <row r="2420">
      <c r="A2420" s="25">
        <v>43371.627568275464</v>
      </c>
      <c r="B2420" s="26" t="s">
        <v>36</v>
      </c>
      <c r="C2420" s="26" t="s">
        <v>610</v>
      </c>
      <c r="D2420" s="26" t="s">
        <v>31</v>
      </c>
      <c r="E2420" s="26">
        <v>290.0</v>
      </c>
      <c r="F2420" s="26" t="s">
        <v>32</v>
      </c>
      <c r="G2420" s="26">
        <v>6.0</v>
      </c>
      <c r="H2420" s="26">
        <v>2.0</v>
      </c>
      <c r="N2420" s="26" t="s">
        <v>685</v>
      </c>
    </row>
    <row r="2421">
      <c r="A2421" s="25">
        <v>43371.6363583912</v>
      </c>
      <c r="B2421" s="26" t="s">
        <v>45</v>
      </c>
      <c r="C2421" s="26" t="s">
        <v>73</v>
      </c>
      <c r="D2421" s="26" t="s">
        <v>31</v>
      </c>
      <c r="E2421" s="26">
        <v>300.0</v>
      </c>
      <c r="F2421" s="26" t="s">
        <v>32</v>
      </c>
      <c r="G2421" s="26">
        <v>12.0</v>
      </c>
      <c r="H2421" s="26">
        <v>1.0</v>
      </c>
      <c r="I2421" s="26">
        <v>190.0</v>
      </c>
      <c r="J2421" s="26">
        <v>100.0</v>
      </c>
      <c r="K2421" s="26">
        <v>10.0</v>
      </c>
      <c r="N2421" s="26" t="s">
        <v>685</v>
      </c>
    </row>
    <row r="2422">
      <c r="A2422" s="25">
        <v>43371.63659783565</v>
      </c>
      <c r="B2422" s="26" t="s">
        <v>36</v>
      </c>
      <c r="C2422" s="26" t="s">
        <v>610</v>
      </c>
      <c r="D2422" s="26" t="s">
        <v>31</v>
      </c>
      <c r="E2422" s="26">
        <v>262.0</v>
      </c>
      <c r="F2422" s="26" t="s">
        <v>32</v>
      </c>
      <c r="G2422" s="26">
        <v>2.0</v>
      </c>
      <c r="H2422" s="26">
        <v>1.0</v>
      </c>
      <c r="I2422" s="26">
        <v>143.0</v>
      </c>
      <c r="J2422" s="26">
        <v>105.0</v>
      </c>
      <c r="K2422" s="26">
        <v>14.0</v>
      </c>
      <c r="N2422" s="26" t="s">
        <v>1134</v>
      </c>
    </row>
    <row r="2423">
      <c r="A2423" s="25">
        <v>43371.636747199074</v>
      </c>
      <c r="B2423" s="26" t="s">
        <v>48</v>
      </c>
      <c r="C2423" s="26" t="s">
        <v>49</v>
      </c>
      <c r="D2423" s="26" t="s">
        <v>31</v>
      </c>
      <c r="E2423" s="26">
        <v>265.0</v>
      </c>
      <c r="F2423" s="26" t="s">
        <v>94</v>
      </c>
      <c r="G2423" s="26">
        <v>3.0</v>
      </c>
      <c r="H2423" s="26">
        <v>0.0</v>
      </c>
      <c r="I2423" s="26">
        <v>150.0</v>
      </c>
      <c r="J2423" s="26">
        <v>75.0</v>
      </c>
      <c r="K2423" s="26">
        <v>40.0</v>
      </c>
      <c r="N2423" s="26" t="s">
        <v>691</v>
      </c>
    </row>
    <row r="2424">
      <c r="A2424" s="25">
        <v>43371.639680092594</v>
      </c>
      <c r="B2424" s="26" t="s">
        <v>48</v>
      </c>
      <c r="C2424" s="26" t="s">
        <v>49</v>
      </c>
      <c r="D2424" s="26" t="s">
        <v>31</v>
      </c>
      <c r="E2424" s="26">
        <v>265.0</v>
      </c>
      <c r="F2424" s="26" t="s">
        <v>94</v>
      </c>
      <c r="G2424" s="26">
        <v>3.0</v>
      </c>
      <c r="H2424" s="26">
        <v>0.0</v>
      </c>
      <c r="I2424" s="26">
        <v>150.0</v>
      </c>
      <c r="J2424" s="26">
        <v>75.0</v>
      </c>
      <c r="K2424" s="26">
        <v>40.0</v>
      </c>
      <c r="N2424" s="26" t="s">
        <v>691</v>
      </c>
    </row>
    <row r="2425">
      <c r="A2425" s="25">
        <v>43371.646743958336</v>
      </c>
      <c r="B2425" s="26" t="s">
        <v>371</v>
      </c>
      <c r="C2425" s="26" t="s">
        <v>716</v>
      </c>
      <c r="D2425" s="26" t="s">
        <v>31</v>
      </c>
      <c r="E2425" s="26">
        <v>118.0</v>
      </c>
      <c r="F2425" s="26" t="s">
        <v>238</v>
      </c>
      <c r="G2425" s="26">
        <v>1.0</v>
      </c>
      <c r="H2425" s="26">
        <v>1.0</v>
      </c>
      <c r="I2425" s="26">
        <v>100.0</v>
      </c>
      <c r="J2425" s="26">
        <v>10.0</v>
      </c>
      <c r="K2425" s="26">
        <v>8.0</v>
      </c>
      <c r="N2425" s="26" t="s">
        <v>1244</v>
      </c>
    </row>
    <row r="2426">
      <c r="A2426" s="25">
        <v>43371.662856979165</v>
      </c>
      <c r="B2426" s="26" t="s">
        <v>33</v>
      </c>
      <c r="C2426" s="26" t="s">
        <v>62</v>
      </c>
      <c r="D2426" s="26" t="s">
        <v>27</v>
      </c>
      <c r="E2426" s="26">
        <v>214.0</v>
      </c>
      <c r="F2426" s="26" t="s">
        <v>35</v>
      </c>
      <c r="G2426" s="26">
        <v>5.0</v>
      </c>
      <c r="H2426" s="26">
        <v>2.0</v>
      </c>
      <c r="I2426" s="26">
        <v>134.0</v>
      </c>
      <c r="J2426" s="26">
        <v>80.0</v>
      </c>
      <c r="N2426" s="26" t="s">
        <v>1759</v>
      </c>
    </row>
    <row r="2427">
      <c r="A2427" s="25">
        <v>43371.665708217595</v>
      </c>
      <c r="B2427" s="26" t="s">
        <v>33</v>
      </c>
      <c r="C2427" s="26" t="s">
        <v>62</v>
      </c>
      <c r="D2427" s="26" t="s">
        <v>27</v>
      </c>
      <c r="E2427" s="26">
        <v>200.0</v>
      </c>
      <c r="F2427" s="26" t="s">
        <v>1760</v>
      </c>
      <c r="G2427" s="26">
        <v>8.0</v>
      </c>
      <c r="H2427" s="26">
        <v>2.0</v>
      </c>
      <c r="N2427" s="26" t="s">
        <v>708</v>
      </c>
    </row>
    <row r="2428">
      <c r="A2428" s="25">
        <v>43371.67009636574</v>
      </c>
      <c r="B2428" s="26" t="s">
        <v>119</v>
      </c>
      <c r="C2428" s="26" t="s">
        <v>897</v>
      </c>
      <c r="D2428" s="26" t="s">
        <v>31</v>
      </c>
      <c r="E2428" s="26">
        <v>284.0</v>
      </c>
      <c r="F2428" s="26" t="s">
        <v>58</v>
      </c>
      <c r="G2428" s="26">
        <v>12.0</v>
      </c>
      <c r="H2428" s="26">
        <v>12.0</v>
      </c>
      <c r="I2428" s="26">
        <v>206.0</v>
      </c>
      <c r="J2428" s="26">
        <v>37.0</v>
      </c>
      <c r="K2428" s="26">
        <v>41.0</v>
      </c>
      <c r="N2428" s="26" t="s">
        <v>683</v>
      </c>
    </row>
    <row r="2429">
      <c r="A2429" s="25">
        <v>43371.672564988425</v>
      </c>
      <c r="B2429" s="26" t="s">
        <v>33</v>
      </c>
      <c r="C2429" s="26" t="s">
        <v>43</v>
      </c>
      <c r="D2429" s="26" t="s">
        <v>31</v>
      </c>
      <c r="E2429" s="26">
        <v>240.0</v>
      </c>
      <c r="F2429" s="26" t="s">
        <v>63</v>
      </c>
      <c r="G2429" s="26">
        <v>5.0</v>
      </c>
      <c r="H2429" s="26">
        <v>4.0</v>
      </c>
      <c r="N2429" s="26" t="s">
        <v>685</v>
      </c>
    </row>
    <row r="2430">
      <c r="A2430" s="25">
        <v>43371.67443266204</v>
      </c>
      <c r="B2430" s="26" t="s">
        <v>146</v>
      </c>
      <c r="C2430" s="26" t="s">
        <v>833</v>
      </c>
      <c r="D2430" s="26" t="s">
        <v>1225</v>
      </c>
      <c r="E2430" s="26">
        <v>350.0</v>
      </c>
      <c r="F2430" s="26" t="s">
        <v>58</v>
      </c>
      <c r="G2430" s="26">
        <v>6.0</v>
      </c>
      <c r="H2430" s="26">
        <v>3.5</v>
      </c>
      <c r="I2430" s="26">
        <v>170.0</v>
      </c>
      <c r="J2430" s="26">
        <v>150.0</v>
      </c>
      <c r="K2430" s="26">
        <v>30.0</v>
      </c>
      <c r="N2430" s="26" t="s">
        <v>683</v>
      </c>
    </row>
    <row r="2431">
      <c r="A2431" s="25">
        <v>43371.69120248842</v>
      </c>
      <c r="B2431" s="26" t="s">
        <v>80</v>
      </c>
      <c r="C2431" s="26" t="s">
        <v>26</v>
      </c>
      <c r="D2431" s="26" t="s">
        <v>1225</v>
      </c>
      <c r="E2431" s="26">
        <v>115.0</v>
      </c>
      <c r="F2431" s="26" t="s">
        <v>199</v>
      </c>
      <c r="G2431" s="26">
        <v>10.0</v>
      </c>
      <c r="H2431" s="26">
        <v>1.0</v>
      </c>
      <c r="N2431" s="26" t="s">
        <v>691</v>
      </c>
    </row>
    <row r="2432">
      <c r="A2432" s="25">
        <v>43371.691325775464</v>
      </c>
      <c r="B2432" s="26" t="s">
        <v>33</v>
      </c>
      <c r="C2432" s="26" t="s">
        <v>1061</v>
      </c>
      <c r="D2432" s="26" t="s">
        <v>1761</v>
      </c>
      <c r="E2432" s="26">
        <v>273.0</v>
      </c>
      <c r="F2432" s="26" t="s">
        <v>35</v>
      </c>
      <c r="G2432" s="26">
        <v>20.0</v>
      </c>
      <c r="H2432" s="26">
        <v>3.0</v>
      </c>
      <c r="I2432" s="26">
        <v>153.0</v>
      </c>
      <c r="J2432" s="26">
        <v>120.0</v>
      </c>
      <c r="N2432" s="26" t="s">
        <v>683</v>
      </c>
    </row>
    <row r="2433">
      <c r="A2433" s="25">
        <v>43371.69390387731</v>
      </c>
      <c r="B2433" s="26" t="s">
        <v>146</v>
      </c>
      <c r="C2433" s="26" t="s">
        <v>96</v>
      </c>
      <c r="D2433" s="26" t="s">
        <v>31</v>
      </c>
      <c r="E2433" s="26">
        <v>270.0</v>
      </c>
      <c r="F2433" s="26" t="s">
        <v>51</v>
      </c>
      <c r="G2433" s="26">
        <v>2.0</v>
      </c>
      <c r="H2433" s="26">
        <v>2.0</v>
      </c>
      <c r="I2433" s="26">
        <v>150.0</v>
      </c>
      <c r="J2433" s="26">
        <v>100.0</v>
      </c>
      <c r="K2433" s="26">
        <v>20.0</v>
      </c>
      <c r="N2433" s="26" t="s">
        <v>685</v>
      </c>
    </row>
    <row r="2434">
      <c r="A2434" s="25">
        <v>43371.69778171297</v>
      </c>
      <c r="B2434" s="26" t="s">
        <v>33</v>
      </c>
      <c r="C2434" s="26" t="s">
        <v>1061</v>
      </c>
      <c r="D2434" s="26" t="s">
        <v>41</v>
      </c>
      <c r="E2434" s="26">
        <v>300.0</v>
      </c>
      <c r="F2434" s="26" t="s">
        <v>35</v>
      </c>
      <c r="G2434" s="26">
        <v>19.0</v>
      </c>
      <c r="H2434" s="26">
        <v>3.0</v>
      </c>
      <c r="N2434" s="26" t="s">
        <v>685</v>
      </c>
    </row>
    <row r="2435">
      <c r="A2435" s="25">
        <v>43371.704236053236</v>
      </c>
      <c r="B2435" s="26" t="s">
        <v>170</v>
      </c>
      <c r="C2435" s="26" t="s">
        <v>902</v>
      </c>
      <c r="D2435" s="26" t="s">
        <v>31</v>
      </c>
      <c r="E2435" s="26">
        <v>90.0</v>
      </c>
      <c r="F2435" s="26" t="s">
        <v>1762</v>
      </c>
      <c r="G2435" s="26">
        <v>1.0</v>
      </c>
      <c r="H2435" s="26">
        <v>1.0</v>
      </c>
      <c r="N2435" s="26" t="s">
        <v>704</v>
      </c>
    </row>
    <row r="2436">
      <c r="A2436" s="25">
        <v>43371.71125716435</v>
      </c>
      <c r="B2436" s="26" t="s">
        <v>64</v>
      </c>
      <c r="C2436" s="26" t="s">
        <v>1763</v>
      </c>
      <c r="D2436" s="26" t="s">
        <v>27</v>
      </c>
      <c r="E2436" s="26">
        <v>204.0</v>
      </c>
      <c r="F2436" s="26" t="s">
        <v>175</v>
      </c>
      <c r="G2436" s="26">
        <v>2.0</v>
      </c>
      <c r="H2436" s="26">
        <v>2.0</v>
      </c>
      <c r="I2436" s="26">
        <v>155.0</v>
      </c>
      <c r="J2436" s="26">
        <v>25.0</v>
      </c>
      <c r="K2436" s="26">
        <v>24.0</v>
      </c>
      <c r="N2436" s="26" t="s">
        <v>683</v>
      </c>
    </row>
    <row r="2437">
      <c r="A2437" s="25">
        <v>43371.711728368056</v>
      </c>
      <c r="B2437" s="26" t="s">
        <v>80</v>
      </c>
      <c r="C2437" s="26" t="s">
        <v>34</v>
      </c>
      <c r="D2437" s="26" t="s">
        <v>27</v>
      </c>
      <c r="E2437" s="26">
        <v>400.0</v>
      </c>
      <c r="F2437" s="26" t="s">
        <v>35</v>
      </c>
      <c r="G2437" s="26">
        <v>10.0</v>
      </c>
      <c r="H2437" s="26">
        <v>3.0</v>
      </c>
      <c r="N2437" s="26" t="s">
        <v>751</v>
      </c>
    </row>
    <row r="2438">
      <c r="A2438" s="25">
        <v>43371.72107368056</v>
      </c>
      <c r="B2438" s="26" t="s">
        <v>33</v>
      </c>
      <c r="C2438" s="26" t="s">
        <v>73</v>
      </c>
      <c r="D2438" s="26" t="s">
        <v>31</v>
      </c>
      <c r="E2438" s="26">
        <v>160.0</v>
      </c>
      <c r="F2438" s="26" t="s">
        <v>133</v>
      </c>
      <c r="G2438" s="26">
        <v>4.0</v>
      </c>
      <c r="H2438" s="26">
        <v>1.0</v>
      </c>
      <c r="I2438" s="26">
        <v>130.0</v>
      </c>
      <c r="N2438" s="26" t="s">
        <v>691</v>
      </c>
    </row>
    <row r="2439">
      <c r="A2439" s="25">
        <v>43371.731295474536</v>
      </c>
      <c r="B2439" s="26" t="s">
        <v>40</v>
      </c>
      <c r="C2439" s="26">
        <v>61.0</v>
      </c>
      <c r="D2439" s="26" t="s">
        <v>31</v>
      </c>
      <c r="E2439" s="26">
        <v>157.0</v>
      </c>
      <c r="F2439" s="26" t="s">
        <v>75</v>
      </c>
      <c r="G2439" s="26">
        <v>2.0</v>
      </c>
      <c r="H2439" s="26">
        <v>2.0</v>
      </c>
      <c r="I2439" s="26">
        <v>134.0</v>
      </c>
      <c r="J2439" s="26">
        <v>8.0</v>
      </c>
      <c r="K2439" s="26">
        <v>15.0</v>
      </c>
      <c r="N2439" s="26" t="s">
        <v>1764</v>
      </c>
    </row>
    <row r="2440">
      <c r="A2440" s="25">
        <v>43371.74576803241</v>
      </c>
      <c r="B2440" s="26" t="s">
        <v>33</v>
      </c>
      <c r="C2440" s="26" t="s">
        <v>62</v>
      </c>
      <c r="D2440" s="26" t="s">
        <v>27</v>
      </c>
      <c r="E2440" s="26">
        <v>230.0</v>
      </c>
      <c r="F2440" s="26" t="s">
        <v>35</v>
      </c>
      <c r="G2440" s="26">
        <v>10.0</v>
      </c>
      <c r="H2440" s="26">
        <v>0.0</v>
      </c>
      <c r="N2440" s="26" t="s">
        <v>1765</v>
      </c>
    </row>
    <row r="2441">
      <c r="A2441" s="25">
        <v>43371.787429918986</v>
      </c>
      <c r="B2441" s="26" t="s">
        <v>40</v>
      </c>
      <c r="C2441" s="26">
        <v>64.0</v>
      </c>
      <c r="D2441" s="26" t="s">
        <v>41</v>
      </c>
      <c r="E2441" s="26">
        <v>240.0</v>
      </c>
      <c r="F2441" s="26" t="s">
        <v>161</v>
      </c>
      <c r="G2441" s="26">
        <v>13.0</v>
      </c>
      <c r="H2441" s="26">
        <v>13.0</v>
      </c>
      <c r="I2441" s="26">
        <v>180.0</v>
      </c>
      <c r="J2441" s="26">
        <v>30.0</v>
      </c>
      <c r="K2441" s="26">
        <v>30.0</v>
      </c>
      <c r="N2441" s="26" t="s">
        <v>687</v>
      </c>
    </row>
    <row r="2442">
      <c r="A2442" s="25">
        <v>43371.79245821759</v>
      </c>
      <c r="B2442" s="26" t="s">
        <v>33</v>
      </c>
      <c r="C2442" s="26" t="s">
        <v>73</v>
      </c>
      <c r="D2442" s="26" t="s">
        <v>31</v>
      </c>
      <c r="E2442" s="26">
        <v>148.0</v>
      </c>
      <c r="F2442" s="26" t="s">
        <v>753</v>
      </c>
      <c r="G2442" s="26">
        <v>0.0</v>
      </c>
      <c r="H2442" s="26">
        <v>0.0</v>
      </c>
      <c r="I2442" s="26">
        <v>108.0</v>
      </c>
      <c r="J2442" s="26">
        <v>21.0</v>
      </c>
      <c r="K2442" s="26">
        <v>19.0</v>
      </c>
      <c r="N2442" s="26" t="s">
        <v>704</v>
      </c>
    </row>
    <row r="2443">
      <c r="A2443" s="25">
        <v>43371.83181157407</v>
      </c>
      <c r="B2443" s="26" t="s">
        <v>40</v>
      </c>
      <c r="C2443" s="26" t="s">
        <v>1766</v>
      </c>
      <c r="D2443" s="26" t="s">
        <v>27</v>
      </c>
      <c r="E2443" s="26">
        <v>400.0</v>
      </c>
      <c r="F2443" s="26" t="s">
        <v>35</v>
      </c>
      <c r="G2443" s="26">
        <v>5.0</v>
      </c>
      <c r="H2443" s="26">
        <v>5.0</v>
      </c>
      <c r="N2443" s="26" t="s">
        <v>691</v>
      </c>
    </row>
    <row r="2444">
      <c r="A2444" s="25">
        <v>43371.8463290162</v>
      </c>
      <c r="B2444" s="26" t="s">
        <v>33</v>
      </c>
      <c r="C2444" s="26" t="s">
        <v>43</v>
      </c>
      <c r="D2444" s="26" t="s">
        <v>31</v>
      </c>
      <c r="E2444" s="26">
        <v>250.0</v>
      </c>
      <c r="F2444" s="26" t="s">
        <v>63</v>
      </c>
      <c r="G2444" s="26">
        <v>13.0</v>
      </c>
      <c r="H2444" s="26">
        <v>2.0</v>
      </c>
      <c r="I2444" s="26">
        <v>141000.0</v>
      </c>
      <c r="J2444" s="26">
        <v>109000.0</v>
      </c>
      <c r="N2444" s="26" t="s">
        <v>685</v>
      </c>
    </row>
    <row r="2445">
      <c r="A2445" s="25">
        <v>43371.850763263894</v>
      </c>
      <c r="B2445" s="26" t="s">
        <v>119</v>
      </c>
      <c r="C2445" s="26" t="s">
        <v>494</v>
      </c>
      <c r="D2445" s="26" t="s">
        <v>31</v>
      </c>
      <c r="E2445" s="26">
        <v>220.0</v>
      </c>
      <c r="F2445" s="26" t="s">
        <v>32</v>
      </c>
      <c r="G2445" s="26">
        <v>4.0</v>
      </c>
      <c r="H2445" s="26">
        <v>4.0</v>
      </c>
      <c r="I2445" s="26">
        <v>170.0</v>
      </c>
      <c r="J2445" s="26">
        <v>25.0</v>
      </c>
      <c r="K2445" s="26">
        <v>25.0</v>
      </c>
      <c r="N2445" s="26" t="s">
        <v>683</v>
      </c>
    </row>
    <row r="2446">
      <c r="A2446" s="25">
        <v>43371.85461244213</v>
      </c>
      <c r="B2446" s="26" t="s">
        <v>119</v>
      </c>
      <c r="C2446" s="26" t="s">
        <v>1767</v>
      </c>
      <c r="D2446" s="26" t="s">
        <v>711</v>
      </c>
      <c r="E2446" s="26">
        <v>315.0</v>
      </c>
      <c r="F2446" s="26" t="s">
        <v>32</v>
      </c>
      <c r="G2446" s="26">
        <v>15.0</v>
      </c>
      <c r="H2446" s="26">
        <v>3.0</v>
      </c>
      <c r="I2446" s="26">
        <v>225.0</v>
      </c>
      <c r="J2446" s="26">
        <v>50.0</v>
      </c>
      <c r="K2446" s="26">
        <v>40.0</v>
      </c>
      <c r="N2446" s="26" t="s">
        <v>691</v>
      </c>
    </row>
    <row r="2447">
      <c r="A2447" s="25">
        <v>43371.87587726852</v>
      </c>
      <c r="B2447" s="26" t="s">
        <v>33</v>
      </c>
      <c r="C2447" s="26" t="s">
        <v>73</v>
      </c>
      <c r="D2447" s="26" t="s">
        <v>31</v>
      </c>
      <c r="E2447" s="26">
        <v>124.0</v>
      </c>
      <c r="F2447" s="26" t="s">
        <v>63</v>
      </c>
      <c r="G2447" s="26">
        <v>1.0</v>
      </c>
      <c r="H2447" s="26">
        <v>1.0</v>
      </c>
      <c r="I2447" s="26">
        <v>104.0</v>
      </c>
      <c r="K2447" s="26">
        <v>20.0</v>
      </c>
      <c r="N2447" s="26" t="s">
        <v>685</v>
      </c>
    </row>
    <row r="2448">
      <c r="A2448" s="25">
        <v>43371.879199421295</v>
      </c>
      <c r="B2448" s="26" t="s">
        <v>33</v>
      </c>
      <c r="C2448" s="26" t="s">
        <v>43</v>
      </c>
      <c r="D2448" s="26" t="s">
        <v>31</v>
      </c>
      <c r="E2448" s="26">
        <v>225.0</v>
      </c>
      <c r="F2448" s="26" t="s">
        <v>35</v>
      </c>
      <c r="G2448" s="26">
        <v>6.0</v>
      </c>
      <c r="H2448" s="26">
        <v>1.0</v>
      </c>
      <c r="I2448" s="26">
        <v>145.0</v>
      </c>
      <c r="J2448" s="26">
        <v>55.0</v>
      </c>
      <c r="K2448" s="26">
        <v>25.0</v>
      </c>
      <c r="N2448" s="26" t="s">
        <v>683</v>
      </c>
    </row>
    <row r="2449">
      <c r="A2449" s="25">
        <v>43371.89717327546</v>
      </c>
      <c r="B2449" s="26" t="s">
        <v>124</v>
      </c>
      <c r="C2449" s="26" t="s">
        <v>1768</v>
      </c>
      <c r="D2449" s="26" t="s">
        <v>27</v>
      </c>
      <c r="E2449" s="26">
        <v>200.0</v>
      </c>
      <c r="F2449" s="26" t="s">
        <v>51</v>
      </c>
      <c r="G2449" s="26">
        <v>4.0</v>
      </c>
      <c r="H2449" s="26">
        <v>2.0</v>
      </c>
      <c r="I2449" s="26">
        <v>149.0</v>
      </c>
      <c r="J2449" s="26">
        <v>30.0</v>
      </c>
      <c r="K2449" s="26">
        <v>21.0</v>
      </c>
      <c r="N2449" s="26" t="s">
        <v>696</v>
      </c>
    </row>
    <row r="2450">
      <c r="A2450" s="25">
        <v>43371.91524556713</v>
      </c>
      <c r="B2450" s="26" t="s">
        <v>36</v>
      </c>
      <c r="C2450" s="26" t="s">
        <v>73</v>
      </c>
      <c r="D2450" s="26" t="s">
        <v>711</v>
      </c>
      <c r="E2450" s="26">
        <v>240.0</v>
      </c>
      <c r="F2450" s="26" t="s">
        <v>32</v>
      </c>
      <c r="G2450" s="26">
        <v>2.0</v>
      </c>
      <c r="H2450" s="26">
        <v>0.0</v>
      </c>
      <c r="I2450" s="26">
        <v>140.0</v>
      </c>
      <c r="J2450" s="26">
        <v>60.0</v>
      </c>
      <c r="K2450" s="26">
        <v>40.0</v>
      </c>
      <c r="N2450" s="26" t="s">
        <v>1667</v>
      </c>
    </row>
    <row r="2451">
      <c r="A2451" s="25">
        <v>43371.91584548611</v>
      </c>
      <c r="B2451" s="26" t="s">
        <v>45</v>
      </c>
      <c r="C2451" s="26" t="s">
        <v>116</v>
      </c>
      <c r="D2451" s="26" t="s">
        <v>31</v>
      </c>
      <c r="E2451" s="26">
        <v>300.0</v>
      </c>
      <c r="F2451" s="26" t="s">
        <v>134</v>
      </c>
      <c r="G2451" s="26">
        <v>11.0</v>
      </c>
      <c r="H2451" s="26">
        <v>3.0</v>
      </c>
      <c r="I2451" s="26">
        <v>175.0</v>
      </c>
      <c r="J2451" s="26">
        <v>100.0</v>
      </c>
      <c r="K2451" s="26">
        <v>20.0</v>
      </c>
      <c r="N2451" s="26" t="s">
        <v>699</v>
      </c>
    </row>
    <row r="2452">
      <c r="A2452" s="25">
        <v>43371.91606587963</v>
      </c>
      <c r="B2452" s="26" t="s">
        <v>80</v>
      </c>
      <c r="C2452" s="26" t="s">
        <v>26</v>
      </c>
      <c r="D2452" s="26" t="s">
        <v>1218</v>
      </c>
      <c r="E2452" s="26">
        <v>203.0</v>
      </c>
      <c r="F2452" s="26" t="s">
        <v>134</v>
      </c>
      <c r="G2452" s="26">
        <v>2.0</v>
      </c>
      <c r="H2452" s="26">
        <v>0.5</v>
      </c>
      <c r="N2452" s="26" t="s">
        <v>757</v>
      </c>
    </row>
    <row r="2453">
      <c r="A2453" s="25">
        <v>43371.92062668981</v>
      </c>
      <c r="B2453" s="26" t="s">
        <v>119</v>
      </c>
      <c r="C2453" s="26" t="s">
        <v>504</v>
      </c>
      <c r="D2453" s="26" t="s">
        <v>27</v>
      </c>
      <c r="E2453" s="26">
        <v>210.0</v>
      </c>
      <c r="F2453" s="26" t="s">
        <v>32</v>
      </c>
      <c r="G2453" s="26">
        <v>3.0</v>
      </c>
      <c r="H2453" s="26">
        <v>1.0</v>
      </c>
      <c r="N2453" s="26" t="s">
        <v>1043</v>
      </c>
    </row>
    <row r="2454">
      <c r="A2454" s="25">
        <v>43371.92207732639</v>
      </c>
      <c r="B2454" s="26" t="s">
        <v>48</v>
      </c>
      <c r="C2454" s="26" t="s">
        <v>49</v>
      </c>
      <c r="D2454" s="26" t="s">
        <v>31</v>
      </c>
      <c r="E2454" s="26">
        <v>160.0</v>
      </c>
      <c r="F2454" s="26" t="s">
        <v>32</v>
      </c>
      <c r="G2454" s="26">
        <v>1.0</v>
      </c>
      <c r="H2454" s="26">
        <v>1.0</v>
      </c>
      <c r="N2454" s="26" t="s">
        <v>691</v>
      </c>
    </row>
    <row r="2455">
      <c r="A2455" s="25">
        <v>43371.93060381945</v>
      </c>
      <c r="B2455" s="26" t="s">
        <v>1769</v>
      </c>
      <c r="C2455" s="26" t="s">
        <v>825</v>
      </c>
      <c r="D2455" s="26" t="s">
        <v>31</v>
      </c>
      <c r="E2455" s="26">
        <v>320.0</v>
      </c>
      <c r="F2455" s="26" t="s">
        <v>35</v>
      </c>
      <c r="G2455" s="26">
        <v>6.0</v>
      </c>
      <c r="H2455" s="26">
        <v>1.0</v>
      </c>
      <c r="N2455" s="26" t="s">
        <v>683</v>
      </c>
    </row>
    <row r="2456">
      <c r="A2456" s="25">
        <v>43371.984040509255</v>
      </c>
      <c r="B2456" s="26" t="s">
        <v>119</v>
      </c>
      <c r="C2456" s="26" t="s">
        <v>897</v>
      </c>
      <c r="D2456" s="26" t="s">
        <v>31</v>
      </c>
      <c r="E2456" s="26">
        <v>365.0</v>
      </c>
      <c r="F2456" s="26" t="s">
        <v>32</v>
      </c>
      <c r="G2456" s="26">
        <v>8.0</v>
      </c>
      <c r="H2456" s="26">
        <v>1.0</v>
      </c>
      <c r="I2456" s="26">
        <v>200.0</v>
      </c>
      <c r="J2456" s="26">
        <v>125.0</v>
      </c>
      <c r="K2456" s="26">
        <v>40.0</v>
      </c>
      <c r="N2456" s="26" t="s">
        <v>683</v>
      </c>
    </row>
    <row r="2457">
      <c r="A2457" s="25">
        <v>43371.98775585648</v>
      </c>
      <c r="B2457" s="26" t="s">
        <v>40</v>
      </c>
      <c r="C2457" s="26">
        <v>61.0</v>
      </c>
      <c r="D2457" s="26" t="s">
        <v>31</v>
      </c>
      <c r="E2457" s="26">
        <v>187.0</v>
      </c>
      <c r="F2457" s="26" t="s">
        <v>75</v>
      </c>
      <c r="G2457" s="26">
        <v>2.0</v>
      </c>
      <c r="H2457" s="26">
        <v>2.0</v>
      </c>
      <c r="I2457" s="26">
        <v>132.0</v>
      </c>
      <c r="J2457" s="26">
        <v>40.0</v>
      </c>
      <c r="K2457" s="26">
        <v>15.0</v>
      </c>
      <c r="N2457" s="26" t="s">
        <v>685</v>
      </c>
    </row>
    <row r="2458">
      <c r="A2458" s="25">
        <v>43371.99050248842</v>
      </c>
      <c r="B2458" s="26" t="s">
        <v>33</v>
      </c>
      <c r="C2458" s="26" t="s">
        <v>62</v>
      </c>
      <c r="D2458" s="26" t="s">
        <v>27</v>
      </c>
      <c r="E2458" s="26">
        <v>350.0</v>
      </c>
      <c r="F2458" s="26" t="s">
        <v>35</v>
      </c>
      <c r="G2458" s="26">
        <v>10.0</v>
      </c>
      <c r="H2458" s="26">
        <v>5.0</v>
      </c>
      <c r="I2458" s="26">
        <v>140.0</v>
      </c>
      <c r="J2458" s="26">
        <v>200.0</v>
      </c>
      <c r="K2458" s="26">
        <v>5.0</v>
      </c>
      <c r="N2458" s="26" t="s">
        <v>1770</v>
      </c>
    </row>
    <row r="2459">
      <c r="A2459" s="25">
        <v>43371.993055231476</v>
      </c>
      <c r="B2459" s="26" t="s">
        <v>146</v>
      </c>
      <c r="C2459" s="26" t="s">
        <v>37</v>
      </c>
      <c r="D2459" s="26" t="s">
        <v>31</v>
      </c>
      <c r="E2459" s="26">
        <v>295.0</v>
      </c>
      <c r="F2459" s="26" t="s">
        <v>134</v>
      </c>
      <c r="G2459" s="26">
        <v>4.0</v>
      </c>
      <c r="H2459" s="26">
        <v>4.0</v>
      </c>
      <c r="I2459" s="26">
        <v>144.0</v>
      </c>
      <c r="J2459" s="26">
        <v>130.0</v>
      </c>
      <c r="K2459" s="26">
        <v>21.0</v>
      </c>
      <c r="N2459" s="26" t="s">
        <v>704</v>
      </c>
    </row>
    <row r="2460">
      <c r="A2460" s="25">
        <v>43372.00251171296</v>
      </c>
      <c r="B2460" s="26" t="s">
        <v>45</v>
      </c>
      <c r="C2460" s="26" t="s">
        <v>116</v>
      </c>
      <c r="D2460" s="26" t="s">
        <v>31</v>
      </c>
      <c r="E2460" s="26">
        <v>245.0</v>
      </c>
      <c r="F2460" s="26" t="s">
        <v>134</v>
      </c>
      <c r="G2460" s="26">
        <v>7.0</v>
      </c>
      <c r="H2460" s="26">
        <v>1.0</v>
      </c>
      <c r="I2460" s="26">
        <v>175.0</v>
      </c>
      <c r="J2460" s="26">
        <v>40.0</v>
      </c>
      <c r="K2460" s="26">
        <v>30.0</v>
      </c>
      <c r="N2460" s="26" t="s">
        <v>685</v>
      </c>
    </row>
    <row r="2461">
      <c r="A2461" s="25">
        <v>43372.03061207176</v>
      </c>
      <c r="B2461" s="26" t="s">
        <v>819</v>
      </c>
      <c r="C2461" s="26" t="s">
        <v>143</v>
      </c>
      <c r="D2461" s="26" t="s">
        <v>41</v>
      </c>
      <c r="E2461" s="26">
        <v>350.0</v>
      </c>
      <c r="F2461" s="26" t="s">
        <v>32</v>
      </c>
      <c r="G2461" s="26">
        <v>10.0</v>
      </c>
      <c r="H2461" s="26">
        <v>6.0</v>
      </c>
      <c r="N2461" s="26" t="s">
        <v>1771</v>
      </c>
    </row>
    <row r="2462">
      <c r="A2462" s="25">
        <v>43372.04885900463</v>
      </c>
      <c r="B2462" s="26" t="s">
        <v>33</v>
      </c>
      <c r="C2462" s="26" t="s">
        <v>62</v>
      </c>
      <c r="D2462" s="26" t="s">
        <v>27</v>
      </c>
      <c r="E2462" s="26">
        <v>200.0</v>
      </c>
      <c r="F2462" s="26" t="s">
        <v>35</v>
      </c>
      <c r="G2462" s="26">
        <v>16.0</v>
      </c>
      <c r="H2462" s="26">
        <v>2.0</v>
      </c>
      <c r="N2462" s="26" t="s">
        <v>696</v>
      </c>
    </row>
    <row r="2463">
      <c r="A2463" s="25">
        <v>43372.06260780092</v>
      </c>
      <c r="B2463" s="26" t="s">
        <v>80</v>
      </c>
      <c r="C2463" s="26" t="s">
        <v>1062</v>
      </c>
      <c r="D2463" s="26" t="s">
        <v>31</v>
      </c>
      <c r="E2463" s="26">
        <v>208.0</v>
      </c>
      <c r="F2463" s="26" t="s">
        <v>178</v>
      </c>
      <c r="G2463" s="26">
        <v>1.0</v>
      </c>
      <c r="H2463" s="26">
        <v>0.0</v>
      </c>
      <c r="I2463" s="26">
        <v>138.0</v>
      </c>
      <c r="J2463" s="26">
        <v>49.0</v>
      </c>
      <c r="K2463" s="26">
        <v>21.0</v>
      </c>
      <c r="N2463" s="26" t="s">
        <v>691</v>
      </c>
    </row>
    <row r="2464">
      <c r="A2464" s="25">
        <v>43372.10447607639</v>
      </c>
      <c r="B2464" s="26" t="s">
        <v>119</v>
      </c>
      <c r="C2464" s="26" t="s">
        <v>1227</v>
      </c>
      <c r="D2464" s="26" t="s">
        <v>31</v>
      </c>
      <c r="E2464" s="26">
        <v>440.0</v>
      </c>
      <c r="F2464" s="26" t="s">
        <v>1275</v>
      </c>
      <c r="G2464" s="26">
        <v>20.0</v>
      </c>
      <c r="H2464" s="26">
        <v>8.0</v>
      </c>
      <c r="I2464" s="26">
        <v>270.0</v>
      </c>
      <c r="J2464" s="26">
        <v>105.0</v>
      </c>
      <c r="K2464" s="26">
        <v>65.0</v>
      </c>
      <c r="N2464" s="26" t="s">
        <v>683</v>
      </c>
    </row>
    <row r="2465">
      <c r="A2465" s="25">
        <v>43372.10607026621</v>
      </c>
      <c r="B2465" s="26" t="s">
        <v>48</v>
      </c>
      <c r="C2465" s="26" t="s">
        <v>49</v>
      </c>
      <c r="D2465" s="26" t="s">
        <v>31</v>
      </c>
      <c r="E2465" s="26">
        <v>157.0</v>
      </c>
      <c r="F2465" s="26" t="s">
        <v>35</v>
      </c>
      <c r="G2465" s="26">
        <v>4.0</v>
      </c>
      <c r="H2465" s="26">
        <v>0.0</v>
      </c>
      <c r="I2465" s="26">
        <v>157.0</v>
      </c>
      <c r="J2465" s="26">
        <v>75.0</v>
      </c>
      <c r="N2465" s="26" t="s">
        <v>685</v>
      </c>
    </row>
    <row r="2466">
      <c r="A2466" s="25">
        <v>43372.119559224535</v>
      </c>
      <c r="B2466" s="26" t="s">
        <v>33</v>
      </c>
      <c r="C2466" s="26" t="s">
        <v>43</v>
      </c>
      <c r="D2466" s="26" t="s">
        <v>31</v>
      </c>
      <c r="E2466" s="26">
        <v>180.0</v>
      </c>
      <c r="F2466" s="26" t="s">
        <v>35</v>
      </c>
      <c r="G2466" s="26">
        <v>5.0</v>
      </c>
      <c r="H2466" s="26">
        <v>5.0</v>
      </c>
      <c r="N2466" s="26" t="s">
        <v>683</v>
      </c>
    </row>
    <row r="2467">
      <c r="A2467" s="25">
        <v>43372.125934780095</v>
      </c>
      <c r="B2467" s="26" t="s">
        <v>45</v>
      </c>
      <c r="C2467" s="26" t="s">
        <v>191</v>
      </c>
      <c r="D2467" s="26" t="s">
        <v>1772</v>
      </c>
      <c r="E2467" s="26">
        <v>115.0</v>
      </c>
      <c r="F2467" s="26" t="s">
        <v>32</v>
      </c>
      <c r="G2467" s="26">
        <v>1.0</v>
      </c>
      <c r="H2467" s="26">
        <v>1.0</v>
      </c>
      <c r="I2467" s="26">
        <v>100.0</v>
      </c>
      <c r="J2467" s="26">
        <v>10.0</v>
      </c>
      <c r="K2467" s="26">
        <v>5.0</v>
      </c>
      <c r="N2467" s="26" t="s">
        <v>1043</v>
      </c>
    </row>
    <row r="2468">
      <c r="A2468" s="25">
        <v>43372.14782439815</v>
      </c>
      <c r="B2468" s="26" t="s">
        <v>282</v>
      </c>
      <c r="C2468" s="26" t="s">
        <v>37</v>
      </c>
      <c r="D2468" s="26" t="s">
        <v>31</v>
      </c>
      <c r="E2468" s="26">
        <v>100.0</v>
      </c>
      <c r="F2468" s="26" t="s">
        <v>1773</v>
      </c>
      <c r="G2468" s="26">
        <v>9.0</v>
      </c>
      <c r="H2468" s="26">
        <v>1.0</v>
      </c>
      <c r="N2468" s="26" t="s">
        <v>685</v>
      </c>
    </row>
    <row r="2469">
      <c r="A2469" s="25">
        <v>43372.242048831016</v>
      </c>
      <c r="B2469" s="26" t="s">
        <v>45</v>
      </c>
      <c r="C2469" s="26" t="s">
        <v>116</v>
      </c>
      <c r="D2469" s="26" t="s">
        <v>31</v>
      </c>
      <c r="E2469" s="26">
        <v>320.0</v>
      </c>
      <c r="F2469" s="26" t="s">
        <v>134</v>
      </c>
      <c r="G2469" s="26">
        <v>12.0</v>
      </c>
      <c r="H2469" s="26">
        <v>4.0</v>
      </c>
      <c r="N2469" s="26" t="s">
        <v>685</v>
      </c>
    </row>
    <row r="2470">
      <c r="A2470" s="25">
        <v>43372.245784583334</v>
      </c>
      <c r="B2470" s="26" t="s">
        <v>29</v>
      </c>
      <c r="C2470" s="26" t="s">
        <v>647</v>
      </c>
      <c r="D2470" s="26" t="s">
        <v>41</v>
      </c>
      <c r="E2470" s="26">
        <v>360.0</v>
      </c>
      <c r="F2470" s="26" t="s">
        <v>238</v>
      </c>
      <c r="G2470" s="26">
        <v>12.0</v>
      </c>
      <c r="H2470" s="26">
        <v>8.0</v>
      </c>
      <c r="I2470" s="26">
        <v>210.0</v>
      </c>
      <c r="J2470" s="26">
        <v>120.0</v>
      </c>
      <c r="K2470" s="26">
        <v>30.0</v>
      </c>
      <c r="N2470" s="26" t="s">
        <v>683</v>
      </c>
    </row>
    <row r="2471">
      <c r="A2471" s="25">
        <v>43372.24786390046</v>
      </c>
      <c r="B2471" s="26" t="s">
        <v>80</v>
      </c>
      <c r="C2471" s="26" t="s">
        <v>73</v>
      </c>
      <c r="D2471" s="26" t="s">
        <v>31</v>
      </c>
      <c r="E2471" s="26">
        <v>269.0</v>
      </c>
      <c r="F2471" s="26" t="s">
        <v>32</v>
      </c>
      <c r="G2471" s="26">
        <v>3.0</v>
      </c>
      <c r="H2471" s="26">
        <v>3.0</v>
      </c>
      <c r="N2471" s="26" t="s">
        <v>691</v>
      </c>
    </row>
    <row r="2472">
      <c r="A2472" s="25">
        <v>43372.2520965625</v>
      </c>
      <c r="B2472" s="26" t="s">
        <v>819</v>
      </c>
      <c r="C2472" s="26">
        <v>4.0</v>
      </c>
      <c r="D2472" s="26" t="s">
        <v>27</v>
      </c>
      <c r="E2472" s="26">
        <v>120.0</v>
      </c>
      <c r="F2472" s="26" t="s">
        <v>571</v>
      </c>
      <c r="G2472" s="26">
        <v>10.0</v>
      </c>
      <c r="H2472" s="26">
        <v>3.0</v>
      </c>
      <c r="N2472" s="26" t="s">
        <v>683</v>
      </c>
    </row>
    <row r="2473">
      <c r="A2473" s="25">
        <v>43372.25411381944</v>
      </c>
      <c r="B2473" s="26" t="s">
        <v>45</v>
      </c>
      <c r="C2473" s="26" t="s">
        <v>806</v>
      </c>
      <c r="D2473" s="26" t="s">
        <v>41</v>
      </c>
      <c r="E2473" s="26">
        <v>340.0</v>
      </c>
      <c r="F2473" s="26" t="s">
        <v>104</v>
      </c>
      <c r="G2473" s="26">
        <v>12.0</v>
      </c>
      <c r="H2473" s="26">
        <v>4.0</v>
      </c>
      <c r="I2473" s="26">
        <v>180.0</v>
      </c>
      <c r="J2473" s="26">
        <v>140.0</v>
      </c>
      <c r="K2473" s="26">
        <v>20.0</v>
      </c>
      <c r="N2473" s="26" t="s">
        <v>704</v>
      </c>
    </row>
    <row r="2474">
      <c r="A2474" s="25">
        <v>43372.25679371528</v>
      </c>
      <c r="B2474" s="26" t="s">
        <v>33</v>
      </c>
      <c r="C2474" s="26" t="s">
        <v>76</v>
      </c>
      <c r="D2474" s="26" t="s">
        <v>31</v>
      </c>
      <c r="E2474" s="26">
        <v>215.0</v>
      </c>
      <c r="F2474" s="26" t="s">
        <v>35</v>
      </c>
      <c r="G2474" s="26">
        <v>14.0</v>
      </c>
      <c r="H2474" s="26">
        <v>0.0</v>
      </c>
      <c r="N2474" s="26" t="s">
        <v>704</v>
      </c>
    </row>
    <row r="2475">
      <c r="A2475" s="25">
        <v>43372.26056825231</v>
      </c>
      <c r="B2475" s="26" t="s">
        <v>119</v>
      </c>
      <c r="C2475" s="26">
        <v>8.0</v>
      </c>
      <c r="D2475" s="26" t="s">
        <v>1774</v>
      </c>
      <c r="E2475" s="26">
        <v>149.0</v>
      </c>
      <c r="F2475" s="26" t="s">
        <v>1463</v>
      </c>
      <c r="G2475" s="26">
        <v>15.0</v>
      </c>
      <c r="H2475" s="26">
        <v>3.0</v>
      </c>
      <c r="I2475" s="26">
        <v>120.0</v>
      </c>
      <c r="J2475" s="26">
        <v>13.0</v>
      </c>
      <c r="K2475" s="26">
        <v>19.0</v>
      </c>
      <c r="N2475" s="26" t="s">
        <v>1343</v>
      </c>
    </row>
    <row r="2476">
      <c r="A2476" s="25">
        <v>43372.266973125</v>
      </c>
      <c r="B2476" s="26" t="s">
        <v>80</v>
      </c>
      <c r="C2476" s="26" t="s">
        <v>43</v>
      </c>
      <c r="D2476" s="26" t="s">
        <v>41</v>
      </c>
      <c r="E2476" s="26">
        <v>330.0</v>
      </c>
      <c r="F2476" s="26" t="s">
        <v>1775</v>
      </c>
      <c r="G2476" s="26">
        <v>10.0</v>
      </c>
      <c r="H2476" s="26">
        <v>0.5</v>
      </c>
      <c r="I2476" s="26">
        <v>200.0</v>
      </c>
      <c r="J2476" s="26">
        <v>100.0</v>
      </c>
      <c r="K2476" s="26">
        <v>30.0</v>
      </c>
      <c r="N2476" s="26" t="s">
        <v>687</v>
      </c>
    </row>
    <row r="2477">
      <c r="A2477" s="25">
        <v>43372.26852612269</v>
      </c>
      <c r="B2477" s="26" t="s">
        <v>40</v>
      </c>
      <c r="C2477" s="26">
        <v>64.0</v>
      </c>
      <c r="D2477" s="26" t="s">
        <v>31</v>
      </c>
      <c r="E2477" s="26">
        <v>293.0</v>
      </c>
      <c r="F2477" s="26" t="s">
        <v>161</v>
      </c>
      <c r="G2477" s="26">
        <v>14.0</v>
      </c>
      <c r="H2477" s="26">
        <v>1.0</v>
      </c>
      <c r="I2477" s="26">
        <v>158.0</v>
      </c>
      <c r="J2477" s="26">
        <v>114.0</v>
      </c>
      <c r="K2477" s="26">
        <v>21.0</v>
      </c>
      <c r="N2477" s="26" t="s">
        <v>683</v>
      </c>
    </row>
    <row r="2478">
      <c r="A2478" s="25">
        <v>43372.2871952662</v>
      </c>
      <c r="B2478" s="26" t="s">
        <v>33</v>
      </c>
      <c r="C2478" s="26" t="s">
        <v>34</v>
      </c>
      <c r="D2478" s="26" t="s">
        <v>41</v>
      </c>
      <c r="E2478" s="26">
        <v>650.0</v>
      </c>
      <c r="F2478" s="26" t="s">
        <v>35</v>
      </c>
      <c r="G2478" s="26">
        <v>20.0</v>
      </c>
      <c r="H2478" s="26">
        <v>1.0</v>
      </c>
      <c r="I2478" s="26">
        <v>160.0</v>
      </c>
      <c r="J2478" s="26">
        <v>240.0</v>
      </c>
      <c r="K2478" s="26">
        <v>250.0</v>
      </c>
      <c r="N2478" s="26" t="s">
        <v>685</v>
      </c>
    </row>
    <row r="2479">
      <c r="A2479" s="25">
        <v>43372.29982987269</v>
      </c>
      <c r="B2479" s="26" t="s">
        <v>1371</v>
      </c>
      <c r="C2479" s="26" t="s">
        <v>833</v>
      </c>
      <c r="D2479" s="26" t="s">
        <v>27</v>
      </c>
      <c r="E2479" s="26">
        <v>170.0</v>
      </c>
      <c r="F2479" s="26" t="s">
        <v>753</v>
      </c>
      <c r="G2479" s="26">
        <v>6.0</v>
      </c>
      <c r="H2479" s="26">
        <v>4.0</v>
      </c>
      <c r="N2479" s="26" t="s">
        <v>685</v>
      </c>
    </row>
    <row r="2480">
      <c r="A2480" s="25">
        <v>43372.306807256944</v>
      </c>
      <c r="B2480" s="26" t="s">
        <v>146</v>
      </c>
      <c r="C2480" s="26" t="s">
        <v>96</v>
      </c>
      <c r="D2480" s="26" t="s">
        <v>31</v>
      </c>
      <c r="E2480" s="26">
        <v>200.0</v>
      </c>
      <c r="F2480" s="26" t="s">
        <v>134</v>
      </c>
      <c r="G2480" s="26">
        <v>11.0</v>
      </c>
      <c r="H2480" s="26">
        <v>3.0</v>
      </c>
      <c r="N2480" s="26" t="s">
        <v>1134</v>
      </c>
    </row>
    <row r="2481">
      <c r="A2481" s="25">
        <v>43372.310718506946</v>
      </c>
      <c r="B2481" s="26" t="s">
        <v>45</v>
      </c>
      <c r="C2481" s="26" t="s">
        <v>116</v>
      </c>
      <c r="D2481" s="26" t="s">
        <v>31</v>
      </c>
      <c r="E2481" s="26">
        <v>250.0</v>
      </c>
      <c r="F2481" s="26" t="s">
        <v>134</v>
      </c>
      <c r="G2481" s="26">
        <v>7.0</v>
      </c>
      <c r="H2481" s="26">
        <v>0.0</v>
      </c>
      <c r="I2481" s="26">
        <v>170.0</v>
      </c>
      <c r="J2481" s="26">
        <v>40.0</v>
      </c>
      <c r="K2481" s="26">
        <v>40.0</v>
      </c>
      <c r="N2481" s="26" t="s">
        <v>704</v>
      </c>
    </row>
    <row r="2482">
      <c r="A2482" s="25">
        <v>43372.316191770835</v>
      </c>
      <c r="B2482" s="26" t="s">
        <v>548</v>
      </c>
      <c r="C2482" s="26" t="s">
        <v>306</v>
      </c>
      <c r="D2482" s="26" t="s">
        <v>306</v>
      </c>
      <c r="E2482" s="26">
        <v>120.0</v>
      </c>
      <c r="F2482" s="26" t="s">
        <v>1776</v>
      </c>
      <c r="G2482" s="26">
        <v>8.0</v>
      </c>
      <c r="H2482" s="26">
        <v>8.0</v>
      </c>
      <c r="N2482" s="26" t="s">
        <v>1777</v>
      </c>
    </row>
    <row r="2483">
      <c r="A2483" s="25">
        <v>43372.318650127316</v>
      </c>
      <c r="B2483" s="26" t="s">
        <v>1778</v>
      </c>
      <c r="C2483" s="26" t="s">
        <v>1756</v>
      </c>
      <c r="D2483" s="26" t="s">
        <v>1498</v>
      </c>
      <c r="E2483" s="26">
        <v>430.0</v>
      </c>
      <c r="F2483" s="26" t="s">
        <v>238</v>
      </c>
      <c r="G2483" s="26">
        <v>20.0</v>
      </c>
      <c r="H2483" s="26">
        <v>2.0</v>
      </c>
      <c r="I2483" s="26">
        <v>250.0</v>
      </c>
      <c r="J2483" s="26">
        <v>120.0</v>
      </c>
      <c r="K2483" s="26">
        <v>60.0</v>
      </c>
      <c r="L2483" s="26" t="s">
        <v>1779</v>
      </c>
      <c r="N2483" s="26" t="s">
        <v>715</v>
      </c>
    </row>
    <row r="2484">
      <c r="A2484" s="25">
        <v>43372.34350452546</v>
      </c>
      <c r="B2484" s="26" t="s">
        <v>80</v>
      </c>
      <c r="C2484" s="26" t="s">
        <v>818</v>
      </c>
      <c r="D2484" s="26" t="s">
        <v>31</v>
      </c>
      <c r="E2484" s="26">
        <v>175.0</v>
      </c>
      <c r="F2484" s="26" t="s">
        <v>51</v>
      </c>
      <c r="G2484" s="26">
        <v>2.0</v>
      </c>
      <c r="H2484" s="26">
        <v>0.25</v>
      </c>
      <c r="I2484" s="26">
        <v>120.0</v>
      </c>
      <c r="J2484" s="26">
        <v>25.0</v>
      </c>
      <c r="K2484" s="26">
        <v>20.0</v>
      </c>
      <c r="N2484" s="26" t="s">
        <v>687</v>
      </c>
    </row>
    <row r="2485">
      <c r="A2485" s="25">
        <v>43372.3440703125</v>
      </c>
      <c r="B2485" s="26" t="s">
        <v>33</v>
      </c>
      <c r="C2485" s="26" t="s">
        <v>43</v>
      </c>
      <c r="D2485" s="26" t="s">
        <v>31</v>
      </c>
      <c r="E2485" s="26">
        <v>240.0</v>
      </c>
      <c r="F2485" s="26" t="s">
        <v>35</v>
      </c>
      <c r="G2485" s="26">
        <v>6.0</v>
      </c>
      <c r="H2485" s="26">
        <v>5.0</v>
      </c>
      <c r="N2485" s="26" t="s">
        <v>683</v>
      </c>
    </row>
    <row r="2486">
      <c r="A2486" s="25">
        <v>43372.37304121528</v>
      </c>
      <c r="B2486" s="26" t="s">
        <v>36</v>
      </c>
      <c r="C2486" s="26" t="s">
        <v>610</v>
      </c>
      <c r="D2486" s="26" t="s">
        <v>31</v>
      </c>
      <c r="E2486" s="26">
        <v>206.0</v>
      </c>
      <c r="F2486" s="26" t="s">
        <v>63</v>
      </c>
      <c r="G2486" s="26">
        <v>2.0</v>
      </c>
      <c r="H2486" s="26">
        <v>0.0</v>
      </c>
      <c r="I2486" s="26">
        <v>143.0</v>
      </c>
      <c r="J2486" s="26">
        <v>50.0</v>
      </c>
      <c r="K2486" s="26">
        <v>13.0</v>
      </c>
      <c r="N2486" s="26" t="s">
        <v>704</v>
      </c>
    </row>
    <row r="2487">
      <c r="A2487" s="25">
        <v>43372.37495384259</v>
      </c>
      <c r="B2487" s="26" t="s">
        <v>187</v>
      </c>
      <c r="C2487" s="26" t="s">
        <v>430</v>
      </c>
      <c r="D2487" s="26" t="s">
        <v>31</v>
      </c>
      <c r="E2487" s="26">
        <v>275.0</v>
      </c>
      <c r="F2487" s="26" t="s">
        <v>326</v>
      </c>
      <c r="G2487" s="26">
        <v>6.0</v>
      </c>
      <c r="H2487" s="26">
        <v>0.0</v>
      </c>
      <c r="I2487" s="26">
        <v>175.0</v>
      </c>
      <c r="J2487" s="26">
        <v>10000.0</v>
      </c>
      <c r="N2487" s="26" t="s">
        <v>751</v>
      </c>
    </row>
    <row r="2488">
      <c r="A2488" s="25">
        <v>43372.38016556713</v>
      </c>
      <c r="B2488" s="26" t="s">
        <v>873</v>
      </c>
      <c r="C2488" s="26" t="s">
        <v>37</v>
      </c>
      <c r="D2488" s="26" t="s">
        <v>31</v>
      </c>
      <c r="E2488" s="26">
        <v>310.0</v>
      </c>
      <c r="F2488" s="26" t="s">
        <v>97</v>
      </c>
      <c r="G2488" s="26">
        <v>7.0</v>
      </c>
      <c r="H2488" s="26">
        <v>1.0</v>
      </c>
      <c r="I2488" s="26">
        <v>240.0</v>
      </c>
      <c r="J2488" s="26">
        <v>70.0</v>
      </c>
      <c r="N2488" s="26" t="s">
        <v>691</v>
      </c>
    </row>
    <row r="2489">
      <c r="A2489" s="25">
        <v>43372.39004888889</v>
      </c>
      <c r="B2489" s="26" t="s">
        <v>48</v>
      </c>
      <c r="C2489" s="26" t="s">
        <v>69</v>
      </c>
      <c r="D2489" s="26" t="s">
        <v>31</v>
      </c>
      <c r="E2489" s="26">
        <v>250.0</v>
      </c>
      <c r="F2489" s="26" t="s">
        <v>50</v>
      </c>
      <c r="G2489" s="26">
        <v>1.0</v>
      </c>
      <c r="H2489" s="26">
        <v>1.0</v>
      </c>
      <c r="I2489" s="26">
        <v>115.0</v>
      </c>
      <c r="J2489" s="26">
        <v>40.0</v>
      </c>
      <c r="N2489" s="26" t="s">
        <v>683</v>
      </c>
    </row>
    <row r="2490">
      <c r="A2490" s="25">
        <v>43372.417408368055</v>
      </c>
      <c r="B2490" s="26" t="s">
        <v>187</v>
      </c>
      <c r="C2490" s="26" t="s">
        <v>93</v>
      </c>
      <c r="D2490" s="26" t="s">
        <v>31</v>
      </c>
      <c r="E2490" s="26">
        <v>600.0</v>
      </c>
      <c r="F2490" s="26" t="s">
        <v>32</v>
      </c>
      <c r="G2490" s="26">
        <v>12.0</v>
      </c>
      <c r="H2490" s="26">
        <v>2.0</v>
      </c>
      <c r="I2490" s="26">
        <v>200.0</v>
      </c>
      <c r="J2490" s="26">
        <v>400.0</v>
      </c>
      <c r="N2490" s="26" t="s">
        <v>704</v>
      </c>
    </row>
    <row r="2491">
      <c r="A2491" s="25">
        <v>43372.44422849537</v>
      </c>
      <c r="B2491" s="26" t="s">
        <v>80</v>
      </c>
      <c r="C2491" s="26" t="s">
        <v>93</v>
      </c>
      <c r="D2491" s="26" t="s">
        <v>27</v>
      </c>
      <c r="E2491" s="26">
        <v>150.0</v>
      </c>
      <c r="F2491" s="26" t="s">
        <v>32</v>
      </c>
      <c r="G2491" s="26">
        <v>15.0</v>
      </c>
      <c r="H2491" s="26">
        <v>1.0</v>
      </c>
      <c r="I2491" s="26">
        <v>125.0</v>
      </c>
      <c r="J2491" s="26">
        <v>5.0</v>
      </c>
      <c r="K2491" s="26">
        <v>20.0</v>
      </c>
      <c r="N2491" s="26" t="s">
        <v>751</v>
      </c>
    </row>
    <row r="2492">
      <c r="A2492" s="25">
        <v>43372.45120552083</v>
      </c>
      <c r="B2492" s="26" t="s">
        <v>33</v>
      </c>
      <c r="C2492" s="26" t="s">
        <v>43</v>
      </c>
      <c r="D2492" s="26" t="s">
        <v>31</v>
      </c>
      <c r="E2492" s="26">
        <v>169.0</v>
      </c>
      <c r="F2492" s="26" t="s">
        <v>94</v>
      </c>
      <c r="G2492" s="26">
        <v>2.0</v>
      </c>
      <c r="H2492" s="26">
        <v>1.0</v>
      </c>
      <c r="I2492" s="26">
        <v>115.0</v>
      </c>
      <c r="J2492" s="26">
        <v>46.0</v>
      </c>
      <c r="K2492" s="26">
        <v>8.0</v>
      </c>
      <c r="N2492" s="26" t="s">
        <v>685</v>
      </c>
    </row>
    <row r="2493">
      <c r="A2493" s="25">
        <v>43372.46580643518</v>
      </c>
      <c r="B2493" s="26" t="s">
        <v>234</v>
      </c>
      <c r="C2493" s="26" t="s">
        <v>386</v>
      </c>
      <c r="D2493" s="26" t="s">
        <v>27</v>
      </c>
      <c r="E2493" s="26">
        <v>230.0</v>
      </c>
      <c r="F2493" s="26" t="s">
        <v>175</v>
      </c>
      <c r="G2493" s="26">
        <v>10.0</v>
      </c>
      <c r="H2493" s="26">
        <v>4.0</v>
      </c>
      <c r="N2493" s="26" t="s">
        <v>683</v>
      </c>
    </row>
    <row r="2494">
      <c r="A2494" s="25">
        <v>43372.469677650464</v>
      </c>
      <c r="B2494" s="26" t="s">
        <v>187</v>
      </c>
      <c r="C2494" s="26" t="s">
        <v>176</v>
      </c>
      <c r="D2494" s="26" t="s">
        <v>31</v>
      </c>
      <c r="E2494" s="26">
        <v>500.0</v>
      </c>
      <c r="F2494" s="26" t="s">
        <v>32</v>
      </c>
      <c r="G2494" s="26">
        <v>10.0</v>
      </c>
      <c r="H2494" s="26">
        <v>3.0</v>
      </c>
      <c r="I2494" s="26">
        <v>175.0</v>
      </c>
      <c r="N2494" s="26" t="s">
        <v>704</v>
      </c>
    </row>
    <row r="2495">
      <c r="A2495" s="25">
        <v>43372.473794351856</v>
      </c>
      <c r="B2495" s="26" t="s">
        <v>33</v>
      </c>
      <c r="C2495" s="26" t="s">
        <v>1061</v>
      </c>
      <c r="D2495" s="26" t="s">
        <v>41</v>
      </c>
      <c r="E2495" s="26">
        <v>400.0</v>
      </c>
      <c r="F2495" s="26" t="s">
        <v>35</v>
      </c>
      <c r="G2495" s="26">
        <v>16.0</v>
      </c>
      <c r="H2495" s="26">
        <v>6.0</v>
      </c>
      <c r="N2495" s="26" t="s">
        <v>685</v>
      </c>
    </row>
    <row r="2496">
      <c r="A2496" s="25">
        <v>43372.507602881946</v>
      </c>
      <c r="B2496" s="26" t="s">
        <v>80</v>
      </c>
      <c r="C2496" s="26" t="s">
        <v>818</v>
      </c>
      <c r="D2496" s="26" t="s">
        <v>31</v>
      </c>
      <c r="E2496" s="26">
        <v>187.0</v>
      </c>
      <c r="F2496" s="26" t="s">
        <v>51</v>
      </c>
      <c r="G2496" s="26">
        <v>0.0</v>
      </c>
      <c r="H2496" s="26">
        <v>0.0</v>
      </c>
      <c r="I2496" s="26">
        <v>125.0</v>
      </c>
      <c r="J2496" s="26">
        <v>33.0</v>
      </c>
      <c r="K2496" s="26">
        <v>29.0</v>
      </c>
      <c r="N2496" s="26" t="s">
        <v>704</v>
      </c>
    </row>
    <row r="2497">
      <c r="A2497" s="25">
        <v>43372.51922429398</v>
      </c>
      <c r="B2497" s="26" t="s">
        <v>33</v>
      </c>
      <c r="C2497" s="26" t="s">
        <v>62</v>
      </c>
      <c r="D2497" s="26" t="s">
        <v>27</v>
      </c>
      <c r="E2497" s="26">
        <v>180.0</v>
      </c>
      <c r="F2497" s="26" t="s">
        <v>35</v>
      </c>
      <c r="G2497" s="26">
        <v>3.0</v>
      </c>
      <c r="H2497" s="26">
        <v>0.0</v>
      </c>
      <c r="N2497" s="26" t="s">
        <v>1043</v>
      </c>
    </row>
    <row r="2498">
      <c r="A2498" s="25">
        <v>43372.52285721065</v>
      </c>
      <c r="B2498" s="26" t="s">
        <v>119</v>
      </c>
      <c r="C2498" s="26">
        <v>6.0</v>
      </c>
      <c r="D2498" s="26" t="s">
        <v>713</v>
      </c>
      <c r="E2498" s="26">
        <v>111.0</v>
      </c>
      <c r="F2498" s="26" t="s">
        <v>1463</v>
      </c>
      <c r="G2498" s="26">
        <v>10.0</v>
      </c>
      <c r="H2498" s="26">
        <v>2.0</v>
      </c>
      <c r="N2498" s="26" t="s">
        <v>1149</v>
      </c>
    </row>
    <row r="2499">
      <c r="A2499" s="25">
        <v>43372.523116805554</v>
      </c>
      <c r="B2499" s="26" t="s">
        <v>119</v>
      </c>
      <c r="C2499" s="26" t="s">
        <v>1227</v>
      </c>
      <c r="D2499" s="26" t="s">
        <v>31</v>
      </c>
      <c r="E2499" s="26">
        <v>500.0</v>
      </c>
      <c r="F2499" s="26" t="s">
        <v>32</v>
      </c>
      <c r="G2499" s="26">
        <v>17.0</v>
      </c>
      <c r="H2499" s="26">
        <v>5.0</v>
      </c>
      <c r="I2499" s="26">
        <v>240.0</v>
      </c>
      <c r="K2499" s="26">
        <v>60.0</v>
      </c>
      <c r="N2499" s="26" t="s">
        <v>691</v>
      </c>
    </row>
    <row r="2500">
      <c r="A2500" s="25">
        <v>43372.52523159722</v>
      </c>
      <c r="B2500" s="26" t="s">
        <v>119</v>
      </c>
      <c r="C2500" s="26" t="s">
        <v>833</v>
      </c>
      <c r="D2500" s="26" t="s">
        <v>1780</v>
      </c>
      <c r="E2500" s="26">
        <v>241.0</v>
      </c>
      <c r="F2500" s="26" t="s">
        <v>32</v>
      </c>
      <c r="G2500" s="26">
        <v>6.0</v>
      </c>
      <c r="H2500" s="26">
        <v>3.0</v>
      </c>
      <c r="I2500" s="26">
        <v>161.0</v>
      </c>
      <c r="J2500" s="26">
        <v>60.0</v>
      </c>
      <c r="K2500" s="26">
        <v>20.0</v>
      </c>
      <c r="N2500" s="26" t="s">
        <v>857</v>
      </c>
    </row>
    <row r="2501">
      <c r="A2501" s="25">
        <v>43372.52803739584</v>
      </c>
      <c r="B2501" s="26" t="s">
        <v>119</v>
      </c>
      <c r="C2501" s="26">
        <v>11.0</v>
      </c>
      <c r="D2501" s="26" t="s">
        <v>31</v>
      </c>
      <c r="E2501" s="26">
        <v>999.0</v>
      </c>
      <c r="F2501" s="26" t="s">
        <v>32</v>
      </c>
      <c r="G2501" s="26">
        <v>13.0</v>
      </c>
      <c r="H2501" s="26">
        <v>3.0</v>
      </c>
      <c r="I2501" s="26">
        <v>400.0</v>
      </c>
      <c r="J2501" s="26">
        <v>449.0</v>
      </c>
      <c r="K2501" s="26">
        <v>150.0</v>
      </c>
      <c r="N2501" s="26" t="s">
        <v>683</v>
      </c>
    </row>
    <row r="2502">
      <c r="A2502" s="25">
        <v>43372.54435751158</v>
      </c>
      <c r="B2502" s="26" t="s">
        <v>119</v>
      </c>
      <c r="C2502" s="26" t="s">
        <v>494</v>
      </c>
      <c r="D2502" s="26" t="s">
        <v>31</v>
      </c>
      <c r="E2502" s="26">
        <v>137.0</v>
      </c>
      <c r="F2502" s="26" t="s">
        <v>44</v>
      </c>
      <c r="G2502" s="26">
        <v>4.0</v>
      </c>
      <c r="H2502" s="26">
        <v>4.0</v>
      </c>
      <c r="I2502" s="26">
        <v>102.0</v>
      </c>
      <c r="J2502" s="26">
        <v>20.0</v>
      </c>
      <c r="K2502" s="26">
        <v>15.0</v>
      </c>
      <c r="N2502" s="26" t="s">
        <v>685</v>
      </c>
    </row>
    <row r="2503">
      <c r="A2503" s="25">
        <v>43372.54445414351</v>
      </c>
      <c r="B2503" s="26" t="s">
        <v>119</v>
      </c>
      <c r="C2503" s="26" t="s">
        <v>1578</v>
      </c>
      <c r="D2503" s="26" t="s">
        <v>27</v>
      </c>
      <c r="E2503" s="26">
        <v>350.0</v>
      </c>
      <c r="F2503" s="26" t="s">
        <v>32</v>
      </c>
      <c r="G2503" s="26">
        <v>12.0</v>
      </c>
      <c r="H2503" s="26">
        <v>3.0</v>
      </c>
      <c r="N2503" s="26" t="s">
        <v>696</v>
      </c>
    </row>
    <row r="2504">
      <c r="A2504" s="25">
        <v>43372.54568292824</v>
      </c>
      <c r="B2504" s="26" t="s">
        <v>119</v>
      </c>
      <c r="C2504" s="26" t="s">
        <v>1758</v>
      </c>
      <c r="D2504" s="26" t="s">
        <v>31</v>
      </c>
      <c r="E2504" s="26">
        <v>221.0</v>
      </c>
      <c r="F2504" s="26" t="s">
        <v>1463</v>
      </c>
      <c r="G2504" s="26">
        <v>15.0</v>
      </c>
      <c r="H2504" s="26">
        <v>1.0</v>
      </c>
      <c r="I2504" s="26">
        <v>164.0</v>
      </c>
      <c r="J2504" s="26">
        <v>32.0</v>
      </c>
      <c r="K2504" s="26">
        <v>25.0</v>
      </c>
      <c r="N2504" s="26" t="s">
        <v>685</v>
      </c>
    </row>
    <row r="2505">
      <c r="A2505" s="25">
        <v>43372.54928068287</v>
      </c>
      <c r="B2505" s="26" t="s">
        <v>407</v>
      </c>
      <c r="C2505" s="26" t="s">
        <v>37</v>
      </c>
      <c r="D2505" s="26" t="s">
        <v>41</v>
      </c>
      <c r="E2505" s="26">
        <v>375.0</v>
      </c>
      <c r="F2505" s="26" t="s">
        <v>28</v>
      </c>
      <c r="G2505" s="26">
        <v>14.0</v>
      </c>
      <c r="H2505" s="26">
        <v>1.0</v>
      </c>
      <c r="I2505" s="26">
        <v>250.0</v>
      </c>
      <c r="J2505" s="26">
        <v>125.0</v>
      </c>
      <c r="N2505" s="26" t="s">
        <v>683</v>
      </c>
    </row>
    <row r="2506">
      <c r="A2506" s="25">
        <v>43372.55397645834</v>
      </c>
      <c r="B2506" s="26" t="s">
        <v>387</v>
      </c>
      <c r="C2506" s="26" t="s">
        <v>541</v>
      </c>
      <c r="D2506" s="26" t="s">
        <v>31</v>
      </c>
      <c r="E2506" s="26">
        <v>390.0</v>
      </c>
      <c r="F2506" s="26" t="s">
        <v>175</v>
      </c>
      <c r="G2506" s="26">
        <v>0.0</v>
      </c>
      <c r="H2506" s="26">
        <v>0.0</v>
      </c>
      <c r="I2506" s="26">
        <v>190.0</v>
      </c>
      <c r="J2506" s="26">
        <v>200.0</v>
      </c>
      <c r="N2506" s="26" t="s">
        <v>691</v>
      </c>
    </row>
    <row r="2507">
      <c r="A2507" s="25">
        <v>43372.55466844907</v>
      </c>
      <c r="B2507" s="26" t="s">
        <v>119</v>
      </c>
      <c r="C2507" s="26" t="s">
        <v>494</v>
      </c>
      <c r="D2507" s="26" t="s">
        <v>31</v>
      </c>
      <c r="E2507" s="26">
        <v>327.0</v>
      </c>
      <c r="F2507" s="26" t="s">
        <v>32</v>
      </c>
      <c r="G2507" s="26">
        <v>4.0</v>
      </c>
      <c r="H2507" s="26">
        <v>4.0</v>
      </c>
      <c r="I2507" s="26">
        <v>165.0</v>
      </c>
      <c r="J2507" s="26">
        <v>150.0</v>
      </c>
      <c r="K2507" s="26">
        <v>22.0</v>
      </c>
      <c r="L2507" s="26" t="s">
        <v>1781</v>
      </c>
      <c r="N2507" s="26" t="s">
        <v>683</v>
      </c>
    </row>
    <row r="2508">
      <c r="A2508" s="25">
        <v>43372.555642673615</v>
      </c>
      <c r="B2508" s="26" t="s">
        <v>33</v>
      </c>
      <c r="C2508" s="26" t="s">
        <v>43</v>
      </c>
      <c r="D2508" s="26" t="s">
        <v>31</v>
      </c>
      <c r="E2508" s="26">
        <v>200.0</v>
      </c>
      <c r="F2508" s="26" t="s">
        <v>35</v>
      </c>
      <c r="G2508" s="26">
        <v>3.0</v>
      </c>
      <c r="H2508" s="26">
        <v>3.0</v>
      </c>
      <c r="I2508" s="26">
        <v>131.0</v>
      </c>
      <c r="J2508" s="26">
        <v>70.0</v>
      </c>
      <c r="K2508" s="26">
        <v>3.0</v>
      </c>
      <c r="N2508" s="26" t="s">
        <v>685</v>
      </c>
    </row>
    <row r="2509">
      <c r="A2509" s="25">
        <v>43372.5587471412</v>
      </c>
      <c r="B2509" s="26" t="s">
        <v>57</v>
      </c>
      <c r="C2509" s="26" t="s">
        <v>484</v>
      </c>
      <c r="D2509" s="26" t="s">
        <v>31</v>
      </c>
      <c r="E2509" s="26">
        <v>184.0</v>
      </c>
      <c r="F2509" s="26" t="s">
        <v>58</v>
      </c>
      <c r="G2509" s="26">
        <v>1.0</v>
      </c>
      <c r="H2509" s="26">
        <v>1.0</v>
      </c>
      <c r="I2509" s="26">
        <v>140.0</v>
      </c>
      <c r="J2509" s="26">
        <v>30.0</v>
      </c>
      <c r="K2509" s="26">
        <v>14.0</v>
      </c>
      <c r="N2509" s="26" t="s">
        <v>683</v>
      </c>
    </row>
    <row r="2510">
      <c r="A2510" s="25">
        <v>43372.566408831015</v>
      </c>
      <c r="B2510" s="26" t="s">
        <v>119</v>
      </c>
      <c r="C2510" s="26" t="s">
        <v>1782</v>
      </c>
      <c r="D2510" s="26" t="s">
        <v>1783</v>
      </c>
      <c r="E2510" s="26">
        <v>152.0</v>
      </c>
      <c r="F2510" s="26" t="s">
        <v>735</v>
      </c>
      <c r="G2510" s="26">
        <v>10.0</v>
      </c>
      <c r="H2510" s="26">
        <v>2.0</v>
      </c>
      <c r="N2510" s="26" t="s">
        <v>708</v>
      </c>
    </row>
    <row r="2511">
      <c r="A2511" s="25">
        <v>43372.56788675926</v>
      </c>
      <c r="B2511" s="26" t="s">
        <v>119</v>
      </c>
      <c r="C2511" s="26">
        <v>9.0</v>
      </c>
      <c r="D2511" s="26" t="s">
        <v>41</v>
      </c>
      <c r="E2511" s="26">
        <v>403.0</v>
      </c>
      <c r="F2511" s="26" t="s">
        <v>86</v>
      </c>
      <c r="G2511" s="26">
        <v>15.0</v>
      </c>
      <c r="H2511" s="26">
        <v>3.0</v>
      </c>
      <c r="I2511" s="26">
        <v>203.0</v>
      </c>
      <c r="J2511" s="26">
        <v>159.0</v>
      </c>
      <c r="K2511" s="26">
        <v>41.0</v>
      </c>
      <c r="N2511" s="26" t="s">
        <v>685</v>
      </c>
    </row>
    <row r="2512">
      <c r="A2512" s="25">
        <v>43372.571638865746</v>
      </c>
      <c r="B2512" s="26" t="s">
        <v>119</v>
      </c>
      <c r="C2512" s="26" t="s">
        <v>897</v>
      </c>
      <c r="D2512" s="26" t="s">
        <v>31</v>
      </c>
      <c r="E2512" s="26">
        <v>372.0</v>
      </c>
      <c r="F2512" s="26" t="s">
        <v>1784</v>
      </c>
      <c r="G2512" s="26">
        <v>11.0</v>
      </c>
      <c r="H2512" s="26">
        <v>7.0</v>
      </c>
      <c r="I2512" s="26">
        <v>210.0</v>
      </c>
      <c r="J2512" s="26">
        <v>120.0</v>
      </c>
      <c r="K2512" s="26">
        <v>42.0</v>
      </c>
      <c r="N2512" s="26" t="s">
        <v>685</v>
      </c>
    </row>
    <row r="2513">
      <c r="A2513" s="25">
        <v>43372.57179232639</v>
      </c>
      <c r="B2513" s="26" t="s">
        <v>40</v>
      </c>
      <c r="C2513" s="26">
        <v>60.0</v>
      </c>
      <c r="D2513" s="26" t="s">
        <v>31</v>
      </c>
      <c r="E2513" s="26">
        <v>130.0</v>
      </c>
      <c r="F2513" s="26" t="s">
        <v>1025</v>
      </c>
      <c r="G2513" s="26">
        <v>1.0</v>
      </c>
      <c r="H2513" s="26">
        <v>1.0</v>
      </c>
      <c r="I2513" s="26">
        <v>115.0</v>
      </c>
      <c r="J2513" s="26">
        <v>5.0</v>
      </c>
      <c r="K2513" s="26">
        <v>10.0</v>
      </c>
      <c r="N2513" s="26" t="s">
        <v>696</v>
      </c>
    </row>
    <row r="2514">
      <c r="A2514" s="25">
        <v>43372.57373069444</v>
      </c>
      <c r="B2514" s="26" t="s">
        <v>29</v>
      </c>
      <c r="C2514" s="26" t="s">
        <v>160</v>
      </c>
      <c r="D2514" s="26" t="s">
        <v>31</v>
      </c>
      <c r="E2514" s="26">
        <v>237.0</v>
      </c>
      <c r="F2514" s="26" t="s">
        <v>63</v>
      </c>
      <c r="G2514" s="26">
        <v>5.0</v>
      </c>
      <c r="H2514" s="26">
        <v>5.0</v>
      </c>
      <c r="I2514" s="26">
        <v>160.0</v>
      </c>
      <c r="J2514" s="26">
        <v>22.0</v>
      </c>
      <c r="K2514" s="26">
        <v>55.0</v>
      </c>
      <c r="N2514" s="26" t="s">
        <v>683</v>
      </c>
    </row>
    <row r="2515">
      <c r="A2515" s="25">
        <v>43372.580772939815</v>
      </c>
      <c r="B2515" s="26" t="s">
        <v>105</v>
      </c>
      <c r="C2515" s="26" t="s">
        <v>1785</v>
      </c>
      <c r="D2515" s="26" t="s">
        <v>27</v>
      </c>
      <c r="E2515" s="26">
        <v>200.0</v>
      </c>
      <c r="F2515" s="26" t="s">
        <v>63</v>
      </c>
      <c r="G2515" s="26">
        <v>7.0</v>
      </c>
      <c r="H2515" s="26">
        <v>1.0</v>
      </c>
      <c r="I2515" s="26">
        <v>150.0</v>
      </c>
      <c r="J2515" s="26">
        <v>20.0</v>
      </c>
      <c r="K2515" s="26">
        <v>30.0</v>
      </c>
      <c r="N2515" s="26" t="s">
        <v>1043</v>
      </c>
    </row>
    <row r="2516">
      <c r="A2516" s="25">
        <v>43372.58347054398</v>
      </c>
      <c r="B2516" s="26" t="s">
        <v>33</v>
      </c>
      <c r="C2516" s="26" t="s">
        <v>43</v>
      </c>
      <c r="D2516" s="26" t="s">
        <v>31</v>
      </c>
      <c r="E2516" s="26">
        <v>174.0</v>
      </c>
      <c r="F2516" s="26" t="s">
        <v>35</v>
      </c>
      <c r="G2516" s="26">
        <v>2.0</v>
      </c>
      <c r="H2516" s="26">
        <v>3.0</v>
      </c>
      <c r="I2516" s="26">
        <v>130.0</v>
      </c>
      <c r="J2516" s="26">
        <v>8.0</v>
      </c>
      <c r="N2516" s="26" t="s">
        <v>685</v>
      </c>
    </row>
    <row r="2517">
      <c r="A2517" s="25">
        <v>43372.584298553236</v>
      </c>
      <c r="B2517" s="26" t="s">
        <v>40</v>
      </c>
      <c r="C2517" s="26">
        <v>64.0</v>
      </c>
      <c r="D2517" s="26" t="s">
        <v>27</v>
      </c>
      <c r="E2517" s="26">
        <v>174.0</v>
      </c>
      <c r="F2517" s="26" t="s">
        <v>75</v>
      </c>
      <c r="G2517" s="26">
        <v>17.0</v>
      </c>
      <c r="H2517" s="26">
        <v>14.0</v>
      </c>
      <c r="N2517" s="26" t="s">
        <v>685</v>
      </c>
    </row>
    <row r="2518">
      <c r="A2518" s="25">
        <v>43372.60475479167</v>
      </c>
      <c r="B2518" s="26" t="s">
        <v>119</v>
      </c>
      <c r="C2518" s="26" t="s">
        <v>120</v>
      </c>
      <c r="D2518" s="26" t="s">
        <v>31</v>
      </c>
      <c r="E2518" s="26">
        <v>280.0</v>
      </c>
      <c r="F2518" s="26" t="s">
        <v>32</v>
      </c>
      <c r="G2518" s="26">
        <v>15.0</v>
      </c>
      <c r="H2518" s="26">
        <v>3.0</v>
      </c>
      <c r="I2518" s="26">
        <v>195.0</v>
      </c>
      <c r="J2518" s="26">
        <v>55.0</v>
      </c>
      <c r="K2518" s="26">
        <v>30.0</v>
      </c>
      <c r="N2518" s="26" t="s">
        <v>704</v>
      </c>
    </row>
    <row r="2519">
      <c r="A2519" s="25">
        <v>43372.61326229166</v>
      </c>
      <c r="B2519" s="26" t="s">
        <v>80</v>
      </c>
      <c r="C2519" s="26" t="s">
        <v>73</v>
      </c>
      <c r="D2519" s="26" t="s">
        <v>31</v>
      </c>
      <c r="E2519" s="26">
        <v>220.0</v>
      </c>
      <c r="F2519" s="26" t="s">
        <v>63</v>
      </c>
      <c r="G2519" s="26">
        <v>5.0</v>
      </c>
      <c r="H2519" s="26">
        <v>2.5</v>
      </c>
      <c r="N2519" s="26" t="s">
        <v>685</v>
      </c>
    </row>
    <row r="2520">
      <c r="A2520" s="25">
        <v>43372.6203828588</v>
      </c>
      <c r="B2520" s="26" t="s">
        <v>80</v>
      </c>
      <c r="C2520" s="26" t="s">
        <v>43</v>
      </c>
      <c r="D2520" s="26" t="s">
        <v>31</v>
      </c>
      <c r="E2520" s="26">
        <v>220.0</v>
      </c>
      <c r="F2520" s="26" t="s">
        <v>140</v>
      </c>
      <c r="G2520" s="26">
        <v>14.0</v>
      </c>
      <c r="H2520" s="26">
        <v>0.5</v>
      </c>
      <c r="I2520" s="26">
        <v>148.0</v>
      </c>
      <c r="J2520" s="26">
        <v>50.0</v>
      </c>
      <c r="K2520" s="26">
        <v>22.0</v>
      </c>
      <c r="N2520" s="26" t="s">
        <v>685</v>
      </c>
    </row>
    <row r="2521">
      <c r="A2521" s="25">
        <v>43372.62500005787</v>
      </c>
      <c r="B2521" s="26" t="s">
        <v>80</v>
      </c>
      <c r="C2521" s="26" t="s">
        <v>26</v>
      </c>
      <c r="D2521" s="26" t="s">
        <v>31</v>
      </c>
      <c r="E2521" s="26">
        <v>148.0</v>
      </c>
      <c r="F2521" s="26" t="s">
        <v>63</v>
      </c>
      <c r="G2521" s="26">
        <v>4.0</v>
      </c>
      <c r="H2521" s="26">
        <v>1.0</v>
      </c>
      <c r="N2521" s="26" t="s">
        <v>859</v>
      </c>
    </row>
    <row r="2522">
      <c r="A2522" s="25">
        <v>43372.638278611106</v>
      </c>
      <c r="B2522" s="26" t="s">
        <v>258</v>
      </c>
      <c r="C2522" s="26" t="s">
        <v>191</v>
      </c>
      <c r="D2522" s="26" t="s">
        <v>711</v>
      </c>
      <c r="E2522" s="26">
        <v>230.0</v>
      </c>
      <c r="F2522" s="26" t="s">
        <v>32</v>
      </c>
      <c r="G2522" s="26">
        <v>2.0</v>
      </c>
      <c r="H2522" s="26">
        <v>1.0</v>
      </c>
      <c r="N2522" s="26" t="s">
        <v>1786</v>
      </c>
    </row>
    <row r="2523">
      <c r="A2523" s="25">
        <v>43372.649694155094</v>
      </c>
      <c r="B2523" s="26" t="s">
        <v>33</v>
      </c>
      <c r="C2523" s="26">
        <v>6.0</v>
      </c>
      <c r="D2523" s="26" t="s">
        <v>27</v>
      </c>
      <c r="E2523" s="26">
        <v>175.0</v>
      </c>
      <c r="F2523" s="26" t="s">
        <v>35</v>
      </c>
      <c r="G2523" s="26">
        <v>19.0</v>
      </c>
      <c r="H2523" s="26">
        <v>15.0</v>
      </c>
      <c r="I2523" s="26">
        <v>138000.0</v>
      </c>
      <c r="J2523" s="26">
        <v>37000.0</v>
      </c>
      <c r="N2523" s="26" t="s">
        <v>685</v>
      </c>
    </row>
    <row r="2524">
      <c r="A2524" s="25">
        <v>43372.6703596875</v>
      </c>
      <c r="B2524" s="26" t="s">
        <v>80</v>
      </c>
      <c r="C2524" s="26" t="s">
        <v>26</v>
      </c>
      <c r="D2524" s="26" t="s">
        <v>31</v>
      </c>
      <c r="E2524" s="26">
        <v>176.0</v>
      </c>
      <c r="F2524" s="26" t="s">
        <v>51</v>
      </c>
      <c r="G2524" s="26">
        <v>1.0</v>
      </c>
      <c r="H2524" s="26">
        <v>0.0</v>
      </c>
      <c r="I2524" s="26">
        <v>125.0</v>
      </c>
      <c r="J2524" s="26">
        <v>32.0</v>
      </c>
      <c r="K2524" s="26">
        <v>18.0</v>
      </c>
      <c r="N2524" s="26" t="s">
        <v>699</v>
      </c>
    </row>
    <row r="2525">
      <c r="A2525" s="25">
        <v>43372.68102293981</v>
      </c>
      <c r="B2525" s="26" t="s">
        <v>119</v>
      </c>
      <c r="C2525" s="26" t="s">
        <v>484</v>
      </c>
      <c r="D2525" s="26" t="s">
        <v>31</v>
      </c>
      <c r="E2525" s="26">
        <v>180.0</v>
      </c>
      <c r="F2525" s="26" t="s">
        <v>32</v>
      </c>
      <c r="G2525" s="26">
        <v>4.0</v>
      </c>
      <c r="H2525" s="26">
        <v>4.0</v>
      </c>
      <c r="I2525" s="26">
        <v>147.0</v>
      </c>
      <c r="N2525" s="26" t="s">
        <v>683</v>
      </c>
    </row>
    <row r="2526">
      <c r="A2526" s="25">
        <v>43372.69673768518</v>
      </c>
      <c r="B2526" s="26" t="s">
        <v>119</v>
      </c>
      <c r="C2526" s="26" t="s">
        <v>120</v>
      </c>
      <c r="D2526" s="26" t="s">
        <v>31</v>
      </c>
      <c r="E2526" s="26">
        <v>245.0</v>
      </c>
      <c r="F2526" s="26" t="s">
        <v>1787</v>
      </c>
      <c r="G2526" s="26">
        <v>20.0</v>
      </c>
      <c r="H2526" s="26">
        <v>2.0</v>
      </c>
      <c r="I2526" s="26">
        <v>190.0</v>
      </c>
      <c r="J2526" s="26">
        <v>30.0</v>
      </c>
      <c r="K2526" s="26">
        <v>25.0</v>
      </c>
      <c r="N2526" s="26" t="s">
        <v>685</v>
      </c>
    </row>
    <row r="2527">
      <c r="A2527" s="25">
        <v>43372.70071040509</v>
      </c>
      <c r="B2527" s="26" t="s">
        <v>119</v>
      </c>
      <c r="C2527" s="26">
        <v>9.0</v>
      </c>
      <c r="D2527" s="26" t="s">
        <v>41</v>
      </c>
      <c r="E2527" s="26">
        <v>270.0</v>
      </c>
      <c r="F2527" s="26" t="s">
        <v>32</v>
      </c>
      <c r="G2527" s="26">
        <v>15.0</v>
      </c>
      <c r="H2527" s="26">
        <v>8.0</v>
      </c>
      <c r="N2527" s="26" t="s">
        <v>683</v>
      </c>
    </row>
    <row r="2528">
      <c r="A2528" s="25">
        <v>43372.71668164352</v>
      </c>
      <c r="B2528" s="26" t="s">
        <v>119</v>
      </c>
      <c r="C2528" s="26" t="s">
        <v>897</v>
      </c>
      <c r="D2528" s="26" t="s">
        <v>31</v>
      </c>
      <c r="E2528" s="26">
        <v>390.0</v>
      </c>
      <c r="F2528" s="26" t="s">
        <v>63</v>
      </c>
      <c r="G2528" s="26">
        <v>20.0</v>
      </c>
      <c r="H2528" s="26">
        <v>2.5</v>
      </c>
      <c r="I2528" s="26">
        <v>210.0</v>
      </c>
      <c r="J2528" s="26">
        <v>140.0</v>
      </c>
      <c r="K2528" s="26">
        <v>42.0</v>
      </c>
      <c r="N2528" s="26" t="s">
        <v>685</v>
      </c>
    </row>
    <row r="2529">
      <c r="A2529" s="25">
        <v>43372.77247765046</v>
      </c>
      <c r="B2529" s="26" t="s">
        <v>119</v>
      </c>
      <c r="C2529" s="26" t="s">
        <v>120</v>
      </c>
      <c r="D2529" s="26" t="s">
        <v>31</v>
      </c>
      <c r="E2529" s="26">
        <v>240.0</v>
      </c>
      <c r="F2529" s="26" t="s">
        <v>32</v>
      </c>
      <c r="G2529" s="26">
        <v>6.0</v>
      </c>
      <c r="H2529" s="26">
        <v>2.0</v>
      </c>
      <c r="I2529" s="26">
        <v>181.0</v>
      </c>
      <c r="J2529" s="26">
        <v>26.0</v>
      </c>
      <c r="K2529" s="26">
        <v>27.0</v>
      </c>
      <c r="N2529" s="26" t="s">
        <v>708</v>
      </c>
    </row>
    <row r="2530">
      <c r="A2530" s="25">
        <v>43372.772620868054</v>
      </c>
      <c r="B2530" s="26" t="s">
        <v>119</v>
      </c>
      <c r="C2530" s="26" t="s">
        <v>484</v>
      </c>
      <c r="D2530" s="26" t="s">
        <v>31</v>
      </c>
      <c r="E2530" s="26">
        <v>202.0</v>
      </c>
      <c r="F2530" s="26" t="s">
        <v>32</v>
      </c>
      <c r="G2530" s="26">
        <v>5.0</v>
      </c>
      <c r="H2530" s="26">
        <v>1.0</v>
      </c>
      <c r="I2530" s="26">
        <v>155.0</v>
      </c>
      <c r="J2530" s="26">
        <v>32.0</v>
      </c>
      <c r="K2530" s="26">
        <v>15.0</v>
      </c>
      <c r="N2530" s="26" t="s">
        <v>683</v>
      </c>
    </row>
    <row r="2531">
      <c r="A2531" s="25">
        <v>43372.78945085648</v>
      </c>
      <c r="B2531" s="26" t="s">
        <v>1788</v>
      </c>
      <c r="C2531" s="26" t="s">
        <v>372</v>
      </c>
      <c r="D2531" s="26" t="s">
        <v>1789</v>
      </c>
      <c r="E2531" s="26">
        <v>228.0</v>
      </c>
      <c r="F2531" s="26" t="s">
        <v>453</v>
      </c>
      <c r="G2531" s="26">
        <v>12.0</v>
      </c>
      <c r="H2531" s="26">
        <v>1.0</v>
      </c>
      <c r="I2531" s="26">
        <v>155.0</v>
      </c>
      <c r="J2531" s="26">
        <v>50.0</v>
      </c>
      <c r="K2531" s="26">
        <v>23.0</v>
      </c>
      <c r="N2531" s="26" t="s">
        <v>708</v>
      </c>
    </row>
    <row r="2532">
      <c r="A2532" s="25">
        <v>43372.81420965277</v>
      </c>
      <c r="B2532" s="26" t="s">
        <v>426</v>
      </c>
      <c r="C2532" s="26" t="s">
        <v>427</v>
      </c>
      <c r="D2532" s="26" t="s">
        <v>31</v>
      </c>
      <c r="E2532" s="26">
        <v>170.0</v>
      </c>
      <c r="F2532" s="26" t="s">
        <v>1579</v>
      </c>
      <c r="G2532" s="26">
        <v>2.0</v>
      </c>
      <c r="H2532" s="26">
        <v>2.0</v>
      </c>
      <c r="I2532" s="26">
        <v>102.0</v>
      </c>
      <c r="J2532" s="26">
        <v>10.0</v>
      </c>
      <c r="K2532" s="26">
        <v>58.0</v>
      </c>
      <c r="N2532" s="26" t="s">
        <v>696</v>
      </c>
    </row>
    <row r="2533">
      <c r="A2533" s="25">
        <v>43372.85627059027</v>
      </c>
      <c r="B2533" s="26" t="s">
        <v>33</v>
      </c>
      <c r="C2533" s="26" t="s">
        <v>43</v>
      </c>
      <c r="D2533" s="26" t="s">
        <v>31</v>
      </c>
      <c r="E2533" s="26">
        <v>170.0</v>
      </c>
      <c r="F2533" s="26" t="s">
        <v>35</v>
      </c>
      <c r="G2533" s="26">
        <v>5.0</v>
      </c>
      <c r="H2533" s="26">
        <v>2.0</v>
      </c>
      <c r="N2533" s="26" t="s">
        <v>685</v>
      </c>
    </row>
    <row r="2534">
      <c r="A2534" s="25">
        <v>43372.892314467594</v>
      </c>
      <c r="B2534" s="26" t="s">
        <v>40</v>
      </c>
      <c r="C2534" s="26">
        <v>61.0</v>
      </c>
      <c r="D2534" s="26" t="s">
        <v>31</v>
      </c>
      <c r="E2534" s="26">
        <v>185.0</v>
      </c>
      <c r="F2534" s="26" t="s">
        <v>75</v>
      </c>
      <c r="G2534" s="26">
        <v>3.0</v>
      </c>
      <c r="H2534" s="26">
        <v>1.0</v>
      </c>
      <c r="I2534" s="26">
        <v>135.0</v>
      </c>
      <c r="J2534" s="26">
        <v>40.0</v>
      </c>
      <c r="K2534" s="26">
        <v>10.0</v>
      </c>
      <c r="N2534" s="26" t="s">
        <v>1790</v>
      </c>
    </row>
    <row r="2535">
      <c r="A2535" s="25">
        <v>43373.01257791667</v>
      </c>
      <c r="B2535" s="26" t="s">
        <v>33</v>
      </c>
      <c r="C2535" s="26" t="s">
        <v>43</v>
      </c>
      <c r="D2535" s="26" t="s">
        <v>31</v>
      </c>
      <c r="E2535" s="26">
        <v>212.0</v>
      </c>
      <c r="F2535" s="26" t="s">
        <v>35</v>
      </c>
      <c r="G2535" s="26">
        <v>1.0</v>
      </c>
      <c r="H2535" s="26">
        <v>1.0</v>
      </c>
      <c r="N2535" s="26" t="s">
        <v>704</v>
      </c>
    </row>
    <row r="2536">
      <c r="A2536" s="25">
        <v>43373.07012145834</v>
      </c>
      <c r="B2536" s="26" t="s">
        <v>119</v>
      </c>
      <c r="C2536" s="26" t="s">
        <v>494</v>
      </c>
      <c r="D2536" s="26" t="s">
        <v>31</v>
      </c>
      <c r="E2536" s="26">
        <v>245.0</v>
      </c>
      <c r="F2536" s="26" t="s">
        <v>32</v>
      </c>
      <c r="G2536" s="26">
        <v>6.0</v>
      </c>
      <c r="H2536" s="26">
        <v>2.0</v>
      </c>
      <c r="I2536" s="26">
        <v>170.0</v>
      </c>
      <c r="J2536" s="26">
        <v>50.0</v>
      </c>
      <c r="K2536" s="26">
        <v>25.0</v>
      </c>
      <c r="N2536" s="26" t="s">
        <v>683</v>
      </c>
    </row>
    <row r="2537">
      <c r="A2537" s="25">
        <v>43373.161218587964</v>
      </c>
      <c r="B2537" s="26" t="s">
        <v>119</v>
      </c>
      <c r="C2537" s="26" t="s">
        <v>1791</v>
      </c>
      <c r="D2537" s="26" t="s">
        <v>31</v>
      </c>
      <c r="E2537" s="26">
        <v>165.0</v>
      </c>
      <c r="F2537" s="26" t="s">
        <v>32</v>
      </c>
      <c r="G2537" s="26">
        <v>0.0</v>
      </c>
      <c r="H2537" s="26">
        <v>0.0</v>
      </c>
      <c r="I2537" s="26">
        <v>130.0</v>
      </c>
      <c r="J2537" s="26">
        <v>22.0</v>
      </c>
      <c r="K2537" s="26">
        <v>13.0</v>
      </c>
      <c r="N2537" s="26" t="s">
        <v>685</v>
      </c>
    </row>
    <row r="2538">
      <c r="A2538" s="25">
        <v>43373.406378784726</v>
      </c>
      <c r="B2538" s="26" t="s">
        <v>119</v>
      </c>
      <c r="C2538" s="26" t="s">
        <v>120</v>
      </c>
      <c r="D2538" s="26" t="s">
        <v>31</v>
      </c>
      <c r="E2538" s="26">
        <v>230.0</v>
      </c>
      <c r="F2538" s="26" t="s">
        <v>32</v>
      </c>
      <c r="G2538" s="26">
        <v>7.0</v>
      </c>
      <c r="H2538" s="26">
        <v>3.0</v>
      </c>
      <c r="I2538" s="26">
        <v>182.0</v>
      </c>
      <c r="J2538" s="26">
        <v>30.0</v>
      </c>
      <c r="K2538" s="26">
        <v>27.0</v>
      </c>
      <c r="N2538" s="26" t="s">
        <v>715</v>
      </c>
    </row>
    <row r="2539">
      <c r="A2539" s="25">
        <v>43373.40910736111</v>
      </c>
      <c r="B2539" s="26" t="s">
        <v>33</v>
      </c>
      <c r="C2539" s="26" t="s">
        <v>62</v>
      </c>
      <c r="D2539" s="26" t="s">
        <v>27</v>
      </c>
      <c r="E2539" s="26">
        <v>300.0</v>
      </c>
      <c r="F2539" s="26" t="s">
        <v>35</v>
      </c>
      <c r="G2539" s="26">
        <v>20.0</v>
      </c>
      <c r="H2539" s="26">
        <v>4.0</v>
      </c>
      <c r="N2539" s="26" t="s">
        <v>1792</v>
      </c>
    </row>
    <row r="2540">
      <c r="A2540" s="25">
        <v>43373.53505122685</v>
      </c>
      <c r="B2540" s="26" t="s">
        <v>40</v>
      </c>
      <c r="C2540" s="26">
        <v>61.0</v>
      </c>
      <c r="D2540" s="26" t="s">
        <v>1793</v>
      </c>
      <c r="E2540" s="26">
        <v>150.0</v>
      </c>
      <c r="F2540" s="26" t="s">
        <v>1794</v>
      </c>
      <c r="G2540" s="26">
        <v>12.0</v>
      </c>
      <c r="H2540" s="26">
        <v>3.0</v>
      </c>
      <c r="I2540" s="26">
        <v>87.0</v>
      </c>
      <c r="J2540" s="26">
        <v>13.0</v>
      </c>
      <c r="K2540" s="26">
        <v>50.0</v>
      </c>
      <c r="N2540" s="26" t="s">
        <v>1795</v>
      </c>
    </row>
    <row r="2541">
      <c r="A2541" s="25">
        <v>43373.56884511574</v>
      </c>
      <c r="B2541" s="26" t="s">
        <v>80</v>
      </c>
      <c r="C2541" s="26" t="s">
        <v>93</v>
      </c>
      <c r="D2541" s="26" t="s">
        <v>31</v>
      </c>
      <c r="E2541" s="26">
        <v>460.0</v>
      </c>
      <c r="F2541" s="26" t="s">
        <v>1796</v>
      </c>
      <c r="G2541" s="26">
        <v>8.0</v>
      </c>
      <c r="H2541" s="26">
        <v>5.0</v>
      </c>
      <c r="N2541" s="26" t="s">
        <v>691</v>
      </c>
    </row>
    <row r="2542">
      <c r="A2542" s="25">
        <v>43373.57188369213</v>
      </c>
      <c r="B2542" s="26" t="s">
        <v>45</v>
      </c>
      <c r="C2542" s="26" t="s">
        <v>102</v>
      </c>
      <c r="D2542" s="26" t="s">
        <v>31</v>
      </c>
      <c r="E2542" s="26">
        <v>191.0</v>
      </c>
      <c r="F2542" s="26" t="s">
        <v>92</v>
      </c>
      <c r="G2542" s="26">
        <v>2.0</v>
      </c>
      <c r="H2542" s="26">
        <v>2.0</v>
      </c>
      <c r="I2542" s="26">
        <v>115.0</v>
      </c>
      <c r="J2542" s="26">
        <v>71.0</v>
      </c>
      <c r="K2542" s="26">
        <v>5.0</v>
      </c>
      <c r="N2542" s="26" t="s">
        <v>728</v>
      </c>
    </row>
    <row r="2543">
      <c r="A2543" s="25">
        <v>43373.57251297454</v>
      </c>
      <c r="B2543" s="26" t="s">
        <v>45</v>
      </c>
      <c r="C2543" s="26" t="s">
        <v>102</v>
      </c>
      <c r="D2543" s="26" t="s">
        <v>31</v>
      </c>
      <c r="E2543" s="26">
        <v>191.0</v>
      </c>
      <c r="F2543" s="26" t="s">
        <v>104</v>
      </c>
      <c r="G2543" s="26">
        <v>2.0</v>
      </c>
      <c r="H2543" s="26">
        <v>2.0</v>
      </c>
      <c r="I2543" s="26">
        <v>115.0</v>
      </c>
      <c r="J2543" s="26">
        <v>71.0</v>
      </c>
      <c r="K2543" s="26">
        <v>5.0</v>
      </c>
      <c r="N2543" s="26" t="s">
        <v>728</v>
      </c>
    </row>
    <row r="2544">
      <c r="A2544" s="25">
        <v>43373.58106098379</v>
      </c>
      <c r="B2544" s="26" t="s">
        <v>64</v>
      </c>
      <c r="C2544" s="26" t="s">
        <v>1173</v>
      </c>
      <c r="D2544" s="26" t="s">
        <v>31</v>
      </c>
      <c r="E2544" s="26">
        <v>300.0</v>
      </c>
      <c r="F2544" s="26" t="s">
        <v>236</v>
      </c>
      <c r="G2544" s="26">
        <v>10.0</v>
      </c>
      <c r="H2544" s="26">
        <v>6.5</v>
      </c>
      <c r="I2544" s="26">
        <v>195.0</v>
      </c>
      <c r="J2544" s="26">
        <v>60.0</v>
      </c>
      <c r="K2544" s="26">
        <v>45.0</v>
      </c>
      <c r="N2544" s="26" t="s">
        <v>685</v>
      </c>
    </row>
    <row r="2545">
      <c r="A2545" s="25">
        <v>43373.634965289355</v>
      </c>
      <c r="B2545" s="26" t="s">
        <v>33</v>
      </c>
      <c r="C2545" s="26" t="s">
        <v>62</v>
      </c>
      <c r="D2545" s="26" t="s">
        <v>1797</v>
      </c>
      <c r="E2545" s="26">
        <v>216.0</v>
      </c>
      <c r="F2545" s="26" t="s">
        <v>35</v>
      </c>
      <c r="G2545" s="26">
        <v>10.0</v>
      </c>
      <c r="H2545" s="26">
        <v>0.0</v>
      </c>
      <c r="N2545" s="26" t="s">
        <v>726</v>
      </c>
    </row>
    <row r="2546">
      <c r="A2546" s="25">
        <v>43373.63606453704</v>
      </c>
      <c r="B2546" s="26" t="s">
        <v>139</v>
      </c>
      <c r="C2546" s="26" t="s">
        <v>78</v>
      </c>
      <c r="D2546" s="26" t="s">
        <v>31</v>
      </c>
      <c r="E2546" s="26">
        <v>210.0</v>
      </c>
      <c r="F2546" s="26" t="s">
        <v>134</v>
      </c>
      <c r="G2546" s="26">
        <v>7.0</v>
      </c>
      <c r="H2546" s="26">
        <v>5.0</v>
      </c>
      <c r="I2546" s="26">
        <v>170.0</v>
      </c>
      <c r="J2546" s="26">
        <v>15.0</v>
      </c>
      <c r="K2546" s="26">
        <v>25.0</v>
      </c>
      <c r="N2546" s="26" t="s">
        <v>704</v>
      </c>
    </row>
    <row r="2547">
      <c r="A2547" s="25">
        <v>43373.65408721065</v>
      </c>
      <c r="B2547" s="26" t="s">
        <v>146</v>
      </c>
      <c r="C2547" s="26" t="s">
        <v>96</v>
      </c>
      <c r="D2547" s="26" t="s">
        <v>31</v>
      </c>
      <c r="E2547" s="26">
        <v>332.0</v>
      </c>
      <c r="F2547" s="26" t="s">
        <v>51</v>
      </c>
      <c r="G2547" s="26">
        <v>8.0</v>
      </c>
      <c r="H2547" s="26">
        <v>1.0</v>
      </c>
      <c r="I2547" s="26">
        <v>165.0</v>
      </c>
      <c r="J2547" s="26">
        <v>145.0</v>
      </c>
      <c r="K2547" s="26">
        <v>22.0</v>
      </c>
      <c r="N2547" s="26" t="s">
        <v>685</v>
      </c>
    </row>
    <row r="2548">
      <c r="A2548" s="25">
        <v>43373.6655024537</v>
      </c>
      <c r="B2548" s="26" t="s">
        <v>119</v>
      </c>
      <c r="C2548" s="26" t="s">
        <v>749</v>
      </c>
      <c r="D2548" s="26" t="s">
        <v>31</v>
      </c>
      <c r="E2548" s="26">
        <v>176.0</v>
      </c>
      <c r="F2548" s="26" t="s">
        <v>58</v>
      </c>
      <c r="G2548" s="26">
        <v>7.0</v>
      </c>
      <c r="H2548" s="26">
        <v>7.0</v>
      </c>
      <c r="N2548" s="26" t="s">
        <v>683</v>
      </c>
    </row>
    <row r="2549">
      <c r="A2549" s="25">
        <v>43373.71183019676</v>
      </c>
      <c r="B2549" s="26" t="s">
        <v>45</v>
      </c>
      <c r="C2549" s="26" t="s">
        <v>78</v>
      </c>
      <c r="D2549" s="26" t="s">
        <v>1798</v>
      </c>
      <c r="E2549" s="26">
        <v>194.0</v>
      </c>
      <c r="F2549" s="26" t="s">
        <v>550</v>
      </c>
      <c r="G2549" s="26">
        <v>9.0</v>
      </c>
      <c r="H2549" s="26">
        <v>1.0</v>
      </c>
      <c r="I2549" s="26">
        <v>150.0</v>
      </c>
      <c r="J2549" s="26">
        <v>19.0</v>
      </c>
      <c r="K2549" s="26">
        <v>25.0</v>
      </c>
      <c r="N2549" s="26" t="s">
        <v>1799</v>
      </c>
    </row>
    <row r="2550">
      <c r="A2550" s="25">
        <v>43373.72464085648</v>
      </c>
      <c r="B2550" s="26" t="s">
        <v>268</v>
      </c>
      <c r="C2550" s="26" t="s">
        <v>1800</v>
      </c>
      <c r="D2550" s="26" t="s">
        <v>31</v>
      </c>
      <c r="E2550" s="26">
        <v>220.0</v>
      </c>
      <c r="F2550" s="26" t="s">
        <v>238</v>
      </c>
      <c r="G2550" s="26">
        <v>12.0</v>
      </c>
      <c r="H2550" s="26">
        <v>4.0</v>
      </c>
      <c r="I2550" s="26">
        <v>175.0</v>
      </c>
      <c r="J2550" s="26">
        <v>20.0</v>
      </c>
      <c r="K2550" s="26">
        <v>25.0</v>
      </c>
      <c r="N2550" s="26" t="s">
        <v>715</v>
      </c>
    </row>
    <row r="2551">
      <c r="A2551" s="25">
        <v>43373.74233731482</v>
      </c>
      <c r="B2551" s="26" t="s">
        <v>119</v>
      </c>
      <c r="C2551" s="26" t="s">
        <v>1801</v>
      </c>
      <c r="D2551" s="26" t="s">
        <v>1225</v>
      </c>
      <c r="E2551" s="26">
        <v>173.0</v>
      </c>
      <c r="F2551" s="26" t="s">
        <v>72</v>
      </c>
      <c r="G2551" s="26">
        <v>8.0</v>
      </c>
      <c r="H2551" s="26">
        <v>3.0</v>
      </c>
      <c r="N2551" s="26" t="s">
        <v>683</v>
      </c>
    </row>
    <row r="2552">
      <c r="A2552" s="25">
        <v>43373.76294994213</v>
      </c>
      <c r="B2552" s="26" t="s">
        <v>119</v>
      </c>
      <c r="C2552" s="26" t="s">
        <v>897</v>
      </c>
      <c r="D2552" s="26" t="s">
        <v>1802</v>
      </c>
      <c r="E2552" s="26">
        <v>250.0</v>
      </c>
      <c r="F2552" s="26" t="s">
        <v>1803</v>
      </c>
      <c r="G2552" s="26">
        <v>10.0</v>
      </c>
      <c r="H2552" s="26">
        <v>2.0</v>
      </c>
      <c r="I2552" s="26">
        <v>150.0</v>
      </c>
      <c r="J2552" s="26">
        <v>70.0</v>
      </c>
      <c r="K2552" s="26">
        <v>30.0</v>
      </c>
      <c r="N2552" s="26" t="s">
        <v>685</v>
      </c>
    </row>
    <row r="2553">
      <c r="A2553" s="25">
        <v>43373.7668924537</v>
      </c>
      <c r="B2553" s="26" t="s">
        <v>80</v>
      </c>
      <c r="C2553" s="26" t="s">
        <v>26</v>
      </c>
      <c r="D2553" s="26" t="s">
        <v>31</v>
      </c>
      <c r="E2553" s="26">
        <v>158.0</v>
      </c>
      <c r="F2553" s="26" t="s">
        <v>51</v>
      </c>
      <c r="G2553" s="26">
        <v>0.0</v>
      </c>
      <c r="H2553" s="26">
        <v>0.0</v>
      </c>
      <c r="I2553" s="26">
        <v>116.0</v>
      </c>
      <c r="J2553" s="26">
        <v>25.0</v>
      </c>
      <c r="K2553" s="26">
        <v>17.0</v>
      </c>
      <c r="N2553" s="26" t="s">
        <v>685</v>
      </c>
    </row>
    <row r="2554">
      <c r="A2554" s="25">
        <v>43373.77443321759</v>
      </c>
      <c r="B2554" s="26" t="s">
        <v>319</v>
      </c>
      <c r="C2554" s="26">
        <v>9.0</v>
      </c>
      <c r="D2554" s="26" t="s">
        <v>31</v>
      </c>
      <c r="E2554" s="26">
        <v>140.0</v>
      </c>
      <c r="F2554" s="26" t="s">
        <v>1623</v>
      </c>
      <c r="G2554" s="26">
        <v>20.0</v>
      </c>
      <c r="H2554" s="26">
        <v>20.0</v>
      </c>
      <c r="I2554" s="26">
        <v>135.0</v>
      </c>
      <c r="K2554" s="26">
        <v>5.0</v>
      </c>
      <c r="N2554" s="26" t="s">
        <v>728</v>
      </c>
    </row>
    <row r="2555">
      <c r="A2555" s="25">
        <v>43373.80693439815</v>
      </c>
      <c r="B2555" s="26" t="s">
        <v>48</v>
      </c>
      <c r="C2555" s="26" t="s">
        <v>69</v>
      </c>
      <c r="D2555" s="26" t="s">
        <v>31</v>
      </c>
      <c r="E2555" s="26">
        <v>159.0</v>
      </c>
      <c r="F2555" s="26" t="s">
        <v>50</v>
      </c>
      <c r="G2555" s="26">
        <v>0.0</v>
      </c>
      <c r="H2555" s="26">
        <v>0.0</v>
      </c>
      <c r="I2555" s="26">
        <v>115.0</v>
      </c>
      <c r="J2555" s="26">
        <v>38.0</v>
      </c>
      <c r="K2555" s="26">
        <v>6.0</v>
      </c>
      <c r="N2555" s="26" t="s">
        <v>1804</v>
      </c>
    </row>
    <row r="2556">
      <c r="A2556" s="25">
        <v>43373.837607291665</v>
      </c>
      <c r="B2556" s="26" t="s">
        <v>45</v>
      </c>
      <c r="C2556" s="26" t="s">
        <v>116</v>
      </c>
      <c r="D2556" s="26" t="s">
        <v>31</v>
      </c>
      <c r="E2556" s="26">
        <v>400.0</v>
      </c>
      <c r="F2556" s="26" t="s">
        <v>134</v>
      </c>
      <c r="G2556" s="26">
        <v>4.0</v>
      </c>
      <c r="H2556" s="26">
        <v>3.0</v>
      </c>
      <c r="N2556" s="26" t="s">
        <v>691</v>
      </c>
    </row>
    <row r="2557">
      <c r="A2557" s="25">
        <v>43373.85184668981</v>
      </c>
      <c r="B2557" s="26" t="s">
        <v>1805</v>
      </c>
      <c r="C2557" s="26" t="s">
        <v>1806</v>
      </c>
      <c r="D2557" s="26" t="s">
        <v>31</v>
      </c>
      <c r="E2557" s="26">
        <v>290.0</v>
      </c>
      <c r="F2557" s="26" t="s">
        <v>51</v>
      </c>
      <c r="G2557" s="26">
        <v>5.0</v>
      </c>
      <c r="H2557" s="26">
        <v>3.0</v>
      </c>
      <c r="I2557" s="26">
        <v>170.0</v>
      </c>
      <c r="J2557" s="26">
        <v>100.0</v>
      </c>
      <c r="K2557" s="26">
        <v>20.0</v>
      </c>
      <c r="N2557" s="26" t="s">
        <v>691</v>
      </c>
    </row>
    <row r="2558">
      <c r="A2558" s="25">
        <v>43373.85761535879</v>
      </c>
      <c r="B2558" s="26" t="s">
        <v>380</v>
      </c>
      <c r="C2558" s="26" t="s">
        <v>742</v>
      </c>
      <c r="D2558" s="26" t="s">
        <v>31</v>
      </c>
      <c r="E2558" s="26">
        <v>175.0</v>
      </c>
      <c r="F2558" s="26" t="s">
        <v>456</v>
      </c>
      <c r="G2558" s="26">
        <v>2.0</v>
      </c>
      <c r="H2558" s="26">
        <v>0.0</v>
      </c>
      <c r="I2558" s="26">
        <v>145.0</v>
      </c>
      <c r="J2558" s="26">
        <v>28.0</v>
      </c>
      <c r="N2558" s="26" t="s">
        <v>685</v>
      </c>
    </row>
    <row r="2559">
      <c r="A2559" s="25">
        <v>43373.88103680556</v>
      </c>
      <c r="B2559" s="26" t="s">
        <v>80</v>
      </c>
      <c r="C2559" s="26" t="s">
        <v>179</v>
      </c>
      <c r="D2559" s="26" t="s">
        <v>31</v>
      </c>
      <c r="E2559" s="26">
        <v>158.0</v>
      </c>
      <c r="F2559" s="26" t="s">
        <v>1072</v>
      </c>
      <c r="G2559" s="26">
        <v>1.0</v>
      </c>
      <c r="H2559" s="26">
        <v>1.0</v>
      </c>
      <c r="I2559" s="26">
        <v>116.0</v>
      </c>
      <c r="J2559" s="26">
        <v>25.0</v>
      </c>
      <c r="K2559" s="26">
        <v>17.0</v>
      </c>
      <c r="N2559" s="26" t="s">
        <v>683</v>
      </c>
    </row>
    <row r="2560">
      <c r="A2560" s="25">
        <v>43373.93987199074</v>
      </c>
      <c r="B2560" s="26" t="s">
        <v>80</v>
      </c>
      <c r="C2560" s="26" t="s">
        <v>73</v>
      </c>
      <c r="D2560" s="26" t="s">
        <v>27</v>
      </c>
      <c r="E2560" s="26">
        <v>296.0</v>
      </c>
      <c r="F2560" s="26" t="s">
        <v>133</v>
      </c>
      <c r="G2560" s="26">
        <v>5.0</v>
      </c>
      <c r="H2560" s="26">
        <v>1.0</v>
      </c>
      <c r="I2560" s="26">
        <v>141.0</v>
      </c>
      <c r="J2560" s="26">
        <v>120.0</v>
      </c>
      <c r="K2560" s="26">
        <v>25.0</v>
      </c>
      <c r="N2560" s="26" t="s">
        <v>1807</v>
      </c>
    </row>
    <row r="2561">
      <c r="A2561" s="25">
        <v>43373.953295162035</v>
      </c>
      <c r="B2561" s="26" t="s">
        <v>45</v>
      </c>
      <c r="C2561" s="26" t="s">
        <v>102</v>
      </c>
      <c r="D2561" s="26" t="s">
        <v>31</v>
      </c>
      <c r="E2561" s="26">
        <v>215.0</v>
      </c>
      <c r="F2561" s="26" t="s">
        <v>134</v>
      </c>
      <c r="G2561" s="26">
        <v>4.0</v>
      </c>
      <c r="H2561" s="26">
        <v>0.0</v>
      </c>
      <c r="N2561" s="26" t="s">
        <v>685</v>
      </c>
    </row>
    <row r="2562">
      <c r="A2562" s="25">
        <v>43373.98487782407</v>
      </c>
      <c r="B2562" s="26" t="s">
        <v>45</v>
      </c>
      <c r="C2562" s="26" t="s">
        <v>102</v>
      </c>
      <c r="D2562" s="26" t="s">
        <v>31</v>
      </c>
      <c r="E2562" s="26">
        <v>205.0</v>
      </c>
      <c r="F2562" s="26" t="s">
        <v>104</v>
      </c>
      <c r="G2562" s="26">
        <v>10.0</v>
      </c>
      <c r="H2562" s="26">
        <v>1.0</v>
      </c>
      <c r="I2562" s="26">
        <v>150.0</v>
      </c>
      <c r="J2562" s="26">
        <v>40.0</v>
      </c>
      <c r="K2562" s="26">
        <v>15.0</v>
      </c>
      <c r="N2562" s="26" t="s">
        <v>708</v>
      </c>
    </row>
    <row r="2563">
      <c r="A2563" s="25">
        <v>43374.1453796875</v>
      </c>
      <c r="B2563" s="26" t="s">
        <v>33</v>
      </c>
      <c r="C2563" s="26">
        <v>7.0</v>
      </c>
      <c r="D2563" s="26" t="s">
        <v>27</v>
      </c>
      <c r="E2563" s="26">
        <v>326.0</v>
      </c>
      <c r="F2563" s="26" t="s">
        <v>63</v>
      </c>
      <c r="G2563" s="26">
        <v>8.0</v>
      </c>
      <c r="H2563" s="26">
        <v>6.0</v>
      </c>
      <c r="I2563" s="26">
        <v>154.0</v>
      </c>
      <c r="J2563" s="26">
        <v>172.0</v>
      </c>
      <c r="N2563" s="26" t="s">
        <v>683</v>
      </c>
    </row>
    <row r="2564">
      <c r="A2564" s="25">
        <v>43374.237624560184</v>
      </c>
      <c r="B2564" s="26" t="s">
        <v>1808</v>
      </c>
      <c r="C2564" s="26" t="s">
        <v>125</v>
      </c>
      <c r="D2564" s="26" t="s">
        <v>27</v>
      </c>
      <c r="E2564" s="26">
        <v>103.0</v>
      </c>
      <c r="F2564" s="26" t="s">
        <v>94</v>
      </c>
      <c r="G2564" s="26">
        <v>3.0</v>
      </c>
      <c r="H2564" s="26">
        <v>1.0</v>
      </c>
      <c r="I2564" s="26">
        <v>103.0</v>
      </c>
      <c r="N2564" s="26" t="s">
        <v>685</v>
      </c>
    </row>
    <row r="2565">
      <c r="A2565" s="25">
        <v>43374.35175155093</v>
      </c>
      <c r="B2565" s="26" t="s">
        <v>123</v>
      </c>
      <c r="C2565" s="26" t="s">
        <v>1578</v>
      </c>
      <c r="D2565" s="26" t="s">
        <v>41</v>
      </c>
      <c r="E2565" s="26">
        <v>700.0</v>
      </c>
      <c r="F2565" s="26" t="s">
        <v>134</v>
      </c>
      <c r="G2565" s="26">
        <v>10.0</v>
      </c>
      <c r="H2565" s="26">
        <v>6.0</v>
      </c>
      <c r="I2565" s="26">
        <v>300.0</v>
      </c>
      <c r="J2565" s="26">
        <v>300.0</v>
      </c>
      <c r="K2565" s="26">
        <v>100.0</v>
      </c>
      <c r="N2565" s="26" t="s">
        <v>1134</v>
      </c>
    </row>
    <row r="2566">
      <c r="A2566" s="25">
        <v>43374.37530893518</v>
      </c>
      <c r="B2566" s="26" t="s">
        <v>170</v>
      </c>
      <c r="C2566" s="26" t="s">
        <v>424</v>
      </c>
      <c r="D2566" s="26" t="s">
        <v>31</v>
      </c>
      <c r="E2566" s="26">
        <v>108.0</v>
      </c>
      <c r="F2566" s="26" t="s">
        <v>1809</v>
      </c>
      <c r="G2566" s="26">
        <v>3.0</v>
      </c>
      <c r="H2566" s="26">
        <v>3.0</v>
      </c>
      <c r="I2566" s="26">
        <v>98.0</v>
      </c>
      <c r="J2566" s="26">
        <v>3.0</v>
      </c>
      <c r="K2566" s="26">
        <v>7.0</v>
      </c>
      <c r="N2566" s="26" t="s">
        <v>1810</v>
      </c>
    </row>
    <row r="2567">
      <c r="A2567" s="25">
        <v>43374.37545759259</v>
      </c>
      <c r="B2567" s="26" t="s">
        <v>119</v>
      </c>
      <c r="C2567" s="26" t="s">
        <v>494</v>
      </c>
      <c r="D2567" s="26" t="s">
        <v>31</v>
      </c>
      <c r="E2567" s="26">
        <v>212.0</v>
      </c>
      <c r="F2567" s="26" t="s">
        <v>63</v>
      </c>
      <c r="G2567" s="26">
        <v>8.0</v>
      </c>
      <c r="H2567" s="26">
        <v>1.0</v>
      </c>
      <c r="I2567" s="26">
        <v>177.0</v>
      </c>
      <c r="J2567" s="26">
        <v>10.0</v>
      </c>
      <c r="K2567" s="26">
        <v>25.0</v>
      </c>
      <c r="N2567" s="26" t="s">
        <v>685</v>
      </c>
    </row>
    <row r="2568">
      <c r="A2568" s="25">
        <v>43374.426625486114</v>
      </c>
      <c r="B2568" s="26" t="s">
        <v>29</v>
      </c>
      <c r="C2568" s="26" t="s">
        <v>494</v>
      </c>
      <c r="D2568" s="26" t="s">
        <v>31</v>
      </c>
      <c r="E2568" s="26">
        <v>340.0</v>
      </c>
      <c r="F2568" s="26" t="s">
        <v>238</v>
      </c>
      <c r="G2568" s="26">
        <v>15.0</v>
      </c>
      <c r="H2568" s="26">
        <v>2.0</v>
      </c>
      <c r="I2568" s="26">
        <v>220.0</v>
      </c>
      <c r="J2568" s="26">
        <v>75.0</v>
      </c>
      <c r="K2568" s="26">
        <v>45.0</v>
      </c>
      <c r="N2568" s="26" t="s">
        <v>685</v>
      </c>
    </row>
    <row r="2569">
      <c r="A2569" s="25">
        <v>43374.50000703704</v>
      </c>
      <c r="B2569" s="26" t="s">
        <v>36</v>
      </c>
      <c r="C2569" s="26" t="s">
        <v>610</v>
      </c>
      <c r="D2569" s="26" t="s">
        <v>31</v>
      </c>
      <c r="E2569" s="26">
        <v>177.0</v>
      </c>
      <c r="F2569" s="26" t="s">
        <v>58</v>
      </c>
      <c r="G2569" s="26">
        <v>1.0</v>
      </c>
      <c r="H2569" s="26">
        <v>1.0</v>
      </c>
      <c r="I2569" s="26">
        <v>130.0</v>
      </c>
      <c r="J2569" s="26">
        <v>34.0</v>
      </c>
      <c r="K2569" s="26">
        <v>13.0</v>
      </c>
      <c r="L2569" s="26" t="s">
        <v>1811</v>
      </c>
      <c r="N2569" s="26" t="s">
        <v>708</v>
      </c>
    </row>
    <row r="2570">
      <c r="A2570" s="25">
        <v>43374.53558821759</v>
      </c>
      <c r="B2570" s="26" t="s">
        <v>127</v>
      </c>
      <c r="C2570" s="26">
        <v>7.0</v>
      </c>
      <c r="D2570" s="26" t="s">
        <v>27</v>
      </c>
      <c r="E2570" s="26">
        <v>350.0</v>
      </c>
      <c r="F2570" s="26" t="s">
        <v>35</v>
      </c>
      <c r="G2570" s="26">
        <v>7.0</v>
      </c>
      <c r="H2570" s="26">
        <v>5.0</v>
      </c>
      <c r="N2570" s="26" t="s">
        <v>757</v>
      </c>
    </row>
    <row r="2571">
      <c r="A2571" s="25">
        <v>43374.59330978009</v>
      </c>
      <c r="B2571" s="26" t="s">
        <v>170</v>
      </c>
      <c r="C2571" s="26">
        <v>9.0</v>
      </c>
      <c r="D2571" s="26" t="s">
        <v>27</v>
      </c>
      <c r="E2571" s="26">
        <v>240.0</v>
      </c>
      <c r="F2571" s="26" t="s">
        <v>1812</v>
      </c>
      <c r="G2571" s="26">
        <v>16.0</v>
      </c>
      <c r="H2571" s="26">
        <v>16.0</v>
      </c>
      <c r="N2571" s="26" t="s">
        <v>760</v>
      </c>
    </row>
    <row r="2572">
      <c r="A2572" s="25">
        <v>43374.59477834491</v>
      </c>
      <c r="B2572" s="26" t="s">
        <v>170</v>
      </c>
      <c r="C2572" s="26">
        <v>9.0</v>
      </c>
      <c r="D2572" s="26" t="s">
        <v>27</v>
      </c>
      <c r="E2572" s="26">
        <v>240.0</v>
      </c>
      <c r="F2572" s="26" t="s">
        <v>1812</v>
      </c>
      <c r="G2572" s="26">
        <v>16.0</v>
      </c>
      <c r="H2572" s="26">
        <v>16.0</v>
      </c>
      <c r="N2572" s="26" t="s">
        <v>27</v>
      </c>
    </row>
    <row r="2573">
      <c r="A2573" s="25">
        <v>43374.59659717593</v>
      </c>
      <c r="B2573" s="26" t="s">
        <v>48</v>
      </c>
      <c r="C2573" s="26" t="s">
        <v>46</v>
      </c>
      <c r="D2573" s="26" t="s">
        <v>41</v>
      </c>
      <c r="E2573" s="26">
        <v>550.0</v>
      </c>
      <c r="F2573" s="26" t="s">
        <v>35</v>
      </c>
      <c r="G2573" s="26">
        <v>11.0</v>
      </c>
      <c r="H2573" s="26">
        <v>0.0</v>
      </c>
      <c r="I2573" s="26">
        <v>222.0</v>
      </c>
      <c r="J2573" s="26">
        <v>275.0</v>
      </c>
      <c r="K2573" s="26">
        <v>50.0</v>
      </c>
      <c r="N2573" s="26" t="s">
        <v>683</v>
      </c>
    </row>
    <row r="2574">
      <c r="A2574" s="25">
        <v>43374.60627351852</v>
      </c>
      <c r="B2574" s="26" t="s">
        <v>105</v>
      </c>
      <c r="C2574" s="26" t="s">
        <v>37</v>
      </c>
      <c r="D2574" s="26" t="s">
        <v>31</v>
      </c>
      <c r="E2574" s="26">
        <v>215.0</v>
      </c>
      <c r="F2574" s="26" t="s">
        <v>63</v>
      </c>
      <c r="G2574" s="26">
        <v>12.0</v>
      </c>
      <c r="H2574" s="26">
        <v>3.0</v>
      </c>
      <c r="I2574" s="26">
        <v>155.0</v>
      </c>
      <c r="J2574" s="26">
        <v>40.0</v>
      </c>
      <c r="K2574" s="26">
        <v>20.0</v>
      </c>
      <c r="N2574" s="26" t="s">
        <v>699</v>
      </c>
    </row>
    <row r="2575">
      <c r="A2575" s="25">
        <v>43374.625154270834</v>
      </c>
      <c r="B2575" s="26" t="s">
        <v>119</v>
      </c>
      <c r="C2575" s="26" t="s">
        <v>494</v>
      </c>
      <c r="D2575" s="26" t="s">
        <v>31</v>
      </c>
      <c r="E2575" s="26">
        <v>251.0</v>
      </c>
      <c r="F2575" s="26" t="s">
        <v>909</v>
      </c>
      <c r="G2575" s="26">
        <v>4.0</v>
      </c>
      <c r="H2575" s="26">
        <v>1.0</v>
      </c>
      <c r="I2575" s="26">
        <v>195.0</v>
      </c>
      <c r="J2575" s="26">
        <v>30.0</v>
      </c>
      <c r="K2575" s="26">
        <v>30.0</v>
      </c>
      <c r="N2575" s="26" t="s">
        <v>685</v>
      </c>
    </row>
    <row r="2576">
      <c r="A2576" s="25">
        <v>43374.65523616898</v>
      </c>
      <c r="B2576" s="26" t="s">
        <v>40</v>
      </c>
      <c r="C2576" s="26">
        <v>63.0</v>
      </c>
      <c r="D2576" s="26" t="s">
        <v>1813</v>
      </c>
      <c r="E2576" s="26">
        <v>180.0</v>
      </c>
      <c r="F2576" s="26" t="s">
        <v>75</v>
      </c>
      <c r="G2576" s="26">
        <v>6.0</v>
      </c>
      <c r="H2576" s="26">
        <v>2.0</v>
      </c>
      <c r="I2576" s="26">
        <v>152.0</v>
      </c>
      <c r="J2576" s="26">
        <v>10.0</v>
      </c>
      <c r="K2576" s="26">
        <v>15.0</v>
      </c>
      <c r="N2576" s="26" t="s">
        <v>1814</v>
      </c>
    </row>
    <row r="2577">
      <c r="A2577" s="25">
        <v>43374.716753726854</v>
      </c>
      <c r="B2577" s="26" t="s">
        <v>119</v>
      </c>
      <c r="C2577" s="26" t="s">
        <v>494</v>
      </c>
      <c r="D2577" s="26" t="s">
        <v>31</v>
      </c>
      <c r="E2577" s="26">
        <v>180.0</v>
      </c>
      <c r="F2577" s="26" t="s">
        <v>32</v>
      </c>
      <c r="G2577" s="26">
        <v>4.0</v>
      </c>
      <c r="H2577" s="26">
        <v>4.0</v>
      </c>
      <c r="N2577" s="26" t="s">
        <v>683</v>
      </c>
    </row>
    <row r="2578">
      <c r="A2578" s="25">
        <v>43374.72887585648</v>
      </c>
      <c r="B2578" s="26" t="s">
        <v>119</v>
      </c>
      <c r="C2578" s="26" t="s">
        <v>494</v>
      </c>
      <c r="D2578" s="26" t="s">
        <v>31</v>
      </c>
      <c r="E2578" s="26">
        <v>150.0</v>
      </c>
      <c r="F2578" s="26" t="s">
        <v>753</v>
      </c>
      <c r="G2578" s="26">
        <v>4.0</v>
      </c>
      <c r="H2578" s="26">
        <v>4.0</v>
      </c>
      <c r="I2578" s="26">
        <v>120.0</v>
      </c>
      <c r="J2578" s="26">
        <v>8.0</v>
      </c>
      <c r="K2578" s="26">
        <v>20.0</v>
      </c>
      <c r="N2578" s="26" t="s">
        <v>683</v>
      </c>
    </row>
    <row r="2579">
      <c r="A2579" s="25">
        <v>43374.77785270833</v>
      </c>
      <c r="B2579" s="26" t="s">
        <v>371</v>
      </c>
      <c r="C2579" s="26" t="s">
        <v>716</v>
      </c>
      <c r="D2579" s="26" t="s">
        <v>31</v>
      </c>
      <c r="E2579" s="26">
        <v>106.0</v>
      </c>
      <c r="F2579" s="26" t="s">
        <v>459</v>
      </c>
      <c r="G2579" s="26">
        <v>2.0</v>
      </c>
      <c r="H2579" s="26">
        <v>0.0</v>
      </c>
      <c r="I2579" s="26">
        <v>90.0</v>
      </c>
      <c r="J2579" s="26">
        <v>8.0</v>
      </c>
      <c r="K2579" s="26">
        <v>8.0</v>
      </c>
      <c r="N2579" s="26" t="s">
        <v>1815</v>
      </c>
    </row>
    <row r="2580">
      <c r="A2580" s="25">
        <v>43374.77849898148</v>
      </c>
      <c r="B2580" s="26" t="s">
        <v>371</v>
      </c>
      <c r="C2580" s="26" t="s">
        <v>541</v>
      </c>
      <c r="D2580" s="26" t="s">
        <v>31</v>
      </c>
      <c r="E2580" s="26">
        <v>150.0</v>
      </c>
      <c r="F2580" s="26" t="s">
        <v>459</v>
      </c>
      <c r="G2580" s="26">
        <v>4.0</v>
      </c>
      <c r="H2580" s="26">
        <v>0.0</v>
      </c>
      <c r="I2580" s="26">
        <v>120.0</v>
      </c>
      <c r="J2580" s="26">
        <v>10.0</v>
      </c>
      <c r="K2580" s="26">
        <v>20.0</v>
      </c>
      <c r="L2580" s="26" t="s">
        <v>1816</v>
      </c>
      <c r="N2580" s="26" t="s">
        <v>1817</v>
      </c>
    </row>
    <row r="2581">
      <c r="A2581" s="25">
        <v>43374.82281165509</v>
      </c>
      <c r="B2581" s="26" t="s">
        <v>80</v>
      </c>
      <c r="C2581" s="26" t="s">
        <v>179</v>
      </c>
      <c r="D2581" s="26" t="s">
        <v>31</v>
      </c>
      <c r="E2581" s="26">
        <v>190.0</v>
      </c>
      <c r="F2581" s="26" t="s">
        <v>1818</v>
      </c>
      <c r="G2581" s="26">
        <v>0.0</v>
      </c>
      <c r="H2581" s="26">
        <v>0.0</v>
      </c>
      <c r="N2581" s="26" t="s">
        <v>683</v>
      </c>
    </row>
    <row r="2582">
      <c r="A2582" s="25">
        <v>43374.83075824074</v>
      </c>
      <c r="B2582" s="26" t="s">
        <v>263</v>
      </c>
      <c r="C2582" s="26" t="s">
        <v>27</v>
      </c>
      <c r="D2582" s="26" t="s">
        <v>27</v>
      </c>
      <c r="E2582" s="26">
        <v>195.0</v>
      </c>
      <c r="F2582" s="26" t="s">
        <v>175</v>
      </c>
      <c r="G2582" s="26">
        <v>1.0</v>
      </c>
      <c r="H2582" s="26">
        <v>1.0</v>
      </c>
      <c r="N2582" s="26" t="s">
        <v>683</v>
      </c>
    </row>
    <row r="2583">
      <c r="A2583" s="25">
        <v>43374.83963956019</v>
      </c>
      <c r="B2583" s="26" t="s">
        <v>40</v>
      </c>
      <c r="C2583" s="26">
        <v>59.0</v>
      </c>
      <c r="D2583" s="26" t="s">
        <v>31</v>
      </c>
      <c r="E2583" s="26">
        <v>150.0</v>
      </c>
      <c r="F2583" s="26" t="s">
        <v>1819</v>
      </c>
      <c r="G2583" s="26">
        <v>1.0</v>
      </c>
      <c r="H2583" s="26">
        <v>1.0</v>
      </c>
      <c r="I2583" s="26">
        <v>100.0</v>
      </c>
      <c r="J2583" s="26">
        <v>40.0</v>
      </c>
      <c r="K2583" s="26">
        <v>10.0</v>
      </c>
      <c r="N2583" s="26" t="s">
        <v>751</v>
      </c>
    </row>
    <row r="2584">
      <c r="A2584" s="25">
        <v>43374.86095903935</v>
      </c>
      <c r="B2584" s="26" t="s">
        <v>40</v>
      </c>
      <c r="C2584" s="26">
        <v>63.0</v>
      </c>
      <c r="D2584" s="26" t="s">
        <v>1225</v>
      </c>
      <c r="E2584" s="26">
        <v>200.0</v>
      </c>
      <c r="F2584" s="26" t="s">
        <v>63</v>
      </c>
      <c r="G2584" s="26">
        <v>7.0</v>
      </c>
      <c r="H2584" s="26">
        <v>5.5</v>
      </c>
      <c r="I2584" s="26">
        <v>160.0</v>
      </c>
      <c r="J2584" s="26">
        <v>20.0</v>
      </c>
      <c r="K2584" s="26">
        <v>20.0</v>
      </c>
      <c r="N2584" s="26" t="s">
        <v>1820</v>
      </c>
    </row>
    <row r="2585">
      <c r="A2585" s="25">
        <v>43374.944204768515</v>
      </c>
      <c r="B2585" s="26" t="s">
        <v>1821</v>
      </c>
      <c r="C2585" s="26" t="s">
        <v>372</v>
      </c>
      <c r="D2585" s="26" t="s">
        <v>1043</v>
      </c>
      <c r="E2585" s="26">
        <v>171.0</v>
      </c>
      <c r="F2585" s="26" t="s">
        <v>327</v>
      </c>
      <c r="G2585" s="26">
        <v>10.0</v>
      </c>
      <c r="H2585" s="26">
        <v>5.0</v>
      </c>
      <c r="I2585" s="26">
        <v>131.0</v>
      </c>
      <c r="J2585" s="26">
        <v>30.0</v>
      </c>
      <c r="K2585" s="26">
        <v>10.0</v>
      </c>
      <c r="N2585" s="26" t="s">
        <v>1822</v>
      </c>
    </row>
    <row r="2586">
      <c r="A2586" s="25">
        <v>43374.96079923611</v>
      </c>
      <c r="B2586" s="26" t="s">
        <v>119</v>
      </c>
      <c r="C2586" s="26" t="s">
        <v>1578</v>
      </c>
      <c r="D2586" s="26" t="s">
        <v>27</v>
      </c>
      <c r="E2586" s="26">
        <v>310.0</v>
      </c>
      <c r="F2586" s="26" t="s">
        <v>58</v>
      </c>
      <c r="G2586" s="26">
        <v>16.0</v>
      </c>
      <c r="H2586" s="26">
        <v>4.0</v>
      </c>
      <c r="I2586" s="26">
        <v>235.0</v>
      </c>
      <c r="N2586" s="26" t="s">
        <v>683</v>
      </c>
    </row>
    <row r="2587">
      <c r="A2587" s="25">
        <v>43374.99079866898</v>
      </c>
      <c r="B2587" s="26" t="s">
        <v>33</v>
      </c>
      <c r="C2587" s="26" t="s">
        <v>34</v>
      </c>
      <c r="D2587" s="26" t="s">
        <v>41</v>
      </c>
      <c r="E2587" s="26">
        <v>460.0</v>
      </c>
      <c r="F2587" s="26" t="s">
        <v>35</v>
      </c>
      <c r="G2587" s="26">
        <v>15.0</v>
      </c>
      <c r="H2587" s="26">
        <v>4.0</v>
      </c>
      <c r="N2587" s="26" t="s">
        <v>685</v>
      </c>
    </row>
    <row r="2588">
      <c r="A2588" s="25">
        <v>43374.994018067126</v>
      </c>
      <c r="B2588" s="26" t="s">
        <v>80</v>
      </c>
      <c r="C2588" s="26" t="s">
        <v>43</v>
      </c>
      <c r="D2588" s="26" t="s">
        <v>31</v>
      </c>
      <c r="E2588" s="26">
        <v>290.0</v>
      </c>
      <c r="F2588" s="26" t="s">
        <v>51</v>
      </c>
      <c r="G2588" s="26">
        <v>8.0</v>
      </c>
      <c r="H2588" s="26">
        <v>6.0</v>
      </c>
      <c r="N2588" s="26" t="s">
        <v>691</v>
      </c>
    </row>
    <row r="2589">
      <c r="A2589" s="25">
        <v>43375.00404695602</v>
      </c>
      <c r="B2589" s="26" t="s">
        <v>40</v>
      </c>
      <c r="C2589" s="26">
        <v>59.0</v>
      </c>
      <c r="D2589" s="26" t="s">
        <v>31</v>
      </c>
      <c r="E2589" s="26">
        <v>153.0</v>
      </c>
      <c r="F2589" s="26" t="s">
        <v>52</v>
      </c>
      <c r="G2589" s="26">
        <v>0.0</v>
      </c>
      <c r="H2589" s="26">
        <v>0.5</v>
      </c>
      <c r="I2589" s="26">
        <v>111.0</v>
      </c>
      <c r="J2589" s="26">
        <v>30.0</v>
      </c>
      <c r="K2589" s="26">
        <v>12.0</v>
      </c>
      <c r="N2589" s="26" t="s">
        <v>685</v>
      </c>
    </row>
    <row r="2590">
      <c r="A2590" s="25">
        <v>43375.40158550926</v>
      </c>
      <c r="B2590" s="26" t="s">
        <v>40</v>
      </c>
      <c r="C2590" s="26">
        <v>60.0</v>
      </c>
      <c r="D2590" s="26" t="s">
        <v>31</v>
      </c>
      <c r="E2590" s="26">
        <v>157.0</v>
      </c>
      <c r="F2590" s="26" t="s">
        <v>75</v>
      </c>
      <c r="G2590" s="26">
        <v>4.0</v>
      </c>
      <c r="H2590" s="26">
        <v>2.0</v>
      </c>
      <c r="I2590" s="26">
        <v>121.0</v>
      </c>
      <c r="J2590" s="26">
        <v>22.0</v>
      </c>
      <c r="K2590" s="26">
        <v>14.0</v>
      </c>
      <c r="N2590" s="26" t="s">
        <v>683</v>
      </c>
    </row>
    <row r="2591">
      <c r="A2591" s="25">
        <v>43375.40446116898</v>
      </c>
      <c r="B2591" s="26" t="s">
        <v>29</v>
      </c>
      <c r="C2591" s="26" t="s">
        <v>1823</v>
      </c>
      <c r="D2591" s="26" t="s">
        <v>31</v>
      </c>
      <c r="E2591" s="26">
        <v>283.0</v>
      </c>
      <c r="F2591" s="26" t="s">
        <v>238</v>
      </c>
      <c r="G2591" s="26">
        <v>15.0</v>
      </c>
      <c r="H2591" s="26">
        <v>1.0</v>
      </c>
      <c r="I2591" s="26">
        <v>205.0</v>
      </c>
      <c r="J2591" s="26">
        <v>38.0</v>
      </c>
      <c r="K2591" s="26">
        <v>41.0</v>
      </c>
      <c r="N2591" s="26" t="s">
        <v>685</v>
      </c>
    </row>
    <row r="2592">
      <c r="A2592" s="25">
        <v>43375.43212840278</v>
      </c>
      <c r="B2592" s="26" t="s">
        <v>48</v>
      </c>
      <c r="C2592" s="26" t="s">
        <v>69</v>
      </c>
      <c r="D2592" s="26" t="s">
        <v>31</v>
      </c>
      <c r="E2592" s="26">
        <v>176.0</v>
      </c>
      <c r="F2592" s="26" t="s">
        <v>32</v>
      </c>
      <c r="G2592" s="26">
        <v>1.0</v>
      </c>
      <c r="H2592" s="26">
        <v>1.0</v>
      </c>
      <c r="I2592" s="26">
        <v>110.0</v>
      </c>
      <c r="J2592" s="26">
        <v>55.0</v>
      </c>
      <c r="K2592" s="26">
        <v>11.0</v>
      </c>
      <c r="N2592" s="26" t="s">
        <v>683</v>
      </c>
    </row>
    <row r="2593">
      <c r="A2593" s="25">
        <v>43375.438217372684</v>
      </c>
      <c r="B2593" s="26" t="s">
        <v>40</v>
      </c>
      <c r="C2593" s="26">
        <v>60.0</v>
      </c>
      <c r="D2593" s="26" t="s">
        <v>31</v>
      </c>
      <c r="E2593" s="26">
        <v>162.0</v>
      </c>
      <c r="F2593" s="26" t="s">
        <v>75</v>
      </c>
      <c r="G2593" s="26">
        <v>1.0</v>
      </c>
      <c r="H2593" s="26">
        <v>1.0</v>
      </c>
      <c r="N2593" s="26" t="s">
        <v>866</v>
      </c>
    </row>
    <row r="2594">
      <c r="A2594" s="25">
        <v>43375.46083548611</v>
      </c>
      <c r="B2594" s="26" t="s">
        <v>119</v>
      </c>
      <c r="C2594" s="26" t="s">
        <v>1227</v>
      </c>
      <c r="D2594" s="26" t="s">
        <v>1824</v>
      </c>
      <c r="E2594" s="26">
        <v>380.0</v>
      </c>
      <c r="F2594" s="26" t="s">
        <v>32</v>
      </c>
      <c r="G2594" s="26">
        <v>20.0</v>
      </c>
      <c r="H2594" s="26">
        <v>1.0</v>
      </c>
      <c r="I2594" s="26">
        <v>255.0</v>
      </c>
      <c r="J2594" s="26">
        <v>62.0</v>
      </c>
      <c r="K2594" s="26">
        <v>63.0</v>
      </c>
      <c r="N2594" s="26" t="s">
        <v>683</v>
      </c>
    </row>
    <row r="2595">
      <c r="A2595" s="25">
        <v>43375.47174641203</v>
      </c>
      <c r="B2595" s="26" t="s">
        <v>40</v>
      </c>
      <c r="C2595" s="26">
        <v>64.0</v>
      </c>
      <c r="D2595" s="26" t="s">
        <v>31</v>
      </c>
      <c r="E2595" s="26">
        <v>240.0</v>
      </c>
      <c r="F2595" s="26" t="s">
        <v>75</v>
      </c>
      <c r="G2595" s="26">
        <v>10.0</v>
      </c>
      <c r="H2595" s="26">
        <v>10.0</v>
      </c>
      <c r="I2595" s="26">
        <v>180.0</v>
      </c>
      <c r="J2595" s="26">
        <v>29.0</v>
      </c>
      <c r="K2595" s="26">
        <v>31.0</v>
      </c>
      <c r="N2595" s="26" t="s">
        <v>685</v>
      </c>
    </row>
    <row r="2596">
      <c r="A2596" s="25">
        <v>43375.51977452546</v>
      </c>
      <c r="B2596" s="26" t="s">
        <v>33</v>
      </c>
      <c r="C2596" s="26" t="s">
        <v>62</v>
      </c>
      <c r="D2596" s="26" t="s">
        <v>31</v>
      </c>
      <c r="E2596" s="26">
        <v>305.0</v>
      </c>
      <c r="F2596" s="26" t="s">
        <v>161</v>
      </c>
      <c r="G2596" s="26">
        <v>6.0</v>
      </c>
      <c r="H2596" s="26">
        <v>4.0</v>
      </c>
      <c r="I2596" s="26">
        <v>160.0</v>
      </c>
      <c r="J2596" s="26">
        <v>145.0</v>
      </c>
      <c r="N2596" s="26" t="s">
        <v>691</v>
      </c>
    </row>
    <row r="2597">
      <c r="A2597" s="25">
        <v>43375.5501475</v>
      </c>
      <c r="B2597" s="26" t="s">
        <v>48</v>
      </c>
      <c r="C2597" s="26" t="s">
        <v>69</v>
      </c>
      <c r="D2597" s="26" t="s">
        <v>31</v>
      </c>
      <c r="E2597" s="26">
        <v>158.0</v>
      </c>
      <c r="F2597" s="26" t="s">
        <v>415</v>
      </c>
      <c r="G2597" s="26">
        <v>2.0</v>
      </c>
      <c r="H2597" s="26">
        <v>0.0</v>
      </c>
      <c r="I2597" s="26">
        <v>110.0</v>
      </c>
      <c r="J2597" s="26">
        <v>38.0</v>
      </c>
      <c r="K2597" s="26">
        <v>10.0</v>
      </c>
      <c r="N2597" s="26" t="s">
        <v>704</v>
      </c>
    </row>
    <row r="2598">
      <c r="A2598" s="25">
        <v>43375.565024675925</v>
      </c>
      <c r="B2598" s="26" t="s">
        <v>33</v>
      </c>
      <c r="C2598" s="26" t="s">
        <v>43</v>
      </c>
      <c r="D2598" s="26" t="s">
        <v>31</v>
      </c>
      <c r="E2598" s="26">
        <v>220.0</v>
      </c>
      <c r="F2598" s="26" t="s">
        <v>35</v>
      </c>
      <c r="G2598" s="26">
        <v>8.0</v>
      </c>
      <c r="H2598" s="26">
        <v>0.0</v>
      </c>
      <c r="I2598" s="26">
        <v>150.0</v>
      </c>
      <c r="J2598" s="26">
        <v>42.0</v>
      </c>
      <c r="K2598" s="26">
        <v>28.0</v>
      </c>
      <c r="N2598" s="26" t="s">
        <v>685</v>
      </c>
    </row>
    <row r="2599">
      <c r="A2599" s="25">
        <v>43375.60662628472</v>
      </c>
      <c r="B2599" s="26" t="s">
        <v>119</v>
      </c>
      <c r="C2599" s="26" t="s">
        <v>120</v>
      </c>
      <c r="D2599" s="26" t="s">
        <v>1225</v>
      </c>
      <c r="E2599" s="26">
        <v>228.0</v>
      </c>
      <c r="F2599" s="26" t="s">
        <v>32</v>
      </c>
      <c r="G2599" s="26">
        <v>6.0</v>
      </c>
      <c r="H2599" s="26">
        <v>1.0</v>
      </c>
      <c r="I2599" s="26">
        <v>192.0</v>
      </c>
      <c r="N2599" s="26" t="s">
        <v>691</v>
      </c>
    </row>
    <row r="2600">
      <c r="A2600" s="25">
        <v>43375.61639921296</v>
      </c>
      <c r="B2600" s="26" t="s">
        <v>80</v>
      </c>
      <c r="C2600" s="26" t="s">
        <v>43</v>
      </c>
      <c r="D2600" s="26" t="s">
        <v>31</v>
      </c>
      <c r="E2600" s="26">
        <v>280.0</v>
      </c>
      <c r="F2600" s="26" t="s">
        <v>51</v>
      </c>
      <c r="G2600" s="26">
        <v>14.0</v>
      </c>
      <c r="H2600" s="26">
        <v>3.0</v>
      </c>
      <c r="I2600" s="26">
        <v>170.0</v>
      </c>
      <c r="J2600" s="26">
        <v>95.0</v>
      </c>
      <c r="K2600" s="26">
        <v>15.0</v>
      </c>
      <c r="N2600" s="26" t="s">
        <v>685</v>
      </c>
    </row>
    <row r="2601">
      <c r="A2601" s="25">
        <v>43375.637934756945</v>
      </c>
      <c r="B2601" s="26" t="s">
        <v>1825</v>
      </c>
      <c r="C2601" s="26" t="s">
        <v>26</v>
      </c>
      <c r="D2601" s="26" t="s">
        <v>1826</v>
      </c>
      <c r="E2601" s="26">
        <v>120.0</v>
      </c>
      <c r="F2601" s="26" t="s">
        <v>140</v>
      </c>
      <c r="G2601" s="26">
        <v>9.0</v>
      </c>
      <c r="H2601" s="26">
        <v>2.0</v>
      </c>
      <c r="I2601" s="26">
        <v>120.0</v>
      </c>
      <c r="J2601" s="26">
        <v>70.0</v>
      </c>
      <c r="N2601" s="26" t="s">
        <v>1827</v>
      </c>
    </row>
    <row r="2602">
      <c r="A2602" s="25">
        <v>43375.654367361116</v>
      </c>
      <c r="B2602" s="26" t="s">
        <v>1828</v>
      </c>
      <c r="C2602" s="26">
        <v>64.0</v>
      </c>
      <c r="D2602" s="26" t="s">
        <v>31</v>
      </c>
      <c r="E2602" s="26">
        <v>244.0</v>
      </c>
      <c r="F2602" s="26" t="s">
        <v>52</v>
      </c>
      <c r="G2602" s="26">
        <v>6.0</v>
      </c>
      <c r="H2602" s="26">
        <v>6.0</v>
      </c>
      <c r="I2602" s="26">
        <v>178.0</v>
      </c>
      <c r="J2602" s="26">
        <v>27.0</v>
      </c>
      <c r="K2602" s="26">
        <v>39.0</v>
      </c>
      <c r="N2602" s="26" t="s">
        <v>704</v>
      </c>
    </row>
    <row r="2603">
      <c r="A2603" s="25">
        <v>43375.688759745375</v>
      </c>
      <c r="B2603" s="26" t="s">
        <v>48</v>
      </c>
      <c r="C2603" s="26" t="s">
        <v>49</v>
      </c>
      <c r="D2603" s="26" t="s">
        <v>31</v>
      </c>
      <c r="E2603" s="26">
        <v>277.0</v>
      </c>
      <c r="F2603" s="26" t="s">
        <v>415</v>
      </c>
      <c r="G2603" s="26">
        <v>1.0</v>
      </c>
      <c r="H2603" s="26">
        <v>0.0</v>
      </c>
      <c r="I2603" s="26">
        <v>160.0</v>
      </c>
      <c r="J2603" s="26">
        <v>100.0</v>
      </c>
      <c r="K2603" s="26">
        <v>16.0</v>
      </c>
      <c r="N2603" s="26" t="s">
        <v>691</v>
      </c>
    </row>
    <row r="2604">
      <c r="A2604" s="25">
        <v>43375.707676446764</v>
      </c>
      <c r="B2604" s="26" t="s">
        <v>170</v>
      </c>
      <c r="C2604" s="26" t="s">
        <v>1829</v>
      </c>
      <c r="D2604" s="26" t="s">
        <v>1830</v>
      </c>
      <c r="E2604" s="26">
        <v>300.0</v>
      </c>
      <c r="F2604" s="26" t="s">
        <v>1831</v>
      </c>
      <c r="G2604" s="26">
        <v>20.0</v>
      </c>
      <c r="H2604" s="26">
        <v>17.0</v>
      </c>
      <c r="I2604" s="26">
        <v>200.0</v>
      </c>
      <c r="J2604" s="26">
        <v>60.0</v>
      </c>
      <c r="K2604" s="26">
        <v>40.0</v>
      </c>
      <c r="N2604" s="26" t="s">
        <v>757</v>
      </c>
    </row>
    <row r="2605">
      <c r="A2605" s="25">
        <v>43375.73803777777</v>
      </c>
      <c r="B2605" s="26" t="s">
        <v>80</v>
      </c>
      <c r="C2605" s="26">
        <v>4.0</v>
      </c>
      <c r="D2605" s="26" t="s">
        <v>1832</v>
      </c>
      <c r="E2605" s="26">
        <v>425.0</v>
      </c>
      <c r="F2605" s="26" t="s">
        <v>63</v>
      </c>
      <c r="G2605" s="26">
        <v>13.0</v>
      </c>
      <c r="H2605" s="26">
        <v>4.0</v>
      </c>
      <c r="N2605" s="26" t="s">
        <v>691</v>
      </c>
    </row>
    <row r="2606">
      <c r="A2606" s="25">
        <v>43375.82672711805</v>
      </c>
      <c r="B2606" s="26" t="s">
        <v>40</v>
      </c>
      <c r="C2606" s="26">
        <v>59.0</v>
      </c>
      <c r="D2606" s="26" t="s">
        <v>27</v>
      </c>
      <c r="E2606" s="26">
        <v>145.0</v>
      </c>
      <c r="F2606" s="26" t="s">
        <v>75</v>
      </c>
      <c r="G2606" s="26">
        <v>1.0</v>
      </c>
      <c r="H2606" s="26">
        <v>1.0</v>
      </c>
      <c r="I2606" s="26">
        <v>108.0</v>
      </c>
      <c r="J2606" s="26">
        <v>30.0</v>
      </c>
      <c r="K2606" s="26">
        <v>7.0</v>
      </c>
      <c r="N2606" s="26" t="s">
        <v>704</v>
      </c>
    </row>
    <row r="2607">
      <c r="A2607" s="25">
        <v>43375.84169079861</v>
      </c>
      <c r="B2607" s="26" t="s">
        <v>673</v>
      </c>
      <c r="C2607" s="26" t="s">
        <v>737</v>
      </c>
      <c r="D2607" s="26" t="s">
        <v>31</v>
      </c>
      <c r="E2607" s="26">
        <v>214.0</v>
      </c>
      <c r="F2607" s="26" t="s">
        <v>238</v>
      </c>
      <c r="G2607" s="26">
        <v>8.0</v>
      </c>
      <c r="H2607" s="26">
        <v>1.0</v>
      </c>
      <c r="I2607" s="26">
        <v>172.0</v>
      </c>
      <c r="J2607" s="26">
        <v>25.0</v>
      </c>
      <c r="K2607" s="26">
        <v>17.0</v>
      </c>
      <c r="N2607" s="26" t="s">
        <v>704</v>
      </c>
    </row>
    <row r="2608">
      <c r="A2608" s="25">
        <v>43375.8496528588</v>
      </c>
      <c r="B2608" s="26" t="s">
        <v>80</v>
      </c>
      <c r="C2608" s="26" t="s">
        <v>26</v>
      </c>
      <c r="D2608" s="26" t="s">
        <v>31</v>
      </c>
      <c r="E2608" s="26">
        <v>172.0</v>
      </c>
      <c r="F2608" s="26" t="s">
        <v>1013</v>
      </c>
      <c r="G2608" s="26">
        <v>2.0</v>
      </c>
      <c r="H2608" s="26">
        <v>1.0</v>
      </c>
      <c r="N2608" s="26" t="s">
        <v>683</v>
      </c>
    </row>
    <row r="2609">
      <c r="A2609" s="25">
        <v>43375.85178266204</v>
      </c>
      <c r="B2609" s="26" t="s">
        <v>45</v>
      </c>
      <c r="C2609" s="26" t="s">
        <v>116</v>
      </c>
      <c r="D2609" s="26" t="s">
        <v>31</v>
      </c>
      <c r="E2609" s="26">
        <v>247.0</v>
      </c>
      <c r="F2609" s="26" t="s">
        <v>134</v>
      </c>
      <c r="G2609" s="26">
        <v>8.0</v>
      </c>
      <c r="H2609" s="26">
        <v>1.0</v>
      </c>
      <c r="I2609" s="26">
        <v>170.0</v>
      </c>
      <c r="J2609" s="26">
        <v>40.0</v>
      </c>
      <c r="K2609" s="26">
        <v>37.0</v>
      </c>
      <c r="N2609" s="26" t="s">
        <v>704</v>
      </c>
    </row>
    <row r="2610">
      <c r="A2610" s="25">
        <v>43375.87478054398</v>
      </c>
      <c r="B2610" s="26" t="s">
        <v>29</v>
      </c>
      <c r="C2610" s="26" t="s">
        <v>160</v>
      </c>
      <c r="D2610" s="26" t="s">
        <v>31</v>
      </c>
      <c r="E2610" s="26">
        <v>191.0</v>
      </c>
      <c r="F2610" s="26" t="s">
        <v>272</v>
      </c>
      <c r="G2610" s="26">
        <v>2.0</v>
      </c>
      <c r="H2610" s="26">
        <v>0.0</v>
      </c>
      <c r="I2610" s="26">
        <v>160.0</v>
      </c>
      <c r="J2610" s="26">
        <v>15.0</v>
      </c>
      <c r="K2610" s="26">
        <v>16.0</v>
      </c>
      <c r="N2610" s="26" t="s">
        <v>685</v>
      </c>
    </row>
    <row r="2611">
      <c r="A2611" s="25">
        <v>43375.904541689815</v>
      </c>
      <c r="B2611" s="26" t="s">
        <v>268</v>
      </c>
      <c r="C2611" s="26" t="s">
        <v>1287</v>
      </c>
      <c r="D2611" s="26" t="s">
        <v>31</v>
      </c>
      <c r="E2611" s="26">
        <v>252.0</v>
      </c>
      <c r="F2611" s="26" t="s">
        <v>238</v>
      </c>
      <c r="G2611" s="26">
        <v>6.0</v>
      </c>
      <c r="H2611" s="26">
        <v>3.0</v>
      </c>
      <c r="I2611" s="26">
        <v>158.0</v>
      </c>
      <c r="J2611" s="26">
        <v>70.0</v>
      </c>
      <c r="K2611" s="26">
        <v>24.0</v>
      </c>
      <c r="N2611" s="26" t="s">
        <v>685</v>
      </c>
    </row>
    <row r="2612">
      <c r="A2612" s="25">
        <v>43375.91203263889</v>
      </c>
      <c r="B2612" s="26" t="s">
        <v>45</v>
      </c>
      <c r="C2612" s="26" t="s">
        <v>102</v>
      </c>
      <c r="D2612" s="26" t="s">
        <v>31</v>
      </c>
      <c r="E2612" s="26">
        <v>215.0</v>
      </c>
      <c r="F2612" s="26" t="s">
        <v>134</v>
      </c>
      <c r="G2612" s="26">
        <v>4.0</v>
      </c>
      <c r="H2612" s="26">
        <v>0.0</v>
      </c>
      <c r="I2612" s="26">
        <v>145.0</v>
      </c>
      <c r="J2612" s="26">
        <v>26.0</v>
      </c>
      <c r="K2612" s="26">
        <v>45.0</v>
      </c>
      <c r="N2612" s="26" t="s">
        <v>685</v>
      </c>
    </row>
    <row r="2613">
      <c r="A2613" s="25">
        <v>43375.95046501157</v>
      </c>
      <c r="B2613" s="26" t="s">
        <v>350</v>
      </c>
      <c r="C2613" s="26" t="s">
        <v>1119</v>
      </c>
      <c r="D2613" s="26" t="s">
        <v>31</v>
      </c>
      <c r="E2613" s="26">
        <v>100.0</v>
      </c>
      <c r="F2613" s="26" t="s">
        <v>1120</v>
      </c>
      <c r="G2613" s="26">
        <v>0.0</v>
      </c>
      <c r="H2613" s="26">
        <v>0.0</v>
      </c>
      <c r="I2613" s="26">
        <v>90000.0</v>
      </c>
      <c r="K2613" s="26">
        <v>10000.0</v>
      </c>
      <c r="N2613" s="26" t="s">
        <v>704</v>
      </c>
    </row>
    <row r="2614">
      <c r="A2614" s="25">
        <v>43375.979019618055</v>
      </c>
      <c r="B2614" s="26" t="s">
        <v>64</v>
      </c>
      <c r="C2614" s="26" t="s">
        <v>206</v>
      </c>
      <c r="D2614" s="26" t="s">
        <v>31</v>
      </c>
      <c r="E2614" s="26">
        <v>150.0</v>
      </c>
      <c r="F2614" s="26" t="s">
        <v>175</v>
      </c>
      <c r="G2614" s="26">
        <v>6.0</v>
      </c>
      <c r="H2614" s="26">
        <v>1.0</v>
      </c>
      <c r="N2614" s="26" t="s">
        <v>715</v>
      </c>
    </row>
    <row r="2615">
      <c r="A2615" s="25">
        <v>43376.03372153935</v>
      </c>
      <c r="B2615" s="26" t="s">
        <v>119</v>
      </c>
      <c r="C2615" s="26" t="s">
        <v>143</v>
      </c>
      <c r="D2615" s="26" t="s">
        <v>31</v>
      </c>
      <c r="E2615" s="26">
        <v>500.0</v>
      </c>
      <c r="F2615" s="26" t="s">
        <v>175</v>
      </c>
      <c r="G2615" s="26">
        <v>6.0</v>
      </c>
      <c r="H2615" s="26">
        <v>2.0</v>
      </c>
      <c r="I2615" s="26">
        <v>250.0</v>
      </c>
      <c r="J2615" s="26">
        <v>200.0</v>
      </c>
      <c r="K2615" s="26">
        <v>50.0</v>
      </c>
      <c r="N2615" s="26" t="s">
        <v>691</v>
      </c>
    </row>
    <row r="2616">
      <c r="A2616" s="25">
        <v>43376.044055289356</v>
      </c>
      <c r="B2616" s="26" t="s">
        <v>119</v>
      </c>
      <c r="C2616" s="26" t="s">
        <v>120</v>
      </c>
      <c r="D2616" s="26" t="s">
        <v>31</v>
      </c>
      <c r="E2616" s="26">
        <v>298.0</v>
      </c>
      <c r="F2616" s="26" t="s">
        <v>32</v>
      </c>
      <c r="G2616" s="26">
        <v>13.0</v>
      </c>
      <c r="H2616" s="26">
        <v>1.0</v>
      </c>
      <c r="I2616" s="26">
        <v>194.0</v>
      </c>
      <c r="J2616" s="26">
        <v>75.0</v>
      </c>
      <c r="K2616" s="26">
        <v>29.0</v>
      </c>
      <c r="N2616" s="26" t="s">
        <v>1833</v>
      </c>
    </row>
    <row r="2617">
      <c r="A2617" s="25">
        <v>43376.08389862269</v>
      </c>
      <c r="B2617" s="26" t="s">
        <v>1744</v>
      </c>
      <c r="C2617" s="26" t="s">
        <v>1834</v>
      </c>
      <c r="D2617" s="26" t="s">
        <v>41</v>
      </c>
      <c r="E2617" s="26">
        <v>170.0</v>
      </c>
      <c r="F2617" s="26" t="s">
        <v>753</v>
      </c>
      <c r="G2617" s="26">
        <v>16.0</v>
      </c>
      <c r="H2617" s="26">
        <v>7.0</v>
      </c>
      <c r="I2617" s="26">
        <v>150.0</v>
      </c>
      <c r="K2617" s="26">
        <v>20.0</v>
      </c>
      <c r="N2617" s="26" t="s">
        <v>683</v>
      </c>
    </row>
    <row r="2618">
      <c r="A2618" s="25">
        <v>43376.28703104166</v>
      </c>
      <c r="B2618" s="26" t="s">
        <v>119</v>
      </c>
      <c r="C2618" s="26">
        <v>7.0</v>
      </c>
      <c r="D2618" s="26" t="s">
        <v>31</v>
      </c>
      <c r="E2618" s="26">
        <v>172.0</v>
      </c>
      <c r="F2618" s="26" t="s">
        <v>1835</v>
      </c>
      <c r="G2618" s="26">
        <v>8.0</v>
      </c>
      <c r="H2618" s="26">
        <v>1.0</v>
      </c>
      <c r="I2618" s="26">
        <v>132.0</v>
      </c>
      <c r="J2618" s="26">
        <v>20.0</v>
      </c>
      <c r="K2618" s="26">
        <v>20.0</v>
      </c>
      <c r="N2618" s="26" t="s">
        <v>683</v>
      </c>
    </row>
    <row r="2619">
      <c r="A2619" s="25">
        <v>43376.39548633102</v>
      </c>
      <c r="B2619" s="26" t="s">
        <v>40</v>
      </c>
      <c r="C2619" s="26">
        <v>59.0</v>
      </c>
      <c r="D2619" s="26" t="s">
        <v>31</v>
      </c>
      <c r="E2619" s="26">
        <v>142.0</v>
      </c>
      <c r="F2619" s="26" t="s">
        <v>75</v>
      </c>
      <c r="G2619" s="26">
        <v>1.0</v>
      </c>
      <c r="H2619" s="26">
        <v>1.0</v>
      </c>
      <c r="I2619" s="26">
        <v>111.0</v>
      </c>
      <c r="J2619" s="26">
        <v>20.0</v>
      </c>
      <c r="K2619" s="26">
        <v>11.0</v>
      </c>
      <c r="N2619" s="26" t="s">
        <v>683</v>
      </c>
    </row>
    <row r="2620">
      <c r="A2620" s="25">
        <v>43376.41605909722</v>
      </c>
      <c r="B2620" s="26" t="s">
        <v>119</v>
      </c>
      <c r="C2620" s="26" t="s">
        <v>120</v>
      </c>
      <c r="D2620" s="26" t="s">
        <v>31</v>
      </c>
      <c r="E2620" s="26">
        <v>215.0</v>
      </c>
      <c r="F2620" s="26" t="s">
        <v>32</v>
      </c>
      <c r="G2620" s="26">
        <v>6.0</v>
      </c>
      <c r="H2620" s="26">
        <v>5.0</v>
      </c>
      <c r="N2620" s="26" t="s">
        <v>704</v>
      </c>
    </row>
    <row r="2621">
      <c r="A2621" s="25">
        <v>43376.49829671296</v>
      </c>
      <c r="B2621" s="26" t="s">
        <v>139</v>
      </c>
      <c r="C2621" s="26" t="s">
        <v>78</v>
      </c>
      <c r="D2621" s="26" t="s">
        <v>31</v>
      </c>
      <c r="E2621" s="26">
        <v>202.0</v>
      </c>
      <c r="F2621" s="26" t="s">
        <v>47</v>
      </c>
      <c r="G2621" s="26">
        <v>8.0</v>
      </c>
      <c r="H2621" s="26">
        <v>4.0</v>
      </c>
      <c r="I2621" s="26">
        <v>167.0</v>
      </c>
      <c r="J2621" s="26">
        <v>12.0</v>
      </c>
      <c r="K2621" s="26">
        <v>15.0</v>
      </c>
      <c r="N2621" s="26" t="s">
        <v>751</v>
      </c>
    </row>
    <row r="2622">
      <c r="A2622" s="25">
        <v>43376.52289298611</v>
      </c>
      <c r="B2622" s="26" t="s">
        <v>40</v>
      </c>
      <c r="C2622" s="26">
        <v>66.0</v>
      </c>
      <c r="D2622" s="26" t="s">
        <v>31</v>
      </c>
      <c r="E2622" s="26">
        <v>303.0</v>
      </c>
      <c r="F2622" s="26" t="s">
        <v>75</v>
      </c>
      <c r="G2622" s="26">
        <v>14.0</v>
      </c>
      <c r="H2622" s="26">
        <v>14.0</v>
      </c>
      <c r="I2622" s="26">
        <v>195.0</v>
      </c>
      <c r="J2622" s="26">
        <v>70.0</v>
      </c>
      <c r="K2622" s="26">
        <v>38.0</v>
      </c>
      <c r="N2622" s="26" t="s">
        <v>685</v>
      </c>
    </row>
    <row r="2623">
      <c r="A2623" s="25">
        <v>43376.53172834491</v>
      </c>
      <c r="B2623" s="26" t="s">
        <v>1836</v>
      </c>
      <c r="C2623" s="26" t="s">
        <v>143</v>
      </c>
      <c r="D2623" s="26" t="s">
        <v>27</v>
      </c>
      <c r="E2623" s="26">
        <v>185.0</v>
      </c>
      <c r="F2623" s="26" t="s">
        <v>32</v>
      </c>
      <c r="G2623" s="26">
        <v>15.0</v>
      </c>
      <c r="H2623" s="26">
        <v>2.0</v>
      </c>
      <c r="N2623" s="26" t="s">
        <v>683</v>
      </c>
    </row>
    <row r="2624">
      <c r="A2624" s="25">
        <v>43376.53750170139</v>
      </c>
      <c r="B2624" s="26" t="s">
        <v>80</v>
      </c>
      <c r="C2624" s="26" t="s">
        <v>179</v>
      </c>
      <c r="D2624" s="26" t="s">
        <v>31</v>
      </c>
      <c r="E2624" s="26">
        <v>143.0</v>
      </c>
      <c r="F2624" s="26" t="s">
        <v>35</v>
      </c>
      <c r="G2624" s="26">
        <v>0.0</v>
      </c>
      <c r="H2624" s="26">
        <v>0.0</v>
      </c>
      <c r="I2624" s="26">
        <v>105.0</v>
      </c>
      <c r="J2624" s="26">
        <v>23.0</v>
      </c>
      <c r="K2624" s="26">
        <v>15.0</v>
      </c>
      <c r="N2624" s="26" t="s">
        <v>683</v>
      </c>
    </row>
    <row r="2625">
      <c r="A2625" s="25">
        <v>43376.53923837963</v>
      </c>
      <c r="B2625" s="26" t="s">
        <v>80</v>
      </c>
      <c r="C2625" s="26" t="s">
        <v>179</v>
      </c>
      <c r="D2625" s="26" t="s">
        <v>31</v>
      </c>
      <c r="E2625" s="26">
        <v>143.0</v>
      </c>
      <c r="F2625" s="26" t="s">
        <v>35</v>
      </c>
      <c r="G2625" s="26">
        <v>0.0</v>
      </c>
      <c r="H2625" s="26">
        <v>0.0</v>
      </c>
      <c r="I2625" s="26">
        <v>105.0</v>
      </c>
      <c r="J2625" s="26">
        <v>23.0</v>
      </c>
      <c r="K2625" s="26">
        <v>15.0</v>
      </c>
      <c r="N2625" s="26" t="s">
        <v>683</v>
      </c>
    </row>
    <row r="2626">
      <c r="A2626" s="25">
        <v>43376.54626112268</v>
      </c>
      <c r="B2626" s="26" t="s">
        <v>33</v>
      </c>
      <c r="C2626" s="26">
        <v>2.0</v>
      </c>
      <c r="D2626" s="26" t="s">
        <v>31</v>
      </c>
      <c r="E2626" s="26">
        <v>184.0</v>
      </c>
      <c r="F2626" s="26" t="s">
        <v>63</v>
      </c>
      <c r="G2626" s="26">
        <v>4.0</v>
      </c>
      <c r="H2626" s="26">
        <v>1.0</v>
      </c>
      <c r="I2626" s="26">
        <v>135.0</v>
      </c>
      <c r="J2626" s="26">
        <v>40.0</v>
      </c>
      <c r="K2626" s="26">
        <v>9.0</v>
      </c>
      <c r="N2626" s="26" t="s">
        <v>683</v>
      </c>
    </row>
    <row r="2627">
      <c r="A2627" s="25">
        <v>43376.59020327547</v>
      </c>
      <c r="B2627" s="26" t="s">
        <v>40</v>
      </c>
      <c r="C2627" s="26">
        <v>66.0</v>
      </c>
      <c r="D2627" s="26" t="s">
        <v>1837</v>
      </c>
      <c r="E2627" s="26">
        <v>309.0</v>
      </c>
      <c r="F2627" s="26" t="s">
        <v>75</v>
      </c>
      <c r="G2627" s="26">
        <v>12.0</v>
      </c>
      <c r="H2627" s="26">
        <v>5.0</v>
      </c>
      <c r="I2627" s="26">
        <v>218.0</v>
      </c>
      <c r="J2627" s="26">
        <v>43.0</v>
      </c>
      <c r="K2627" s="26">
        <v>48.0</v>
      </c>
      <c r="N2627" s="26" t="s">
        <v>1163</v>
      </c>
    </row>
    <row r="2628">
      <c r="A2628" s="25">
        <v>43376.61619917824</v>
      </c>
      <c r="B2628" s="26" t="s">
        <v>45</v>
      </c>
      <c r="C2628" s="26" t="s">
        <v>116</v>
      </c>
      <c r="D2628" s="26" t="s">
        <v>31</v>
      </c>
      <c r="E2628" s="26">
        <v>250.0</v>
      </c>
      <c r="F2628" s="26" t="s">
        <v>104</v>
      </c>
      <c r="G2628" s="26">
        <v>4.0</v>
      </c>
      <c r="H2628" s="26">
        <v>1.0</v>
      </c>
      <c r="N2628" s="26" t="s">
        <v>685</v>
      </c>
    </row>
    <row r="2629">
      <c r="A2629" s="25">
        <v>43376.69462189815</v>
      </c>
      <c r="B2629" s="26" t="s">
        <v>80</v>
      </c>
      <c r="C2629" s="26" t="s">
        <v>179</v>
      </c>
      <c r="D2629" s="26" t="s">
        <v>31</v>
      </c>
      <c r="E2629" s="26">
        <v>212.0</v>
      </c>
      <c r="F2629" s="26" t="s">
        <v>140</v>
      </c>
      <c r="G2629" s="26">
        <v>2.0</v>
      </c>
      <c r="H2629" s="26">
        <v>0.0</v>
      </c>
      <c r="I2629" s="26">
        <v>130.0</v>
      </c>
      <c r="J2629" s="26">
        <v>63.0</v>
      </c>
      <c r="K2629" s="26">
        <v>19.0</v>
      </c>
      <c r="N2629" s="26" t="s">
        <v>685</v>
      </c>
    </row>
    <row r="2630">
      <c r="A2630" s="25">
        <v>43376.76029849537</v>
      </c>
      <c r="B2630" s="26" t="s">
        <v>119</v>
      </c>
      <c r="C2630" s="26" t="s">
        <v>143</v>
      </c>
      <c r="D2630" s="26" t="s">
        <v>41</v>
      </c>
      <c r="E2630" s="26">
        <v>470.0</v>
      </c>
      <c r="F2630" s="26" t="s">
        <v>72</v>
      </c>
      <c r="G2630" s="26">
        <v>20.0</v>
      </c>
      <c r="H2630" s="26">
        <v>2.0</v>
      </c>
      <c r="I2630" s="26">
        <v>270.0</v>
      </c>
      <c r="J2630" s="26">
        <v>150.0</v>
      </c>
      <c r="K2630" s="26">
        <v>50.0</v>
      </c>
      <c r="N2630" s="26" t="s">
        <v>685</v>
      </c>
    </row>
    <row r="2631">
      <c r="A2631" s="25">
        <v>43376.78254172453</v>
      </c>
      <c r="B2631" s="26" t="s">
        <v>124</v>
      </c>
      <c r="C2631" s="26" t="s">
        <v>442</v>
      </c>
      <c r="D2631" s="26" t="s">
        <v>31</v>
      </c>
      <c r="E2631" s="26">
        <v>128.0</v>
      </c>
      <c r="F2631" s="26" t="s">
        <v>459</v>
      </c>
      <c r="G2631" s="26">
        <v>1.0</v>
      </c>
      <c r="H2631" s="26">
        <v>0.0</v>
      </c>
      <c r="I2631" s="26">
        <v>105.0</v>
      </c>
      <c r="J2631" s="26">
        <v>13.0</v>
      </c>
      <c r="K2631" s="26">
        <v>10.0</v>
      </c>
      <c r="L2631" s="26" t="s">
        <v>1838</v>
      </c>
      <c r="N2631" s="26" t="s">
        <v>704</v>
      </c>
    </row>
    <row r="2632">
      <c r="A2632" s="25">
        <v>43376.81020085648</v>
      </c>
      <c r="B2632" s="26" t="s">
        <v>268</v>
      </c>
      <c r="C2632" s="26" t="s">
        <v>1287</v>
      </c>
      <c r="D2632" s="26" t="s">
        <v>31</v>
      </c>
      <c r="E2632" s="26">
        <v>200.0</v>
      </c>
      <c r="F2632" s="26" t="s">
        <v>238</v>
      </c>
      <c r="G2632" s="26">
        <v>5.0</v>
      </c>
      <c r="H2632" s="26">
        <v>3.0</v>
      </c>
      <c r="I2632" s="26">
        <v>135.0</v>
      </c>
      <c r="J2632" s="26">
        <v>45.0</v>
      </c>
      <c r="K2632" s="26">
        <v>20.0</v>
      </c>
      <c r="N2632" s="26" t="s">
        <v>704</v>
      </c>
    </row>
    <row r="2633">
      <c r="A2633" s="25">
        <v>43376.83040048611</v>
      </c>
      <c r="B2633" s="26" t="s">
        <v>40</v>
      </c>
      <c r="C2633" s="26">
        <v>61.0</v>
      </c>
      <c r="D2633" s="26" t="s">
        <v>31</v>
      </c>
      <c r="E2633" s="26">
        <v>195.0</v>
      </c>
      <c r="F2633" s="26" t="s">
        <v>134</v>
      </c>
      <c r="G2633" s="26">
        <v>12.0</v>
      </c>
      <c r="H2633" s="26">
        <v>0.0</v>
      </c>
      <c r="I2633" s="26">
        <v>145.0</v>
      </c>
      <c r="J2633" s="26">
        <v>30.0</v>
      </c>
      <c r="K2633" s="26">
        <v>20.0</v>
      </c>
      <c r="N2633" s="26" t="s">
        <v>1839</v>
      </c>
    </row>
    <row r="2634">
      <c r="A2634" s="25">
        <v>43376.857346122684</v>
      </c>
      <c r="B2634" s="26" t="s">
        <v>119</v>
      </c>
      <c r="C2634" s="26" t="s">
        <v>484</v>
      </c>
      <c r="D2634" s="26" t="s">
        <v>31</v>
      </c>
      <c r="E2634" s="26">
        <v>142.0</v>
      </c>
      <c r="F2634" s="26" t="s">
        <v>32</v>
      </c>
      <c r="G2634" s="26">
        <v>2.0</v>
      </c>
      <c r="H2634" s="26">
        <v>2.0</v>
      </c>
      <c r="N2634" s="26" t="s">
        <v>696</v>
      </c>
    </row>
    <row r="2635">
      <c r="A2635" s="25">
        <v>43376.871906851855</v>
      </c>
      <c r="B2635" s="26" t="s">
        <v>40</v>
      </c>
      <c r="C2635" s="26">
        <v>65.0</v>
      </c>
      <c r="D2635" s="26" t="s">
        <v>31</v>
      </c>
      <c r="E2635" s="26">
        <v>233.0</v>
      </c>
      <c r="F2635" s="26" t="s">
        <v>75</v>
      </c>
      <c r="G2635" s="26">
        <v>14.0</v>
      </c>
      <c r="H2635" s="26">
        <v>14.0</v>
      </c>
      <c r="I2635" s="26">
        <v>183.0</v>
      </c>
      <c r="J2635" s="26">
        <v>25.0</v>
      </c>
      <c r="K2635" s="26">
        <v>25.0</v>
      </c>
      <c r="N2635" s="26" t="s">
        <v>683</v>
      </c>
    </row>
    <row r="2636">
      <c r="A2636" s="25">
        <v>43376.88955876157</v>
      </c>
      <c r="B2636" s="26" t="s">
        <v>33</v>
      </c>
      <c r="C2636" s="26" t="s">
        <v>34</v>
      </c>
      <c r="D2636" s="26" t="s">
        <v>41</v>
      </c>
      <c r="E2636" s="26">
        <v>300.0</v>
      </c>
      <c r="F2636" s="26" t="s">
        <v>35</v>
      </c>
      <c r="G2636" s="26">
        <v>14.0</v>
      </c>
      <c r="H2636" s="26">
        <v>8.0</v>
      </c>
      <c r="I2636" s="26">
        <v>160.0</v>
      </c>
      <c r="J2636" s="26">
        <v>140.0</v>
      </c>
      <c r="N2636" s="26" t="s">
        <v>696</v>
      </c>
    </row>
    <row r="2637">
      <c r="A2637" s="25">
        <v>43376.90191100695</v>
      </c>
      <c r="B2637" s="26" t="s">
        <v>33</v>
      </c>
      <c r="C2637" s="26" t="s">
        <v>43</v>
      </c>
      <c r="D2637" s="26" t="s">
        <v>1225</v>
      </c>
      <c r="E2637" s="26">
        <v>320.0</v>
      </c>
      <c r="F2637" s="26" t="s">
        <v>35</v>
      </c>
      <c r="G2637" s="26">
        <v>7.0</v>
      </c>
      <c r="H2637" s="26">
        <v>3.0</v>
      </c>
      <c r="I2637" s="26">
        <v>105.0</v>
      </c>
      <c r="J2637" s="26">
        <v>215.0</v>
      </c>
      <c r="L2637" s="26" t="s">
        <v>1840</v>
      </c>
      <c r="N2637" s="26" t="s">
        <v>751</v>
      </c>
    </row>
    <row r="2638">
      <c r="A2638" s="25">
        <v>43376.97633542824</v>
      </c>
      <c r="B2638" s="26" t="s">
        <v>1160</v>
      </c>
      <c r="C2638" s="26" t="s">
        <v>915</v>
      </c>
      <c r="D2638" s="26" t="s">
        <v>31</v>
      </c>
      <c r="E2638" s="26">
        <v>160.0</v>
      </c>
      <c r="F2638" s="26" t="s">
        <v>35</v>
      </c>
      <c r="G2638" s="26">
        <v>3.0</v>
      </c>
      <c r="H2638" s="26">
        <v>0.0</v>
      </c>
      <c r="I2638" s="26">
        <v>120.0</v>
      </c>
      <c r="J2638" s="26">
        <v>20.0</v>
      </c>
      <c r="K2638" s="26">
        <v>25.0</v>
      </c>
      <c r="N2638" s="26" t="s">
        <v>683</v>
      </c>
    </row>
    <row r="2639">
      <c r="A2639" s="25">
        <v>43376.98068300926</v>
      </c>
      <c r="B2639" s="26" t="s">
        <v>33</v>
      </c>
      <c r="C2639" s="26" t="s">
        <v>43</v>
      </c>
      <c r="D2639" s="26" t="s">
        <v>31</v>
      </c>
      <c r="E2639" s="26">
        <v>200.0</v>
      </c>
      <c r="F2639" s="26" t="s">
        <v>35</v>
      </c>
      <c r="G2639" s="26">
        <v>2.0</v>
      </c>
      <c r="H2639" s="26">
        <v>2.0</v>
      </c>
      <c r="I2639" s="26">
        <v>130.0</v>
      </c>
      <c r="J2639" s="26">
        <v>70.0</v>
      </c>
      <c r="N2639" s="26" t="s">
        <v>704</v>
      </c>
    </row>
    <row r="2640">
      <c r="A2640" s="25">
        <v>43377.0054294213</v>
      </c>
      <c r="B2640" s="26" t="s">
        <v>40</v>
      </c>
      <c r="C2640" s="26">
        <v>60.0</v>
      </c>
      <c r="D2640" s="26" t="s">
        <v>27</v>
      </c>
      <c r="E2640" s="26">
        <v>168.0</v>
      </c>
      <c r="F2640" s="26" t="s">
        <v>63</v>
      </c>
      <c r="G2640" s="26">
        <v>1.0</v>
      </c>
      <c r="H2640" s="26">
        <v>1.0</v>
      </c>
      <c r="I2640" s="26">
        <v>118.0</v>
      </c>
      <c r="J2640" s="26">
        <v>40.0</v>
      </c>
      <c r="K2640" s="26">
        <v>10.0</v>
      </c>
      <c r="L2640" s="26" t="s">
        <v>1841</v>
      </c>
      <c r="N2640" s="26" t="s">
        <v>1644</v>
      </c>
    </row>
    <row r="2641">
      <c r="A2641" s="25">
        <v>43377.03200506944</v>
      </c>
      <c r="B2641" s="26" t="s">
        <v>204</v>
      </c>
      <c r="C2641" s="26" t="s">
        <v>26</v>
      </c>
      <c r="D2641" s="26" t="s">
        <v>31</v>
      </c>
      <c r="E2641" s="26">
        <v>259.0</v>
      </c>
      <c r="F2641" s="26" t="s">
        <v>32</v>
      </c>
      <c r="G2641" s="26">
        <v>1.0</v>
      </c>
      <c r="H2641" s="26">
        <v>0.0</v>
      </c>
      <c r="I2641" s="26">
        <v>135.0</v>
      </c>
      <c r="J2641" s="26">
        <v>59.0</v>
      </c>
      <c r="K2641" s="26">
        <v>65.0</v>
      </c>
      <c r="L2641" s="27" t="s">
        <v>1842</v>
      </c>
      <c r="N2641" s="26" t="s">
        <v>683</v>
      </c>
    </row>
    <row r="2642">
      <c r="A2642" s="25">
        <v>43377.03228484954</v>
      </c>
      <c r="B2642" s="26" t="s">
        <v>119</v>
      </c>
      <c r="C2642" s="26" t="s">
        <v>484</v>
      </c>
      <c r="D2642" s="26" t="s">
        <v>31</v>
      </c>
      <c r="E2642" s="26">
        <v>202.0</v>
      </c>
      <c r="F2642" s="26" t="s">
        <v>32</v>
      </c>
      <c r="G2642" s="26">
        <v>4.0</v>
      </c>
      <c r="H2642" s="26">
        <v>1.0</v>
      </c>
      <c r="I2642" s="26">
        <v>155.0</v>
      </c>
      <c r="J2642" s="26">
        <v>32.0</v>
      </c>
      <c r="K2642" s="26">
        <v>15.0</v>
      </c>
      <c r="N2642" s="26" t="s">
        <v>704</v>
      </c>
    </row>
    <row r="2643">
      <c r="A2643" s="25">
        <v>43377.033505810185</v>
      </c>
      <c r="B2643" s="26" t="s">
        <v>204</v>
      </c>
      <c r="C2643" s="26" t="s">
        <v>26</v>
      </c>
      <c r="D2643" s="26" t="s">
        <v>31</v>
      </c>
      <c r="E2643" s="26">
        <v>254.0</v>
      </c>
      <c r="F2643" s="26" t="s">
        <v>32</v>
      </c>
      <c r="G2643" s="26">
        <v>1.0</v>
      </c>
      <c r="H2643" s="26">
        <v>0.0</v>
      </c>
      <c r="I2643" s="26">
        <v>130.0</v>
      </c>
      <c r="J2643" s="26">
        <v>65.0</v>
      </c>
      <c r="K2643" s="26">
        <v>59.0</v>
      </c>
      <c r="L2643" s="26" t="s">
        <v>1843</v>
      </c>
      <c r="N2643" s="26" t="s">
        <v>683</v>
      </c>
    </row>
    <row r="2644">
      <c r="A2644" s="25">
        <v>43377.04725819445</v>
      </c>
      <c r="B2644" s="26" t="s">
        <v>1844</v>
      </c>
      <c r="C2644" s="26" t="s">
        <v>1845</v>
      </c>
      <c r="D2644" s="26" t="s">
        <v>1846</v>
      </c>
      <c r="E2644" s="26">
        <v>999.0</v>
      </c>
      <c r="F2644" s="26" t="s">
        <v>1847</v>
      </c>
      <c r="G2644" s="26">
        <v>10.0</v>
      </c>
      <c r="H2644" s="26">
        <v>4.0</v>
      </c>
      <c r="N2644" s="26" t="s">
        <v>757</v>
      </c>
    </row>
    <row r="2645">
      <c r="A2645" s="25">
        <v>43377.047657268515</v>
      </c>
      <c r="B2645" s="26" t="s">
        <v>380</v>
      </c>
      <c r="C2645" s="26" t="s">
        <v>455</v>
      </c>
      <c r="D2645" s="26" t="s">
        <v>27</v>
      </c>
      <c r="E2645" s="26">
        <v>120.0</v>
      </c>
      <c r="F2645" s="26" t="s">
        <v>456</v>
      </c>
      <c r="G2645" s="26">
        <v>3.0</v>
      </c>
      <c r="H2645" s="26">
        <v>1.5</v>
      </c>
      <c r="I2645" s="26">
        <v>120000.0</v>
      </c>
      <c r="J2645" s="26">
        <v>30000.0</v>
      </c>
      <c r="N2645" s="26" t="s">
        <v>683</v>
      </c>
    </row>
    <row r="2646">
      <c r="A2646" s="25">
        <v>43377.17346653935</v>
      </c>
      <c r="B2646" s="26" t="s">
        <v>170</v>
      </c>
      <c r="C2646" s="26" t="s">
        <v>606</v>
      </c>
      <c r="D2646" s="26" t="s">
        <v>1174</v>
      </c>
      <c r="E2646" s="26">
        <v>400.0</v>
      </c>
      <c r="F2646" s="26" t="s">
        <v>453</v>
      </c>
      <c r="G2646" s="26">
        <v>15.0</v>
      </c>
      <c r="H2646" s="26">
        <v>10.0</v>
      </c>
      <c r="N2646" s="26" t="s">
        <v>1815</v>
      </c>
    </row>
    <row r="2647">
      <c r="A2647" s="25">
        <v>43377.17587072917</v>
      </c>
      <c r="B2647" s="26" t="s">
        <v>261</v>
      </c>
      <c r="C2647" s="26" t="s">
        <v>369</v>
      </c>
      <c r="D2647" s="26" t="s">
        <v>1848</v>
      </c>
      <c r="E2647" s="26">
        <v>343.0</v>
      </c>
      <c r="F2647" s="26" t="s">
        <v>236</v>
      </c>
      <c r="G2647" s="26">
        <v>11.0</v>
      </c>
      <c r="H2647" s="26">
        <v>2.0</v>
      </c>
      <c r="I2647" s="26">
        <v>182.0</v>
      </c>
      <c r="J2647" s="26">
        <v>130.0</v>
      </c>
      <c r="K2647" s="26">
        <v>31.0</v>
      </c>
      <c r="N2647" s="26" t="s">
        <v>715</v>
      </c>
    </row>
    <row r="2648">
      <c r="A2648" s="25">
        <v>43377.34517577547</v>
      </c>
      <c r="B2648" s="26" t="s">
        <v>119</v>
      </c>
      <c r="C2648" s="26" t="s">
        <v>494</v>
      </c>
      <c r="D2648" s="26" t="s">
        <v>31</v>
      </c>
      <c r="E2648" s="26">
        <v>205.0</v>
      </c>
      <c r="F2648" s="26" t="s">
        <v>32</v>
      </c>
      <c r="G2648" s="26">
        <v>11.0</v>
      </c>
      <c r="H2648" s="26">
        <v>4.0</v>
      </c>
      <c r="I2648" s="26">
        <v>170.0</v>
      </c>
      <c r="J2648" s="26">
        <v>10.0</v>
      </c>
      <c r="K2648" s="26">
        <v>25.0</v>
      </c>
      <c r="N2648" s="26" t="s">
        <v>708</v>
      </c>
    </row>
    <row r="2649">
      <c r="A2649" s="25">
        <v>43377.35707628472</v>
      </c>
      <c r="B2649" s="26" t="s">
        <v>45</v>
      </c>
      <c r="C2649" s="26" t="s">
        <v>73</v>
      </c>
      <c r="D2649" s="26" t="s">
        <v>31</v>
      </c>
      <c r="E2649" s="26">
        <v>240.0</v>
      </c>
      <c r="F2649" s="26" t="s">
        <v>104</v>
      </c>
      <c r="G2649" s="26">
        <v>5.0</v>
      </c>
      <c r="H2649" s="26">
        <v>0.0</v>
      </c>
      <c r="I2649" s="26">
        <v>160.0</v>
      </c>
      <c r="J2649" s="26">
        <v>40.0</v>
      </c>
      <c r="K2649" s="26">
        <v>40.0</v>
      </c>
      <c r="N2649" s="26" t="s">
        <v>699</v>
      </c>
    </row>
    <row r="2650">
      <c r="A2650" s="25">
        <v>43377.42132486111</v>
      </c>
      <c r="B2650" s="26" t="s">
        <v>170</v>
      </c>
      <c r="C2650" s="26">
        <v>10.0</v>
      </c>
      <c r="D2650" s="26" t="s">
        <v>41</v>
      </c>
      <c r="E2650" s="26">
        <v>339.0</v>
      </c>
      <c r="F2650" s="26" t="s">
        <v>1831</v>
      </c>
      <c r="G2650" s="26">
        <v>20.0</v>
      </c>
      <c r="H2650" s="26">
        <v>7.0</v>
      </c>
      <c r="I2650" s="26">
        <v>201.0</v>
      </c>
      <c r="J2650" s="26">
        <v>38.0</v>
      </c>
      <c r="K2650" s="26">
        <v>100.0</v>
      </c>
      <c r="N2650" s="26" t="s">
        <v>685</v>
      </c>
    </row>
    <row r="2651">
      <c r="A2651" s="25">
        <v>43377.441634456016</v>
      </c>
      <c r="B2651" s="26" t="s">
        <v>40</v>
      </c>
      <c r="C2651" s="26">
        <v>65.0</v>
      </c>
      <c r="D2651" s="26" t="s">
        <v>41</v>
      </c>
      <c r="E2651" s="26">
        <v>300.0</v>
      </c>
      <c r="F2651" s="26" t="s">
        <v>75</v>
      </c>
      <c r="G2651" s="26">
        <v>9.0</v>
      </c>
      <c r="H2651" s="26">
        <v>9.0</v>
      </c>
      <c r="N2651" s="26" t="s">
        <v>685</v>
      </c>
    </row>
    <row r="2652">
      <c r="A2652" s="25">
        <v>43377.51213289352</v>
      </c>
      <c r="B2652" s="26" t="s">
        <v>119</v>
      </c>
      <c r="C2652" s="26" t="s">
        <v>494</v>
      </c>
      <c r="D2652" s="26" t="s">
        <v>31</v>
      </c>
      <c r="E2652" s="26">
        <v>220.0</v>
      </c>
      <c r="F2652" s="26" t="s">
        <v>86</v>
      </c>
      <c r="G2652" s="26">
        <v>6.0</v>
      </c>
      <c r="H2652" s="26">
        <v>1.5</v>
      </c>
      <c r="I2652" s="26">
        <v>156.0</v>
      </c>
      <c r="J2652" s="26">
        <v>50.0</v>
      </c>
      <c r="K2652" s="26">
        <v>24.0</v>
      </c>
      <c r="N2652" s="26" t="s">
        <v>685</v>
      </c>
    </row>
    <row r="2653">
      <c r="A2653" s="25">
        <v>43377.54906696759</v>
      </c>
      <c r="B2653" s="26" t="s">
        <v>40</v>
      </c>
      <c r="C2653" s="26" t="s">
        <v>374</v>
      </c>
      <c r="D2653" s="26" t="s">
        <v>711</v>
      </c>
      <c r="E2653" s="26">
        <v>216.0</v>
      </c>
      <c r="F2653" s="26" t="s">
        <v>75</v>
      </c>
      <c r="G2653" s="26">
        <v>15.0</v>
      </c>
      <c r="H2653" s="26">
        <v>1.0</v>
      </c>
      <c r="I2653" s="26">
        <v>166.0</v>
      </c>
      <c r="J2653" s="26">
        <v>25.0</v>
      </c>
      <c r="K2653" s="26">
        <v>25.0</v>
      </c>
      <c r="N2653" s="26" t="s">
        <v>691</v>
      </c>
    </row>
    <row r="2654">
      <c r="A2654" s="25">
        <v>43377.568415173606</v>
      </c>
      <c r="B2654" s="26" t="s">
        <v>371</v>
      </c>
      <c r="C2654" s="26" t="s">
        <v>541</v>
      </c>
      <c r="D2654" s="26" t="s">
        <v>31</v>
      </c>
      <c r="E2654" s="26">
        <v>135.0</v>
      </c>
      <c r="F2654" s="26" t="s">
        <v>459</v>
      </c>
      <c r="G2654" s="26">
        <v>4.0</v>
      </c>
      <c r="H2654" s="26">
        <v>3.0</v>
      </c>
      <c r="I2654" s="26">
        <v>110.0</v>
      </c>
      <c r="J2654" s="26">
        <v>15.0</v>
      </c>
      <c r="K2654" s="26">
        <v>10.0</v>
      </c>
      <c r="N2654" s="26" t="s">
        <v>1849</v>
      </c>
    </row>
    <row r="2655">
      <c r="A2655" s="25">
        <v>43377.580035694446</v>
      </c>
      <c r="B2655" s="26" t="s">
        <v>170</v>
      </c>
      <c r="C2655" s="26" t="s">
        <v>606</v>
      </c>
      <c r="D2655" s="26" t="s">
        <v>1174</v>
      </c>
      <c r="E2655" s="26">
        <v>390.0</v>
      </c>
      <c r="F2655" s="26" t="s">
        <v>453</v>
      </c>
      <c r="G2655" s="26">
        <v>15.0</v>
      </c>
      <c r="H2655" s="26">
        <v>10.0</v>
      </c>
      <c r="N2655" s="26" t="s">
        <v>1815</v>
      </c>
    </row>
    <row r="2656">
      <c r="A2656" s="25">
        <v>43377.59807962963</v>
      </c>
      <c r="B2656" s="26" t="s">
        <v>371</v>
      </c>
      <c r="C2656" s="26" t="s">
        <v>541</v>
      </c>
      <c r="D2656" s="26" t="s">
        <v>31</v>
      </c>
      <c r="E2656" s="26">
        <v>146.0</v>
      </c>
      <c r="F2656" s="26" t="s">
        <v>327</v>
      </c>
      <c r="G2656" s="26">
        <v>5.0</v>
      </c>
      <c r="H2656" s="26">
        <v>4.0</v>
      </c>
      <c r="I2656" s="26">
        <v>116.0</v>
      </c>
      <c r="J2656" s="26">
        <v>20.0</v>
      </c>
      <c r="K2656" s="26">
        <v>10.0</v>
      </c>
      <c r="N2656" s="26" t="s">
        <v>1247</v>
      </c>
    </row>
    <row r="2657">
      <c r="A2657" s="25">
        <v>43377.635298333335</v>
      </c>
      <c r="B2657" s="26" t="s">
        <v>40</v>
      </c>
      <c r="C2657" s="26">
        <v>59.0</v>
      </c>
      <c r="D2657" s="26" t="s">
        <v>31</v>
      </c>
      <c r="E2657" s="26">
        <v>154.0</v>
      </c>
      <c r="F2657" s="26" t="s">
        <v>75</v>
      </c>
      <c r="G2657" s="26">
        <v>1.0</v>
      </c>
      <c r="H2657" s="26">
        <v>0.0</v>
      </c>
      <c r="I2657" s="26">
        <v>117.0</v>
      </c>
      <c r="J2657" s="26">
        <v>22.0</v>
      </c>
      <c r="K2657" s="26">
        <v>15.0</v>
      </c>
      <c r="N2657" s="26" t="s">
        <v>683</v>
      </c>
    </row>
    <row r="2658">
      <c r="A2658" s="25">
        <v>43377.63984834491</v>
      </c>
      <c r="B2658" s="26" t="s">
        <v>371</v>
      </c>
      <c r="C2658" s="26" t="s">
        <v>716</v>
      </c>
      <c r="D2658" s="26" t="s">
        <v>31</v>
      </c>
      <c r="E2658" s="26">
        <v>125.0</v>
      </c>
      <c r="F2658" s="26" t="s">
        <v>238</v>
      </c>
      <c r="G2658" s="26">
        <v>2.0</v>
      </c>
      <c r="H2658" s="26">
        <v>1.0</v>
      </c>
      <c r="I2658" s="26">
        <v>105.0</v>
      </c>
      <c r="J2658" s="26">
        <v>10.0</v>
      </c>
      <c r="K2658" s="26">
        <v>10.0</v>
      </c>
      <c r="N2658" s="26" t="s">
        <v>1247</v>
      </c>
    </row>
    <row r="2659">
      <c r="A2659" s="25">
        <v>43377.702648182865</v>
      </c>
      <c r="B2659" s="26" t="s">
        <v>157</v>
      </c>
      <c r="C2659" s="26" t="s">
        <v>1850</v>
      </c>
      <c r="D2659" s="26" t="s">
        <v>41</v>
      </c>
      <c r="E2659" s="26">
        <v>270.0</v>
      </c>
      <c r="F2659" s="26" t="s">
        <v>1455</v>
      </c>
      <c r="G2659" s="26">
        <v>20.0</v>
      </c>
      <c r="H2659" s="26">
        <v>5.0</v>
      </c>
      <c r="N2659" s="26" t="s">
        <v>685</v>
      </c>
    </row>
    <row r="2660">
      <c r="A2660" s="25">
        <v>43377.70485090278</v>
      </c>
      <c r="B2660" s="26" t="s">
        <v>1851</v>
      </c>
      <c r="C2660" s="26" t="s">
        <v>1852</v>
      </c>
      <c r="D2660" s="26" t="s">
        <v>41</v>
      </c>
      <c r="E2660" s="26">
        <v>187.0</v>
      </c>
      <c r="F2660" s="26" t="s">
        <v>1853</v>
      </c>
      <c r="G2660" s="26">
        <v>5.0</v>
      </c>
      <c r="H2660" s="26">
        <v>3.0</v>
      </c>
      <c r="N2660" s="26" t="s">
        <v>683</v>
      </c>
    </row>
    <row r="2661">
      <c r="A2661" s="25">
        <v>43377.73045137731</v>
      </c>
      <c r="B2661" s="26" t="s">
        <v>40</v>
      </c>
      <c r="C2661" s="26">
        <v>60.0</v>
      </c>
      <c r="D2661" s="26" t="s">
        <v>31</v>
      </c>
      <c r="E2661" s="26">
        <v>162.0</v>
      </c>
      <c r="F2661" s="26" t="s">
        <v>1448</v>
      </c>
      <c r="G2661" s="26">
        <v>2.0</v>
      </c>
      <c r="H2661" s="26">
        <v>0.0</v>
      </c>
      <c r="I2661" s="26">
        <v>122.0</v>
      </c>
      <c r="J2661" s="26">
        <v>25.0</v>
      </c>
      <c r="K2661" s="26">
        <v>15.0</v>
      </c>
      <c r="N2661" s="26" t="s">
        <v>683</v>
      </c>
    </row>
    <row r="2662">
      <c r="A2662" s="25">
        <v>43377.75948732639</v>
      </c>
      <c r="B2662" s="26" t="s">
        <v>48</v>
      </c>
      <c r="C2662" s="26" t="s">
        <v>166</v>
      </c>
      <c r="D2662" s="26" t="s">
        <v>31</v>
      </c>
      <c r="E2662" s="26">
        <v>400.0</v>
      </c>
      <c r="F2662" s="26" t="s">
        <v>50</v>
      </c>
      <c r="G2662" s="26">
        <v>10.0</v>
      </c>
      <c r="H2662" s="26">
        <v>6.0</v>
      </c>
      <c r="N2662" s="26" t="s">
        <v>696</v>
      </c>
    </row>
    <row r="2663">
      <c r="A2663" s="25">
        <v>43377.79605616898</v>
      </c>
      <c r="B2663" s="26" t="s">
        <v>819</v>
      </c>
      <c r="C2663" s="26" t="s">
        <v>73</v>
      </c>
      <c r="D2663" s="26" t="s">
        <v>27</v>
      </c>
      <c r="E2663" s="26">
        <v>140.0</v>
      </c>
      <c r="F2663" s="26" t="s">
        <v>485</v>
      </c>
      <c r="G2663" s="26">
        <v>13.0</v>
      </c>
      <c r="H2663" s="26">
        <v>2.0</v>
      </c>
      <c r="N2663" s="26" t="s">
        <v>1641</v>
      </c>
    </row>
    <row r="2664">
      <c r="A2664" s="25">
        <v>43377.79727469907</v>
      </c>
      <c r="B2664" s="26" t="s">
        <v>33</v>
      </c>
      <c r="C2664" s="26" t="s">
        <v>1061</v>
      </c>
      <c r="D2664" s="26" t="s">
        <v>41</v>
      </c>
      <c r="E2664" s="26">
        <v>350.0</v>
      </c>
      <c r="F2664" s="26" t="s">
        <v>35</v>
      </c>
      <c r="G2664" s="26">
        <v>8.0</v>
      </c>
      <c r="H2664" s="26">
        <v>3.0</v>
      </c>
      <c r="N2664" s="26" t="s">
        <v>683</v>
      </c>
    </row>
    <row r="2665">
      <c r="A2665" s="25">
        <v>43377.84072422454</v>
      </c>
      <c r="B2665" s="26" t="s">
        <v>371</v>
      </c>
      <c r="C2665" s="26" t="s">
        <v>372</v>
      </c>
      <c r="D2665" s="26" t="s">
        <v>31</v>
      </c>
      <c r="E2665" s="26">
        <v>185.0</v>
      </c>
      <c r="F2665" s="26" t="s">
        <v>459</v>
      </c>
      <c r="G2665" s="26">
        <v>8.0</v>
      </c>
      <c r="H2665" s="26">
        <v>7.0</v>
      </c>
      <c r="I2665" s="26">
        <v>136.0</v>
      </c>
      <c r="J2665" s="26">
        <v>35.0</v>
      </c>
      <c r="K2665" s="26">
        <v>14.0</v>
      </c>
      <c r="N2665" s="26" t="s">
        <v>1247</v>
      </c>
    </row>
    <row r="2666">
      <c r="A2666" s="25">
        <v>43377.846219513885</v>
      </c>
      <c r="B2666" s="26" t="s">
        <v>33</v>
      </c>
      <c r="C2666" s="26" t="s">
        <v>76</v>
      </c>
      <c r="D2666" s="26" t="s">
        <v>31</v>
      </c>
      <c r="E2666" s="26">
        <v>178.0</v>
      </c>
      <c r="F2666" s="26" t="s">
        <v>35</v>
      </c>
      <c r="G2666" s="26">
        <v>5.0</v>
      </c>
      <c r="H2666" s="26">
        <v>5.0</v>
      </c>
      <c r="I2666" s="26">
        <v>130.0</v>
      </c>
      <c r="J2666" s="26">
        <v>48.0</v>
      </c>
      <c r="N2666" s="26" t="s">
        <v>704</v>
      </c>
    </row>
    <row r="2667">
      <c r="A2667" s="25">
        <v>43377.9717959838</v>
      </c>
      <c r="B2667" s="26" t="s">
        <v>33</v>
      </c>
      <c r="C2667" s="26" t="s">
        <v>62</v>
      </c>
      <c r="D2667" s="26" t="s">
        <v>711</v>
      </c>
      <c r="E2667" s="26">
        <v>250.0</v>
      </c>
      <c r="F2667" s="26" t="s">
        <v>175</v>
      </c>
      <c r="G2667" s="26">
        <v>8.0</v>
      </c>
      <c r="H2667" s="26">
        <v>5.0</v>
      </c>
      <c r="I2667" s="26">
        <v>160000.0</v>
      </c>
      <c r="J2667" s="26">
        <v>90000.0</v>
      </c>
      <c r="N2667" s="26" t="s">
        <v>1331</v>
      </c>
    </row>
    <row r="2668">
      <c r="A2668" s="25">
        <v>43377.9787087963</v>
      </c>
      <c r="B2668" s="26" t="s">
        <v>36</v>
      </c>
      <c r="C2668" s="26" t="s">
        <v>1366</v>
      </c>
      <c r="D2668" s="26" t="s">
        <v>27</v>
      </c>
      <c r="E2668" s="26">
        <v>730.0</v>
      </c>
      <c r="F2668" s="26" t="s">
        <v>32</v>
      </c>
      <c r="G2668" s="26">
        <v>10.0</v>
      </c>
      <c r="H2668" s="26">
        <v>4.0</v>
      </c>
      <c r="I2668" s="26">
        <v>200.0</v>
      </c>
      <c r="J2668" s="26">
        <v>500.0</v>
      </c>
      <c r="K2668" s="26">
        <v>30.0</v>
      </c>
      <c r="N2668" s="26" t="s">
        <v>1297</v>
      </c>
    </row>
    <row r="2669">
      <c r="A2669" s="25">
        <v>43377.98726895833</v>
      </c>
      <c r="B2669" s="26" t="s">
        <v>45</v>
      </c>
      <c r="C2669" s="26" t="s">
        <v>116</v>
      </c>
      <c r="D2669" s="26" t="s">
        <v>31</v>
      </c>
      <c r="E2669" s="26">
        <v>220.0</v>
      </c>
      <c r="F2669" s="26" t="s">
        <v>134</v>
      </c>
      <c r="G2669" s="26">
        <v>5.0</v>
      </c>
      <c r="H2669" s="26">
        <v>1.0</v>
      </c>
      <c r="I2669" s="26">
        <v>155.0</v>
      </c>
      <c r="J2669" s="26">
        <v>40.0</v>
      </c>
      <c r="K2669" s="26">
        <v>25.0</v>
      </c>
      <c r="N2669" s="26" t="s">
        <v>696</v>
      </c>
    </row>
    <row r="2670">
      <c r="A2670" s="25">
        <v>43377.99914796297</v>
      </c>
      <c r="B2670" s="26" t="s">
        <v>40</v>
      </c>
      <c r="C2670" s="26">
        <v>63.0</v>
      </c>
      <c r="D2670" s="26" t="s">
        <v>31</v>
      </c>
      <c r="E2670" s="26">
        <v>210.0</v>
      </c>
      <c r="F2670" s="26" t="s">
        <v>75</v>
      </c>
      <c r="G2670" s="26">
        <v>10.0</v>
      </c>
      <c r="H2670" s="26">
        <v>9.0</v>
      </c>
      <c r="I2670" s="26">
        <v>160.0</v>
      </c>
      <c r="J2670" s="26">
        <v>28.0</v>
      </c>
      <c r="K2670" s="26">
        <v>22.0</v>
      </c>
      <c r="N2670" s="26" t="s">
        <v>685</v>
      </c>
    </row>
    <row r="2671">
      <c r="A2671" s="25">
        <v>43378.0574491088</v>
      </c>
      <c r="B2671" s="26" t="s">
        <v>45</v>
      </c>
      <c r="C2671" s="26" t="s">
        <v>102</v>
      </c>
      <c r="D2671" s="26" t="s">
        <v>31</v>
      </c>
      <c r="E2671" s="26">
        <v>178.0</v>
      </c>
      <c r="F2671" s="26" t="s">
        <v>104</v>
      </c>
      <c r="G2671" s="26">
        <v>3.0</v>
      </c>
      <c r="H2671" s="26">
        <v>0.0</v>
      </c>
      <c r="N2671" s="26" t="s">
        <v>728</v>
      </c>
    </row>
    <row r="2672">
      <c r="A2672" s="25">
        <v>43378.071323703705</v>
      </c>
      <c r="B2672" s="26" t="s">
        <v>48</v>
      </c>
      <c r="C2672" s="26" t="s">
        <v>166</v>
      </c>
      <c r="D2672" s="26" t="s">
        <v>31</v>
      </c>
      <c r="E2672" s="26">
        <v>506.0</v>
      </c>
      <c r="F2672" s="26" t="s">
        <v>94</v>
      </c>
      <c r="G2672" s="26">
        <v>3.0</v>
      </c>
      <c r="H2672" s="26">
        <v>3.0</v>
      </c>
      <c r="I2672" s="26">
        <v>186.0</v>
      </c>
      <c r="J2672" s="26">
        <v>280.0</v>
      </c>
      <c r="K2672" s="26">
        <v>40.0</v>
      </c>
      <c r="N2672" s="26" t="s">
        <v>683</v>
      </c>
    </row>
    <row r="2673">
      <c r="A2673" s="25">
        <v>43378.10663149305</v>
      </c>
      <c r="B2673" s="26" t="s">
        <v>119</v>
      </c>
      <c r="C2673" s="26" t="s">
        <v>82</v>
      </c>
      <c r="D2673" s="26" t="s">
        <v>31</v>
      </c>
      <c r="E2673" s="26">
        <v>150.0</v>
      </c>
      <c r="F2673" s="26" t="s">
        <v>1835</v>
      </c>
      <c r="G2673" s="26">
        <v>7.0</v>
      </c>
      <c r="H2673" s="26">
        <v>4.0</v>
      </c>
      <c r="I2673" s="26">
        <v>120.0</v>
      </c>
      <c r="K2673" s="26">
        <v>30.0</v>
      </c>
      <c r="N2673" s="26" t="s">
        <v>683</v>
      </c>
    </row>
    <row r="2674">
      <c r="A2674" s="25">
        <v>43378.29202616899</v>
      </c>
      <c r="B2674" s="26" t="s">
        <v>819</v>
      </c>
      <c r="C2674" s="26" t="s">
        <v>141</v>
      </c>
      <c r="D2674" s="26" t="s">
        <v>31</v>
      </c>
      <c r="E2674" s="26">
        <v>147.0</v>
      </c>
      <c r="F2674" s="26" t="s">
        <v>63</v>
      </c>
      <c r="G2674" s="26">
        <v>4.0</v>
      </c>
      <c r="H2674" s="26">
        <v>4.0</v>
      </c>
      <c r="I2674" s="26">
        <v>125.0</v>
      </c>
      <c r="J2674" s="26">
        <v>10.0</v>
      </c>
      <c r="K2674" s="26">
        <v>12.0</v>
      </c>
      <c r="N2674" s="26" t="s">
        <v>683</v>
      </c>
    </row>
    <row r="2675">
      <c r="A2675" s="25">
        <v>43378.434560486116</v>
      </c>
      <c r="B2675" s="26" t="s">
        <v>1854</v>
      </c>
      <c r="C2675" s="26" t="s">
        <v>1413</v>
      </c>
      <c r="D2675" s="26" t="s">
        <v>31</v>
      </c>
      <c r="E2675" s="26">
        <v>115.0</v>
      </c>
      <c r="F2675" s="26" t="s">
        <v>1855</v>
      </c>
      <c r="G2675" s="26">
        <v>3.0</v>
      </c>
      <c r="H2675" s="26">
        <v>2.0</v>
      </c>
      <c r="N2675" s="26" t="s">
        <v>683</v>
      </c>
    </row>
    <row r="2676">
      <c r="A2676" s="25">
        <v>43378.47904196759</v>
      </c>
      <c r="B2676" s="26" t="s">
        <v>188</v>
      </c>
      <c r="C2676" s="26" t="s">
        <v>26</v>
      </c>
      <c r="D2676" s="26" t="s">
        <v>31</v>
      </c>
      <c r="E2676" s="26">
        <v>330.0</v>
      </c>
      <c r="F2676" s="26" t="s">
        <v>32</v>
      </c>
      <c r="G2676" s="26">
        <v>3.0</v>
      </c>
      <c r="H2676" s="26">
        <v>0.0</v>
      </c>
      <c r="I2676" s="26">
        <v>160.0</v>
      </c>
      <c r="J2676" s="26">
        <v>125.0</v>
      </c>
      <c r="K2676" s="26">
        <v>50.0</v>
      </c>
      <c r="L2676" s="26" t="s">
        <v>1856</v>
      </c>
      <c r="N2676" s="26" t="s">
        <v>691</v>
      </c>
    </row>
    <row r="2677">
      <c r="A2677" s="25">
        <v>43378.48073171296</v>
      </c>
      <c r="B2677" s="26" t="s">
        <v>188</v>
      </c>
      <c r="C2677" s="26" t="s">
        <v>26</v>
      </c>
      <c r="D2677" s="26" t="s">
        <v>31</v>
      </c>
      <c r="E2677" s="26">
        <v>330.0</v>
      </c>
      <c r="F2677" s="26" t="s">
        <v>32</v>
      </c>
      <c r="G2677" s="26">
        <v>3.0</v>
      </c>
      <c r="H2677" s="26">
        <v>0.0</v>
      </c>
      <c r="I2677" s="26">
        <v>160.0</v>
      </c>
      <c r="J2677" s="26">
        <v>125.0</v>
      </c>
      <c r="K2677" s="26">
        <v>50.0</v>
      </c>
      <c r="N2677" s="26" t="s">
        <v>691</v>
      </c>
    </row>
    <row r="2678">
      <c r="A2678" s="25">
        <v>43378.61294420139</v>
      </c>
      <c r="B2678" s="26" t="s">
        <v>25</v>
      </c>
      <c r="C2678" s="26" t="s">
        <v>143</v>
      </c>
      <c r="D2678" s="26" t="s">
        <v>1647</v>
      </c>
      <c r="E2678" s="26">
        <v>270.0</v>
      </c>
      <c r="F2678" s="26" t="s">
        <v>28</v>
      </c>
      <c r="G2678" s="26">
        <v>20.0</v>
      </c>
      <c r="H2678" s="26">
        <v>2.0</v>
      </c>
      <c r="N2678" s="26" t="s">
        <v>691</v>
      </c>
    </row>
    <row r="2679">
      <c r="A2679" s="25">
        <v>43378.63636700231</v>
      </c>
      <c r="B2679" s="26" t="s">
        <v>1857</v>
      </c>
      <c r="C2679" s="26" t="s">
        <v>37</v>
      </c>
      <c r="D2679" s="26" t="s">
        <v>1858</v>
      </c>
      <c r="E2679" s="26">
        <v>100.0</v>
      </c>
      <c r="F2679" s="26" t="s">
        <v>485</v>
      </c>
      <c r="G2679" s="26">
        <v>7.0</v>
      </c>
      <c r="H2679" s="26">
        <v>7.0</v>
      </c>
      <c r="N2679" s="26" t="s">
        <v>728</v>
      </c>
    </row>
    <row r="2680">
      <c r="A2680" s="25">
        <v>43378.662543136576</v>
      </c>
      <c r="B2680" s="26" t="s">
        <v>119</v>
      </c>
      <c r="C2680" s="26" t="s">
        <v>82</v>
      </c>
      <c r="D2680" s="26" t="s">
        <v>31</v>
      </c>
      <c r="E2680" s="26">
        <v>185.0</v>
      </c>
      <c r="F2680" s="26" t="s">
        <v>1859</v>
      </c>
      <c r="G2680" s="26">
        <v>7.0</v>
      </c>
      <c r="H2680" s="26">
        <v>3.0</v>
      </c>
      <c r="I2680" s="26">
        <v>160.0</v>
      </c>
      <c r="J2680" s="26">
        <v>15.0</v>
      </c>
      <c r="K2680" s="26">
        <v>10.0</v>
      </c>
      <c r="N2680" s="26" t="s">
        <v>683</v>
      </c>
    </row>
    <row r="2681">
      <c r="A2681" s="25">
        <v>43378.66255328704</v>
      </c>
      <c r="B2681" s="26" t="s">
        <v>119</v>
      </c>
      <c r="C2681" s="26" t="s">
        <v>82</v>
      </c>
      <c r="D2681" s="26" t="s">
        <v>31</v>
      </c>
      <c r="E2681" s="26">
        <v>185.0</v>
      </c>
      <c r="F2681" s="26" t="s">
        <v>1859</v>
      </c>
      <c r="G2681" s="26">
        <v>7.0</v>
      </c>
      <c r="H2681" s="26">
        <v>3.0</v>
      </c>
      <c r="I2681" s="26">
        <v>160.0</v>
      </c>
      <c r="J2681" s="26">
        <v>15.0</v>
      </c>
      <c r="K2681" s="26">
        <v>10.0</v>
      </c>
      <c r="N2681" s="26" t="s">
        <v>683</v>
      </c>
    </row>
    <row r="2682">
      <c r="A2682" s="25">
        <v>43378.67086377315</v>
      </c>
      <c r="B2682" s="26" t="s">
        <v>40</v>
      </c>
      <c r="C2682" s="26">
        <v>64.0</v>
      </c>
      <c r="D2682" s="26" t="s">
        <v>31</v>
      </c>
      <c r="E2682" s="26">
        <v>320.0</v>
      </c>
      <c r="F2682" s="26" t="s">
        <v>75</v>
      </c>
      <c r="G2682" s="26">
        <v>10.0</v>
      </c>
      <c r="H2682" s="26">
        <v>8.0</v>
      </c>
      <c r="I2682" s="26">
        <v>190.0</v>
      </c>
      <c r="J2682" s="26">
        <v>100.0</v>
      </c>
      <c r="K2682" s="26">
        <v>30.0</v>
      </c>
      <c r="N2682" s="26" t="s">
        <v>704</v>
      </c>
    </row>
    <row r="2683">
      <c r="A2683" s="25">
        <v>43378.681265844905</v>
      </c>
      <c r="B2683" s="26" t="s">
        <v>119</v>
      </c>
      <c r="C2683" s="26" t="s">
        <v>484</v>
      </c>
      <c r="D2683" s="26" t="s">
        <v>484</v>
      </c>
      <c r="E2683" s="26">
        <v>200.0</v>
      </c>
      <c r="F2683" s="26" t="s">
        <v>86</v>
      </c>
      <c r="G2683" s="26">
        <v>6.0</v>
      </c>
      <c r="H2683" s="26">
        <v>2.0</v>
      </c>
      <c r="I2683" s="26">
        <v>148.0</v>
      </c>
      <c r="J2683" s="26">
        <v>40.0</v>
      </c>
      <c r="K2683" s="26">
        <v>15.0</v>
      </c>
      <c r="N2683" s="26" t="s">
        <v>685</v>
      </c>
    </row>
    <row r="2684">
      <c r="A2684" s="25">
        <v>43378.80928934028</v>
      </c>
      <c r="B2684" s="26" t="s">
        <v>33</v>
      </c>
      <c r="C2684" s="26" t="s">
        <v>43</v>
      </c>
      <c r="D2684" s="26" t="s">
        <v>31</v>
      </c>
      <c r="E2684" s="26">
        <v>230.0</v>
      </c>
      <c r="F2684" s="26" t="s">
        <v>63</v>
      </c>
      <c r="G2684" s="26">
        <v>5.0</v>
      </c>
      <c r="H2684" s="26">
        <v>1.0</v>
      </c>
      <c r="N2684" s="26" t="s">
        <v>704</v>
      </c>
    </row>
    <row r="2685">
      <c r="A2685" s="25">
        <v>43378.80979907408</v>
      </c>
      <c r="B2685" s="26" t="s">
        <v>345</v>
      </c>
      <c r="C2685" s="26" t="s">
        <v>37</v>
      </c>
      <c r="D2685" s="26" t="s">
        <v>31</v>
      </c>
      <c r="E2685" s="26">
        <v>201.0</v>
      </c>
      <c r="F2685" s="26" t="s">
        <v>1860</v>
      </c>
      <c r="G2685" s="26">
        <v>20.0</v>
      </c>
      <c r="H2685" s="26">
        <v>1.5</v>
      </c>
      <c r="I2685" s="26">
        <v>162.0</v>
      </c>
      <c r="J2685" s="26">
        <v>14.0</v>
      </c>
      <c r="K2685" s="26">
        <v>25.0</v>
      </c>
      <c r="N2685" s="26" t="s">
        <v>708</v>
      </c>
    </row>
    <row r="2686">
      <c r="A2686" s="25">
        <v>43378.86870273148</v>
      </c>
      <c r="B2686" s="26" t="s">
        <v>40</v>
      </c>
      <c r="C2686" s="26">
        <v>67.0</v>
      </c>
      <c r="D2686" s="26" t="s">
        <v>27</v>
      </c>
      <c r="E2686" s="26">
        <v>500.0</v>
      </c>
      <c r="F2686" s="26" t="s">
        <v>1861</v>
      </c>
      <c r="G2686" s="26">
        <v>20.0</v>
      </c>
      <c r="H2686" s="26">
        <v>20.0</v>
      </c>
      <c r="I2686" s="26">
        <v>225.0</v>
      </c>
      <c r="J2686" s="26">
        <v>200.0</v>
      </c>
      <c r="K2686" s="26">
        <v>75.0</v>
      </c>
      <c r="N2686" s="26" t="s">
        <v>708</v>
      </c>
    </row>
    <row r="2687">
      <c r="A2687" s="25">
        <v>43378.88846130787</v>
      </c>
      <c r="B2687" s="26" t="s">
        <v>139</v>
      </c>
      <c r="C2687" s="26" t="s">
        <v>113</v>
      </c>
      <c r="D2687" s="26" t="s">
        <v>31</v>
      </c>
      <c r="E2687" s="26">
        <v>249.0</v>
      </c>
      <c r="F2687" s="26" t="s">
        <v>272</v>
      </c>
      <c r="G2687" s="26">
        <v>8.0</v>
      </c>
      <c r="H2687" s="26">
        <v>2.0</v>
      </c>
      <c r="I2687" s="26">
        <v>199.0</v>
      </c>
      <c r="J2687" s="26">
        <v>20.0</v>
      </c>
      <c r="K2687" s="26">
        <v>30.0</v>
      </c>
      <c r="N2687" s="26" t="s">
        <v>751</v>
      </c>
    </row>
    <row r="2688">
      <c r="A2688" s="25">
        <v>43378.89399305556</v>
      </c>
      <c r="B2688" s="26" t="s">
        <v>1862</v>
      </c>
      <c r="C2688" s="26" t="s">
        <v>514</v>
      </c>
      <c r="D2688" s="26" t="s">
        <v>1225</v>
      </c>
      <c r="E2688" s="26">
        <v>95.0</v>
      </c>
      <c r="F2688" s="26" t="s">
        <v>396</v>
      </c>
      <c r="G2688" s="26">
        <v>6.0</v>
      </c>
      <c r="H2688" s="26">
        <v>4.0</v>
      </c>
      <c r="I2688" s="26">
        <v>95.0</v>
      </c>
      <c r="N2688" s="26" t="s">
        <v>1863</v>
      </c>
    </row>
    <row r="2689">
      <c r="A2689" s="25">
        <v>43378.90950734954</v>
      </c>
      <c r="B2689" s="26" t="s">
        <v>25</v>
      </c>
      <c r="C2689" s="26" t="s">
        <v>462</v>
      </c>
      <c r="D2689" s="26" t="s">
        <v>31</v>
      </c>
      <c r="E2689" s="26">
        <v>325.0</v>
      </c>
      <c r="F2689" s="26" t="s">
        <v>35</v>
      </c>
      <c r="G2689" s="26">
        <v>8.0</v>
      </c>
      <c r="H2689" s="26">
        <v>4.0</v>
      </c>
      <c r="N2689" s="26" t="s">
        <v>685</v>
      </c>
    </row>
    <row r="2690">
      <c r="A2690" s="25">
        <v>43378.909742476855</v>
      </c>
      <c r="B2690" s="26" t="s">
        <v>80</v>
      </c>
      <c r="C2690" s="26" t="s">
        <v>430</v>
      </c>
      <c r="D2690" s="26" t="s">
        <v>31</v>
      </c>
      <c r="E2690" s="26">
        <v>238.0</v>
      </c>
      <c r="F2690" s="26" t="s">
        <v>51</v>
      </c>
      <c r="G2690" s="26">
        <v>3.0</v>
      </c>
      <c r="H2690" s="26">
        <v>3.0</v>
      </c>
      <c r="I2690" s="26">
        <v>136.0</v>
      </c>
      <c r="J2690" s="26">
        <v>75.0</v>
      </c>
      <c r="K2690" s="26">
        <v>27.0</v>
      </c>
      <c r="N2690" s="26" t="s">
        <v>1864</v>
      </c>
    </row>
    <row r="2691">
      <c r="A2691" s="25">
        <v>43379.00106642361</v>
      </c>
      <c r="B2691" s="26" t="s">
        <v>790</v>
      </c>
      <c r="C2691" s="26" t="s">
        <v>184</v>
      </c>
      <c r="D2691" s="26" t="s">
        <v>31</v>
      </c>
      <c r="E2691" s="26">
        <v>240.0</v>
      </c>
      <c r="F2691" s="26" t="s">
        <v>35</v>
      </c>
      <c r="G2691" s="26">
        <v>3.0</v>
      </c>
      <c r="H2691" s="26">
        <v>1.0</v>
      </c>
      <c r="N2691" s="26" t="s">
        <v>704</v>
      </c>
    </row>
    <row r="2692">
      <c r="A2692" s="25">
        <v>43379.30607315972</v>
      </c>
      <c r="B2692" s="26" t="s">
        <v>187</v>
      </c>
      <c r="C2692" s="26" t="s">
        <v>46</v>
      </c>
      <c r="D2692" s="26" t="s">
        <v>41</v>
      </c>
      <c r="E2692" s="26">
        <v>222.0</v>
      </c>
      <c r="F2692" s="26" t="s">
        <v>32</v>
      </c>
      <c r="G2692" s="26">
        <v>11.0</v>
      </c>
      <c r="H2692" s="26">
        <v>1.0</v>
      </c>
      <c r="N2692" s="26" t="s">
        <v>708</v>
      </c>
    </row>
    <row r="2693">
      <c r="A2693" s="25">
        <v>43379.389607199075</v>
      </c>
      <c r="B2693" s="26" t="s">
        <v>937</v>
      </c>
      <c r="C2693" s="26" t="s">
        <v>1865</v>
      </c>
      <c r="D2693" s="26" t="s">
        <v>27</v>
      </c>
      <c r="E2693" s="26">
        <v>316.0</v>
      </c>
      <c r="F2693" s="26" t="s">
        <v>1866</v>
      </c>
      <c r="G2693" s="26">
        <v>11.0</v>
      </c>
      <c r="H2693" s="26">
        <v>4.0</v>
      </c>
      <c r="I2693" s="26">
        <v>200.0</v>
      </c>
      <c r="J2693" s="26">
        <v>66.0</v>
      </c>
      <c r="K2693" s="26">
        <v>50.0</v>
      </c>
      <c r="N2693" s="26" t="s">
        <v>683</v>
      </c>
    </row>
    <row r="2694">
      <c r="A2694" s="25">
        <v>43379.39466842593</v>
      </c>
      <c r="B2694" s="26" t="s">
        <v>1867</v>
      </c>
      <c r="C2694" s="26" t="s">
        <v>1868</v>
      </c>
      <c r="D2694" s="26" t="s">
        <v>1869</v>
      </c>
      <c r="E2694" s="26">
        <v>362.0</v>
      </c>
      <c r="F2694" s="26" t="s">
        <v>670</v>
      </c>
      <c r="G2694" s="26">
        <v>19.0</v>
      </c>
      <c r="H2694" s="26">
        <v>8.0</v>
      </c>
      <c r="I2694" s="26">
        <v>200.0</v>
      </c>
      <c r="J2694" s="26">
        <v>105.0</v>
      </c>
      <c r="K2694" s="26">
        <v>50.0</v>
      </c>
      <c r="N2694" s="26" t="s">
        <v>683</v>
      </c>
    </row>
    <row r="2695">
      <c r="A2695" s="25">
        <v>43379.39609917824</v>
      </c>
      <c r="B2695" s="26" t="s">
        <v>1867</v>
      </c>
      <c r="C2695" s="26" t="s">
        <v>1868</v>
      </c>
      <c r="D2695" s="26" t="s">
        <v>41</v>
      </c>
      <c r="E2695" s="26">
        <v>365.0</v>
      </c>
      <c r="F2695" s="26" t="s">
        <v>670</v>
      </c>
      <c r="G2695" s="26">
        <v>19.0</v>
      </c>
      <c r="H2695" s="26">
        <v>8.0</v>
      </c>
      <c r="I2695" s="26">
        <v>200.0</v>
      </c>
      <c r="J2695" s="26">
        <v>105.0</v>
      </c>
      <c r="K2695" s="26">
        <v>50.0</v>
      </c>
      <c r="N2695" s="26" t="s">
        <v>683</v>
      </c>
    </row>
    <row r="2696">
      <c r="A2696" s="25">
        <v>43379.39806680556</v>
      </c>
      <c r="B2696" s="26" t="s">
        <v>142</v>
      </c>
      <c r="C2696" s="26" t="s">
        <v>1870</v>
      </c>
      <c r="D2696" s="26" t="s">
        <v>41</v>
      </c>
      <c r="E2696" s="26">
        <v>384.0</v>
      </c>
      <c r="F2696" s="26" t="s">
        <v>238</v>
      </c>
      <c r="G2696" s="26">
        <v>11.0</v>
      </c>
      <c r="H2696" s="26">
        <v>6.0</v>
      </c>
      <c r="N2696" s="26" t="s">
        <v>685</v>
      </c>
    </row>
    <row r="2697">
      <c r="A2697" s="25">
        <v>43379.44445649306</v>
      </c>
      <c r="B2697" s="26" t="s">
        <v>36</v>
      </c>
      <c r="C2697" s="26" t="s">
        <v>1871</v>
      </c>
      <c r="D2697" s="26" t="s">
        <v>41</v>
      </c>
      <c r="E2697" s="26">
        <v>520.0</v>
      </c>
      <c r="F2697" s="26" t="s">
        <v>32</v>
      </c>
      <c r="G2697" s="26">
        <v>7.0</v>
      </c>
      <c r="H2697" s="26">
        <v>0.0</v>
      </c>
      <c r="N2697" s="26" t="s">
        <v>683</v>
      </c>
    </row>
    <row r="2698">
      <c r="A2698" s="25">
        <v>43379.47565953704</v>
      </c>
      <c r="B2698" s="26" t="s">
        <v>33</v>
      </c>
      <c r="C2698" s="26" t="s">
        <v>76</v>
      </c>
      <c r="D2698" s="26" t="s">
        <v>31</v>
      </c>
      <c r="E2698" s="26">
        <v>185.0</v>
      </c>
      <c r="F2698" s="26" t="s">
        <v>1776</v>
      </c>
      <c r="G2698" s="26">
        <v>5.0</v>
      </c>
      <c r="H2698" s="26">
        <v>1.0</v>
      </c>
      <c r="I2698" s="26">
        <v>135.0</v>
      </c>
      <c r="J2698" s="26">
        <v>20.0</v>
      </c>
      <c r="K2698" s="26">
        <v>30.0</v>
      </c>
      <c r="N2698" s="26" t="s">
        <v>685</v>
      </c>
    </row>
    <row r="2699">
      <c r="A2699" s="25">
        <v>43379.49227835648</v>
      </c>
      <c r="B2699" s="26" t="s">
        <v>48</v>
      </c>
      <c r="C2699" s="26" t="s">
        <v>179</v>
      </c>
      <c r="D2699" s="26" t="s">
        <v>31</v>
      </c>
      <c r="E2699" s="26">
        <v>173.0</v>
      </c>
      <c r="F2699" s="26" t="s">
        <v>50</v>
      </c>
      <c r="G2699" s="26">
        <v>0.0</v>
      </c>
      <c r="H2699" s="26">
        <v>0.0</v>
      </c>
      <c r="I2699" s="26">
        <v>115.0</v>
      </c>
      <c r="J2699" s="26">
        <v>38.0</v>
      </c>
      <c r="K2699" s="26">
        <v>20.0</v>
      </c>
      <c r="N2699" s="26" t="s">
        <v>683</v>
      </c>
    </row>
    <row r="2700">
      <c r="A2700" s="25">
        <v>43379.50026958333</v>
      </c>
      <c r="B2700" s="26" t="s">
        <v>40</v>
      </c>
      <c r="C2700" s="26">
        <v>66.0</v>
      </c>
      <c r="D2700" s="26" t="s">
        <v>41</v>
      </c>
      <c r="E2700" s="26">
        <v>300.0</v>
      </c>
      <c r="F2700" s="26" t="s">
        <v>733</v>
      </c>
      <c r="G2700" s="26">
        <v>15.0</v>
      </c>
      <c r="H2700" s="26">
        <v>7.0</v>
      </c>
      <c r="I2700" s="26">
        <v>199.0</v>
      </c>
      <c r="J2700" s="26">
        <v>55.0</v>
      </c>
      <c r="K2700" s="26">
        <v>45.0</v>
      </c>
      <c r="N2700" s="26" t="s">
        <v>708</v>
      </c>
    </row>
    <row r="2701">
      <c r="A2701" s="25">
        <v>43379.57704340278</v>
      </c>
      <c r="B2701" s="26" t="s">
        <v>371</v>
      </c>
      <c r="C2701" s="26" t="s">
        <v>1872</v>
      </c>
      <c r="D2701" s="26" t="s">
        <v>1872</v>
      </c>
      <c r="E2701" s="26">
        <v>425.0</v>
      </c>
      <c r="F2701" s="26" t="s">
        <v>453</v>
      </c>
      <c r="G2701" s="26">
        <v>20.0</v>
      </c>
      <c r="H2701" s="26">
        <v>15.0</v>
      </c>
      <c r="I2701" s="26">
        <v>250.0</v>
      </c>
      <c r="J2701" s="26">
        <v>125.0</v>
      </c>
      <c r="K2701" s="26">
        <v>50.0</v>
      </c>
      <c r="N2701" s="26" t="s">
        <v>1873</v>
      </c>
    </row>
    <row r="2702">
      <c r="A2702" s="25">
        <v>43379.65618380787</v>
      </c>
      <c r="B2702" s="26" t="s">
        <v>146</v>
      </c>
      <c r="C2702" s="26" t="s">
        <v>386</v>
      </c>
      <c r="D2702" s="26" t="s">
        <v>1225</v>
      </c>
      <c r="E2702" s="26">
        <v>402.0</v>
      </c>
      <c r="F2702" s="26" t="s">
        <v>58</v>
      </c>
      <c r="G2702" s="26">
        <v>15.0</v>
      </c>
      <c r="H2702" s="26">
        <v>0.0</v>
      </c>
      <c r="I2702" s="26">
        <v>210.0</v>
      </c>
      <c r="J2702" s="26">
        <v>150.0</v>
      </c>
      <c r="K2702" s="26">
        <v>42.0</v>
      </c>
      <c r="N2702" s="26" t="s">
        <v>1617</v>
      </c>
    </row>
    <row r="2703">
      <c r="A2703" s="25">
        <v>43379.72836768518</v>
      </c>
      <c r="B2703" s="26" t="s">
        <v>45</v>
      </c>
      <c r="C2703" s="26" t="s">
        <v>102</v>
      </c>
      <c r="D2703" s="26" t="s">
        <v>31</v>
      </c>
      <c r="E2703" s="26">
        <v>190.0</v>
      </c>
      <c r="F2703" s="26" t="s">
        <v>104</v>
      </c>
      <c r="G2703" s="26">
        <v>2.0</v>
      </c>
      <c r="H2703" s="26">
        <v>1.0</v>
      </c>
      <c r="I2703" s="26">
        <v>135.0</v>
      </c>
      <c r="J2703" s="26">
        <v>40.0</v>
      </c>
      <c r="K2703" s="26">
        <v>15.0</v>
      </c>
      <c r="N2703" s="26" t="s">
        <v>1874</v>
      </c>
    </row>
    <row r="2704">
      <c r="A2704" s="25">
        <v>43379.75588784722</v>
      </c>
      <c r="B2704" s="26" t="s">
        <v>40</v>
      </c>
      <c r="C2704" s="26">
        <v>61.0</v>
      </c>
      <c r="D2704" s="26" t="s">
        <v>1225</v>
      </c>
      <c r="E2704" s="26">
        <v>142.0</v>
      </c>
      <c r="F2704" s="26" t="s">
        <v>63</v>
      </c>
      <c r="G2704" s="26">
        <v>7.0</v>
      </c>
      <c r="H2704" s="26">
        <v>2.0</v>
      </c>
      <c r="I2704" s="26">
        <v>126.0</v>
      </c>
      <c r="J2704" s="26">
        <v>6.0</v>
      </c>
      <c r="K2704" s="26">
        <v>10.0</v>
      </c>
      <c r="N2704" s="26" t="s">
        <v>691</v>
      </c>
    </row>
    <row r="2705">
      <c r="A2705" s="25">
        <v>43379.76802509259</v>
      </c>
      <c r="B2705" s="26" t="s">
        <v>48</v>
      </c>
      <c r="C2705" s="26" t="s">
        <v>49</v>
      </c>
      <c r="D2705" s="26" t="s">
        <v>31</v>
      </c>
      <c r="E2705" s="26">
        <v>248.0</v>
      </c>
      <c r="F2705" s="26" t="s">
        <v>35</v>
      </c>
      <c r="G2705" s="26">
        <v>3.0</v>
      </c>
      <c r="H2705" s="26">
        <v>0.0</v>
      </c>
      <c r="I2705" s="26">
        <v>160.0</v>
      </c>
      <c r="J2705" s="26">
        <v>72.0</v>
      </c>
      <c r="K2705" s="26">
        <v>16.0</v>
      </c>
      <c r="N2705" s="26" t="s">
        <v>685</v>
      </c>
    </row>
    <row r="2706">
      <c r="A2706" s="25">
        <v>43379.89311819444</v>
      </c>
      <c r="B2706" s="26" t="s">
        <v>48</v>
      </c>
      <c r="C2706" s="26" t="s">
        <v>49</v>
      </c>
      <c r="D2706" s="26" t="s">
        <v>31</v>
      </c>
      <c r="E2706" s="26">
        <v>220.0</v>
      </c>
      <c r="F2706" s="26" t="s">
        <v>63</v>
      </c>
      <c r="G2706" s="26">
        <v>3.0</v>
      </c>
      <c r="H2706" s="26">
        <v>1.5</v>
      </c>
      <c r="I2706" s="26">
        <v>145.0</v>
      </c>
      <c r="J2706" s="26">
        <v>60.0</v>
      </c>
      <c r="K2706" s="26">
        <v>13.0</v>
      </c>
      <c r="L2706" s="26" t="s">
        <v>1875</v>
      </c>
      <c r="N2706" s="26" t="s">
        <v>683</v>
      </c>
    </row>
    <row r="2707">
      <c r="A2707" s="25">
        <v>43379.96678915509</v>
      </c>
      <c r="B2707" s="26" t="s">
        <v>80</v>
      </c>
      <c r="C2707" s="26" t="s">
        <v>1062</v>
      </c>
      <c r="D2707" s="26" t="s">
        <v>31</v>
      </c>
      <c r="E2707" s="26">
        <v>288.0</v>
      </c>
      <c r="F2707" s="26" t="s">
        <v>35</v>
      </c>
      <c r="G2707" s="26">
        <v>4.0</v>
      </c>
      <c r="H2707" s="26">
        <v>0.0</v>
      </c>
      <c r="I2707" s="26">
        <v>155.0</v>
      </c>
      <c r="J2707" s="26">
        <v>82.0</v>
      </c>
      <c r="K2707" s="26">
        <v>43.0</v>
      </c>
      <c r="N2707" s="26" t="s">
        <v>1428</v>
      </c>
    </row>
    <row r="2708">
      <c r="A2708" s="25">
        <v>43379.97371039352</v>
      </c>
      <c r="B2708" s="26" t="s">
        <v>48</v>
      </c>
      <c r="C2708" s="26" t="s">
        <v>49</v>
      </c>
      <c r="D2708" s="26" t="s">
        <v>31</v>
      </c>
      <c r="E2708" s="26">
        <v>292.0</v>
      </c>
      <c r="F2708" s="26" t="s">
        <v>35</v>
      </c>
      <c r="G2708" s="26">
        <v>4.0</v>
      </c>
      <c r="H2708" s="26">
        <v>0.0</v>
      </c>
      <c r="I2708" s="26">
        <v>155.0</v>
      </c>
      <c r="J2708" s="26">
        <v>75.0</v>
      </c>
      <c r="K2708" s="26">
        <v>65.0</v>
      </c>
      <c r="N2708" s="26" t="s">
        <v>1428</v>
      </c>
    </row>
    <row r="2709">
      <c r="A2709" s="25">
        <v>43379.97567053241</v>
      </c>
      <c r="B2709" s="26" t="s">
        <v>33</v>
      </c>
      <c r="C2709" s="26" t="s">
        <v>62</v>
      </c>
      <c r="D2709" s="26" t="s">
        <v>1876</v>
      </c>
      <c r="E2709" s="26">
        <v>100.0</v>
      </c>
      <c r="F2709" s="26" t="s">
        <v>1688</v>
      </c>
      <c r="G2709" s="26">
        <v>10.0</v>
      </c>
      <c r="H2709" s="26">
        <v>2.0</v>
      </c>
      <c r="N2709" s="26" t="s">
        <v>1877</v>
      </c>
    </row>
    <row r="2710">
      <c r="A2710" s="25">
        <v>43380.0032709838</v>
      </c>
      <c r="B2710" s="26" t="s">
        <v>204</v>
      </c>
      <c r="C2710" s="26" t="s">
        <v>73</v>
      </c>
      <c r="D2710" s="26" t="s">
        <v>31</v>
      </c>
      <c r="E2710" s="26">
        <v>290.0</v>
      </c>
      <c r="F2710" s="26" t="s">
        <v>32</v>
      </c>
      <c r="G2710" s="26">
        <v>5.0</v>
      </c>
      <c r="H2710" s="26">
        <v>2.0</v>
      </c>
      <c r="N2710" s="26" t="s">
        <v>685</v>
      </c>
    </row>
    <row r="2711">
      <c r="A2711" s="25">
        <v>43380.00517611111</v>
      </c>
      <c r="B2711" s="26" t="s">
        <v>790</v>
      </c>
      <c r="C2711" s="26" t="s">
        <v>504</v>
      </c>
      <c r="D2711" s="26" t="s">
        <v>27</v>
      </c>
      <c r="E2711" s="26">
        <v>240.0</v>
      </c>
      <c r="F2711" s="26" t="s">
        <v>925</v>
      </c>
      <c r="G2711" s="26">
        <v>1.0</v>
      </c>
      <c r="H2711" s="26">
        <v>1.0</v>
      </c>
      <c r="I2711" s="26">
        <v>180.0</v>
      </c>
      <c r="J2711" s="26">
        <v>15.0</v>
      </c>
      <c r="K2711" s="26">
        <v>45.0</v>
      </c>
      <c r="N2711" s="26" t="s">
        <v>1804</v>
      </c>
    </row>
    <row r="2712">
      <c r="A2712" s="25">
        <v>43380.31521594907</v>
      </c>
      <c r="B2712" s="26" t="s">
        <v>36</v>
      </c>
      <c r="C2712" s="26">
        <v>5.0</v>
      </c>
      <c r="D2712" s="26" t="s">
        <v>41</v>
      </c>
      <c r="E2712" s="26">
        <v>500.0</v>
      </c>
      <c r="F2712" s="26" t="s">
        <v>175</v>
      </c>
      <c r="G2712" s="26">
        <v>12.0</v>
      </c>
      <c r="H2712" s="26">
        <v>3.0</v>
      </c>
      <c r="I2712" s="26">
        <v>180.0</v>
      </c>
      <c r="J2712" s="26">
        <v>300.0</v>
      </c>
      <c r="K2712" s="26">
        <v>22.0</v>
      </c>
      <c r="N2712" s="26" t="s">
        <v>685</v>
      </c>
    </row>
    <row r="2713">
      <c r="A2713" s="25">
        <v>43380.361971562495</v>
      </c>
      <c r="B2713" s="26" t="s">
        <v>428</v>
      </c>
      <c r="C2713" s="26" t="s">
        <v>1232</v>
      </c>
      <c r="D2713" s="26" t="s">
        <v>31</v>
      </c>
      <c r="E2713" s="26">
        <v>250.0</v>
      </c>
      <c r="F2713" s="26" t="s">
        <v>94</v>
      </c>
      <c r="G2713" s="26">
        <v>4.0</v>
      </c>
      <c r="H2713" s="26">
        <v>0.0</v>
      </c>
      <c r="I2713" s="26">
        <v>165.0</v>
      </c>
      <c r="J2713" s="26">
        <v>85.0</v>
      </c>
      <c r="N2713" s="26" t="s">
        <v>683</v>
      </c>
    </row>
    <row r="2714">
      <c r="A2714" s="25">
        <v>43380.36283445602</v>
      </c>
      <c r="B2714" s="26" t="s">
        <v>36</v>
      </c>
      <c r="C2714" s="26" t="s">
        <v>610</v>
      </c>
      <c r="D2714" s="26" t="s">
        <v>31</v>
      </c>
      <c r="E2714" s="26">
        <v>251.0</v>
      </c>
      <c r="F2714" s="26" t="s">
        <v>94</v>
      </c>
      <c r="G2714" s="26">
        <v>4.0</v>
      </c>
      <c r="H2714" s="26">
        <v>0.0</v>
      </c>
      <c r="I2714" s="26">
        <v>151.0</v>
      </c>
      <c r="J2714" s="26">
        <v>87.0</v>
      </c>
      <c r="K2714" s="26">
        <v>13.0</v>
      </c>
      <c r="N2714" s="26" t="s">
        <v>683</v>
      </c>
    </row>
    <row r="2715">
      <c r="A2715" s="25">
        <v>43380.47668699074</v>
      </c>
      <c r="B2715" s="26" t="s">
        <v>1878</v>
      </c>
      <c r="C2715" s="26" t="s">
        <v>1879</v>
      </c>
      <c r="D2715" s="26" t="s">
        <v>31</v>
      </c>
      <c r="E2715" s="26">
        <v>125.0</v>
      </c>
      <c r="F2715" s="26" t="s">
        <v>969</v>
      </c>
      <c r="G2715" s="26">
        <v>10.0</v>
      </c>
      <c r="H2715" s="26">
        <v>10.0</v>
      </c>
      <c r="N2715" s="26" t="s">
        <v>696</v>
      </c>
    </row>
    <row r="2716">
      <c r="A2716" s="25">
        <v>43380.53345236111</v>
      </c>
      <c r="B2716" s="26" t="s">
        <v>45</v>
      </c>
      <c r="C2716" s="26" t="s">
        <v>116</v>
      </c>
      <c r="D2716" s="26" t="s">
        <v>31</v>
      </c>
      <c r="E2716" s="26">
        <v>352.0</v>
      </c>
      <c r="F2716" s="26" t="s">
        <v>104</v>
      </c>
      <c r="G2716" s="26">
        <v>8.0</v>
      </c>
      <c r="H2716" s="26">
        <v>6.0</v>
      </c>
      <c r="I2716" s="26">
        <v>195.0</v>
      </c>
      <c r="J2716" s="26">
        <v>125.0</v>
      </c>
      <c r="K2716" s="26">
        <v>32.0</v>
      </c>
      <c r="N2716" s="26" t="s">
        <v>685</v>
      </c>
    </row>
    <row r="2717">
      <c r="A2717" s="25">
        <v>43380.567665752314</v>
      </c>
      <c r="B2717" s="26" t="s">
        <v>40</v>
      </c>
      <c r="C2717" s="26">
        <v>61.0</v>
      </c>
      <c r="D2717" s="26" t="s">
        <v>31</v>
      </c>
      <c r="E2717" s="26">
        <v>150.0</v>
      </c>
      <c r="F2717" s="26" t="s">
        <v>52</v>
      </c>
      <c r="G2717" s="26">
        <v>3.0</v>
      </c>
      <c r="H2717" s="26">
        <v>1.0</v>
      </c>
      <c r="N2717" s="26" t="s">
        <v>696</v>
      </c>
    </row>
    <row r="2718">
      <c r="A2718" s="25">
        <v>43380.58611230324</v>
      </c>
      <c r="B2718" s="26" t="s">
        <v>45</v>
      </c>
      <c r="C2718" s="26" t="s">
        <v>102</v>
      </c>
      <c r="D2718" s="26" t="s">
        <v>31</v>
      </c>
      <c r="E2718" s="26">
        <v>251.0</v>
      </c>
      <c r="F2718" s="26" t="s">
        <v>104</v>
      </c>
      <c r="G2718" s="26">
        <v>3.0</v>
      </c>
      <c r="H2718" s="26">
        <v>3.0</v>
      </c>
      <c r="I2718" s="26">
        <v>160.0</v>
      </c>
      <c r="J2718" s="26">
        <v>75.0</v>
      </c>
      <c r="K2718" s="26">
        <v>16.0</v>
      </c>
      <c r="N2718" s="26" t="s">
        <v>699</v>
      </c>
    </row>
    <row r="2719">
      <c r="A2719" s="25">
        <v>43380.60641032408</v>
      </c>
      <c r="B2719" s="26" t="s">
        <v>268</v>
      </c>
      <c r="C2719" s="26" t="s">
        <v>1198</v>
      </c>
      <c r="D2719" s="26" t="s">
        <v>31</v>
      </c>
      <c r="E2719" s="26">
        <v>147.0</v>
      </c>
      <c r="F2719" s="26" t="s">
        <v>1880</v>
      </c>
      <c r="G2719" s="26">
        <v>3.0</v>
      </c>
      <c r="H2719" s="26">
        <v>3.0</v>
      </c>
      <c r="N2719" s="26" t="s">
        <v>791</v>
      </c>
    </row>
    <row r="2720">
      <c r="A2720" s="25">
        <v>43380.756096655095</v>
      </c>
      <c r="B2720" s="26" t="s">
        <v>187</v>
      </c>
      <c r="C2720" s="26" t="s">
        <v>430</v>
      </c>
      <c r="D2720" s="26" t="s">
        <v>31</v>
      </c>
      <c r="E2720" s="26">
        <v>320.0</v>
      </c>
      <c r="F2720" s="26" t="s">
        <v>175</v>
      </c>
      <c r="G2720" s="26">
        <v>3.0</v>
      </c>
      <c r="H2720" s="26">
        <v>1.0</v>
      </c>
      <c r="I2720" s="26">
        <v>175.0</v>
      </c>
      <c r="J2720" s="26">
        <v>145.0</v>
      </c>
      <c r="N2720" s="26" t="s">
        <v>1881</v>
      </c>
    </row>
    <row r="2721">
      <c r="A2721" s="25">
        <v>43380.76591216435</v>
      </c>
      <c r="B2721" s="26" t="s">
        <v>371</v>
      </c>
      <c r="C2721" s="26" t="s">
        <v>541</v>
      </c>
      <c r="D2721" s="26" t="s">
        <v>31</v>
      </c>
      <c r="E2721" s="26">
        <v>155.0</v>
      </c>
      <c r="F2721" s="26" t="s">
        <v>459</v>
      </c>
      <c r="G2721" s="26">
        <v>6.0</v>
      </c>
      <c r="H2721" s="26">
        <v>5.0</v>
      </c>
      <c r="I2721" s="26">
        <v>120.0</v>
      </c>
      <c r="J2721" s="26">
        <v>20.0</v>
      </c>
      <c r="K2721" s="26">
        <v>15.0</v>
      </c>
      <c r="N2721" s="26" t="s">
        <v>704</v>
      </c>
    </row>
    <row r="2722">
      <c r="A2722" s="25">
        <v>43380.854264062495</v>
      </c>
      <c r="B2722" s="26" t="s">
        <v>371</v>
      </c>
      <c r="C2722" s="26" t="s">
        <v>716</v>
      </c>
      <c r="D2722" s="26" t="s">
        <v>31</v>
      </c>
      <c r="E2722" s="26">
        <v>118.0</v>
      </c>
      <c r="F2722" s="26" t="s">
        <v>238</v>
      </c>
      <c r="G2722" s="26">
        <v>1.0</v>
      </c>
      <c r="H2722" s="26">
        <v>1.0</v>
      </c>
      <c r="I2722" s="26">
        <v>100.0</v>
      </c>
      <c r="J2722" s="26">
        <v>10.0</v>
      </c>
      <c r="K2722" s="26">
        <v>8.0</v>
      </c>
      <c r="N2722" s="26" t="s">
        <v>1245</v>
      </c>
    </row>
    <row r="2723">
      <c r="A2723" s="25">
        <v>43380.85649648149</v>
      </c>
      <c r="B2723" s="26" t="s">
        <v>80</v>
      </c>
      <c r="C2723" s="26" t="s">
        <v>430</v>
      </c>
      <c r="D2723" s="26" t="s">
        <v>31</v>
      </c>
      <c r="E2723" s="26">
        <v>270.0</v>
      </c>
      <c r="F2723" s="26" t="s">
        <v>51</v>
      </c>
      <c r="G2723" s="26">
        <v>15.0</v>
      </c>
      <c r="H2723" s="26">
        <v>3.0</v>
      </c>
      <c r="I2723" s="26">
        <v>150.0</v>
      </c>
      <c r="J2723" s="26">
        <v>90.0</v>
      </c>
      <c r="K2723" s="26">
        <v>30.0</v>
      </c>
      <c r="N2723" s="26" t="s">
        <v>708</v>
      </c>
    </row>
    <row r="2724">
      <c r="A2724" s="25">
        <v>43380.85818435185</v>
      </c>
      <c r="B2724" s="26" t="s">
        <v>80</v>
      </c>
      <c r="C2724" s="26" t="s">
        <v>179</v>
      </c>
      <c r="D2724" s="26" t="s">
        <v>31</v>
      </c>
      <c r="E2724" s="26">
        <v>162.0</v>
      </c>
      <c r="F2724" s="26" t="s">
        <v>1072</v>
      </c>
      <c r="G2724" s="26">
        <v>0.0</v>
      </c>
      <c r="H2724" s="26">
        <v>0.0</v>
      </c>
      <c r="I2724" s="26">
        <v>116.0</v>
      </c>
      <c r="J2724" s="26">
        <v>25.0</v>
      </c>
      <c r="K2724" s="26">
        <v>21.0</v>
      </c>
      <c r="L2724" s="26" t="s">
        <v>1882</v>
      </c>
      <c r="N2724" s="26" t="s">
        <v>1883</v>
      </c>
    </row>
    <row r="2725">
      <c r="A2725" s="25">
        <v>43380.88503055555</v>
      </c>
      <c r="B2725" s="26" t="s">
        <v>154</v>
      </c>
      <c r="C2725" s="26" t="s">
        <v>96</v>
      </c>
      <c r="D2725" s="26" t="s">
        <v>31</v>
      </c>
      <c r="E2725" s="26">
        <v>120.0</v>
      </c>
      <c r="F2725" s="26" t="s">
        <v>199</v>
      </c>
      <c r="G2725" s="26">
        <v>4.0</v>
      </c>
      <c r="H2725" s="26">
        <v>2.0</v>
      </c>
      <c r="N2725" s="26" t="s">
        <v>685</v>
      </c>
    </row>
    <row r="2726">
      <c r="A2726" s="25">
        <v>43380.885824791665</v>
      </c>
      <c r="B2726" s="26" t="s">
        <v>154</v>
      </c>
      <c r="C2726" s="26" t="s">
        <v>96</v>
      </c>
      <c r="D2726" s="26" t="s">
        <v>31</v>
      </c>
      <c r="E2726" s="26">
        <v>120.0</v>
      </c>
      <c r="F2726" s="26" t="s">
        <v>199</v>
      </c>
      <c r="G2726" s="26">
        <v>4.0</v>
      </c>
      <c r="H2726" s="26">
        <v>2.0</v>
      </c>
      <c r="N2726" s="26" t="s">
        <v>685</v>
      </c>
    </row>
    <row r="2727">
      <c r="A2727" s="25">
        <v>43380.88877100694</v>
      </c>
      <c r="B2727" s="26" t="s">
        <v>371</v>
      </c>
      <c r="C2727" s="26" t="s">
        <v>1248</v>
      </c>
      <c r="D2727" s="26" t="s">
        <v>31</v>
      </c>
      <c r="E2727" s="26">
        <v>220.0</v>
      </c>
      <c r="F2727" s="26" t="s">
        <v>459</v>
      </c>
      <c r="G2727" s="26">
        <v>12.0</v>
      </c>
      <c r="H2727" s="26">
        <v>10.0</v>
      </c>
      <c r="I2727" s="26">
        <v>155.0</v>
      </c>
      <c r="J2727" s="26">
        <v>50.0</v>
      </c>
      <c r="K2727" s="26">
        <v>15.0</v>
      </c>
      <c r="N2727" s="26" t="s">
        <v>1247</v>
      </c>
    </row>
    <row r="2728">
      <c r="A2728" s="25">
        <v>43380.89119365741</v>
      </c>
      <c r="B2728" s="26" t="s">
        <v>119</v>
      </c>
      <c r="C2728" s="26" t="s">
        <v>494</v>
      </c>
      <c r="D2728" s="26" t="s">
        <v>31</v>
      </c>
      <c r="E2728" s="26">
        <v>190.0</v>
      </c>
      <c r="F2728" s="26" t="s">
        <v>32</v>
      </c>
      <c r="G2728" s="26">
        <v>10.0</v>
      </c>
      <c r="H2728" s="26">
        <v>3.0</v>
      </c>
      <c r="I2728" s="26">
        <v>161.0</v>
      </c>
      <c r="J2728" s="26">
        <v>10.0</v>
      </c>
      <c r="K2728" s="26">
        <v>20.0</v>
      </c>
      <c r="N2728" s="26" t="s">
        <v>683</v>
      </c>
    </row>
    <row r="2729">
      <c r="A2729" s="25">
        <v>43380.94400217592</v>
      </c>
      <c r="B2729" s="26" t="s">
        <v>249</v>
      </c>
      <c r="C2729" s="26" t="s">
        <v>73</v>
      </c>
      <c r="D2729" s="26" t="s">
        <v>27</v>
      </c>
      <c r="E2729" s="26">
        <v>170.0</v>
      </c>
      <c r="F2729" s="26" t="s">
        <v>134</v>
      </c>
      <c r="G2729" s="26">
        <v>2.0</v>
      </c>
      <c r="H2729" s="26">
        <v>0.0</v>
      </c>
      <c r="I2729" s="26">
        <v>130.0</v>
      </c>
      <c r="J2729" s="26">
        <v>20.0</v>
      </c>
      <c r="K2729" s="26">
        <v>20.0</v>
      </c>
      <c r="N2729" s="26" t="s">
        <v>683</v>
      </c>
    </row>
    <row r="2730">
      <c r="A2730" s="25">
        <v>43380.95336079861</v>
      </c>
      <c r="B2730" s="26" t="s">
        <v>119</v>
      </c>
      <c r="C2730" s="26" t="s">
        <v>1116</v>
      </c>
      <c r="D2730" s="26" t="s">
        <v>1225</v>
      </c>
      <c r="E2730" s="26">
        <v>185.0</v>
      </c>
      <c r="F2730" s="26" t="s">
        <v>32</v>
      </c>
      <c r="G2730" s="26">
        <v>1.0</v>
      </c>
      <c r="H2730" s="26">
        <v>1.0</v>
      </c>
      <c r="I2730" s="26">
        <v>140.0</v>
      </c>
      <c r="J2730" s="26">
        <v>30.0</v>
      </c>
      <c r="K2730" s="26">
        <v>15.0</v>
      </c>
      <c r="N2730" s="26" t="s">
        <v>1363</v>
      </c>
    </row>
    <row r="2731">
      <c r="A2731" s="25">
        <v>43380.965927604164</v>
      </c>
      <c r="B2731" s="26" t="s">
        <v>1884</v>
      </c>
      <c r="C2731" s="26" t="s">
        <v>421</v>
      </c>
      <c r="D2731" s="26" t="s">
        <v>31</v>
      </c>
      <c r="E2731" s="26">
        <v>290.0</v>
      </c>
      <c r="F2731" s="26" t="s">
        <v>453</v>
      </c>
      <c r="G2731" s="26">
        <v>8.0</v>
      </c>
      <c r="H2731" s="26">
        <v>5.0</v>
      </c>
      <c r="I2731" s="26">
        <v>181.0</v>
      </c>
      <c r="J2731" s="26">
        <v>80.0</v>
      </c>
      <c r="K2731" s="26">
        <v>30.0</v>
      </c>
      <c r="N2731" s="26" t="s">
        <v>685</v>
      </c>
    </row>
    <row r="2732">
      <c r="A2732" s="25">
        <v>43380.975156712964</v>
      </c>
      <c r="B2732" s="26" t="s">
        <v>45</v>
      </c>
      <c r="C2732" s="26" t="s">
        <v>116</v>
      </c>
      <c r="D2732" s="26" t="s">
        <v>31</v>
      </c>
      <c r="E2732" s="26">
        <v>255.0</v>
      </c>
      <c r="F2732" s="26" t="s">
        <v>1076</v>
      </c>
      <c r="G2732" s="26">
        <v>10.0</v>
      </c>
      <c r="H2732" s="26">
        <v>1.0</v>
      </c>
      <c r="I2732" s="26">
        <v>185.0</v>
      </c>
      <c r="J2732" s="26">
        <v>40.0</v>
      </c>
      <c r="K2732" s="26">
        <v>30.0</v>
      </c>
      <c r="N2732" s="26" t="s">
        <v>751</v>
      </c>
    </row>
    <row r="2733">
      <c r="A2733" s="25">
        <v>43380.984622488424</v>
      </c>
      <c r="B2733" s="27" t="s">
        <v>700</v>
      </c>
      <c r="C2733" s="26" t="s">
        <v>1885</v>
      </c>
      <c r="D2733" s="26" t="s">
        <v>1225</v>
      </c>
      <c r="E2733" s="26">
        <v>480.0</v>
      </c>
      <c r="F2733" s="26" t="s">
        <v>1886</v>
      </c>
      <c r="G2733" s="26">
        <v>15.0</v>
      </c>
      <c r="H2733" s="26">
        <v>6.0</v>
      </c>
      <c r="N2733" s="26" t="s">
        <v>696</v>
      </c>
    </row>
    <row r="2734">
      <c r="A2734" s="25">
        <v>43381.01552282408</v>
      </c>
      <c r="B2734" s="26" t="s">
        <v>33</v>
      </c>
      <c r="C2734" s="26" t="s">
        <v>73</v>
      </c>
      <c r="D2734" s="26" t="s">
        <v>31</v>
      </c>
      <c r="E2734" s="26">
        <v>125.0</v>
      </c>
      <c r="F2734" s="26" t="s">
        <v>32</v>
      </c>
      <c r="G2734" s="26">
        <v>0.0</v>
      </c>
      <c r="H2734" s="26">
        <v>0.0</v>
      </c>
      <c r="N2734" s="26" t="s">
        <v>696</v>
      </c>
    </row>
    <row r="2735">
      <c r="A2735" s="25">
        <v>43381.020451539356</v>
      </c>
      <c r="B2735" s="26" t="s">
        <v>40</v>
      </c>
      <c r="C2735" s="26">
        <v>61.0</v>
      </c>
      <c r="D2735" s="26" t="s">
        <v>31</v>
      </c>
      <c r="E2735" s="26">
        <v>153.0</v>
      </c>
      <c r="F2735" s="26" t="s">
        <v>75</v>
      </c>
      <c r="G2735" s="26">
        <v>4.0</v>
      </c>
      <c r="H2735" s="26">
        <v>4.0</v>
      </c>
      <c r="I2735" s="26">
        <v>130.0</v>
      </c>
      <c r="J2735" s="26">
        <v>10.0</v>
      </c>
      <c r="K2735" s="26">
        <v>13.0</v>
      </c>
      <c r="N2735" s="26" t="s">
        <v>683</v>
      </c>
    </row>
    <row r="2736">
      <c r="A2736" s="25">
        <v>43381.12382076389</v>
      </c>
      <c r="B2736" s="26" t="s">
        <v>1887</v>
      </c>
      <c r="C2736" s="26">
        <v>2.0</v>
      </c>
      <c r="D2736" s="26" t="s">
        <v>31</v>
      </c>
      <c r="E2736" s="26">
        <v>75.0</v>
      </c>
      <c r="F2736" s="26" t="s">
        <v>1275</v>
      </c>
      <c r="G2736" s="26">
        <v>1.0</v>
      </c>
      <c r="H2736" s="26">
        <v>1.0</v>
      </c>
      <c r="N2736" s="26" t="s">
        <v>687</v>
      </c>
    </row>
    <row r="2737">
      <c r="A2737" s="25">
        <v>43381.14629291667</v>
      </c>
      <c r="B2737" s="26" t="s">
        <v>944</v>
      </c>
      <c r="C2737" s="26" t="s">
        <v>37</v>
      </c>
      <c r="D2737" s="26" t="s">
        <v>31</v>
      </c>
      <c r="E2737" s="26">
        <v>140.0</v>
      </c>
      <c r="F2737" s="26" t="s">
        <v>1888</v>
      </c>
      <c r="G2737" s="26">
        <v>10.0</v>
      </c>
      <c r="H2737" s="26">
        <v>2.0</v>
      </c>
      <c r="N2737" s="26" t="s">
        <v>757</v>
      </c>
    </row>
    <row r="2738">
      <c r="A2738" s="25">
        <v>43381.24594782408</v>
      </c>
      <c r="B2738" s="26" t="s">
        <v>343</v>
      </c>
      <c r="C2738" s="26" t="s">
        <v>716</v>
      </c>
      <c r="D2738" s="26" t="s">
        <v>31</v>
      </c>
      <c r="E2738" s="26">
        <v>150.0</v>
      </c>
      <c r="F2738" s="26" t="s">
        <v>94</v>
      </c>
      <c r="G2738" s="26">
        <v>6.0</v>
      </c>
      <c r="H2738" s="26">
        <v>1.0</v>
      </c>
      <c r="I2738" s="26">
        <v>150000.0</v>
      </c>
      <c r="N2738" s="26" t="s">
        <v>683</v>
      </c>
    </row>
    <row r="2739">
      <c r="A2739" s="25">
        <v>43381.26777082176</v>
      </c>
      <c r="B2739" s="26" t="s">
        <v>45</v>
      </c>
      <c r="C2739" s="26" t="s">
        <v>116</v>
      </c>
      <c r="D2739" s="26" t="s">
        <v>1027</v>
      </c>
      <c r="E2739" s="26">
        <v>180.0</v>
      </c>
      <c r="F2739" s="26" t="s">
        <v>104</v>
      </c>
      <c r="G2739" s="26">
        <v>16.0</v>
      </c>
      <c r="H2739" s="26">
        <v>6.0</v>
      </c>
      <c r="N2739" s="26" t="s">
        <v>1027</v>
      </c>
    </row>
    <row r="2740">
      <c r="A2740" s="25">
        <v>43381.26991495371</v>
      </c>
      <c r="B2740" s="26" t="s">
        <v>426</v>
      </c>
      <c r="C2740" s="26" t="s">
        <v>1348</v>
      </c>
      <c r="D2740" s="26" t="s">
        <v>41</v>
      </c>
      <c r="E2740" s="26">
        <v>250.0</v>
      </c>
      <c r="F2740" s="26" t="s">
        <v>94</v>
      </c>
      <c r="G2740" s="26">
        <v>15.0</v>
      </c>
      <c r="H2740" s="26">
        <v>4.0</v>
      </c>
      <c r="I2740" s="26">
        <v>190.0</v>
      </c>
      <c r="J2740" s="26">
        <v>10.0</v>
      </c>
      <c r="K2740" s="26">
        <v>50.0</v>
      </c>
      <c r="N2740" s="26" t="s">
        <v>683</v>
      </c>
    </row>
    <row r="2741">
      <c r="A2741" s="25">
        <v>43381.27235049769</v>
      </c>
      <c r="B2741" s="26" t="s">
        <v>48</v>
      </c>
      <c r="C2741" s="26" t="s">
        <v>70</v>
      </c>
      <c r="D2741" s="26" t="s">
        <v>31</v>
      </c>
      <c r="E2741" s="26">
        <v>458.0</v>
      </c>
      <c r="F2741" s="26" t="s">
        <v>94</v>
      </c>
      <c r="G2741" s="26">
        <v>15.0</v>
      </c>
      <c r="H2741" s="26">
        <v>0.0</v>
      </c>
      <c r="I2741" s="26">
        <v>215.0</v>
      </c>
      <c r="J2741" s="26">
        <v>200.0</v>
      </c>
      <c r="K2741" s="26">
        <v>43.0</v>
      </c>
      <c r="N2741" s="26" t="s">
        <v>685</v>
      </c>
    </row>
    <row r="2742">
      <c r="A2742" s="25">
        <v>43381.30313151621</v>
      </c>
      <c r="B2742" s="27" t="s">
        <v>700</v>
      </c>
      <c r="C2742" s="26" t="s">
        <v>1422</v>
      </c>
      <c r="D2742" s="26" t="s">
        <v>31</v>
      </c>
      <c r="E2742" s="26">
        <v>85.0</v>
      </c>
      <c r="F2742" s="26" t="s">
        <v>1773</v>
      </c>
      <c r="G2742" s="26">
        <v>8.0</v>
      </c>
      <c r="H2742" s="26">
        <v>4.0</v>
      </c>
      <c r="I2742" s="26">
        <v>62.0</v>
      </c>
      <c r="J2742" s="26">
        <v>12.0</v>
      </c>
      <c r="K2742" s="26">
        <v>10.0</v>
      </c>
      <c r="N2742" s="26" t="s">
        <v>696</v>
      </c>
    </row>
    <row r="2743">
      <c r="A2743" s="25">
        <v>43381.33859299769</v>
      </c>
      <c r="B2743" s="26" t="s">
        <v>36</v>
      </c>
      <c r="C2743" s="26" t="s">
        <v>73</v>
      </c>
      <c r="D2743" s="26" t="s">
        <v>31</v>
      </c>
      <c r="E2743" s="26">
        <v>240.0</v>
      </c>
      <c r="F2743" s="26" t="s">
        <v>175</v>
      </c>
      <c r="G2743" s="26">
        <v>8.0</v>
      </c>
      <c r="H2743" s="26">
        <v>1.0</v>
      </c>
      <c r="I2743" s="26">
        <v>150.0</v>
      </c>
      <c r="J2743" s="26">
        <v>80.0</v>
      </c>
      <c r="K2743" s="26">
        <v>10.0</v>
      </c>
      <c r="N2743" s="26" t="s">
        <v>685</v>
      </c>
    </row>
    <row r="2744">
      <c r="A2744" s="25">
        <v>43381.406537939816</v>
      </c>
      <c r="B2744" s="26" t="s">
        <v>119</v>
      </c>
      <c r="C2744" s="26" t="s">
        <v>494</v>
      </c>
      <c r="D2744" s="26" t="s">
        <v>31</v>
      </c>
      <c r="E2744" s="26">
        <v>225.0</v>
      </c>
      <c r="F2744" s="26" t="s">
        <v>58</v>
      </c>
      <c r="G2744" s="26">
        <v>3.0</v>
      </c>
      <c r="H2744" s="26">
        <v>2.0</v>
      </c>
      <c r="I2744" s="26">
        <v>170.0</v>
      </c>
      <c r="J2744" s="26">
        <v>30.0</v>
      </c>
      <c r="K2744" s="26">
        <v>25.0</v>
      </c>
      <c r="N2744" s="26" t="s">
        <v>683</v>
      </c>
    </row>
    <row r="2745">
      <c r="A2745" s="25">
        <v>43381.41354883102</v>
      </c>
      <c r="B2745" s="26" t="s">
        <v>1889</v>
      </c>
      <c r="C2745" s="26" t="s">
        <v>37</v>
      </c>
      <c r="D2745" s="26" t="s">
        <v>1225</v>
      </c>
      <c r="E2745" s="26">
        <v>100.0</v>
      </c>
      <c r="F2745" s="26" t="s">
        <v>798</v>
      </c>
      <c r="G2745" s="26">
        <v>7.0</v>
      </c>
      <c r="H2745" s="26">
        <v>5.0</v>
      </c>
      <c r="I2745" s="26">
        <v>90.0</v>
      </c>
      <c r="K2745" s="26">
        <v>10.0</v>
      </c>
      <c r="N2745" s="26" t="s">
        <v>687</v>
      </c>
    </row>
    <row r="2746">
      <c r="A2746" s="25">
        <v>43381.42729922454</v>
      </c>
      <c r="B2746" s="26" t="s">
        <v>48</v>
      </c>
      <c r="C2746" s="26" t="s">
        <v>69</v>
      </c>
      <c r="D2746" s="26" t="s">
        <v>31</v>
      </c>
      <c r="E2746" s="26">
        <v>170.0</v>
      </c>
      <c r="F2746" s="26" t="s">
        <v>35</v>
      </c>
      <c r="G2746" s="26">
        <v>0.0</v>
      </c>
      <c r="H2746" s="26">
        <v>0.0</v>
      </c>
      <c r="I2746" s="26">
        <v>110.0</v>
      </c>
      <c r="J2746" s="26">
        <v>40.0</v>
      </c>
      <c r="K2746" s="26">
        <v>15.0</v>
      </c>
      <c r="N2746" s="26" t="s">
        <v>696</v>
      </c>
    </row>
    <row r="2747">
      <c r="A2747" s="25">
        <v>43381.46715521991</v>
      </c>
      <c r="B2747" s="26" t="s">
        <v>371</v>
      </c>
      <c r="C2747" s="26" t="s">
        <v>372</v>
      </c>
      <c r="D2747" s="26" t="s">
        <v>31</v>
      </c>
      <c r="E2747" s="26">
        <v>180.0</v>
      </c>
      <c r="F2747" s="26" t="s">
        <v>459</v>
      </c>
      <c r="G2747" s="26">
        <v>8.0</v>
      </c>
      <c r="H2747" s="26">
        <v>5.0</v>
      </c>
      <c r="I2747" s="26">
        <v>135.0</v>
      </c>
      <c r="J2747" s="26">
        <v>35.0</v>
      </c>
      <c r="K2747" s="26">
        <v>10.0</v>
      </c>
      <c r="N2747" s="26" t="s">
        <v>1890</v>
      </c>
    </row>
    <row r="2748">
      <c r="A2748" s="25">
        <v>43381.47289625</v>
      </c>
      <c r="B2748" s="26" t="s">
        <v>371</v>
      </c>
      <c r="C2748" s="26" t="s">
        <v>372</v>
      </c>
      <c r="D2748" s="26" t="s">
        <v>31</v>
      </c>
      <c r="E2748" s="26">
        <v>185.0</v>
      </c>
      <c r="F2748" s="26" t="s">
        <v>459</v>
      </c>
      <c r="G2748" s="26">
        <v>10.0</v>
      </c>
      <c r="H2748" s="26">
        <v>8.0</v>
      </c>
      <c r="I2748" s="26">
        <v>142.0</v>
      </c>
      <c r="J2748" s="26">
        <v>28.0</v>
      </c>
      <c r="K2748" s="26">
        <v>15.0</v>
      </c>
      <c r="N2748" s="26" t="s">
        <v>1247</v>
      </c>
    </row>
    <row r="2749">
      <c r="A2749" s="25">
        <v>43381.47384265046</v>
      </c>
      <c r="B2749" s="26" t="s">
        <v>371</v>
      </c>
      <c r="C2749" s="26" t="s">
        <v>372</v>
      </c>
      <c r="D2749" s="26" t="s">
        <v>31</v>
      </c>
      <c r="E2749" s="26">
        <v>190.0</v>
      </c>
      <c r="F2749" s="26" t="s">
        <v>459</v>
      </c>
      <c r="G2749" s="26">
        <v>12.0</v>
      </c>
      <c r="H2749" s="26">
        <v>10.0</v>
      </c>
      <c r="I2749" s="26">
        <v>145.0</v>
      </c>
      <c r="J2749" s="26">
        <v>30.0</v>
      </c>
      <c r="K2749" s="26">
        <v>15.0</v>
      </c>
      <c r="N2749" s="26" t="s">
        <v>1244</v>
      </c>
    </row>
    <row r="2750">
      <c r="A2750" s="25">
        <v>43381.47451413194</v>
      </c>
      <c r="B2750" s="26" t="s">
        <v>371</v>
      </c>
      <c r="C2750" s="26" t="s">
        <v>372</v>
      </c>
      <c r="D2750" s="26" t="s">
        <v>31</v>
      </c>
      <c r="E2750" s="26">
        <v>195.0</v>
      </c>
      <c r="F2750" s="26" t="s">
        <v>453</v>
      </c>
      <c r="G2750" s="26">
        <v>10.0</v>
      </c>
      <c r="H2750" s="26">
        <v>9.0</v>
      </c>
      <c r="I2750" s="26">
        <v>150.0</v>
      </c>
      <c r="J2750" s="26">
        <v>30.0</v>
      </c>
      <c r="K2750" s="26">
        <v>15.0</v>
      </c>
      <c r="N2750" s="26" t="s">
        <v>1247</v>
      </c>
    </row>
    <row r="2751">
      <c r="A2751" s="25">
        <v>43381.48128638889</v>
      </c>
      <c r="B2751" s="26" t="s">
        <v>380</v>
      </c>
      <c r="C2751" s="26" t="s">
        <v>271</v>
      </c>
      <c r="D2751" s="26" t="s">
        <v>31</v>
      </c>
      <c r="E2751" s="26">
        <v>190.0</v>
      </c>
      <c r="F2751" s="26" t="s">
        <v>456</v>
      </c>
      <c r="G2751" s="26">
        <v>9.0</v>
      </c>
      <c r="H2751" s="26">
        <v>0.0</v>
      </c>
      <c r="I2751" s="26">
        <v>150.0</v>
      </c>
      <c r="J2751" s="26">
        <v>40.0</v>
      </c>
      <c r="N2751" s="26" t="s">
        <v>685</v>
      </c>
    </row>
    <row r="2752">
      <c r="A2752" s="25">
        <v>43381.518998113424</v>
      </c>
      <c r="B2752" s="26" t="s">
        <v>1891</v>
      </c>
      <c r="C2752" s="26" t="s">
        <v>1892</v>
      </c>
      <c r="D2752" s="26" t="s">
        <v>31</v>
      </c>
      <c r="E2752" s="26">
        <v>185.0</v>
      </c>
      <c r="F2752" s="26" t="s">
        <v>63</v>
      </c>
      <c r="G2752" s="26">
        <v>18.0</v>
      </c>
      <c r="H2752" s="26">
        <v>3.5</v>
      </c>
      <c r="N2752" s="26" t="s">
        <v>685</v>
      </c>
    </row>
    <row r="2753">
      <c r="A2753" s="25">
        <v>43381.51907631944</v>
      </c>
      <c r="B2753" s="26" t="s">
        <v>1893</v>
      </c>
      <c r="C2753" s="26" t="s">
        <v>191</v>
      </c>
      <c r="D2753" s="26" t="s">
        <v>31</v>
      </c>
      <c r="E2753" s="26">
        <v>105.0</v>
      </c>
      <c r="F2753" s="26" t="s">
        <v>134</v>
      </c>
      <c r="G2753" s="26">
        <v>0.0</v>
      </c>
      <c r="H2753" s="26">
        <v>0.0</v>
      </c>
      <c r="I2753" s="26">
        <v>105.0</v>
      </c>
      <c r="N2753" s="26" t="s">
        <v>699</v>
      </c>
    </row>
    <row r="2754">
      <c r="A2754" s="25">
        <v>43381.5876524537</v>
      </c>
      <c r="B2754" s="26" t="s">
        <v>40</v>
      </c>
      <c r="C2754" s="26">
        <v>64.0</v>
      </c>
      <c r="D2754" s="26" t="s">
        <v>41</v>
      </c>
      <c r="E2754" s="26">
        <v>270.0</v>
      </c>
      <c r="F2754" s="26" t="s">
        <v>35</v>
      </c>
      <c r="G2754" s="26">
        <v>11.0</v>
      </c>
      <c r="H2754" s="26">
        <v>2.0</v>
      </c>
      <c r="I2754" s="26">
        <v>150.0</v>
      </c>
      <c r="J2754" s="26">
        <v>100.0</v>
      </c>
      <c r="K2754" s="26">
        <v>30.0</v>
      </c>
      <c r="N2754" s="26" t="s">
        <v>685</v>
      </c>
    </row>
    <row r="2755">
      <c r="A2755" s="25">
        <v>43381.69478571759</v>
      </c>
      <c r="B2755" s="26" t="s">
        <v>33</v>
      </c>
      <c r="C2755" s="26" t="s">
        <v>43</v>
      </c>
      <c r="D2755" s="26" t="s">
        <v>31</v>
      </c>
      <c r="E2755" s="26">
        <v>185.0</v>
      </c>
      <c r="F2755" s="26" t="s">
        <v>35</v>
      </c>
      <c r="G2755" s="26">
        <v>2.0</v>
      </c>
      <c r="H2755" s="26">
        <v>2.0</v>
      </c>
      <c r="I2755" s="26">
        <v>133000.0</v>
      </c>
      <c r="J2755" s="26">
        <v>52000.0</v>
      </c>
      <c r="N2755" s="26" t="s">
        <v>685</v>
      </c>
    </row>
    <row r="2756">
      <c r="A2756" s="25">
        <v>43381.70954012731</v>
      </c>
      <c r="B2756" s="26" t="s">
        <v>1894</v>
      </c>
      <c r="C2756" s="26" t="s">
        <v>496</v>
      </c>
      <c r="D2756" s="26" t="s">
        <v>713</v>
      </c>
      <c r="E2756" s="26">
        <v>170.0</v>
      </c>
      <c r="F2756" s="26" t="s">
        <v>1895</v>
      </c>
      <c r="G2756" s="26">
        <v>15.0</v>
      </c>
      <c r="H2756" s="26">
        <v>5.0</v>
      </c>
      <c r="I2756" s="26">
        <v>170.0</v>
      </c>
      <c r="N2756" s="26" t="s">
        <v>1316</v>
      </c>
    </row>
    <row r="2757">
      <c r="A2757" s="25">
        <v>43381.76573546296</v>
      </c>
      <c r="B2757" s="26" t="s">
        <v>33</v>
      </c>
      <c r="C2757" s="26" t="s">
        <v>73</v>
      </c>
      <c r="D2757" s="26" t="s">
        <v>1896</v>
      </c>
      <c r="E2757" s="26">
        <v>135.0</v>
      </c>
      <c r="F2757" s="26" t="s">
        <v>35</v>
      </c>
      <c r="G2757" s="26">
        <v>4.0</v>
      </c>
      <c r="H2757" s="26">
        <v>1.0</v>
      </c>
      <c r="I2757" s="26">
        <v>95.0</v>
      </c>
      <c r="J2757" s="26">
        <v>25.0</v>
      </c>
      <c r="K2757" s="26">
        <v>15.0</v>
      </c>
      <c r="N2757" s="26" t="s">
        <v>1331</v>
      </c>
    </row>
    <row r="2758">
      <c r="A2758" s="25">
        <v>43381.78314663195</v>
      </c>
      <c r="B2758" s="26" t="s">
        <v>119</v>
      </c>
      <c r="C2758" s="26" t="s">
        <v>494</v>
      </c>
      <c r="D2758" s="26" t="s">
        <v>31</v>
      </c>
      <c r="E2758" s="26">
        <v>188.0</v>
      </c>
      <c r="F2758" s="26" t="s">
        <v>32</v>
      </c>
      <c r="G2758" s="26">
        <v>6.0</v>
      </c>
      <c r="H2758" s="26">
        <v>4.0</v>
      </c>
      <c r="I2758" s="26">
        <v>153.0</v>
      </c>
      <c r="J2758" s="26">
        <v>12.0</v>
      </c>
      <c r="K2758" s="26">
        <v>23.0</v>
      </c>
      <c r="N2758" s="26" t="s">
        <v>683</v>
      </c>
    </row>
    <row r="2759">
      <c r="A2759" s="25">
        <v>43381.78580247685</v>
      </c>
      <c r="B2759" s="26" t="s">
        <v>45</v>
      </c>
      <c r="C2759" s="26" t="s">
        <v>149</v>
      </c>
      <c r="D2759" s="26" t="s">
        <v>31</v>
      </c>
      <c r="E2759" s="26">
        <v>372.0</v>
      </c>
      <c r="F2759" s="26" t="s">
        <v>104</v>
      </c>
      <c r="G2759" s="26">
        <v>7.0</v>
      </c>
      <c r="H2759" s="26">
        <v>7.0</v>
      </c>
      <c r="I2759" s="26">
        <v>192.0</v>
      </c>
      <c r="J2759" s="26">
        <v>150.0</v>
      </c>
      <c r="K2759" s="26">
        <v>30.0</v>
      </c>
      <c r="N2759" s="26" t="s">
        <v>699</v>
      </c>
    </row>
    <row r="2760">
      <c r="A2760" s="25">
        <v>43381.80690498842</v>
      </c>
      <c r="B2760" s="26" t="s">
        <v>33</v>
      </c>
      <c r="C2760" s="26" t="s">
        <v>275</v>
      </c>
      <c r="D2760" s="26" t="s">
        <v>31</v>
      </c>
      <c r="E2760" s="26">
        <v>206.0</v>
      </c>
      <c r="F2760" s="26" t="s">
        <v>247</v>
      </c>
      <c r="G2760" s="26">
        <v>3.0</v>
      </c>
      <c r="H2760" s="26">
        <v>0.0</v>
      </c>
      <c r="I2760" s="26">
        <v>127.0</v>
      </c>
      <c r="J2760" s="26">
        <v>31.0</v>
      </c>
      <c r="K2760" s="26">
        <v>48.0</v>
      </c>
      <c r="N2760" s="26" t="s">
        <v>683</v>
      </c>
    </row>
    <row r="2761">
      <c r="A2761" s="25">
        <v>43381.842780798615</v>
      </c>
      <c r="B2761" s="26" t="s">
        <v>1897</v>
      </c>
      <c r="C2761" s="26" t="s">
        <v>37</v>
      </c>
      <c r="D2761" s="26" t="s">
        <v>31</v>
      </c>
      <c r="E2761" s="26">
        <v>157.0</v>
      </c>
      <c r="F2761" s="26" t="s">
        <v>35</v>
      </c>
      <c r="G2761" s="26">
        <v>12.0</v>
      </c>
      <c r="H2761" s="26">
        <v>4.0</v>
      </c>
      <c r="I2761" s="26">
        <v>125.0</v>
      </c>
      <c r="J2761" s="26">
        <v>12.0</v>
      </c>
      <c r="K2761" s="26">
        <v>20.0</v>
      </c>
      <c r="N2761" s="26" t="s">
        <v>1898</v>
      </c>
    </row>
    <row r="2762">
      <c r="A2762" s="25">
        <v>43381.84651545139</v>
      </c>
      <c r="B2762" s="26" t="s">
        <v>1240</v>
      </c>
      <c r="C2762" s="26" t="s">
        <v>1899</v>
      </c>
      <c r="D2762" s="26" t="s">
        <v>31</v>
      </c>
      <c r="E2762" s="26">
        <v>160.0</v>
      </c>
      <c r="F2762" s="26" t="s">
        <v>32</v>
      </c>
      <c r="G2762" s="26">
        <v>0.0</v>
      </c>
      <c r="H2762" s="26">
        <v>0.0</v>
      </c>
      <c r="I2762" s="26">
        <v>125.0</v>
      </c>
      <c r="J2762" s="26">
        <v>25.0</v>
      </c>
      <c r="K2762" s="26">
        <v>10.0</v>
      </c>
      <c r="N2762" s="26" t="s">
        <v>683</v>
      </c>
    </row>
    <row r="2763">
      <c r="A2763" s="25">
        <v>43381.87124555555</v>
      </c>
      <c r="B2763" s="26" t="s">
        <v>452</v>
      </c>
      <c r="C2763" s="26" t="s">
        <v>1348</v>
      </c>
      <c r="D2763" s="26" t="s">
        <v>1368</v>
      </c>
      <c r="E2763" s="26">
        <v>615.0</v>
      </c>
      <c r="F2763" s="26" t="s">
        <v>35</v>
      </c>
      <c r="G2763" s="26">
        <v>25.0</v>
      </c>
      <c r="H2763" s="26">
        <v>2.0</v>
      </c>
      <c r="I2763" s="26">
        <v>265.0</v>
      </c>
      <c r="J2763" s="26">
        <v>250.0</v>
      </c>
      <c r="K2763" s="26">
        <v>100.0</v>
      </c>
      <c r="N2763" s="26" t="s">
        <v>1368</v>
      </c>
    </row>
    <row r="2764">
      <c r="A2764" s="25">
        <v>43381.90379751158</v>
      </c>
      <c r="B2764" s="26" t="s">
        <v>40</v>
      </c>
      <c r="C2764" s="26">
        <v>65.0</v>
      </c>
      <c r="D2764" s="26" t="s">
        <v>713</v>
      </c>
      <c r="E2764" s="26">
        <v>290.0</v>
      </c>
      <c r="F2764" s="26" t="s">
        <v>1900</v>
      </c>
      <c r="G2764" s="26">
        <v>14.0</v>
      </c>
      <c r="H2764" s="26">
        <v>5.0</v>
      </c>
      <c r="I2764" s="26">
        <v>170.0</v>
      </c>
      <c r="J2764" s="26">
        <v>55.0</v>
      </c>
      <c r="K2764" s="26">
        <v>65.0</v>
      </c>
      <c r="N2764" s="26" t="s">
        <v>1252</v>
      </c>
    </row>
    <row r="2765">
      <c r="A2765" s="25">
        <v>43381.91169037037</v>
      </c>
      <c r="B2765" s="26" t="s">
        <v>119</v>
      </c>
      <c r="C2765" s="26" t="s">
        <v>120</v>
      </c>
      <c r="D2765" s="26" t="s">
        <v>41</v>
      </c>
      <c r="E2765" s="26">
        <v>240.0</v>
      </c>
      <c r="F2765" s="26" t="s">
        <v>32</v>
      </c>
      <c r="G2765" s="26">
        <v>10.0</v>
      </c>
      <c r="H2765" s="26">
        <v>8.0</v>
      </c>
      <c r="I2765" s="26">
        <v>180.0</v>
      </c>
      <c r="J2765" s="26">
        <v>30.0</v>
      </c>
      <c r="K2765" s="26">
        <v>30.0</v>
      </c>
      <c r="N2765" s="26" t="s">
        <v>683</v>
      </c>
    </row>
    <row r="2766">
      <c r="A2766" s="25">
        <v>43381.947801076385</v>
      </c>
      <c r="B2766" s="26" t="s">
        <v>33</v>
      </c>
      <c r="C2766" s="26" t="s">
        <v>43</v>
      </c>
      <c r="D2766" s="26" t="s">
        <v>27</v>
      </c>
      <c r="E2766" s="26">
        <v>140.0</v>
      </c>
      <c r="F2766" s="26" t="s">
        <v>35</v>
      </c>
      <c r="G2766" s="26">
        <v>4.0</v>
      </c>
      <c r="H2766" s="26">
        <v>2.5</v>
      </c>
      <c r="I2766" s="26">
        <v>111000.0</v>
      </c>
      <c r="J2766" s="26">
        <v>29000.0</v>
      </c>
      <c r="N2766" s="26" t="s">
        <v>708</v>
      </c>
    </row>
    <row r="2767">
      <c r="A2767" s="25">
        <v>43381.954288865745</v>
      </c>
      <c r="B2767" s="26" t="s">
        <v>119</v>
      </c>
      <c r="C2767" s="26" t="s">
        <v>484</v>
      </c>
      <c r="D2767" s="26" t="s">
        <v>31</v>
      </c>
      <c r="E2767" s="26">
        <v>175.0</v>
      </c>
      <c r="F2767" s="26" t="s">
        <v>1901</v>
      </c>
      <c r="G2767" s="26">
        <v>2.0</v>
      </c>
      <c r="H2767" s="26">
        <v>2.0</v>
      </c>
      <c r="I2767" s="26">
        <v>137.0</v>
      </c>
      <c r="J2767" s="26">
        <v>25.0</v>
      </c>
      <c r="K2767" s="26">
        <v>13.0</v>
      </c>
      <c r="N2767" s="26" t="s">
        <v>683</v>
      </c>
    </row>
    <row r="2768">
      <c r="A2768" s="25">
        <v>43381.95548809027</v>
      </c>
      <c r="B2768" s="26" t="s">
        <v>33</v>
      </c>
      <c r="C2768" s="26" t="s">
        <v>43</v>
      </c>
      <c r="D2768" s="26" t="s">
        <v>711</v>
      </c>
      <c r="E2768" s="26">
        <v>155.0</v>
      </c>
      <c r="F2768" s="26" t="s">
        <v>35</v>
      </c>
      <c r="G2768" s="26">
        <v>6.0</v>
      </c>
      <c r="H2768" s="26">
        <v>2.0</v>
      </c>
      <c r="I2768" s="26">
        <v>120000.0</v>
      </c>
      <c r="J2768" s="26">
        <v>35.0</v>
      </c>
      <c r="N2768" s="26" t="s">
        <v>1555</v>
      </c>
    </row>
    <row r="2769">
      <c r="A2769" s="25">
        <v>43381.97354041667</v>
      </c>
      <c r="B2769" s="26" t="s">
        <v>33</v>
      </c>
      <c r="C2769" s="26" t="s">
        <v>34</v>
      </c>
      <c r="D2769" s="26" t="s">
        <v>41</v>
      </c>
      <c r="E2769" s="26">
        <v>540.0</v>
      </c>
      <c r="F2769" s="26" t="s">
        <v>134</v>
      </c>
      <c r="G2769" s="26">
        <v>16.0</v>
      </c>
      <c r="H2769" s="26">
        <v>2.0</v>
      </c>
      <c r="N2769" s="26" t="s">
        <v>691</v>
      </c>
    </row>
    <row r="2770">
      <c r="A2770" s="25">
        <v>43381.98511451389</v>
      </c>
      <c r="B2770" s="26" t="s">
        <v>1902</v>
      </c>
      <c r="C2770" s="26" t="s">
        <v>386</v>
      </c>
      <c r="D2770" s="26" t="s">
        <v>31</v>
      </c>
      <c r="E2770" s="26">
        <v>250.0</v>
      </c>
      <c r="F2770" s="26" t="s">
        <v>63</v>
      </c>
      <c r="G2770" s="26">
        <v>15.0</v>
      </c>
      <c r="H2770" s="26">
        <v>5.0</v>
      </c>
      <c r="N2770" s="26" t="s">
        <v>715</v>
      </c>
    </row>
    <row r="2771">
      <c r="A2771" s="25">
        <v>43382.088116956016</v>
      </c>
      <c r="B2771" s="26" t="s">
        <v>36</v>
      </c>
      <c r="C2771" s="26" t="s">
        <v>96</v>
      </c>
      <c r="D2771" s="26" t="s">
        <v>31</v>
      </c>
      <c r="E2771" s="26">
        <v>442.0</v>
      </c>
      <c r="F2771" s="26" t="s">
        <v>58</v>
      </c>
      <c r="G2771" s="26">
        <v>6.0</v>
      </c>
      <c r="H2771" s="26">
        <v>3.0</v>
      </c>
      <c r="I2771" s="26">
        <v>172.0</v>
      </c>
      <c r="J2771" s="26">
        <v>251.0</v>
      </c>
      <c r="K2771" s="26">
        <v>20.0</v>
      </c>
      <c r="N2771" s="26" t="s">
        <v>683</v>
      </c>
    </row>
    <row r="2772">
      <c r="A2772" s="25">
        <v>43382.27199811343</v>
      </c>
      <c r="B2772" s="26" t="s">
        <v>64</v>
      </c>
      <c r="C2772" s="26" t="s">
        <v>494</v>
      </c>
      <c r="D2772" s="26" t="s">
        <v>31</v>
      </c>
      <c r="E2772" s="26">
        <v>200.0</v>
      </c>
      <c r="F2772" s="26" t="s">
        <v>175</v>
      </c>
      <c r="G2772" s="26">
        <v>8.0</v>
      </c>
      <c r="H2772" s="26">
        <v>4.0</v>
      </c>
      <c r="I2772" s="26">
        <v>150.0</v>
      </c>
      <c r="J2772" s="26">
        <v>30.0</v>
      </c>
      <c r="K2772" s="26">
        <v>20.0</v>
      </c>
      <c r="N2772" s="26" t="s">
        <v>704</v>
      </c>
    </row>
    <row r="2773">
      <c r="A2773" s="25">
        <v>43382.27580751157</v>
      </c>
      <c r="B2773" s="26" t="s">
        <v>1903</v>
      </c>
      <c r="C2773" s="26" t="s">
        <v>37</v>
      </c>
      <c r="D2773" s="26" t="s">
        <v>31</v>
      </c>
      <c r="E2773" s="26">
        <v>60.0</v>
      </c>
      <c r="F2773" s="26" t="s">
        <v>1904</v>
      </c>
      <c r="G2773" s="26">
        <v>10.0</v>
      </c>
      <c r="H2773" s="26">
        <v>2.0</v>
      </c>
      <c r="N2773" s="26" t="s">
        <v>696</v>
      </c>
    </row>
    <row r="2774">
      <c r="A2774" s="25">
        <v>43382.30321599537</v>
      </c>
      <c r="B2774" s="26" t="s">
        <v>80</v>
      </c>
      <c r="C2774" s="26" t="s">
        <v>430</v>
      </c>
      <c r="D2774" s="26" t="s">
        <v>31</v>
      </c>
      <c r="E2774" s="26">
        <v>300.0</v>
      </c>
      <c r="F2774" s="26" t="s">
        <v>63</v>
      </c>
      <c r="G2774" s="26">
        <v>8.0</v>
      </c>
      <c r="H2774" s="26">
        <v>2.0</v>
      </c>
      <c r="N2774" s="26" t="s">
        <v>696</v>
      </c>
    </row>
    <row r="2775">
      <c r="A2775" s="25">
        <v>43382.36738041667</v>
      </c>
      <c r="B2775" s="26" t="s">
        <v>1905</v>
      </c>
      <c r="C2775" s="26" t="s">
        <v>1906</v>
      </c>
      <c r="D2775" s="26" t="s">
        <v>1236</v>
      </c>
      <c r="E2775" s="26">
        <v>100.0</v>
      </c>
      <c r="F2775" s="26" t="s">
        <v>905</v>
      </c>
      <c r="G2775" s="26">
        <v>5.0</v>
      </c>
      <c r="H2775" s="26">
        <v>5.0</v>
      </c>
      <c r="N2775" s="26" t="s">
        <v>708</v>
      </c>
    </row>
    <row r="2776">
      <c r="A2776" s="25">
        <v>43382.394427962965</v>
      </c>
      <c r="B2776" s="26" t="s">
        <v>119</v>
      </c>
      <c r="C2776" s="26" t="s">
        <v>1227</v>
      </c>
      <c r="D2776" s="26" t="s">
        <v>1907</v>
      </c>
      <c r="E2776" s="26">
        <v>470.0</v>
      </c>
      <c r="F2776" s="26" t="s">
        <v>32</v>
      </c>
      <c r="G2776" s="26">
        <v>20.0</v>
      </c>
      <c r="H2776" s="26">
        <v>10.0</v>
      </c>
      <c r="I2776" s="26">
        <v>280.0</v>
      </c>
      <c r="J2776" s="26">
        <v>120.0</v>
      </c>
      <c r="K2776" s="26">
        <v>70.0</v>
      </c>
      <c r="N2776" s="26" t="s">
        <v>687</v>
      </c>
    </row>
    <row r="2777">
      <c r="A2777" s="25">
        <v>43382.406874050925</v>
      </c>
      <c r="B2777" s="26" t="s">
        <v>40</v>
      </c>
      <c r="C2777" s="26">
        <v>61.0</v>
      </c>
      <c r="D2777" s="26" t="s">
        <v>31</v>
      </c>
      <c r="E2777" s="26">
        <v>150.0</v>
      </c>
      <c r="F2777" s="26" t="s">
        <v>75</v>
      </c>
      <c r="G2777" s="26">
        <v>4.0</v>
      </c>
      <c r="H2777" s="26">
        <v>2.0</v>
      </c>
      <c r="I2777" s="26">
        <v>125.0</v>
      </c>
      <c r="J2777" s="26">
        <v>15.0</v>
      </c>
      <c r="K2777" s="26">
        <v>15.0</v>
      </c>
      <c r="N2777" s="26" t="s">
        <v>685</v>
      </c>
    </row>
    <row r="2778">
      <c r="A2778" s="25">
        <v>43382.42219295139</v>
      </c>
      <c r="B2778" s="26" t="s">
        <v>95</v>
      </c>
      <c r="C2778" s="26" t="s">
        <v>96</v>
      </c>
      <c r="D2778" s="26" t="s">
        <v>31</v>
      </c>
      <c r="E2778" s="26">
        <v>350.0</v>
      </c>
      <c r="F2778" s="26" t="s">
        <v>97</v>
      </c>
      <c r="G2778" s="26">
        <v>4.0</v>
      </c>
      <c r="H2778" s="26">
        <v>1.0</v>
      </c>
      <c r="N2778" s="26" t="s">
        <v>704</v>
      </c>
    </row>
    <row r="2779">
      <c r="A2779" s="25">
        <v>43382.46575349537</v>
      </c>
      <c r="B2779" s="26" t="s">
        <v>25</v>
      </c>
      <c r="C2779" s="26" t="s">
        <v>1908</v>
      </c>
      <c r="D2779" s="26" t="s">
        <v>1909</v>
      </c>
      <c r="E2779" s="26">
        <v>80.0</v>
      </c>
      <c r="F2779" s="26" t="s">
        <v>1776</v>
      </c>
      <c r="G2779" s="26">
        <v>2.0</v>
      </c>
      <c r="H2779" s="26">
        <v>2.0</v>
      </c>
      <c r="N2779" s="26" t="s">
        <v>726</v>
      </c>
    </row>
    <row r="2780">
      <c r="A2780" s="25">
        <v>43382.53283523148</v>
      </c>
      <c r="B2780" s="26" t="s">
        <v>1910</v>
      </c>
      <c r="C2780" s="26" t="s">
        <v>125</v>
      </c>
      <c r="D2780" s="26" t="s">
        <v>27</v>
      </c>
      <c r="E2780" s="26">
        <v>999.0</v>
      </c>
      <c r="F2780" s="26" t="s">
        <v>1911</v>
      </c>
      <c r="G2780" s="26">
        <v>14.0</v>
      </c>
      <c r="H2780" s="26">
        <v>6.0</v>
      </c>
      <c r="I2780" s="26">
        <v>250.0</v>
      </c>
      <c r="J2780" s="26">
        <v>500.0</v>
      </c>
      <c r="K2780" s="26">
        <v>249.0</v>
      </c>
      <c r="N2780" s="26" t="s">
        <v>1912</v>
      </c>
    </row>
    <row r="2781">
      <c r="A2781" s="25">
        <v>43382.54080625</v>
      </c>
      <c r="B2781" s="26" t="s">
        <v>40</v>
      </c>
      <c r="C2781" s="26">
        <v>61.0</v>
      </c>
      <c r="D2781" s="26" t="s">
        <v>31</v>
      </c>
      <c r="E2781" s="26">
        <v>191.0</v>
      </c>
      <c r="F2781" s="26" t="s">
        <v>75</v>
      </c>
      <c r="G2781" s="26">
        <v>2.0</v>
      </c>
      <c r="H2781" s="26">
        <v>2.0</v>
      </c>
      <c r="I2781" s="26">
        <v>128.0</v>
      </c>
      <c r="J2781" s="26">
        <v>47.0</v>
      </c>
      <c r="K2781" s="26">
        <v>14.0</v>
      </c>
      <c r="N2781" s="26" t="s">
        <v>1764</v>
      </c>
    </row>
    <row r="2782">
      <c r="A2782" s="25">
        <v>43382.59775266204</v>
      </c>
      <c r="B2782" s="26" t="s">
        <v>124</v>
      </c>
      <c r="C2782" s="26" t="s">
        <v>737</v>
      </c>
      <c r="D2782" s="26" t="s">
        <v>31</v>
      </c>
      <c r="E2782" s="26">
        <v>200.0</v>
      </c>
      <c r="F2782" s="26" t="s">
        <v>1115</v>
      </c>
      <c r="G2782" s="26">
        <v>20.0</v>
      </c>
      <c r="H2782" s="26">
        <v>19.0</v>
      </c>
      <c r="I2782" s="26">
        <v>150.0</v>
      </c>
      <c r="J2782" s="26">
        <v>25.0</v>
      </c>
      <c r="K2782" s="26">
        <v>25.0</v>
      </c>
      <c r="N2782" s="26" t="s">
        <v>683</v>
      </c>
    </row>
    <row r="2783">
      <c r="A2783" s="25">
        <v>43382.67145362269</v>
      </c>
      <c r="B2783" s="26" t="s">
        <v>33</v>
      </c>
      <c r="C2783" s="26" t="s">
        <v>43</v>
      </c>
      <c r="D2783" s="26" t="s">
        <v>31</v>
      </c>
      <c r="E2783" s="26">
        <v>188.0</v>
      </c>
      <c r="F2783" s="26" t="s">
        <v>35</v>
      </c>
      <c r="G2783" s="26">
        <v>10.0</v>
      </c>
      <c r="H2783" s="26">
        <v>1.0</v>
      </c>
      <c r="I2783" s="26">
        <v>138.0</v>
      </c>
      <c r="J2783" s="26">
        <v>40.0</v>
      </c>
      <c r="K2783" s="26">
        <v>10.0</v>
      </c>
      <c r="N2783" s="26" t="s">
        <v>685</v>
      </c>
    </row>
    <row r="2784">
      <c r="A2784" s="25">
        <v>43382.68944174769</v>
      </c>
      <c r="B2784" s="26" t="s">
        <v>319</v>
      </c>
      <c r="C2784" s="26">
        <v>7.0</v>
      </c>
      <c r="D2784" s="26" t="s">
        <v>31</v>
      </c>
      <c r="E2784" s="26">
        <v>125.0</v>
      </c>
      <c r="F2784" s="26" t="s">
        <v>238</v>
      </c>
      <c r="G2784" s="26">
        <v>0.0</v>
      </c>
      <c r="H2784" s="26">
        <v>0.0</v>
      </c>
      <c r="N2784" s="26" t="s">
        <v>704</v>
      </c>
    </row>
    <row r="2785">
      <c r="A2785" s="25">
        <v>43382.760242812496</v>
      </c>
      <c r="B2785" s="26" t="s">
        <v>33</v>
      </c>
      <c r="C2785" s="26" t="s">
        <v>73</v>
      </c>
      <c r="D2785" s="26" t="s">
        <v>31</v>
      </c>
      <c r="E2785" s="26">
        <v>120.0</v>
      </c>
      <c r="F2785" s="26" t="s">
        <v>1855</v>
      </c>
      <c r="G2785" s="26">
        <v>2.0</v>
      </c>
      <c r="H2785" s="26">
        <v>2.0</v>
      </c>
      <c r="N2785" s="26" t="s">
        <v>685</v>
      </c>
    </row>
    <row r="2786">
      <c r="A2786" s="25">
        <v>43382.77741487269</v>
      </c>
      <c r="B2786" s="26" t="s">
        <v>1913</v>
      </c>
      <c r="C2786" s="26" t="s">
        <v>37</v>
      </c>
      <c r="D2786" s="26" t="s">
        <v>306</v>
      </c>
      <c r="E2786" s="26">
        <v>230.0</v>
      </c>
      <c r="F2786" s="26" t="s">
        <v>571</v>
      </c>
      <c r="G2786" s="26">
        <v>8.0</v>
      </c>
      <c r="H2786" s="26">
        <v>3.0</v>
      </c>
      <c r="I2786" s="26">
        <v>165.0</v>
      </c>
      <c r="J2786" s="26">
        <v>20.0</v>
      </c>
      <c r="K2786" s="26">
        <v>45.0</v>
      </c>
      <c r="N2786" s="26" t="s">
        <v>1777</v>
      </c>
    </row>
    <row r="2787">
      <c r="A2787" s="25">
        <v>43382.78689596065</v>
      </c>
      <c r="B2787" s="26" t="s">
        <v>33</v>
      </c>
      <c r="C2787" s="26" t="s">
        <v>43</v>
      </c>
      <c r="D2787" s="26" t="s">
        <v>31</v>
      </c>
      <c r="E2787" s="26">
        <v>300.0</v>
      </c>
      <c r="F2787" s="26" t="s">
        <v>35</v>
      </c>
      <c r="G2787" s="26">
        <v>15.0</v>
      </c>
      <c r="H2787" s="26">
        <v>4.0</v>
      </c>
      <c r="I2787" s="26">
        <v>167.0</v>
      </c>
      <c r="J2787" s="26">
        <v>53.0</v>
      </c>
      <c r="K2787" s="26">
        <v>80.0</v>
      </c>
      <c r="N2787" s="26" t="s">
        <v>685</v>
      </c>
    </row>
    <row r="2788">
      <c r="A2788" s="25">
        <v>43382.81344537037</v>
      </c>
      <c r="B2788" s="26" t="s">
        <v>33</v>
      </c>
      <c r="C2788" s="26" t="s">
        <v>62</v>
      </c>
      <c r="D2788" s="26" t="s">
        <v>1914</v>
      </c>
      <c r="E2788" s="26">
        <v>200.0</v>
      </c>
      <c r="F2788" s="26" t="s">
        <v>136</v>
      </c>
      <c r="G2788" s="26">
        <v>10.0</v>
      </c>
      <c r="H2788" s="26">
        <v>3.0</v>
      </c>
      <c r="I2788" s="26">
        <v>115.0</v>
      </c>
      <c r="J2788" s="26">
        <v>80.0</v>
      </c>
      <c r="K2788" s="26">
        <v>5.0</v>
      </c>
      <c r="N2788" s="26" t="s">
        <v>1915</v>
      </c>
    </row>
    <row r="2789">
      <c r="A2789" s="25">
        <v>43382.84891741898</v>
      </c>
      <c r="B2789" s="26" t="s">
        <v>40</v>
      </c>
      <c r="C2789" s="26">
        <v>62.0</v>
      </c>
      <c r="D2789" s="26" t="s">
        <v>31</v>
      </c>
      <c r="E2789" s="26">
        <v>217.0</v>
      </c>
      <c r="F2789" s="26" t="s">
        <v>86</v>
      </c>
      <c r="G2789" s="26">
        <v>5.0</v>
      </c>
      <c r="H2789" s="26">
        <v>1.0</v>
      </c>
      <c r="I2789" s="26">
        <v>154.0</v>
      </c>
      <c r="J2789" s="26">
        <v>38.0</v>
      </c>
      <c r="K2789" s="26">
        <v>26.0</v>
      </c>
      <c r="N2789" s="26" t="s">
        <v>685</v>
      </c>
    </row>
    <row r="2790">
      <c r="A2790" s="25">
        <v>43382.87284091435</v>
      </c>
      <c r="B2790" s="26" t="s">
        <v>36</v>
      </c>
      <c r="C2790" s="26" t="s">
        <v>73</v>
      </c>
      <c r="D2790" s="26" t="s">
        <v>27</v>
      </c>
      <c r="E2790" s="26">
        <v>340.0</v>
      </c>
      <c r="F2790" s="26" t="s">
        <v>58</v>
      </c>
      <c r="G2790" s="26">
        <v>5.0</v>
      </c>
      <c r="H2790" s="26">
        <v>2.0</v>
      </c>
      <c r="I2790" s="26">
        <v>160.0</v>
      </c>
      <c r="J2790" s="26">
        <v>180.0</v>
      </c>
      <c r="N2790" s="26" t="s">
        <v>683</v>
      </c>
    </row>
    <row r="2791">
      <c r="A2791" s="25">
        <v>43382.881758738426</v>
      </c>
      <c r="B2791" s="26" t="s">
        <v>33</v>
      </c>
      <c r="C2791" s="26" t="s">
        <v>73</v>
      </c>
      <c r="D2791" s="26" t="s">
        <v>711</v>
      </c>
      <c r="E2791" s="26">
        <v>125.0</v>
      </c>
      <c r="F2791" s="26" t="s">
        <v>35</v>
      </c>
      <c r="G2791" s="26">
        <v>3.0</v>
      </c>
      <c r="H2791" s="26">
        <v>1.0</v>
      </c>
      <c r="N2791" s="26" t="s">
        <v>691</v>
      </c>
    </row>
    <row r="2792">
      <c r="A2792" s="25">
        <v>43382.90730467593</v>
      </c>
      <c r="B2792" s="26" t="s">
        <v>1916</v>
      </c>
      <c r="C2792" s="26">
        <v>5.0</v>
      </c>
      <c r="D2792" s="26" t="s">
        <v>31</v>
      </c>
      <c r="E2792" s="26">
        <v>110.0</v>
      </c>
      <c r="F2792" s="26" t="s">
        <v>58</v>
      </c>
      <c r="G2792" s="26">
        <v>10.0</v>
      </c>
      <c r="H2792" s="26">
        <v>3.0</v>
      </c>
      <c r="N2792" s="26" t="s">
        <v>683</v>
      </c>
    </row>
    <row r="2793">
      <c r="A2793" s="25">
        <v>43382.95496752315</v>
      </c>
      <c r="B2793" s="26" t="s">
        <v>80</v>
      </c>
      <c r="C2793" s="26" t="s">
        <v>430</v>
      </c>
      <c r="D2793" s="26" t="s">
        <v>31</v>
      </c>
      <c r="E2793" s="26">
        <v>300.0</v>
      </c>
      <c r="F2793" s="26" t="s">
        <v>432</v>
      </c>
      <c r="G2793" s="26">
        <v>4.0</v>
      </c>
      <c r="H2793" s="26">
        <v>3.0</v>
      </c>
      <c r="I2793" s="26">
        <v>129.0</v>
      </c>
      <c r="J2793" s="26">
        <v>151.0</v>
      </c>
      <c r="K2793" s="26">
        <v>20.0</v>
      </c>
      <c r="N2793" s="26" t="s">
        <v>691</v>
      </c>
    </row>
    <row r="2794">
      <c r="A2794" s="25">
        <v>43383.06306112268</v>
      </c>
      <c r="B2794" s="26" t="s">
        <v>45</v>
      </c>
      <c r="C2794" s="26" t="s">
        <v>116</v>
      </c>
      <c r="D2794" s="26" t="s">
        <v>711</v>
      </c>
      <c r="E2794" s="26">
        <v>322.0</v>
      </c>
      <c r="F2794" s="26" t="s">
        <v>92</v>
      </c>
      <c r="G2794" s="26">
        <v>6.0</v>
      </c>
      <c r="H2794" s="26">
        <v>2.0</v>
      </c>
      <c r="I2794" s="26">
        <v>176.0</v>
      </c>
      <c r="N2794" s="26" t="s">
        <v>691</v>
      </c>
    </row>
    <row r="2795">
      <c r="A2795" s="25">
        <v>43383.14556359954</v>
      </c>
      <c r="B2795" s="26" t="s">
        <v>40</v>
      </c>
      <c r="C2795" s="26">
        <v>64.0</v>
      </c>
      <c r="D2795" s="26" t="s">
        <v>31</v>
      </c>
      <c r="E2795" s="26">
        <v>328.0</v>
      </c>
      <c r="F2795" s="26" t="s">
        <v>35</v>
      </c>
      <c r="G2795" s="26">
        <v>6.0</v>
      </c>
      <c r="H2795" s="26">
        <v>6.0</v>
      </c>
      <c r="I2795" s="26">
        <v>177.0</v>
      </c>
      <c r="J2795" s="26">
        <v>109.0</v>
      </c>
      <c r="K2795" s="26">
        <v>42.0</v>
      </c>
      <c r="L2795" s="26" t="s">
        <v>1917</v>
      </c>
      <c r="N2795" s="26" t="s">
        <v>683</v>
      </c>
    </row>
    <row r="2796">
      <c r="A2796" s="25">
        <v>43383.30182864583</v>
      </c>
      <c r="B2796" s="26" t="s">
        <v>80</v>
      </c>
      <c r="C2796" s="26" t="s">
        <v>504</v>
      </c>
      <c r="D2796" s="26" t="s">
        <v>27</v>
      </c>
      <c r="E2796" s="26">
        <v>740.0</v>
      </c>
      <c r="F2796" s="26" t="s">
        <v>63</v>
      </c>
      <c r="G2796" s="26">
        <v>16.0</v>
      </c>
      <c r="H2796" s="26">
        <v>1.0</v>
      </c>
      <c r="N2796" s="26" t="s">
        <v>757</v>
      </c>
    </row>
    <row r="2797">
      <c r="A2797" s="25">
        <v>43383.30336792824</v>
      </c>
      <c r="B2797" s="26" t="s">
        <v>40</v>
      </c>
      <c r="C2797" s="26">
        <v>64.0</v>
      </c>
      <c r="D2797" s="26" t="s">
        <v>31</v>
      </c>
      <c r="E2797" s="26">
        <v>275.0</v>
      </c>
      <c r="F2797" s="26" t="s">
        <v>758</v>
      </c>
      <c r="G2797" s="26">
        <v>11.0</v>
      </c>
      <c r="H2797" s="26">
        <v>6.0</v>
      </c>
      <c r="N2797" s="26" t="s">
        <v>696</v>
      </c>
    </row>
    <row r="2798">
      <c r="A2798" s="25">
        <v>43383.31542263889</v>
      </c>
      <c r="B2798" s="26" t="s">
        <v>1918</v>
      </c>
      <c r="C2798" s="26" t="s">
        <v>1919</v>
      </c>
      <c r="D2798" s="26" t="s">
        <v>27</v>
      </c>
      <c r="E2798" s="26">
        <v>105.0</v>
      </c>
      <c r="F2798" s="26" t="s">
        <v>94</v>
      </c>
      <c r="G2798" s="26">
        <v>3.0</v>
      </c>
      <c r="H2798" s="26">
        <v>4.0</v>
      </c>
      <c r="I2798" s="26">
        <v>105.0</v>
      </c>
      <c r="N2798" s="26" t="s">
        <v>687</v>
      </c>
    </row>
    <row r="2799">
      <c r="A2799" s="25">
        <v>43383.373825069444</v>
      </c>
      <c r="B2799" s="26" t="s">
        <v>1920</v>
      </c>
      <c r="C2799" s="26" t="s">
        <v>1921</v>
      </c>
      <c r="D2799" s="26" t="s">
        <v>31</v>
      </c>
      <c r="E2799" s="26">
        <v>97.0</v>
      </c>
      <c r="F2799" s="26" t="s">
        <v>1922</v>
      </c>
      <c r="G2799" s="26">
        <v>2.0</v>
      </c>
      <c r="H2799" s="26">
        <v>2.0</v>
      </c>
      <c r="I2799" s="26">
        <v>92.0</v>
      </c>
      <c r="K2799" s="26">
        <v>5.0</v>
      </c>
      <c r="N2799" s="26" t="s">
        <v>683</v>
      </c>
    </row>
    <row r="2800">
      <c r="A2800" s="25">
        <v>43383.38909143519</v>
      </c>
      <c r="B2800" s="26" t="s">
        <v>1920</v>
      </c>
      <c r="C2800" s="26" t="s">
        <v>1923</v>
      </c>
      <c r="D2800" s="26" t="s">
        <v>1924</v>
      </c>
      <c r="E2800" s="26">
        <v>240.0</v>
      </c>
      <c r="F2800" s="26" t="s">
        <v>1925</v>
      </c>
      <c r="G2800" s="26">
        <v>18.0</v>
      </c>
      <c r="H2800" s="26">
        <v>3.0</v>
      </c>
      <c r="I2800" s="26">
        <v>157.0</v>
      </c>
      <c r="J2800" s="26">
        <v>34.0</v>
      </c>
      <c r="K2800" s="26">
        <v>50.0</v>
      </c>
      <c r="N2800" s="26" t="s">
        <v>683</v>
      </c>
    </row>
    <row r="2801">
      <c r="A2801" s="25">
        <v>43383.41673157408</v>
      </c>
      <c r="B2801" s="26" t="s">
        <v>33</v>
      </c>
      <c r="C2801" s="26" t="s">
        <v>73</v>
      </c>
      <c r="D2801" s="26" t="s">
        <v>31</v>
      </c>
      <c r="E2801" s="26">
        <v>172.0</v>
      </c>
      <c r="F2801" s="26" t="s">
        <v>35</v>
      </c>
      <c r="G2801" s="26">
        <v>2.0</v>
      </c>
      <c r="H2801" s="26">
        <v>0.0</v>
      </c>
      <c r="I2801" s="26">
        <v>140.0</v>
      </c>
      <c r="J2801" s="26">
        <v>2.0</v>
      </c>
      <c r="K2801" s="26">
        <v>30.0</v>
      </c>
      <c r="L2801" s="26" t="s">
        <v>1926</v>
      </c>
      <c r="N2801" s="26" t="s">
        <v>685</v>
      </c>
    </row>
    <row r="2802">
      <c r="A2802" s="25">
        <v>43383.431941030096</v>
      </c>
      <c r="B2802" s="26" t="s">
        <v>40</v>
      </c>
      <c r="C2802" s="26">
        <v>63.0</v>
      </c>
      <c r="D2802" s="26" t="s">
        <v>31</v>
      </c>
      <c r="E2802" s="26">
        <v>187.0</v>
      </c>
      <c r="F2802" s="26" t="s">
        <v>75</v>
      </c>
      <c r="G2802" s="26">
        <v>10.0</v>
      </c>
      <c r="H2802" s="26">
        <v>5.0</v>
      </c>
      <c r="I2802" s="26">
        <v>149.0</v>
      </c>
      <c r="J2802" s="26">
        <v>20.0</v>
      </c>
      <c r="K2802" s="26">
        <v>18.0</v>
      </c>
      <c r="N2802" s="26" t="s">
        <v>1261</v>
      </c>
    </row>
    <row r="2803">
      <c r="A2803" s="25">
        <v>43383.44864304399</v>
      </c>
      <c r="B2803" s="26" t="s">
        <v>45</v>
      </c>
      <c r="C2803" s="26" t="s">
        <v>116</v>
      </c>
      <c r="D2803" s="26" t="s">
        <v>1927</v>
      </c>
      <c r="E2803" s="26">
        <v>251.0</v>
      </c>
      <c r="F2803" s="26" t="s">
        <v>104</v>
      </c>
      <c r="G2803" s="26">
        <v>8.0</v>
      </c>
      <c r="H2803" s="26">
        <v>4.0</v>
      </c>
      <c r="I2803" s="26">
        <v>133.0</v>
      </c>
      <c r="J2803" s="26">
        <v>100.0</v>
      </c>
      <c r="K2803" s="26">
        <v>18.0</v>
      </c>
      <c r="N2803" s="26" t="s">
        <v>1928</v>
      </c>
    </row>
    <row r="2804">
      <c r="A2804" s="25">
        <v>43383.485786296296</v>
      </c>
      <c r="B2804" s="26" t="s">
        <v>1929</v>
      </c>
      <c r="C2804" s="26" t="s">
        <v>1274</v>
      </c>
      <c r="D2804" s="26" t="s">
        <v>27</v>
      </c>
      <c r="E2804" s="26">
        <v>65.0</v>
      </c>
      <c r="F2804" s="26" t="s">
        <v>94</v>
      </c>
      <c r="G2804" s="26">
        <v>3.0</v>
      </c>
      <c r="H2804" s="26">
        <v>1.0</v>
      </c>
      <c r="I2804" s="26">
        <v>65000.0</v>
      </c>
      <c r="K2804" s="26">
        <v>6500.0</v>
      </c>
      <c r="N2804" s="26" t="s">
        <v>757</v>
      </c>
    </row>
    <row r="2805">
      <c r="A2805" s="25">
        <v>43383.488874131945</v>
      </c>
      <c r="B2805" s="26" t="s">
        <v>40</v>
      </c>
      <c r="C2805" s="26">
        <v>61.0</v>
      </c>
      <c r="D2805" s="26" t="s">
        <v>31</v>
      </c>
      <c r="E2805" s="26">
        <v>147.0</v>
      </c>
      <c r="F2805" s="26" t="s">
        <v>75</v>
      </c>
      <c r="G2805" s="26">
        <v>7.0</v>
      </c>
      <c r="H2805" s="26">
        <v>2.0</v>
      </c>
      <c r="I2805" s="26">
        <v>115.0</v>
      </c>
      <c r="J2805" s="26">
        <v>17.0</v>
      </c>
      <c r="K2805" s="26">
        <v>15.0</v>
      </c>
      <c r="N2805" s="26" t="s">
        <v>1261</v>
      </c>
    </row>
    <row r="2806">
      <c r="A2806" s="25">
        <v>43383.55550832176</v>
      </c>
      <c r="B2806" s="27" t="s">
        <v>700</v>
      </c>
      <c r="C2806" s="26" t="s">
        <v>1930</v>
      </c>
      <c r="D2806" s="26" t="s">
        <v>31</v>
      </c>
      <c r="E2806" s="26">
        <v>152.0</v>
      </c>
      <c r="F2806" s="26" t="s">
        <v>761</v>
      </c>
      <c r="G2806" s="26">
        <v>2.0</v>
      </c>
      <c r="H2806" s="26">
        <v>1.0</v>
      </c>
      <c r="I2806" s="26">
        <v>86.0</v>
      </c>
      <c r="J2806" s="26">
        <v>40.0</v>
      </c>
      <c r="K2806" s="26">
        <v>26.0</v>
      </c>
      <c r="L2806" s="26" t="s">
        <v>1931</v>
      </c>
      <c r="N2806" s="26" t="s">
        <v>683</v>
      </c>
    </row>
    <row r="2807">
      <c r="A2807" s="25">
        <v>43383.597874178246</v>
      </c>
      <c r="B2807" s="26" t="s">
        <v>48</v>
      </c>
      <c r="C2807" s="26" t="s">
        <v>166</v>
      </c>
      <c r="D2807" s="26" t="s">
        <v>31</v>
      </c>
      <c r="E2807" s="26">
        <v>195.0</v>
      </c>
      <c r="F2807" s="26" t="s">
        <v>32</v>
      </c>
      <c r="G2807" s="26">
        <v>8.0</v>
      </c>
      <c r="H2807" s="26">
        <v>2.0</v>
      </c>
      <c r="N2807" s="26" t="s">
        <v>685</v>
      </c>
    </row>
    <row r="2808">
      <c r="A2808" s="25">
        <v>43383.646131030095</v>
      </c>
      <c r="B2808" s="26" t="s">
        <v>268</v>
      </c>
      <c r="C2808" s="26" t="s">
        <v>1198</v>
      </c>
      <c r="D2808" s="26" t="s">
        <v>31</v>
      </c>
      <c r="E2808" s="26">
        <v>150.0</v>
      </c>
      <c r="F2808" s="26" t="s">
        <v>1932</v>
      </c>
      <c r="G2808" s="26">
        <v>8.0</v>
      </c>
      <c r="H2808" s="26">
        <v>2.0</v>
      </c>
      <c r="I2808" s="26">
        <v>130.0</v>
      </c>
      <c r="K2808" s="26">
        <v>20.0</v>
      </c>
      <c r="N2808" s="26" t="s">
        <v>699</v>
      </c>
    </row>
    <row r="2809">
      <c r="A2809" s="25">
        <v>43383.647309259264</v>
      </c>
      <c r="B2809" s="26" t="s">
        <v>64</v>
      </c>
      <c r="C2809" s="26" t="s">
        <v>206</v>
      </c>
      <c r="D2809" s="26" t="s">
        <v>31</v>
      </c>
      <c r="E2809" s="26">
        <v>205.0</v>
      </c>
      <c r="F2809" s="26" t="s">
        <v>35</v>
      </c>
      <c r="G2809" s="26">
        <v>10.0</v>
      </c>
      <c r="H2809" s="26">
        <v>0.0</v>
      </c>
      <c r="I2809" s="26">
        <v>132.0</v>
      </c>
      <c r="J2809" s="26">
        <v>65.0</v>
      </c>
      <c r="K2809" s="26">
        <v>8.0</v>
      </c>
      <c r="N2809" s="26" t="s">
        <v>685</v>
      </c>
    </row>
    <row r="2810">
      <c r="A2810" s="25">
        <v>43383.70288673611</v>
      </c>
      <c r="B2810" s="26" t="s">
        <v>33</v>
      </c>
      <c r="C2810" s="26" t="s">
        <v>1061</v>
      </c>
      <c r="D2810" s="26" t="s">
        <v>41</v>
      </c>
      <c r="E2810" s="26">
        <v>350.0</v>
      </c>
      <c r="F2810" s="26" t="s">
        <v>35</v>
      </c>
      <c r="G2810" s="26">
        <v>13.0</v>
      </c>
      <c r="H2810" s="26">
        <v>1.0</v>
      </c>
      <c r="I2810" s="26">
        <v>160.0</v>
      </c>
      <c r="J2810" s="26">
        <v>90.0</v>
      </c>
      <c r="K2810" s="26">
        <v>100.0</v>
      </c>
      <c r="N2810" s="26" t="s">
        <v>685</v>
      </c>
    </row>
    <row r="2811">
      <c r="A2811" s="25">
        <v>43383.71328527778</v>
      </c>
      <c r="B2811" s="26" t="s">
        <v>33</v>
      </c>
      <c r="C2811" s="26" t="s">
        <v>43</v>
      </c>
      <c r="D2811" s="26" t="s">
        <v>1933</v>
      </c>
      <c r="E2811" s="26">
        <v>176.0</v>
      </c>
      <c r="F2811" s="26" t="s">
        <v>32</v>
      </c>
      <c r="G2811" s="26">
        <v>8.0</v>
      </c>
      <c r="H2811" s="26">
        <v>1.0</v>
      </c>
      <c r="I2811" s="26">
        <v>136.0</v>
      </c>
      <c r="J2811" s="26">
        <v>25.0</v>
      </c>
      <c r="K2811" s="26">
        <v>15.0</v>
      </c>
      <c r="N2811" s="26" t="s">
        <v>1934</v>
      </c>
    </row>
    <row r="2812">
      <c r="A2812" s="25">
        <v>43383.73138932871</v>
      </c>
      <c r="B2812" s="26" t="s">
        <v>1935</v>
      </c>
      <c r="C2812" s="26" t="s">
        <v>1936</v>
      </c>
      <c r="D2812" s="26" t="s">
        <v>31</v>
      </c>
      <c r="E2812" s="26">
        <v>168.0</v>
      </c>
      <c r="F2812" s="26" t="s">
        <v>58</v>
      </c>
      <c r="G2812" s="26">
        <v>15.0</v>
      </c>
      <c r="H2812" s="26">
        <v>6.0</v>
      </c>
      <c r="I2812" s="26">
        <v>153.0</v>
      </c>
      <c r="K2812" s="26">
        <v>15.0</v>
      </c>
      <c r="N2812" s="26" t="s">
        <v>683</v>
      </c>
    </row>
    <row r="2813">
      <c r="A2813" s="25">
        <v>43383.77285954861</v>
      </c>
      <c r="B2813" s="26" t="s">
        <v>1937</v>
      </c>
      <c r="C2813" s="26" t="s">
        <v>1938</v>
      </c>
      <c r="D2813" s="26" t="s">
        <v>27</v>
      </c>
      <c r="E2813" s="26">
        <v>60.0</v>
      </c>
      <c r="F2813" s="26" t="s">
        <v>1855</v>
      </c>
      <c r="G2813" s="26">
        <v>6.0</v>
      </c>
      <c r="H2813" s="26">
        <v>1.0</v>
      </c>
      <c r="N2813" s="26" t="s">
        <v>683</v>
      </c>
    </row>
    <row r="2814">
      <c r="A2814" s="25">
        <v>43383.88559791667</v>
      </c>
      <c r="B2814" s="26" t="s">
        <v>80</v>
      </c>
      <c r="C2814" s="26" t="s">
        <v>73</v>
      </c>
      <c r="D2814" s="26" t="s">
        <v>1832</v>
      </c>
      <c r="E2814" s="26">
        <v>245.0</v>
      </c>
      <c r="F2814" s="26" t="s">
        <v>51</v>
      </c>
      <c r="G2814" s="26">
        <v>8.0</v>
      </c>
      <c r="H2814" s="26">
        <v>2.0</v>
      </c>
      <c r="I2814" s="26">
        <v>150.0</v>
      </c>
      <c r="J2814" s="26">
        <v>72.0</v>
      </c>
      <c r="K2814" s="26">
        <v>22.0</v>
      </c>
      <c r="N2814" s="26" t="s">
        <v>726</v>
      </c>
    </row>
    <row r="2815">
      <c r="A2815" s="25">
        <v>43383.911199305556</v>
      </c>
      <c r="B2815" s="26" t="s">
        <v>33</v>
      </c>
      <c r="C2815" s="26" t="s">
        <v>43</v>
      </c>
      <c r="D2815" s="26" t="s">
        <v>31</v>
      </c>
      <c r="E2815" s="26">
        <v>200.0</v>
      </c>
      <c r="F2815" s="26" t="s">
        <v>35</v>
      </c>
      <c r="G2815" s="26">
        <v>3.0</v>
      </c>
      <c r="H2815" s="26">
        <v>3.0</v>
      </c>
      <c r="I2815" s="26">
        <v>134.0</v>
      </c>
      <c r="J2815" s="26">
        <v>70.0</v>
      </c>
      <c r="N2815" s="26" t="s">
        <v>704</v>
      </c>
    </row>
    <row r="2816">
      <c r="A2816" s="25">
        <v>43383.93789763888</v>
      </c>
      <c r="B2816" s="26" t="s">
        <v>40</v>
      </c>
      <c r="C2816" s="26">
        <v>61.0</v>
      </c>
      <c r="D2816" s="26" t="s">
        <v>31</v>
      </c>
      <c r="E2816" s="26">
        <v>220.0</v>
      </c>
      <c r="F2816" s="26" t="s">
        <v>63</v>
      </c>
      <c r="G2816" s="26">
        <v>2.0</v>
      </c>
      <c r="H2816" s="26">
        <v>2.0</v>
      </c>
      <c r="I2816" s="26">
        <v>135.0</v>
      </c>
      <c r="J2816" s="26">
        <v>60.0</v>
      </c>
      <c r="K2816" s="26">
        <v>25.0</v>
      </c>
      <c r="N2816" s="26" t="s">
        <v>704</v>
      </c>
    </row>
    <row r="2817">
      <c r="A2817" s="25">
        <v>43383.96082931713</v>
      </c>
      <c r="B2817" s="26" t="s">
        <v>263</v>
      </c>
      <c r="C2817" s="26" t="s">
        <v>125</v>
      </c>
      <c r="D2817" s="26" t="s">
        <v>31</v>
      </c>
      <c r="E2817" s="26">
        <v>310.0</v>
      </c>
      <c r="F2817" s="26" t="s">
        <v>63</v>
      </c>
      <c r="G2817" s="26">
        <v>25.0</v>
      </c>
      <c r="H2817" s="26">
        <v>0.0</v>
      </c>
      <c r="I2817" s="26">
        <v>190.0</v>
      </c>
      <c r="J2817" s="26">
        <v>100.0</v>
      </c>
      <c r="K2817" s="26">
        <v>20.0</v>
      </c>
      <c r="N2817" s="26" t="s">
        <v>685</v>
      </c>
    </row>
    <row r="2818">
      <c r="A2818" s="25">
        <v>43384.25890114583</v>
      </c>
      <c r="B2818" s="26" t="s">
        <v>119</v>
      </c>
      <c r="C2818" s="26" t="s">
        <v>1791</v>
      </c>
      <c r="D2818" s="26" t="s">
        <v>31</v>
      </c>
      <c r="E2818" s="26">
        <v>164.0</v>
      </c>
      <c r="F2818" s="26" t="s">
        <v>32</v>
      </c>
      <c r="G2818" s="26">
        <v>2.0</v>
      </c>
      <c r="H2818" s="26">
        <v>0.0</v>
      </c>
      <c r="I2818" s="26">
        <v>130.0</v>
      </c>
      <c r="J2818" s="26">
        <v>21.0</v>
      </c>
      <c r="K2818" s="26">
        <v>13.0</v>
      </c>
      <c r="N2818" s="26" t="s">
        <v>685</v>
      </c>
    </row>
    <row r="2819">
      <c r="A2819" s="25">
        <v>43384.32230605324</v>
      </c>
      <c r="B2819" s="26" t="s">
        <v>80</v>
      </c>
      <c r="C2819" s="26" t="s">
        <v>26</v>
      </c>
      <c r="D2819" s="26" t="s">
        <v>31</v>
      </c>
      <c r="E2819" s="26">
        <v>183.0</v>
      </c>
      <c r="F2819" s="26" t="s">
        <v>51</v>
      </c>
      <c r="G2819" s="26">
        <v>1.0</v>
      </c>
      <c r="H2819" s="26">
        <v>0.0</v>
      </c>
      <c r="I2819" s="26">
        <v>116.0</v>
      </c>
      <c r="J2819" s="26">
        <v>50.0</v>
      </c>
      <c r="K2819" s="26">
        <v>17.0</v>
      </c>
      <c r="N2819" s="26" t="s">
        <v>683</v>
      </c>
    </row>
    <row r="2820">
      <c r="A2820" s="25">
        <v>43384.375115636576</v>
      </c>
      <c r="B2820" s="26" t="s">
        <v>1939</v>
      </c>
      <c r="C2820" s="26" t="s">
        <v>1940</v>
      </c>
      <c r="D2820" s="26" t="s">
        <v>31</v>
      </c>
      <c r="E2820" s="26">
        <v>79.0</v>
      </c>
      <c r="F2820" s="26" t="s">
        <v>1941</v>
      </c>
      <c r="G2820" s="26">
        <v>5.0</v>
      </c>
      <c r="H2820" s="26">
        <v>0.0</v>
      </c>
      <c r="I2820" s="26">
        <v>75.0</v>
      </c>
      <c r="K2820" s="26">
        <v>4.0</v>
      </c>
      <c r="N2820" s="26" t="s">
        <v>704</v>
      </c>
    </row>
    <row r="2821">
      <c r="A2821" s="25">
        <v>43384.40640715278</v>
      </c>
      <c r="B2821" s="26" t="s">
        <v>170</v>
      </c>
      <c r="C2821" s="26">
        <v>11.0</v>
      </c>
      <c r="D2821" s="26" t="s">
        <v>31</v>
      </c>
      <c r="E2821" s="26">
        <v>375.0</v>
      </c>
      <c r="F2821" s="26" t="s">
        <v>453</v>
      </c>
      <c r="G2821" s="26">
        <v>20.0</v>
      </c>
      <c r="H2821" s="26">
        <v>10.0</v>
      </c>
      <c r="N2821" s="26" t="s">
        <v>691</v>
      </c>
    </row>
    <row r="2822">
      <c r="A2822" s="25">
        <v>43384.41291925926</v>
      </c>
      <c r="B2822" s="26" t="s">
        <v>1920</v>
      </c>
      <c r="C2822" s="26" t="s">
        <v>1174</v>
      </c>
      <c r="D2822" s="26" t="s">
        <v>31</v>
      </c>
      <c r="E2822" s="26">
        <v>290.0</v>
      </c>
      <c r="F2822" s="26" t="s">
        <v>1925</v>
      </c>
      <c r="G2822" s="26">
        <v>15.0</v>
      </c>
      <c r="H2822" s="26">
        <v>10.0</v>
      </c>
      <c r="I2822" s="26">
        <v>199.0</v>
      </c>
      <c r="J2822" s="26">
        <v>31.0</v>
      </c>
      <c r="K2822" s="26">
        <v>60.0</v>
      </c>
      <c r="L2822" s="26" t="s">
        <v>1942</v>
      </c>
      <c r="N2822" s="26" t="s">
        <v>751</v>
      </c>
    </row>
    <row r="2823">
      <c r="A2823" s="25">
        <v>43384.42959484954</v>
      </c>
      <c r="B2823" s="26" t="s">
        <v>80</v>
      </c>
      <c r="C2823" s="26" t="s">
        <v>749</v>
      </c>
      <c r="D2823" s="26" t="s">
        <v>31</v>
      </c>
      <c r="E2823" s="26">
        <v>320.0</v>
      </c>
      <c r="F2823" s="26" t="s">
        <v>178</v>
      </c>
      <c r="G2823" s="26">
        <v>10.0</v>
      </c>
      <c r="H2823" s="26">
        <v>5.0</v>
      </c>
      <c r="I2823" s="26">
        <v>170.0</v>
      </c>
      <c r="J2823" s="26">
        <v>125.0</v>
      </c>
      <c r="K2823" s="26">
        <v>25.0</v>
      </c>
      <c r="N2823" s="26" t="s">
        <v>683</v>
      </c>
    </row>
    <row r="2824">
      <c r="A2824" s="25">
        <v>43384.514099293985</v>
      </c>
      <c r="B2824" s="26" t="s">
        <v>45</v>
      </c>
      <c r="C2824" s="26" t="s">
        <v>116</v>
      </c>
      <c r="D2824" s="26" t="s">
        <v>31</v>
      </c>
      <c r="E2824" s="26">
        <v>284.0</v>
      </c>
      <c r="F2824" s="26" t="s">
        <v>134</v>
      </c>
      <c r="G2824" s="26">
        <v>8.0</v>
      </c>
      <c r="H2824" s="26">
        <v>4.0</v>
      </c>
      <c r="I2824" s="26">
        <v>165.0</v>
      </c>
      <c r="J2824" s="26">
        <v>102.0</v>
      </c>
      <c r="K2824" s="26">
        <v>27.0</v>
      </c>
      <c r="N2824" s="26" t="s">
        <v>696</v>
      </c>
    </row>
    <row r="2825">
      <c r="A2825" s="25">
        <v>43384.526242210646</v>
      </c>
      <c r="B2825" s="26" t="s">
        <v>105</v>
      </c>
      <c r="C2825" s="26" t="s">
        <v>106</v>
      </c>
      <c r="D2825" s="26" t="s">
        <v>1943</v>
      </c>
      <c r="E2825" s="26">
        <v>130.0</v>
      </c>
      <c r="F2825" s="26" t="s">
        <v>86</v>
      </c>
      <c r="G2825" s="26">
        <v>5.0</v>
      </c>
      <c r="H2825" s="26">
        <v>3.0</v>
      </c>
      <c r="I2825" s="26">
        <v>100.0</v>
      </c>
      <c r="J2825" s="26">
        <v>20.0</v>
      </c>
      <c r="K2825" s="26">
        <v>10.0</v>
      </c>
      <c r="N2825" s="26" t="s">
        <v>1944</v>
      </c>
    </row>
    <row r="2826">
      <c r="A2826" s="25">
        <v>43384.53007893519</v>
      </c>
      <c r="B2826" s="26" t="s">
        <v>319</v>
      </c>
      <c r="C2826" s="26" t="s">
        <v>514</v>
      </c>
      <c r="D2826" s="26" t="s">
        <v>1225</v>
      </c>
      <c r="E2826" s="26">
        <v>110.0</v>
      </c>
      <c r="F2826" s="26" t="s">
        <v>320</v>
      </c>
      <c r="G2826" s="26">
        <v>3.0</v>
      </c>
      <c r="H2826" s="26">
        <v>3.0</v>
      </c>
      <c r="N2826" s="26" t="s">
        <v>1945</v>
      </c>
    </row>
    <row r="2827">
      <c r="A2827" s="25">
        <v>43384.54874200231</v>
      </c>
      <c r="B2827" s="26" t="s">
        <v>124</v>
      </c>
      <c r="C2827" s="26" t="s">
        <v>96</v>
      </c>
      <c r="D2827" s="26" t="s">
        <v>31</v>
      </c>
      <c r="E2827" s="26">
        <v>250.0</v>
      </c>
      <c r="F2827" s="26" t="s">
        <v>199</v>
      </c>
      <c r="G2827" s="26">
        <v>7.0</v>
      </c>
      <c r="H2827" s="26">
        <v>3.0</v>
      </c>
      <c r="N2827" s="26" t="s">
        <v>708</v>
      </c>
    </row>
    <row r="2828">
      <c r="A2828" s="25">
        <v>43384.62179635417</v>
      </c>
      <c r="B2828" s="26" t="s">
        <v>1946</v>
      </c>
      <c r="C2828" s="26" t="s">
        <v>1947</v>
      </c>
      <c r="D2828" s="26" t="s">
        <v>31</v>
      </c>
      <c r="E2828" s="26">
        <v>95.0</v>
      </c>
      <c r="F2828" s="26" t="s">
        <v>338</v>
      </c>
      <c r="G2828" s="26">
        <v>1.0</v>
      </c>
      <c r="H2828" s="26">
        <v>1.0</v>
      </c>
      <c r="I2828" s="26">
        <v>83.0</v>
      </c>
      <c r="K2828" s="26">
        <v>12.0</v>
      </c>
      <c r="N2828" s="26" t="s">
        <v>683</v>
      </c>
    </row>
    <row r="2829">
      <c r="A2829" s="25">
        <v>43384.64341366898</v>
      </c>
      <c r="B2829" s="27" t="s">
        <v>1948</v>
      </c>
      <c r="C2829" s="26" t="s">
        <v>1217</v>
      </c>
      <c r="D2829" s="26" t="s">
        <v>31</v>
      </c>
      <c r="E2829" s="26">
        <v>118.0</v>
      </c>
      <c r="F2829" s="26" t="s">
        <v>1773</v>
      </c>
      <c r="G2829" s="26">
        <v>5.0</v>
      </c>
      <c r="H2829" s="26">
        <v>2.0</v>
      </c>
      <c r="I2829" s="26">
        <v>84.0</v>
      </c>
      <c r="J2829" s="26">
        <v>9.0</v>
      </c>
      <c r="K2829" s="26">
        <v>25.0</v>
      </c>
      <c r="N2829" s="26" t="s">
        <v>704</v>
      </c>
    </row>
    <row r="2830">
      <c r="A2830" s="25">
        <v>43384.64876469907</v>
      </c>
      <c r="B2830" s="26" t="s">
        <v>80</v>
      </c>
      <c r="C2830" s="26" t="s">
        <v>43</v>
      </c>
      <c r="D2830" s="26" t="s">
        <v>31</v>
      </c>
      <c r="E2830" s="26">
        <v>266.0</v>
      </c>
      <c r="F2830" s="26" t="s">
        <v>51</v>
      </c>
      <c r="G2830" s="26">
        <v>3.0</v>
      </c>
      <c r="H2830" s="26">
        <v>2.0</v>
      </c>
      <c r="I2830" s="26">
        <v>140.0</v>
      </c>
      <c r="J2830" s="26">
        <v>101.0</v>
      </c>
      <c r="K2830" s="26">
        <v>25.0</v>
      </c>
      <c r="N2830" s="26" t="s">
        <v>751</v>
      </c>
    </row>
    <row r="2831">
      <c r="A2831" s="25">
        <v>43384.65196072917</v>
      </c>
      <c r="B2831" s="26" t="s">
        <v>29</v>
      </c>
      <c r="C2831" s="26" t="s">
        <v>494</v>
      </c>
      <c r="D2831" s="26" t="s">
        <v>31</v>
      </c>
      <c r="E2831" s="26">
        <v>380.0</v>
      </c>
      <c r="F2831" s="26" t="s">
        <v>32</v>
      </c>
      <c r="G2831" s="26">
        <v>18.0</v>
      </c>
      <c r="H2831" s="26">
        <v>10.0</v>
      </c>
      <c r="N2831" s="26" t="s">
        <v>685</v>
      </c>
    </row>
    <row r="2832">
      <c r="A2832" s="25">
        <v>43384.65780885417</v>
      </c>
      <c r="B2832" s="26" t="s">
        <v>25</v>
      </c>
      <c r="C2832" s="26" t="s">
        <v>494</v>
      </c>
      <c r="D2832" s="26" t="s">
        <v>31</v>
      </c>
      <c r="E2832" s="26">
        <v>142.0</v>
      </c>
      <c r="F2832" s="26" t="s">
        <v>28</v>
      </c>
      <c r="G2832" s="26">
        <v>3.0</v>
      </c>
      <c r="H2832" s="26">
        <v>3.0</v>
      </c>
      <c r="I2832" s="26">
        <v>125.0</v>
      </c>
      <c r="J2832" s="26">
        <v>15.0</v>
      </c>
      <c r="K2832" s="26">
        <v>2.0</v>
      </c>
      <c r="N2832" s="26" t="s">
        <v>704</v>
      </c>
    </row>
    <row r="2833">
      <c r="A2833" s="25">
        <v>43384.664848541666</v>
      </c>
      <c r="B2833" s="26" t="s">
        <v>1196</v>
      </c>
      <c r="C2833" s="26">
        <v>66.0</v>
      </c>
      <c r="D2833" s="26" t="s">
        <v>1949</v>
      </c>
      <c r="E2833" s="26">
        <v>290.0</v>
      </c>
      <c r="F2833" s="26" t="s">
        <v>1950</v>
      </c>
      <c r="G2833" s="26">
        <v>5.0</v>
      </c>
      <c r="H2833" s="26">
        <v>5.0</v>
      </c>
      <c r="N2833" s="26" t="s">
        <v>1363</v>
      </c>
    </row>
    <row r="2834">
      <c r="A2834" s="25">
        <v>43384.67896777778</v>
      </c>
      <c r="B2834" s="26" t="s">
        <v>270</v>
      </c>
      <c r="C2834" s="26" t="s">
        <v>179</v>
      </c>
      <c r="D2834" s="26" t="s">
        <v>31</v>
      </c>
      <c r="E2834" s="26">
        <v>260.0</v>
      </c>
      <c r="F2834" s="26" t="s">
        <v>58</v>
      </c>
      <c r="G2834" s="26">
        <v>3.0</v>
      </c>
      <c r="H2834" s="26">
        <v>3.0</v>
      </c>
      <c r="I2834" s="26">
        <v>172.0</v>
      </c>
      <c r="J2834" s="26">
        <v>60.0</v>
      </c>
      <c r="K2834" s="26">
        <v>18.0</v>
      </c>
      <c r="N2834" s="26" t="s">
        <v>683</v>
      </c>
    </row>
    <row r="2835">
      <c r="A2835" s="25">
        <v>43384.7000128588</v>
      </c>
      <c r="B2835" s="26" t="s">
        <v>40</v>
      </c>
      <c r="C2835" s="26">
        <v>68.0</v>
      </c>
      <c r="D2835" s="26" t="s">
        <v>27</v>
      </c>
      <c r="E2835" s="26">
        <v>660.0</v>
      </c>
      <c r="F2835" s="26" t="s">
        <v>35</v>
      </c>
      <c r="G2835" s="26">
        <v>17.0</v>
      </c>
      <c r="H2835" s="26">
        <v>16.0</v>
      </c>
      <c r="I2835" s="26">
        <v>231.0</v>
      </c>
      <c r="J2835" s="26">
        <v>327.0</v>
      </c>
      <c r="K2835" s="26">
        <v>102.0</v>
      </c>
      <c r="N2835" s="26" t="s">
        <v>685</v>
      </c>
    </row>
    <row r="2836">
      <c r="A2836" s="25">
        <v>43384.71011813657</v>
      </c>
      <c r="B2836" s="26" t="s">
        <v>40</v>
      </c>
      <c r="C2836" s="26">
        <v>61.0</v>
      </c>
      <c r="D2836" s="26" t="s">
        <v>31</v>
      </c>
      <c r="E2836" s="26">
        <v>154.0</v>
      </c>
      <c r="F2836" s="26" t="s">
        <v>52</v>
      </c>
      <c r="G2836" s="26">
        <v>9.0</v>
      </c>
      <c r="H2836" s="26">
        <v>1.5</v>
      </c>
      <c r="I2836" s="26">
        <v>132.0</v>
      </c>
      <c r="J2836" s="26">
        <v>8.0</v>
      </c>
      <c r="K2836" s="26">
        <v>14.0</v>
      </c>
      <c r="N2836" s="26" t="s">
        <v>696</v>
      </c>
    </row>
    <row r="2837">
      <c r="A2837" s="25">
        <v>43384.72243866898</v>
      </c>
      <c r="B2837" s="26" t="s">
        <v>80</v>
      </c>
      <c r="C2837" s="26" t="s">
        <v>43</v>
      </c>
      <c r="D2837" s="26" t="s">
        <v>31</v>
      </c>
      <c r="E2837" s="26">
        <v>280.0</v>
      </c>
      <c r="F2837" s="26" t="s">
        <v>32</v>
      </c>
      <c r="G2837" s="26">
        <v>4.0</v>
      </c>
      <c r="H2837" s="26">
        <v>4.0</v>
      </c>
      <c r="N2837" s="26" t="s">
        <v>683</v>
      </c>
    </row>
    <row r="2838">
      <c r="A2838" s="25">
        <v>43384.860913564815</v>
      </c>
      <c r="B2838" s="26" t="s">
        <v>33</v>
      </c>
      <c r="C2838" s="26" t="s">
        <v>43</v>
      </c>
      <c r="D2838" s="26" t="s">
        <v>31</v>
      </c>
      <c r="E2838" s="26">
        <v>220.0</v>
      </c>
      <c r="F2838" s="26" t="s">
        <v>63</v>
      </c>
      <c r="G2838" s="26">
        <v>6.0</v>
      </c>
      <c r="H2838" s="26">
        <v>5.0</v>
      </c>
      <c r="N2838" s="26" t="s">
        <v>715</v>
      </c>
    </row>
    <row r="2839">
      <c r="A2839" s="25">
        <v>43384.89317638889</v>
      </c>
      <c r="B2839" s="26" t="s">
        <v>80</v>
      </c>
      <c r="C2839" s="26" t="s">
        <v>62</v>
      </c>
      <c r="D2839" s="26" t="s">
        <v>31</v>
      </c>
      <c r="E2839" s="26">
        <v>421.0</v>
      </c>
      <c r="F2839" s="26" t="s">
        <v>1951</v>
      </c>
      <c r="G2839" s="26">
        <v>15.0</v>
      </c>
      <c r="H2839" s="26">
        <v>1.0</v>
      </c>
      <c r="I2839" s="26">
        <v>200.0</v>
      </c>
      <c r="J2839" s="26">
        <v>181.0</v>
      </c>
      <c r="K2839" s="26">
        <v>40.0</v>
      </c>
      <c r="N2839" s="26" t="s">
        <v>683</v>
      </c>
    </row>
    <row r="2840">
      <c r="A2840" s="25">
        <v>43384.928868773146</v>
      </c>
      <c r="B2840" s="26" t="s">
        <v>124</v>
      </c>
      <c r="C2840" s="26" t="s">
        <v>954</v>
      </c>
      <c r="D2840" s="26" t="s">
        <v>27</v>
      </c>
      <c r="E2840" s="26">
        <v>350.0</v>
      </c>
      <c r="F2840" s="26" t="s">
        <v>51</v>
      </c>
      <c r="G2840" s="26">
        <v>18.0</v>
      </c>
      <c r="H2840" s="26">
        <v>2.0</v>
      </c>
      <c r="N2840" s="26" t="s">
        <v>685</v>
      </c>
    </row>
    <row r="2841">
      <c r="A2841" s="25">
        <v>43384.93042934028</v>
      </c>
      <c r="B2841" s="26" t="s">
        <v>124</v>
      </c>
      <c r="C2841" s="26" t="s">
        <v>734</v>
      </c>
      <c r="D2841" s="26" t="s">
        <v>27</v>
      </c>
      <c r="E2841" s="26">
        <v>250.0</v>
      </c>
      <c r="F2841" s="26" t="s">
        <v>51</v>
      </c>
      <c r="G2841" s="26">
        <v>8.0</v>
      </c>
      <c r="H2841" s="26">
        <v>4.0</v>
      </c>
      <c r="N2841" s="26" t="s">
        <v>696</v>
      </c>
    </row>
    <row r="2842">
      <c r="A2842" s="25">
        <v>43385.03056246528</v>
      </c>
      <c r="B2842" s="26" t="s">
        <v>40</v>
      </c>
      <c r="C2842" s="26" t="s">
        <v>76</v>
      </c>
      <c r="D2842" s="26" t="s">
        <v>31</v>
      </c>
      <c r="E2842" s="26">
        <v>199.0</v>
      </c>
      <c r="F2842" s="26" t="s">
        <v>302</v>
      </c>
      <c r="G2842" s="26">
        <v>0.0</v>
      </c>
      <c r="H2842" s="26">
        <v>0.0</v>
      </c>
      <c r="I2842" s="26">
        <v>139.0</v>
      </c>
      <c r="J2842" s="26">
        <v>35.0</v>
      </c>
      <c r="K2842" s="26">
        <v>25.0</v>
      </c>
      <c r="N2842" s="26" t="s">
        <v>691</v>
      </c>
    </row>
    <row r="2843">
      <c r="A2843" s="25">
        <v>43385.09256885417</v>
      </c>
      <c r="B2843" s="26" t="s">
        <v>538</v>
      </c>
      <c r="C2843" s="26" t="s">
        <v>680</v>
      </c>
      <c r="D2843" s="26" t="s">
        <v>31</v>
      </c>
      <c r="E2843" s="26">
        <v>35.0</v>
      </c>
      <c r="F2843" s="26" t="s">
        <v>1952</v>
      </c>
      <c r="G2843" s="26">
        <v>9.0</v>
      </c>
      <c r="H2843" s="26">
        <v>2.0</v>
      </c>
      <c r="I2843" s="26">
        <v>30.0</v>
      </c>
      <c r="K2843" s="26">
        <v>5.0</v>
      </c>
      <c r="N2843" s="26" t="s">
        <v>704</v>
      </c>
    </row>
    <row r="2844">
      <c r="A2844" s="25">
        <v>43385.23418861111</v>
      </c>
      <c r="B2844" s="26" t="s">
        <v>25</v>
      </c>
      <c r="C2844" s="26" t="s">
        <v>1953</v>
      </c>
      <c r="D2844" s="26" t="s">
        <v>31</v>
      </c>
      <c r="E2844" s="26">
        <v>210.0</v>
      </c>
      <c r="F2844" s="26" t="s">
        <v>1542</v>
      </c>
      <c r="G2844" s="26">
        <v>5.0</v>
      </c>
      <c r="H2844" s="26">
        <v>0.0</v>
      </c>
      <c r="I2844" s="26">
        <v>150.0</v>
      </c>
      <c r="J2844" s="26">
        <v>60.0</v>
      </c>
      <c r="N2844" s="26" t="s">
        <v>685</v>
      </c>
    </row>
    <row r="2845">
      <c r="A2845" s="25">
        <v>43385.23418861111</v>
      </c>
      <c r="B2845" s="26" t="s">
        <v>25</v>
      </c>
      <c r="C2845" s="26" t="s">
        <v>1953</v>
      </c>
      <c r="D2845" s="26" t="s">
        <v>31</v>
      </c>
      <c r="E2845" s="26">
        <v>210.0</v>
      </c>
      <c r="F2845" s="26" t="s">
        <v>1542</v>
      </c>
      <c r="G2845" s="26">
        <v>5.0</v>
      </c>
      <c r="H2845" s="26">
        <v>0.0</v>
      </c>
      <c r="I2845" s="26">
        <v>150.0</v>
      </c>
      <c r="J2845" s="26">
        <v>60.0</v>
      </c>
      <c r="N2845" s="26" t="s">
        <v>685</v>
      </c>
    </row>
    <row r="2846">
      <c r="A2846" s="25">
        <v>43385.24343996528</v>
      </c>
      <c r="B2846" s="26" t="s">
        <v>40</v>
      </c>
      <c r="C2846" s="26">
        <v>65.0</v>
      </c>
      <c r="D2846" s="26" t="s">
        <v>31</v>
      </c>
      <c r="E2846" s="26">
        <v>305.0</v>
      </c>
      <c r="F2846" s="26" t="s">
        <v>75</v>
      </c>
      <c r="G2846" s="26">
        <v>25.0</v>
      </c>
      <c r="H2846" s="26">
        <v>15.0</v>
      </c>
      <c r="N2846" s="26" t="s">
        <v>704</v>
      </c>
    </row>
    <row r="2847">
      <c r="A2847" s="25">
        <v>43385.27818545139</v>
      </c>
      <c r="B2847" s="26" t="s">
        <v>874</v>
      </c>
      <c r="C2847" s="26" t="s">
        <v>96</v>
      </c>
      <c r="D2847" s="26" t="s">
        <v>31</v>
      </c>
      <c r="E2847" s="26">
        <v>280.0</v>
      </c>
      <c r="F2847" s="26" t="s">
        <v>1954</v>
      </c>
      <c r="G2847" s="26">
        <v>12.0</v>
      </c>
      <c r="H2847" s="26">
        <v>0.0</v>
      </c>
      <c r="I2847" s="26">
        <v>160.0</v>
      </c>
      <c r="J2847" s="26">
        <v>100.0</v>
      </c>
      <c r="K2847" s="26">
        <v>20.0</v>
      </c>
      <c r="N2847" s="26" t="s">
        <v>683</v>
      </c>
    </row>
    <row r="2848">
      <c r="A2848" s="25">
        <v>43385.27929157407</v>
      </c>
      <c r="B2848" s="26" t="s">
        <v>1955</v>
      </c>
      <c r="C2848" s="26" t="s">
        <v>37</v>
      </c>
      <c r="D2848" s="26" t="s">
        <v>31</v>
      </c>
      <c r="E2848" s="26">
        <v>121.0</v>
      </c>
      <c r="F2848" s="26" t="s">
        <v>338</v>
      </c>
      <c r="G2848" s="26">
        <v>18.0</v>
      </c>
      <c r="H2848" s="26">
        <v>2.0</v>
      </c>
      <c r="I2848" s="26">
        <v>101.0</v>
      </c>
      <c r="J2848" s="26">
        <v>10.0</v>
      </c>
      <c r="K2848" s="26">
        <v>10.0</v>
      </c>
      <c r="N2848" s="26" t="s">
        <v>704</v>
      </c>
    </row>
    <row r="2849">
      <c r="A2849" s="25">
        <v>43385.34605782408</v>
      </c>
      <c r="B2849" s="26" t="s">
        <v>95</v>
      </c>
      <c r="C2849" s="26" t="s">
        <v>306</v>
      </c>
      <c r="D2849" s="26" t="s">
        <v>41</v>
      </c>
      <c r="E2849" s="26">
        <v>500.0</v>
      </c>
      <c r="F2849" s="26" t="s">
        <v>97</v>
      </c>
      <c r="G2849" s="26">
        <v>12.0</v>
      </c>
      <c r="H2849" s="26">
        <v>3.0</v>
      </c>
      <c r="I2849" s="26">
        <v>500.0</v>
      </c>
      <c r="N2849" s="26" t="s">
        <v>685</v>
      </c>
    </row>
    <row r="2850">
      <c r="A2850" s="25">
        <v>43385.41677438657</v>
      </c>
      <c r="B2850" s="26" t="s">
        <v>1956</v>
      </c>
      <c r="C2850" s="26">
        <v>4.0</v>
      </c>
      <c r="D2850" s="26" t="s">
        <v>31</v>
      </c>
      <c r="E2850" s="26">
        <v>205.0</v>
      </c>
      <c r="F2850" s="26" t="s">
        <v>175</v>
      </c>
      <c r="G2850" s="26">
        <v>4.0</v>
      </c>
      <c r="H2850" s="26">
        <v>2.0</v>
      </c>
      <c r="I2850" s="26">
        <v>155.0</v>
      </c>
      <c r="J2850" s="26">
        <v>40.0</v>
      </c>
      <c r="K2850" s="26">
        <v>10.0</v>
      </c>
      <c r="N2850" s="26" t="s">
        <v>685</v>
      </c>
    </row>
    <row r="2851">
      <c r="A2851" s="25">
        <v>43385.417003379625</v>
      </c>
      <c r="B2851" s="26" t="s">
        <v>25</v>
      </c>
      <c r="C2851" s="26" t="s">
        <v>688</v>
      </c>
      <c r="D2851" s="26" t="s">
        <v>41</v>
      </c>
      <c r="E2851" s="26">
        <v>471.0</v>
      </c>
      <c r="F2851" s="26" t="s">
        <v>133</v>
      </c>
      <c r="G2851" s="26">
        <v>11.0</v>
      </c>
      <c r="H2851" s="26">
        <v>2.0</v>
      </c>
      <c r="I2851" s="26">
        <v>190.0</v>
      </c>
      <c r="J2851" s="26">
        <v>240.0</v>
      </c>
      <c r="K2851" s="26">
        <v>41.0</v>
      </c>
      <c r="N2851" s="26" t="s">
        <v>685</v>
      </c>
    </row>
    <row r="2852">
      <c r="A2852" s="25">
        <v>43385.4544683912</v>
      </c>
      <c r="B2852" s="26" t="s">
        <v>1957</v>
      </c>
      <c r="C2852" s="26" t="s">
        <v>1958</v>
      </c>
      <c r="D2852" s="26" t="s">
        <v>31</v>
      </c>
      <c r="E2852" s="26">
        <v>169.0</v>
      </c>
      <c r="F2852" s="26" t="s">
        <v>238</v>
      </c>
      <c r="G2852" s="26">
        <v>7.0</v>
      </c>
      <c r="H2852" s="26">
        <v>7.0</v>
      </c>
      <c r="I2852" s="26">
        <v>150.0</v>
      </c>
      <c r="J2852" s="26">
        <v>14.0</v>
      </c>
      <c r="K2852" s="26">
        <v>5.0</v>
      </c>
      <c r="N2852" s="26" t="s">
        <v>708</v>
      </c>
    </row>
    <row r="2853">
      <c r="A2853" s="25">
        <v>43385.51581924768</v>
      </c>
      <c r="B2853" s="26" t="s">
        <v>80</v>
      </c>
      <c r="C2853" s="26" t="s">
        <v>73</v>
      </c>
      <c r="D2853" s="26" t="s">
        <v>31</v>
      </c>
      <c r="E2853" s="26">
        <v>288.0</v>
      </c>
      <c r="F2853" s="26" t="s">
        <v>134</v>
      </c>
      <c r="G2853" s="26">
        <v>10.0</v>
      </c>
      <c r="H2853" s="26">
        <v>0.0</v>
      </c>
      <c r="I2853" s="26">
        <v>140.0</v>
      </c>
      <c r="J2853" s="26">
        <v>127.0</v>
      </c>
      <c r="K2853" s="26">
        <v>21.0</v>
      </c>
      <c r="L2853" s="26" t="s">
        <v>1959</v>
      </c>
      <c r="N2853" s="26" t="s">
        <v>728</v>
      </c>
    </row>
    <row r="2854">
      <c r="A2854" s="25">
        <v>43385.532558923616</v>
      </c>
      <c r="B2854" s="26" t="s">
        <v>188</v>
      </c>
      <c r="C2854" s="26" t="s">
        <v>73</v>
      </c>
      <c r="D2854" s="26" t="s">
        <v>31</v>
      </c>
      <c r="E2854" s="26">
        <v>300.0</v>
      </c>
      <c r="F2854" s="26" t="s">
        <v>35</v>
      </c>
      <c r="G2854" s="26">
        <v>8.0</v>
      </c>
      <c r="H2854" s="26">
        <v>1.0</v>
      </c>
      <c r="N2854" s="26" t="s">
        <v>685</v>
      </c>
    </row>
    <row r="2855">
      <c r="A2855" s="25">
        <v>43385.569433136574</v>
      </c>
      <c r="B2855" s="26" t="s">
        <v>1891</v>
      </c>
      <c r="C2855" s="26" t="s">
        <v>1960</v>
      </c>
      <c r="D2855" s="26" t="s">
        <v>31</v>
      </c>
      <c r="E2855" s="26">
        <v>134.0</v>
      </c>
      <c r="F2855" s="26" t="s">
        <v>35</v>
      </c>
      <c r="G2855" s="26">
        <v>6.0</v>
      </c>
      <c r="H2855" s="26">
        <v>1.2</v>
      </c>
      <c r="I2855" s="26">
        <v>121.0</v>
      </c>
      <c r="J2855" s="26">
        <v>6.0</v>
      </c>
      <c r="K2855" s="26">
        <v>7.0</v>
      </c>
      <c r="L2855" s="26" t="s">
        <v>1961</v>
      </c>
      <c r="N2855" s="26" t="s">
        <v>708</v>
      </c>
    </row>
    <row r="2856">
      <c r="A2856" s="25">
        <v>43385.65793636574</v>
      </c>
      <c r="B2856" s="26" t="s">
        <v>40</v>
      </c>
      <c r="C2856" s="26">
        <v>60.0</v>
      </c>
      <c r="D2856" s="26" t="s">
        <v>31</v>
      </c>
      <c r="E2856" s="26">
        <v>160.0</v>
      </c>
      <c r="F2856" s="26" t="s">
        <v>75</v>
      </c>
      <c r="G2856" s="26">
        <v>2.0</v>
      </c>
      <c r="H2856" s="26">
        <v>2.0</v>
      </c>
      <c r="I2856" s="26">
        <v>120.0</v>
      </c>
      <c r="J2856" s="26">
        <v>30.0</v>
      </c>
      <c r="K2856" s="26">
        <v>10.0</v>
      </c>
      <c r="N2856" s="26" t="s">
        <v>685</v>
      </c>
    </row>
    <row r="2857">
      <c r="A2857" s="25">
        <v>43385.70099909722</v>
      </c>
      <c r="B2857" s="26" t="s">
        <v>1962</v>
      </c>
      <c r="C2857" s="26" t="s">
        <v>76</v>
      </c>
      <c r="D2857" s="26" t="s">
        <v>31</v>
      </c>
      <c r="E2857" s="26">
        <v>112.0</v>
      </c>
      <c r="F2857" s="26" t="s">
        <v>35</v>
      </c>
      <c r="G2857" s="26">
        <v>2.0</v>
      </c>
      <c r="H2857" s="26">
        <v>2.0</v>
      </c>
      <c r="N2857" s="26" t="s">
        <v>704</v>
      </c>
    </row>
    <row r="2858">
      <c r="A2858" s="25">
        <v>43385.7370199537</v>
      </c>
      <c r="B2858" s="26" t="s">
        <v>146</v>
      </c>
      <c r="C2858" s="26" t="s">
        <v>96</v>
      </c>
      <c r="D2858" s="26" t="s">
        <v>31</v>
      </c>
      <c r="E2858" s="26">
        <v>275.0</v>
      </c>
      <c r="F2858" s="26" t="s">
        <v>134</v>
      </c>
      <c r="G2858" s="26">
        <v>12.0</v>
      </c>
      <c r="H2858" s="26">
        <v>2.0</v>
      </c>
      <c r="I2858" s="26">
        <v>160.0</v>
      </c>
      <c r="J2858" s="26">
        <v>100.0</v>
      </c>
      <c r="K2858" s="26">
        <v>15.0</v>
      </c>
      <c r="N2858" s="26" t="s">
        <v>708</v>
      </c>
    </row>
    <row r="2859">
      <c r="A2859" s="25">
        <v>43385.859582777775</v>
      </c>
      <c r="B2859" s="26" t="s">
        <v>1484</v>
      </c>
      <c r="C2859" s="26" t="s">
        <v>1963</v>
      </c>
      <c r="D2859" s="26" t="s">
        <v>31</v>
      </c>
      <c r="E2859" s="26">
        <v>180.0</v>
      </c>
      <c r="F2859" s="26" t="s">
        <v>1964</v>
      </c>
      <c r="G2859" s="26">
        <v>10.0</v>
      </c>
      <c r="H2859" s="26">
        <v>2.0</v>
      </c>
      <c r="I2859" s="26">
        <v>150.0</v>
      </c>
      <c r="J2859" s="26">
        <v>15.0</v>
      </c>
      <c r="K2859" s="26">
        <v>15.0</v>
      </c>
      <c r="N2859" s="26" t="s">
        <v>685</v>
      </c>
    </row>
    <row r="2860">
      <c r="A2860" s="25">
        <v>43385.874136134255</v>
      </c>
      <c r="B2860" s="26" t="s">
        <v>45</v>
      </c>
      <c r="C2860" s="26" t="s">
        <v>149</v>
      </c>
      <c r="D2860" s="26" t="s">
        <v>31</v>
      </c>
      <c r="E2860" s="26">
        <v>450.0</v>
      </c>
      <c r="F2860" s="26" t="s">
        <v>104</v>
      </c>
      <c r="G2860" s="26">
        <v>11.0</v>
      </c>
      <c r="H2860" s="26">
        <v>5.0</v>
      </c>
      <c r="I2860" s="26">
        <v>220.0</v>
      </c>
      <c r="J2860" s="26">
        <v>180.0</v>
      </c>
      <c r="K2860" s="26">
        <v>50.0</v>
      </c>
      <c r="N2860" s="26" t="s">
        <v>699</v>
      </c>
    </row>
    <row r="2861">
      <c r="A2861" s="25">
        <v>43385.967572974536</v>
      </c>
      <c r="B2861" s="26" t="s">
        <v>80</v>
      </c>
      <c r="C2861" s="26" t="s">
        <v>430</v>
      </c>
      <c r="D2861" s="26" t="s">
        <v>31</v>
      </c>
      <c r="E2861" s="26">
        <v>213.0</v>
      </c>
      <c r="F2861" s="26" t="s">
        <v>140</v>
      </c>
      <c r="G2861" s="26">
        <v>7.0</v>
      </c>
      <c r="H2861" s="26">
        <v>1.5</v>
      </c>
      <c r="I2861" s="26">
        <v>150.0</v>
      </c>
      <c r="J2861" s="26">
        <v>45.0</v>
      </c>
      <c r="K2861" s="26">
        <v>18.0</v>
      </c>
      <c r="N2861" s="26" t="s">
        <v>704</v>
      </c>
    </row>
    <row r="2862">
      <c r="A2862" s="25">
        <v>43386.10892722222</v>
      </c>
      <c r="B2862" s="26" t="s">
        <v>538</v>
      </c>
      <c r="C2862" s="26" t="s">
        <v>789</v>
      </c>
      <c r="D2862" s="26" t="s">
        <v>31</v>
      </c>
      <c r="E2862" s="26">
        <v>78.0</v>
      </c>
      <c r="F2862" s="26" t="s">
        <v>1952</v>
      </c>
      <c r="G2862" s="26">
        <v>8.0</v>
      </c>
      <c r="H2862" s="26">
        <v>6.0</v>
      </c>
      <c r="I2862" s="26">
        <v>43.0</v>
      </c>
      <c r="J2862" s="26">
        <v>29.0</v>
      </c>
      <c r="K2862" s="26">
        <v>8.0</v>
      </c>
      <c r="N2862" s="26" t="s">
        <v>696</v>
      </c>
    </row>
    <row r="2863">
      <c r="A2863" s="25">
        <v>43386.20549878472</v>
      </c>
      <c r="B2863" s="26" t="s">
        <v>36</v>
      </c>
      <c r="C2863" s="26" t="s">
        <v>73</v>
      </c>
      <c r="D2863" s="26" t="s">
        <v>31</v>
      </c>
      <c r="E2863" s="26">
        <v>308.0</v>
      </c>
      <c r="F2863" s="26" t="s">
        <v>32</v>
      </c>
      <c r="G2863" s="26">
        <v>2.0</v>
      </c>
      <c r="H2863" s="26">
        <v>0.0</v>
      </c>
      <c r="I2863" s="26">
        <v>155.0</v>
      </c>
      <c r="J2863" s="26">
        <v>138.0</v>
      </c>
      <c r="K2863" s="26">
        <v>15.0</v>
      </c>
      <c r="L2863" s="26" t="s">
        <v>1965</v>
      </c>
      <c r="N2863" s="26" t="s">
        <v>685</v>
      </c>
    </row>
    <row r="2864">
      <c r="A2864" s="25">
        <v>43386.253820439815</v>
      </c>
      <c r="B2864" s="26" t="s">
        <v>95</v>
      </c>
      <c r="C2864" s="26" t="s">
        <v>37</v>
      </c>
      <c r="D2864" s="26" t="s">
        <v>711</v>
      </c>
      <c r="E2864" s="26">
        <v>400.0</v>
      </c>
      <c r="F2864" s="26" t="s">
        <v>97</v>
      </c>
      <c r="G2864" s="26">
        <v>2.0</v>
      </c>
      <c r="H2864" s="26">
        <v>2.0</v>
      </c>
      <c r="N2864" s="26" t="s">
        <v>1966</v>
      </c>
    </row>
    <row r="2865">
      <c r="A2865" s="25">
        <v>43386.27701243055</v>
      </c>
      <c r="B2865" s="26" t="s">
        <v>40</v>
      </c>
      <c r="C2865" s="26">
        <v>64.0</v>
      </c>
      <c r="D2865" s="26" t="s">
        <v>41</v>
      </c>
      <c r="E2865" s="26">
        <v>130.0</v>
      </c>
      <c r="F2865" s="26" t="s">
        <v>1967</v>
      </c>
      <c r="G2865" s="26">
        <v>12.0</v>
      </c>
      <c r="H2865" s="26">
        <v>4.0</v>
      </c>
      <c r="N2865" s="26" t="s">
        <v>683</v>
      </c>
    </row>
    <row r="2866">
      <c r="A2866" s="25">
        <v>43386.321630763894</v>
      </c>
      <c r="B2866" s="26" t="s">
        <v>1968</v>
      </c>
      <c r="C2866" s="26" t="s">
        <v>1348</v>
      </c>
      <c r="D2866" s="26" t="s">
        <v>1969</v>
      </c>
      <c r="E2866" s="26">
        <v>225.0</v>
      </c>
      <c r="F2866" s="26" t="s">
        <v>94</v>
      </c>
      <c r="G2866" s="26">
        <v>13.0</v>
      </c>
      <c r="H2866" s="26">
        <v>5.0</v>
      </c>
      <c r="N2866" s="26" t="s">
        <v>715</v>
      </c>
    </row>
    <row r="2867">
      <c r="A2867" s="25">
        <v>43386.3250262037</v>
      </c>
      <c r="B2867" s="26" t="s">
        <v>119</v>
      </c>
      <c r="C2867" s="26">
        <v>10.0</v>
      </c>
      <c r="D2867" s="26" t="s">
        <v>842</v>
      </c>
      <c r="E2867" s="26">
        <v>380.0</v>
      </c>
      <c r="F2867" s="26" t="s">
        <v>35</v>
      </c>
      <c r="G2867" s="26">
        <v>11.0</v>
      </c>
      <c r="H2867" s="26">
        <v>3.0</v>
      </c>
      <c r="I2867" s="26">
        <v>225.0</v>
      </c>
      <c r="J2867" s="26">
        <v>100.0</v>
      </c>
      <c r="K2867" s="26">
        <v>55.0</v>
      </c>
      <c r="N2867" s="26" t="s">
        <v>1970</v>
      </c>
    </row>
    <row r="2868">
      <c r="A2868" s="25">
        <v>43386.449114375</v>
      </c>
      <c r="B2868" s="26" t="s">
        <v>371</v>
      </c>
      <c r="C2868" s="26" t="s">
        <v>372</v>
      </c>
      <c r="D2868" s="26" t="s">
        <v>31</v>
      </c>
      <c r="E2868" s="26">
        <v>140.0</v>
      </c>
      <c r="F2868" s="26" t="s">
        <v>459</v>
      </c>
      <c r="G2868" s="26">
        <v>12.0</v>
      </c>
      <c r="H2868" s="26">
        <v>0.0</v>
      </c>
      <c r="I2868" s="26">
        <v>115.0</v>
      </c>
      <c r="J2868" s="26">
        <v>15.0</v>
      </c>
      <c r="K2868" s="26">
        <v>10.0</v>
      </c>
      <c r="N2868" s="26" t="s">
        <v>751</v>
      </c>
    </row>
    <row r="2869">
      <c r="A2869" s="25">
        <v>43386.45471121528</v>
      </c>
      <c r="B2869" s="26" t="s">
        <v>33</v>
      </c>
      <c r="C2869" s="26" t="s">
        <v>43</v>
      </c>
      <c r="D2869" s="26" t="s">
        <v>711</v>
      </c>
      <c r="E2869" s="26">
        <v>157.0</v>
      </c>
      <c r="F2869" s="26" t="s">
        <v>35</v>
      </c>
      <c r="G2869" s="26">
        <v>2.0</v>
      </c>
      <c r="H2869" s="26">
        <v>1.0</v>
      </c>
      <c r="I2869" s="26">
        <v>118.0</v>
      </c>
      <c r="J2869" s="26">
        <v>17.0</v>
      </c>
      <c r="K2869" s="26">
        <v>22.0</v>
      </c>
      <c r="N2869" s="26" t="s">
        <v>683</v>
      </c>
    </row>
    <row r="2870">
      <c r="A2870" s="25">
        <v>43386.47700680555</v>
      </c>
      <c r="B2870" s="26" t="s">
        <v>170</v>
      </c>
      <c r="C2870" s="26" t="s">
        <v>590</v>
      </c>
      <c r="D2870" s="26" t="s">
        <v>31</v>
      </c>
      <c r="E2870" s="26">
        <v>185.0</v>
      </c>
      <c r="F2870" s="26" t="s">
        <v>232</v>
      </c>
      <c r="G2870" s="26">
        <v>8.0</v>
      </c>
      <c r="H2870" s="26">
        <v>8.0</v>
      </c>
      <c r="N2870" s="26" t="s">
        <v>817</v>
      </c>
    </row>
    <row r="2871">
      <c r="A2871" s="25">
        <v>43386.50353078704</v>
      </c>
      <c r="B2871" s="26" t="s">
        <v>1971</v>
      </c>
      <c r="C2871" s="26" t="s">
        <v>1096</v>
      </c>
      <c r="D2871" s="26" t="s">
        <v>711</v>
      </c>
      <c r="E2871" s="26">
        <v>82.0</v>
      </c>
      <c r="F2871" s="26" t="s">
        <v>1972</v>
      </c>
      <c r="G2871" s="26">
        <v>4.0</v>
      </c>
      <c r="H2871" s="26">
        <v>4.0</v>
      </c>
      <c r="N2871" s="26" t="s">
        <v>691</v>
      </c>
    </row>
    <row r="2872">
      <c r="A2872" s="25">
        <v>43386.57520774305</v>
      </c>
      <c r="B2872" s="26" t="s">
        <v>170</v>
      </c>
      <c r="C2872" s="26" t="s">
        <v>606</v>
      </c>
      <c r="D2872" s="26" t="s">
        <v>1973</v>
      </c>
      <c r="E2872" s="26">
        <v>355.0</v>
      </c>
      <c r="F2872" s="26" t="s">
        <v>453</v>
      </c>
      <c r="G2872" s="26">
        <v>25.0</v>
      </c>
      <c r="H2872" s="26">
        <v>2.0</v>
      </c>
      <c r="I2872" s="26">
        <v>205.0</v>
      </c>
      <c r="J2872" s="26">
        <v>80.0</v>
      </c>
      <c r="K2872" s="26">
        <v>70.0</v>
      </c>
      <c r="N2872" s="26" t="s">
        <v>691</v>
      </c>
    </row>
    <row r="2873">
      <c r="A2873" s="25">
        <v>43386.578686747685</v>
      </c>
      <c r="B2873" s="26" t="s">
        <v>33</v>
      </c>
      <c r="C2873" s="26" t="s">
        <v>62</v>
      </c>
      <c r="D2873" s="26" t="s">
        <v>1974</v>
      </c>
      <c r="E2873" s="26">
        <v>350.0</v>
      </c>
      <c r="F2873" s="26" t="s">
        <v>32</v>
      </c>
      <c r="G2873" s="26">
        <v>20.0</v>
      </c>
      <c r="H2873" s="26">
        <v>3.0</v>
      </c>
      <c r="I2873" s="26">
        <v>168.0</v>
      </c>
      <c r="J2873" s="26">
        <v>182.0</v>
      </c>
      <c r="N2873" s="26" t="s">
        <v>1546</v>
      </c>
    </row>
    <row r="2874">
      <c r="A2874" s="25">
        <v>43386.62671070602</v>
      </c>
      <c r="B2874" s="26" t="s">
        <v>80</v>
      </c>
      <c r="C2874" s="26" t="s">
        <v>818</v>
      </c>
      <c r="D2874" s="26" t="s">
        <v>31</v>
      </c>
      <c r="E2874" s="26">
        <v>233.0</v>
      </c>
      <c r="F2874" s="26" t="s">
        <v>51</v>
      </c>
      <c r="G2874" s="26">
        <v>4.0</v>
      </c>
      <c r="H2874" s="26">
        <v>0.0</v>
      </c>
      <c r="I2874" s="26">
        <v>140.0</v>
      </c>
      <c r="J2874" s="26">
        <v>72.0</v>
      </c>
      <c r="K2874" s="26">
        <v>21.0</v>
      </c>
      <c r="N2874" s="26" t="s">
        <v>685</v>
      </c>
    </row>
    <row r="2875">
      <c r="A2875" s="25">
        <v>43386.71662677084</v>
      </c>
      <c r="B2875" s="26" t="s">
        <v>80</v>
      </c>
      <c r="C2875" s="26" t="s">
        <v>43</v>
      </c>
      <c r="D2875" s="26" t="s">
        <v>31</v>
      </c>
      <c r="E2875" s="26">
        <v>300.0</v>
      </c>
      <c r="F2875" s="26" t="s">
        <v>58</v>
      </c>
      <c r="G2875" s="26">
        <v>10.0</v>
      </c>
      <c r="H2875" s="26">
        <v>1.0</v>
      </c>
      <c r="N2875" s="26" t="s">
        <v>683</v>
      </c>
    </row>
    <row r="2876">
      <c r="A2876" s="25">
        <v>43386.76186298611</v>
      </c>
      <c r="B2876" s="26" t="s">
        <v>33</v>
      </c>
      <c r="C2876" s="26" t="s">
        <v>43</v>
      </c>
      <c r="D2876" s="26" t="s">
        <v>31</v>
      </c>
      <c r="E2876" s="26">
        <v>183.0</v>
      </c>
      <c r="F2876" s="26" t="s">
        <v>35</v>
      </c>
      <c r="G2876" s="26">
        <v>2.0</v>
      </c>
      <c r="H2876" s="26">
        <v>2.0</v>
      </c>
      <c r="I2876" s="26">
        <v>132.0</v>
      </c>
      <c r="J2876" s="26">
        <v>25.0</v>
      </c>
      <c r="K2876" s="26">
        <v>26.0</v>
      </c>
      <c r="N2876" s="26" t="s">
        <v>685</v>
      </c>
    </row>
    <row r="2877">
      <c r="A2877" s="25">
        <v>43386.81714064815</v>
      </c>
      <c r="B2877" s="26" t="s">
        <v>33</v>
      </c>
      <c r="C2877" s="26" t="s">
        <v>34</v>
      </c>
      <c r="D2877" s="26" t="s">
        <v>27</v>
      </c>
      <c r="E2877" s="26">
        <v>700.0</v>
      </c>
      <c r="F2877" s="26" t="s">
        <v>35</v>
      </c>
      <c r="G2877" s="26">
        <v>13.0</v>
      </c>
      <c r="H2877" s="26">
        <v>10.0</v>
      </c>
      <c r="I2877" s="26">
        <v>160.0</v>
      </c>
      <c r="J2877" s="26">
        <v>540.0</v>
      </c>
      <c r="N2877" s="26" t="s">
        <v>683</v>
      </c>
    </row>
    <row r="2878">
      <c r="A2878" s="25">
        <v>43386.81915166667</v>
      </c>
      <c r="B2878" s="26" t="s">
        <v>48</v>
      </c>
      <c r="C2878" s="26" t="s">
        <v>166</v>
      </c>
      <c r="D2878" s="26" t="s">
        <v>31</v>
      </c>
      <c r="E2878" s="26">
        <v>330.0</v>
      </c>
      <c r="F2878" s="26" t="s">
        <v>50</v>
      </c>
      <c r="G2878" s="26">
        <v>12.0</v>
      </c>
      <c r="H2878" s="26">
        <v>4.0</v>
      </c>
      <c r="I2878" s="26">
        <v>190.0</v>
      </c>
      <c r="J2878" s="26">
        <v>120.0</v>
      </c>
      <c r="K2878" s="26">
        <v>20.0</v>
      </c>
      <c r="N2878" s="26" t="s">
        <v>699</v>
      </c>
    </row>
    <row r="2879">
      <c r="A2879" s="25">
        <v>43386.83714297454</v>
      </c>
      <c r="B2879" s="26" t="s">
        <v>258</v>
      </c>
      <c r="C2879" s="26" t="s">
        <v>749</v>
      </c>
      <c r="D2879" s="26" t="s">
        <v>31</v>
      </c>
      <c r="E2879" s="26">
        <v>317.0</v>
      </c>
      <c r="F2879" s="26" t="s">
        <v>32</v>
      </c>
      <c r="G2879" s="26">
        <v>6.0</v>
      </c>
      <c r="H2879" s="26">
        <v>1.5</v>
      </c>
      <c r="I2879" s="26">
        <v>170.0</v>
      </c>
      <c r="J2879" s="26">
        <v>140.0</v>
      </c>
      <c r="K2879" s="26">
        <v>17.0</v>
      </c>
      <c r="N2879" s="26" t="s">
        <v>685</v>
      </c>
    </row>
    <row r="2880">
      <c r="A2880" s="25">
        <v>43386.9338087963</v>
      </c>
      <c r="B2880" s="26" t="s">
        <v>95</v>
      </c>
      <c r="C2880" s="26" t="s">
        <v>96</v>
      </c>
      <c r="D2880" s="26" t="s">
        <v>31</v>
      </c>
      <c r="E2880" s="26">
        <v>475.0</v>
      </c>
      <c r="F2880" s="26" t="s">
        <v>1975</v>
      </c>
      <c r="G2880" s="26">
        <v>13.0</v>
      </c>
      <c r="H2880" s="26">
        <v>3.5</v>
      </c>
      <c r="I2880" s="26">
        <v>475.0</v>
      </c>
      <c r="N2880" s="26" t="s">
        <v>704</v>
      </c>
    </row>
    <row r="2881">
      <c r="A2881" s="25">
        <v>43386.983157731476</v>
      </c>
      <c r="B2881" s="26" t="s">
        <v>33</v>
      </c>
      <c r="C2881" s="26" t="s">
        <v>43</v>
      </c>
      <c r="D2881" s="26" t="s">
        <v>31</v>
      </c>
      <c r="E2881" s="26">
        <v>255.0</v>
      </c>
      <c r="F2881" s="26" t="s">
        <v>35</v>
      </c>
      <c r="G2881" s="26">
        <v>9.0</v>
      </c>
      <c r="H2881" s="26">
        <v>3.0</v>
      </c>
      <c r="I2881" s="26">
        <v>155.0</v>
      </c>
      <c r="J2881" s="26">
        <v>100.0</v>
      </c>
      <c r="N2881" s="26" t="s">
        <v>704</v>
      </c>
    </row>
    <row r="2882">
      <c r="A2882" s="25">
        <v>43387.002058576385</v>
      </c>
      <c r="B2882" s="26" t="s">
        <v>48</v>
      </c>
      <c r="C2882" s="26" t="s">
        <v>166</v>
      </c>
      <c r="D2882" s="26" t="s">
        <v>31</v>
      </c>
      <c r="E2882" s="26">
        <v>365.0</v>
      </c>
      <c r="F2882" s="26" t="s">
        <v>35</v>
      </c>
      <c r="G2882" s="26">
        <v>9.0</v>
      </c>
      <c r="H2882" s="26">
        <v>1.0</v>
      </c>
      <c r="I2882" s="26">
        <v>185.0</v>
      </c>
      <c r="J2882" s="26">
        <v>150.0</v>
      </c>
      <c r="K2882" s="26">
        <v>30.0</v>
      </c>
      <c r="N2882" s="26" t="s">
        <v>685</v>
      </c>
    </row>
    <row r="2883">
      <c r="A2883" s="25">
        <v>43387.00903256945</v>
      </c>
      <c r="B2883" s="26" t="s">
        <v>80</v>
      </c>
      <c r="C2883" s="26" t="s">
        <v>93</v>
      </c>
      <c r="D2883" s="26" t="s">
        <v>41</v>
      </c>
      <c r="E2883" s="26">
        <v>455.0</v>
      </c>
      <c r="F2883" s="26" t="s">
        <v>51</v>
      </c>
      <c r="G2883" s="26">
        <v>18.0</v>
      </c>
      <c r="H2883" s="26">
        <v>5.0</v>
      </c>
      <c r="I2883" s="26">
        <v>200.0</v>
      </c>
      <c r="J2883" s="26">
        <v>200.0</v>
      </c>
      <c r="K2883" s="26">
        <v>50.0</v>
      </c>
      <c r="L2883" s="26" t="s">
        <v>1976</v>
      </c>
      <c r="N2883" s="26" t="s">
        <v>685</v>
      </c>
    </row>
    <row r="2884">
      <c r="A2884" s="25">
        <v>43387.36313054398</v>
      </c>
      <c r="B2884" s="26" t="s">
        <v>36</v>
      </c>
      <c r="C2884" s="26" t="s">
        <v>610</v>
      </c>
      <c r="D2884" s="26" t="s">
        <v>31</v>
      </c>
      <c r="E2884" s="26">
        <v>310.0</v>
      </c>
      <c r="F2884" s="26" t="s">
        <v>32</v>
      </c>
      <c r="G2884" s="26">
        <v>5.0</v>
      </c>
      <c r="H2884" s="26">
        <v>0.0</v>
      </c>
      <c r="I2884" s="26">
        <v>155.0</v>
      </c>
      <c r="J2884" s="26">
        <v>120.0</v>
      </c>
      <c r="K2884" s="26">
        <v>35.0</v>
      </c>
      <c r="N2884" s="26" t="s">
        <v>691</v>
      </c>
    </row>
    <row r="2885">
      <c r="A2885" s="25">
        <v>43387.37058509259</v>
      </c>
      <c r="B2885" s="26" t="s">
        <v>48</v>
      </c>
      <c r="C2885" s="26" t="s">
        <v>70</v>
      </c>
      <c r="D2885" s="26" t="s">
        <v>31</v>
      </c>
      <c r="E2885" s="26">
        <v>450.0</v>
      </c>
      <c r="F2885" s="26" t="s">
        <v>35</v>
      </c>
      <c r="G2885" s="26">
        <v>10.0</v>
      </c>
      <c r="H2885" s="26">
        <v>1.5</v>
      </c>
      <c r="I2885" s="26">
        <v>210.0</v>
      </c>
      <c r="J2885" s="26">
        <v>200.0</v>
      </c>
      <c r="K2885" s="26">
        <v>40.0</v>
      </c>
      <c r="N2885" s="26" t="s">
        <v>691</v>
      </c>
    </row>
    <row r="2886">
      <c r="A2886" s="25">
        <v>43387.46585648148</v>
      </c>
      <c r="B2886" s="26" t="s">
        <v>1977</v>
      </c>
      <c r="C2886" s="26" t="s">
        <v>386</v>
      </c>
      <c r="D2886" s="26" t="s">
        <v>31</v>
      </c>
      <c r="E2886" s="26">
        <v>450.0</v>
      </c>
      <c r="F2886" s="26" t="s">
        <v>453</v>
      </c>
      <c r="G2886" s="26">
        <v>12.0</v>
      </c>
      <c r="H2886" s="26">
        <v>6.0</v>
      </c>
      <c r="N2886" s="26" t="s">
        <v>683</v>
      </c>
    </row>
    <row r="2887">
      <c r="A2887" s="25">
        <v>43387.50562607639</v>
      </c>
      <c r="B2887" s="26" t="s">
        <v>40</v>
      </c>
      <c r="C2887" s="26">
        <v>59.0</v>
      </c>
      <c r="D2887" s="26" t="s">
        <v>31</v>
      </c>
      <c r="E2887" s="26">
        <v>159.0</v>
      </c>
      <c r="F2887" s="26" t="s">
        <v>35</v>
      </c>
      <c r="G2887" s="26">
        <v>1.0</v>
      </c>
      <c r="H2887" s="26">
        <v>0.0</v>
      </c>
      <c r="I2887" s="26">
        <v>109.0</v>
      </c>
      <c r="J2887" s="26">
        <v>30.0</v>
      </c>
      <c r="K2887" s="26">
        <v>20.0</v>
      </c>
      <c r="N2887" s="26" t="s">
        <v>704</v>
      </c>
    </row>
    <row r="2888">
      <c r="A2888" s="25">
        <v>43387.55319839121</v>
      </c>
      <c r="B2888" s="26" t="s">
        <v>407</v>
      </c>
      <c r="C2888" s="26" t="s">
        <v>1978</v>
      </c>
      <c r="D2888" s="26" t="s">
        <v>1979</v>
      </c>
      <c r="E2888" s="26">
        <v>190.0</v>
      </c>
      <c r="F2888" s="26" t="s">
        <v>32</v>
      </c>
      <c r="G2888" s="26">
        <v>5.0</v>
      </c>
      <c r="H2888" s="26">
        <v>2.0</v>
      </c>
      <c r="I2888" s="26">
        <v>160.0</v>
      </c>
      <c r="J2888" s="26">
        <v>28.0</v>
      </c>
      <c r="K2888" s="26">
        <v>7.0</v>
      </c>
      <c r="N2888" s="26" t="s">
        <v>1980</v>
      </c>
    </row>
    <row r="2889">
      <c r="A2889" s="25">
        <v>43387.55319839121</v>
      </c>
      <c r="B2889" s="26" t="s">
        <v>407</v>
      </c>
      <c r="C2889" s="26" t="s">
        <v>1978</v>
      </c>
      <c r="D2889" s="26" t="s">
        <v>1979</v>
      </c>
      <c r="E2889" s="26">
        <v>190.0</v>
      </c>
      <c r="F2889" s="26" t="s">
        <v>32</v>
      </c>
      <c r="G2889" s="26">
        <v>5.0</v>
      </c>
      <c r="H2889" s="26">
        <v>2.0</v>
      </c>
      <c r="I2889" s="26">
        <v>160.0</v>
      </c>
      <c r="J2889" s="26">
        <v>28.0</v>
      </c>
      <c r="K2889" s="26">
        <v>7.0</v>
      </c>
      <c r="N2889" s="26" t="s">
        <v>1980</v>
      </c>
    </row>
    <row r="2890">
      <c r="A2890" s="25">
        <v>43387.59898494213</v>
      </c>
      <c r="B2890" s="26" t="s">
        <v>350</v>
      </c>
      <c r="C2890" s="26" t="s">
        <v>643</v>
      </c>
      <c r="D2890" s="26" t="s">
        <v>31</v>
      </c>
      <c r="E2890" s="26">
        <v>108.0</v>
      </c>
      <c r="F2890" s="26" t="s">
        <v>569</v>
      </c>
      <c r="G2890" s="26">
        <v>2.0</v>
      </c>
      <c r="H2890" s="26">
        <v>2.0</v>
      </c>
      <c r="N2890" s="26" t="s">
        <v>683</v>
      </c>
    </row>
    <row r="2891">
      <c r="A2891" s="25">
        <v>43387.663195416666</v>
      </c>
      <c r="B2891" s="26" t="s">
        <v>40</v>
      </c>
      <c r="C2891" s="26">
        <v>60.0</v>
      </c>
      <c r="D2891" s="26" t="s">
        <v>31</v>
      </c>
      <c r="E2891" s="26">
        <v>123.0</v>
      </c>
      <c r="F2891" s="26" t="s">
        <v>44</v>
      </c>
      <c r="G2891" s="26">
        <v>0.0</v>
      </c>
      <c r="H2891" s="26">
        <v>0.0</v>
      </c>
      <c r="I2891" s="26">
        <v>76.0</v>
      </c>
      <c r="J2891" s="26">
        <v>32.0</v>
      </c>
      <c r="K2891" s="26">
        <v>15.0</v>
      </c>
      <c r="N2891" s="26" t="s">
        <v>683</v>
      </c>
    </row>
    <row r="2892">
      <c r="A2892" s="25">
        <v>43387.67811256944</v>
      </c>
      <c r="B2892" s="26" t="s">
        <v>45</v>
      </c>
      <c r="C2892" s="26" t="s">
        <v>46</v>
      </c>
      <c r="D2892" s="26" t="s">
        <v>41</v>
      </c>
      <c r="E2892" s="26">
        <v>325.0</v>
      </c>
      <c r="F2892" s="26" t="s">
        <v>104</v>
      </c>
      <c r="G2892" s="26">
        <v>4.0</v>
      </c>
      <c r="H2892" s="26">
        <v>4.0</v>
      </c>
      <c r="I2892" s="26">
        <v>177.0</v>
      </c>
      <c r="J2892" s="26">
        <v>122.0</v>
      </c>
      <c r="K2892" s="26">
        <v>26.0</v>
      </c>
      <c r="N2892" s="26" t="s">
        <v>866</v>
      </c>
    </row>
    <row r="2893">
      <c r="A2893" s="25">
        <v>43387.73879297454</v>
      </c>
      <c r="B2893" s="26" t="s">
        <v>80</v>
      </c>
      <c r="C2893" s="26" t="s">
        <v>430</v>
      </c>
      <c r="D2893" s="26" t="s">
        <v>31</v>
      </c>
      <c r="E2893" s="26">
        <v>330.0</v>
      </c>
      <c r="F2893" s="26" t="s">
        <v>32</v>
      </c>
      <c r="G2893" s="26">
        <v>4.0</v>
      </c>
      <c r="H2893" s="26">
        <v>2.0</v>
      </c>
      <c r="N2893" s="26" t="s">
        <v>687</v>
      </c>
    </row>
    <row r="2894">
      <c r="A2894" s="25">
        <v>43387.74398924768</v>
      </c>
      <c r="B2894" s="26" t="s">
        <v>33</v>
      </c>
      <c r="C2894" s="26" t="s">
        <v>73</v>
      </c>
      <c r="D2894" s="26" t="s">
        <v>31</v>
      </c>
      <c r="E2894" s="26">
        <v>180.0</v>
      </c>
      <c r="F2894" s="26" t="s">
        <v>175</v>
      </c>
      <c r="G2894" s="26">
        <v>0.0</v>
      </c>
      <c r="H2894" s="26">
        <v>0.0</v>
      </c>
      <c r="I2894" s="26">
        <v>125.0</v>
      </c>
      <c r="J2894" s="26">
        <v>12.0</v>
      </c>
      <c r="K2894" s="26">
        <v>43.0</v>
      </c>
      <c r="L2894" s="27" t="s">
        <v>1981</v>
      </c>
      <c r="N2894" s="26" t="s">
        <v>685</v>
      </c>
    </row>
    <row r="2895">
      <c r="A2895" s="25">
        <v>43387.75374327546</v>
      </c>
      <c r="B2895" s="26" t="s">
        <v>1982</v>
      </c>
      <c r="C2895" s="26" t="s">
        <v>1983</v>
      </c>
      <c r="D2895" s="26" t="s">
        <v>31</v>
      </c>
      <c r="E2895" s="26">
        <v>153.0</v>
      </c>
      <c r="F2895" s="26" t="s">
        <v>1984</v>
      </c>
      <c r="G2895" s="26">
        <v>12.0</v>
      </c>
      <c r="H2895" s="26">
        <v>11.0</v>
      </c>
      <c r="I2895" s="26">
        <v>125000.0</v>
      </c>
      <c r="J2895" s="26">
        <v>1000.0</v>
      </c>
      <c r="N2895" s="26" t="s">
        <v>685</v>
      </c>
    </row>
    <row r="2896">
      <c r="A2896" s="25">
        <v>43387.75445474537</v>
      </c>
      <c r="B2896" s="26" t="s">
        <v>1982</v>
      </c>
      <c r="C2896" s="26" t="s">
        <v>1983</v>
      </c>
      <c r="D2896" s="26" t="s">
        <v>31</v>
      </c>
      <c r="E2896" s="26">
        <v>153.0</v>
      </c>
      <c r="F2896" s="26" t="s">
        <v>1984</v>
      </c>
      <c r="G2896" s="26">
        <v>13.0</v>
      </c>
      <c r="H2896" s="26">
        <v>11.0</v>
      </c>
      <c r="I2896" s="26">
        <v>125.0</v>
      </c>
      <c r="J2896" s="26">
        <v>10.0</v>
      </c>
      <c r="K2896" s="26">
        <v>18.0</v>
      </c>
      <c r="N2896" s="26" t="s">
        <v>685</v>
      </c>
    </row>
    <row r="2897">
      <c r="A2897" s="25">
        <v>43387.76790961805</v>
      </c>
      <c r="B2897" s="26" t="s">
        <v>40</v>
      </c>
      <c r="C2897" s="26">
        <v>62.0</v>
      </c>
      <c r="D2897" s="26" t="s">
        <v>31</v>
      </c>
      <c r="E2897" s="26">
        <v>198.0</v>
      </c>
      <c r="F2897" s="26" t="s">
        <v>75</v>
      </c>
      <c r="G2897" s="26">
        <v>5.0</v>
      </c>
      <c r="H2897" s="26">
        <v>2.0</v>
      </c>
      <c r="I2897" s="26">
        <v>148.0</v>
      </c>
      <c r="J2897" s="26">
        <v>30.0</v>
      </c>
      <c r="K2897" s="26">
        <v>20.0</v>
      </c>
      <c r="N2897" s="26" t="s">
        <v>685</v>
      </c>
    </row>
    <row r="2898">
      <c r="A2898" s="25">
        <v>43387.76974737269</v>
      </c>
      <c r="B2898" s="26" t="s">
        <v>33</v>
      </c>
      <c r="C2898" s="26" t="s">
        <v>381</v>
      </c>
      <c r="D2898" s="26" t="s">
        <v>31</v>
      </c>
      <c r="E2898" s="26">
        <v>315.0</v>
      </c>
      <c r="F2898" s="26" t="s">
        <v>35</v>
      </c>
      <c r="G2898" s="26">
        <v>20.0</v>
      </c>
      <c r="H2898" s="26">
        <v>4.0</v>
      </c>
      <c r="I2898" s="26">
        <v>151.0</v>
      </c>
      <c r="N2898" s="26" t="s">
        <v>685</v>
      </c>
    </row>
    <row r="2899">
      <c r="A2899" s="25">
        <v>43387.77922413194</v>
      </c>
      <c r="B2899" s="26" t="s">
        <v>33</v>
      </c>
      <c r="C2899" s="26" t="s">
        <v>73</v>
      </c>
      <c r="D2899" s="26" t="s">
        <v>31</v>
      </c>
      <c r="E2899" s="26">
        <v>132.0</v>
      </c>
      <c r="F2899" s="26" t="s">
        <v>86</v>
      </c>
      <c r="G2899" s="26">
        <v>1.0</v>
      </c>
      <c r="H2899" s="26">
        <v>1.0</v>
      </c>
      <c r="I2899" s="26">
        <v>109.0</v>
      </c>
      <c r="J2899" s="26">
        <v>5.0</v>
      </c>
      <c r="K2899" s="26">
        <v>18.0</v>
      </c>
      <c r="N2899" s="26" t="s">
        <v>683</v>
      </c>
    </row>
    <row r="2900">
      <c r="A2900" s="25">
        <v>43387.80427179398</v>
      </c>
      <c r="B2900" s="26" t="s">
        <v>1985</v>
      </c>
      <c r="C2900" s="26" t="s">
        <v>191</v>
      </c>
      <c r="D2900" s="26" t="s">
        <v>1311</v>
      </c>
      <c r="E2900" s="26">
        <v>127.0</v>
      </c>
      <c r="F2900" s="26" t="s">
        <v>32</v>
      </c>
      <c r="G2900" s="26">
        <v>0.0</v>
      </c>
      <c r="H2900" s="26">
        <v>1.0</v>
      </c>
      <c r="I2900" s="26">
        <v>110.0</v>
      </c>
      <c r="K2900" s="26">
        <v>17.0</v>
      </c>
      <c r="N2900" s="26" t="s">
        <v>1149</v>
      </c>
    </row>
    <row r="2901">
      <c r="A2901" s="25">
        <v>43387.814526435184</v>
      </c>
      <c r="B2901" s="26" t="s">
        <v>40</v>
      </c>
      <c r="C2901" s="26">
        <v>62.0</v>
      </c>
      <c r="D2901" s="26" t="s">
        <v>31</v>
      </c>
      <c r="E2901" s="26">
        <v>175.0</v>
      </c>
      <c r="F2901" s="26" t="s">
        <v>1448</v>
      </c>
      <c r="G2901" s="26">
        <v>6.0</v>
      </c>
      <c r="H2901" s="26">
        <v>6.0</v>
      </c>
      <c r="I2901" s="26">
        <v>150.0</v>
      </c>
      <c r="J2901" s="26">
        <v>10.0</v>
      </c>
      <c r="K2901" s="26">
        <v>15.0</v>
      </c>
      <c r="N2901" s="26" t="s">
        <v>1243</v>
      </c>
    </row>
    <row r="2902">
      <c r="A2902" s="25">
        <v>43387.8207565162</v>
      </c>
      <c r="B2902" s="26" t="s">
        <v>40</v>
      </c>
      <c r="C2902" s="26">
        <v>59.0</v>
      </c>
      <c r="D2902" s="26" t="s">
        <v>27</v>
      </c>
      <c r="E2902" s="26">
        <v>141.0</v>
      </c>
      <c r="F2902" s="26" t="s">
        <v>63</v>
      </c>
      <c r="G2902" s="26">
        <v>0.0</v>
      </c>
      <c r="H2902" s="26">
        <v>0.0</v>
      </c>
      <c r="I2902" s="26">
        <v>108.0</v>
      </c>
      <c r="J2902" s="26">
        <v>30.0</v>
      </c>
      <c r="K2902" s="26">
        <v>3.0</v>
      </c>
      <c r="N2902" s="26" t="s">
        <v>685</v>
      </c>
    </row>
    <row r="2903">
      <c r="A2903" s="25">
        <v>43387.85636949074</v>
      </c>
      <c r="B2903" s="26" t="s">
        <v>1196</v>
      </c>
      <c r="C2903" s="26">
        <v>64.0</v>
      </c>
      <c r="D2903" s="26" t="s">
        <v>31</v>
      </c>
      <c r="E2903" s="26">
        <v>295.0</v>
      </c>
      <c r="F2903" s="26" t="s">
        <v>52</v>
      </c>
      <c r="G2903" s="26">
        <v>6.0</v>
      </c>
      <c r="H2903" s="26">
        <v>4.0</v>
      </c>
      <c r="I2903" s="26">
        <v>175.0</v>
      </c>
      <c r="J2903" s="26">
        <v>95.0</v>
      </c>
      <c r="K2903" s="26">
        <v>25.0</v>
      </c>
      <c r="N2903" s="26" t="s">
        <v>685</v>
      </c>
    </row>
    <row r="2904">
      <c r="A2904" s="25">
        <v>43388.08984226851</v>
      </c>
      <c r="B2904" s="26" t="s">
        <v>80</v>
      </c>
      <c r="C2904" s="26" t="s">
        <v>179</v>
      </c>
      <c r="D2904" s="26" t="s">
        <v>31</v>
      </c>
      <c r="E2904" s="26">
        <v>196.0</v>
      </c>
      <c r="F2904" s="26" t="s">
        <v>1072</v>
      </c>
      <c r="G2904" s="26">
        <v>4.0</v>
      </c>
      <c r="H2904" s="26">
        <v>0.0</v>
      </c>
      <c r="I2904" s="26">
        <v>125.0</v>
      </c>
      <c r="J2904" s="26">
        <v>40.0</v>
      </c>
      <c r="K2904" s="26">
        <v>31.0</v>
      </c>
      <c r="L2904" s="26" t="s">
        <v>1986</v>
      </c>
      <c r="N2904" s="26" t="s">
        <v>704</v>
      </c>
    </row>
    <row r="2905">
      <c r="A2905" s="25">
        <v>43388.22055488426</v>
      </c>
      <c r="B2905" s="26" t="s">
        <v>1987</v>
      </c>
      <c r="C2905" s="26" t="s">
        <v>1988</v>
      </c>
      <c r="D2905" s="26" t="s">
        <v>711</v>
      </c>
      <c r="E2905" s="26">
        <v>120.0</v>
      </c>
      <c r="F2905" s="26" t="s">
        <v>161</v>
      </c>
      <c r="G2905" s="26">
        <v>6.0</v>
      </c>
      <c r="H2905" s="26">
        <v>6.0</v>
      </c>
      <c r="N2905" s="26" t="s">
        <v>1667</v>
      </c>
    </row>
    <row r="2906">
      <c r="A2906" s="25">
        <v>43388.23763476852</v>
      </c>
      <c r="B2906" s="26" t="s">
        <v>371</v>
      </c>
      <c r="C2906" s="26" t="s">
        <v>1174</v>
      </c>
      <c r="D2906" s="26" t="s">
        <v>1989</v>
      </c>
      <c r="E2906" s="26">
        <v>385.0</v>
      </c>
      <c r="F2906" s="26" t="s">
        <v>1990</v>
      </c>
      <c r="G2906" s="26">
        <v>20.0</v>
      </c>
      <c r="H2906" s="26">
        <v>14.0</v>
      </c>
      <c r="I2906" s="26">
        <v>225.0</v>
      </c>
      <c r="J2906" s="26">
        <v>105.0</v>
      </c>
      <c r="K2906" s="26">
        <v>55.0</v>
      </c>
      <c r="N2906" s="26" t="s">
        <v>1163</v>
      </c>
    </row>
    <row r="2907">
      <c r="A2907" s="25">
        <v>43388.457192222224</v>
      </c>
      <c r="B2907" s="26" t="s">
        <v>40</v>
      </c>
      <c r="C2907" s="26">
        <v>59.0</v>
      </c>
      <c r="D2907" s="26" t="s">
        <v>31</v>
      </c>
      <c r="E2907" s="26">
        <v>153.0</v>
      </c>
      <c r="F2907" s="26" t="s">
        <v>75</v>
      </c>
      <c r="G2907" s="26">
        <v>0.0</v>
      </c>
      <c r="H2907" s="26">
        <v>0.0</v>
      </c>
      <c r="I2907" s="26">
        <v>109.0</v>
      </c>
      <c r="J2907" s="26">
        <v>24.0</v>
      </c>
      <c r="K2907" s="26">
        <v>20.0</v>
      </c>
      <c r="N2907" s="26" t="s">
        <v>715</v>
      </c>
    </row>
    <row r="2908">
      <c r="A2908" s="25">
        <v>43388.457545694444</v>
      </c>
      <c r="B2908" s="26" t="s">
        <v>1991</v>
      </c>
      <c r="C2908" s="26" t="s">
        <v>125</v>
      </c>
      <c r="D2908" s="26" t="s">
        <v>31</v>
      </c>
      <c r="E2908" s="26">
        <v>180.0</v>
      </c>
      <c r="F2908" s="26" t="s">
        <v>32</v>
      </c>
      <c r="G2908" s="26">
        <v>11.0</v>
      </c>
      <c r="H2908" s="26">
        <v>6.0</v>
      </c>
      <c r="I2908" s="26">
        <v>160.0</v>
      </c>
      <c r="K2908" s="26">
        <v>20.0</v>
      </c>
      <c r="N2908" s="26" t="s">
        <v>704</v>
      </c>
    </row>
    <row r="2909">
      <c r="A2909" s="25">
        <v>43388.46824703703</v>
      </c>
      <c r="B2909" s="26" t="s">
        <v>40</v>
      </c>
      <c r="C2909" s="26" t="s">
        <v>76</v>
      </c>
      <c r="D2909" s="26" t="s">
        <v>711</v>
      </c>
      <c r="E2909" s="26">
        <v>240.0</v>
      </c>
      <c r="F2909" s="26" t="s">
        <v>75</v>
      </c>
      <c r="G2909" s="26">
        <v>2.0</v>
      </c>
      <c r="H2909" s="26">
        <v>2.0</v>
      </c>
      <c r="N2909" s="26" t="s">
        <v>691</v>
      </c>
    </row>
    <row r="2910">
      <c r="A2910" s="25">
        <v>43388.48353896991</v>
      </c>
      <c r="B2910" s="26" t="s">
        <v>77</v>
      </c>
      <c r="C2910" s="26" t="s">
        <v>184</v>
      </c>
      <c r="D2910" s="26" t="s">
        <v>31</v>
      </c>
      <c r="E2910" s="26">
        <v>175.0</v>
      </c>
      <c r="F2910" s="26" t="s">
        <v>140</v>
      </c>
      <c r="G2910" s="26">
        <v>10.0</v>
      </c>
      <c r="H2910" s="26">
        <v>3.0</v>
      </c>
      <c r="I2910" s="26">
        <v>150.0</v>
      </c>
      <c r="J2910" s="26">
        <v>1.0</v>
      </c>
      <c r="K2910" s="26">
        <v>24.0</v>
      </c>
      <c r="N2910" s="26" t="s">
        <v>708</v>
      </c>
    </row>
    <row r="2911">
      <c r="A2911" s="25">
        <v>43388.49235344907</v>
      </c>
      <c r="B2911" s="26" t="s">
        <v>40</v>
      </c>
      <c r="C2911" s="26">
        <v>63.0</v>
      </c>
      <c r="D2911" s="26" t="s">
        <v>1992</v>
      </c>
      <c r="E2911" s="26">
        <v>205.0</v>
      </c>
      <c r="F2911" s="26" t="s">
        <v>1776</v>
      </c>
      <c r="G2911" s="26">
        <v>9.0</v>
      </c>
      <c r="H2911" s="26">
        <v>4.0</v>
      </c>
      <c r="I2911" s="26">
        <v>145.0</v>
      </c>
      <c r="J2911" s="26">
        <v>30.0</v>
      </c>
      <c r="K2911" s="26">
        <v>30.0</v>
      </c>
      <c r="N2911" s="26" t="s">
        <v>1993</v>
      </c>
    </row>
    <row r="2912">
      <c r="A2912" s="25">
        <v>43388.56213303241</v>
      </c>
      <c r="B2912" s="26" t="s">
        <v>371</v>
      </c>
      <c r="C2912" s="26" t="s">
        <v>372</v>
      </c>
      <c r="D2912" s="26" t="s">
        <v>31</v>
      </c>
      <c r="E2912" s="26">
        <v>180.0</v>
      </c>
      <c r="F2912" s="26" t="s">
        <v>459</v>
      </c>
      <c r="G2912" s="26">
        <v>10.0</v>
      </c>
      <c r="H2912" s="26">
        <v>8.0</v>
      </c>
      <c r="N2912" s="26" t="s">
        <v>1246</v>
      </c>
    </row>
    <row r="2913">
      <c r="A2913" s="25">
        <v>43388.56276878472</v>
      </c>
      <c r="B2913" s="26" t="s">
        <v>371</v>
      </c>
      <c r="C2913" s="26" t="s">
        <v>372</v>
      </c>
      <c r="D2913" s="26" t="s">
        <v>31</v>
      </c>
      <c r="E2913" s="26">
        <v>185.0</v>
      </c>
      <c r="F2913" s="26" t="s">
        <v>238</v>
      </c>
      <c r="G2913" s="26">
        <v>10.0</v>
      </c>
      <c r="H2913" s="26">
        <v>6.0</v>
      </c>
      <c r="N2913" s="26" t="s">
        <v>1247</v>
      </c>
    </row>
    <row r="2914">
      <c r="A2914" s="25">
        <v>43388.59953663194</v>
      </c>
      <c r="B2914" s="26" t="s">
        <v>80</v>
      </c>
      <c r="C2914" s="26" t="s">
        <v>1994</v>
      </c>
      <c r="D2914" s="26" t="s">
        <v>31</v>
      </c>
      <c r="E2914" s="26">
        <v>179.0</v>
      </c>
      <c r="F2914" s="26" t="s">
        <v>403</v>
      </c>
      <c r="G2914" s="26">
        <v>12.0</v>
      </c>
      <c r="H2914" s="26">
        <v>6.0</v>
      </c>
      <c r="I2914" s="26">
        <v>99.0</v>
      </c>
      <c r="J2914" s="26">
        <v>54.0</v>
      </c>
      <c r="K2914" s="26">
        <v>26.0</v>
      </c>
      <c r="N2914" s="26" t="s">
        <v>696</v>
      </c>
    </row>
    <row r="2915">
      <c r="A2915" s="25">
        <v>43388.65192282408</v>
      </c>
      <c r="B2915" s="26" t="s">
        <v>705</v>
      </c>
      <c r="C2915" s="26">
        <v>10.0</v>
      </c>
      <c r="D2915" s="26" t="s">
        <v>1995</v>
      </c>
      <c r="E2915" s="26">
        <v>87.0</v>
      </c>
      <c r="F2915" s="26" t="s">
        <v>58</v>
      </c>
      <c r="G2915" s="26">
        <v>3.0</v>
      </c>
      <c r="H2915" s="26">
        <v>3.0</v>
      </c>
      <c r="I2915" s="26">
        <v>87.0</v>
      </c>
      <c r="K2915" s="26">
        <v>7.0</v>
      </c>
      <c r="N2915" s="26" t="s">
        <v>1996</v>
      </c>
    </row>
    <row r="2916">
      <c r="A2916" s="25">
        <v>43388.69655824074</v>
      </c>
      <c r="B2916" s="26" t="s">
        <v>80</v>
      </c>
      <c r="C2916" s="26" t="s">
        <v>73</v>
      </c>
      <c r="D2916" s="26" t="s">
        <v>31</v>
      </c>
      <c r="E2916" s="26">
        <v>219.0</v>
      </c>
      <c r="F2916" s="26" t="s">
        <v>51</v>
      </c>
      <c r="G2916" s="26">
        <v>4.0</v>
      </c>
      <c r="H2916" s="26">
        <v>0.0</v>
      </c>
      <c r="I2916" s="26">
        <v>160.0</v>
      </c>
      <c r="J2916" s="26">
        <v>35.0</v>
      </c>
      <c r="K2916" s="26">
        <v>24.0</v>
      </c>
      <c r="N2916" s="26" t="s">
        <v>751</v>
      </c>
    </row>
    <row r="2917">
      <c r="A2917" s="25">
        <v>43388.78225950232</v>
      </c>
      <c r="B2917" s="26" t="s">
        <v>1997</v>
      </c>
      <c r="C2917" s="26" t="s">
        <v>191</v>
      </c>
      <c r="D2917" s="26" t="s">
        <v>1998</v>
      </c>
      <c r="E2917" s="26">
        <v>90.0</v>
      </c>
      <c r="F2917" s="26" t="s">
        <v>1999</v>
      </c>
      <c r="G2917" s="26">
        <v>2.0</v>
      </c>
      <c r="H2917" s="26">
        <v>1.0</v>
      </c>
      <c r="I2917" s="26">
        <v>80.0</v>
      </c>
      <c r="J2917" s="26">
        <v>1.0</v>
      </c>
      <c r="K2917" s="26">
        <v>6.0</v>
      </c>
      <c r="N2917" s="26" t="s">
        <v>696</v>
      </c>
    </row>
    <row r="2918">
      <c r="A2918" s="25">
        <v>43388.79036079861</v>
      </c>
      <c r="B2918" s="26" t="s">
        <v>268</v>
      </c>
      <c r="C2918" s="26" t="s">
        <v>572</v>
      </c>
      <c r="D2918" s="26" t="s">
        <v>31</v>
      </c>
      <c r="E2918" s="26">
        <v>162.0</v>
      </c>
      <c r="F2918" s="26" t="s">
        <v>2000</v>
      </c>
      <c r="G2918" s="26">
        <v>4.0</v>
      </c>
      <c r="H2918" s="26">
        <v>3.0</v>
      </c>
      <c r="I2918" s="26">
        <v>131.0</v>
      </c>
      <c r="K2918" s="26">
        <v>31.0</v>
      </c>
      <c r="N2918" s="26" t="s">
        <v>715</v>
      </c>
    </row>
    <row r="2919">
      <c r="A2919" s="25">
        <v>43388.79468659722</v>
      </c>
      <c r="B2919" s="26" t="s">
        <v>45</v>
      </c>
      <c r="C2919" s="26" t="s">
        <v>102</v>
      </c>
      <c r="D2919" s="26" t="s">
        <v>2001</v>
      </c>
      <c r="E2919" s="26">
        <v>190.0</v>
      </c>
      <c r="F2919" s="26" t="s">
        <v>104</v>
      </c>
      <c r="G2919" s="26">
        <v>10.0</v>
      </c>
      <c r="H2919" s="26">
        <v>1.0</v>
      </c>
      <c r="I2919" s="26">
        <v>140.0</v>
      </c>
      <c r="J2919" s="26">
        <v>25.0</v>
      </c>
      <c r="K2919" s="26">
        <v>25.0</v>
      </c>
      <c r="N2919" s="26" t="s">
        <v>699</v>
      </c>
    </row>
    <row r="2920">
      <c r="A2920" s="25">
        <v>43388.8142696412</v>
      </c>
      <c r="B2920" s="26" t="s">
        <v>2002</v>
      </c>
      <c r="C2920" s="26" t="s">
        <v>2003</v>
      </c>
      <c r="D2920" s="26" t="s">
        <v>31</v>
      </c>
      <c r="E2920" s="26">
        <v>12.0</v>
      </c>
      <c r="F2920" s="26" t="s">
        <v>895</v>
      </c>
      <c r="G2920" s="26">
        <v>0.0</v>
      </c>
      <c r="H2920" s="26">
        <v>0.0</v>
      </c>
      <c r="I2920" s="26">
        <v>12.0</v>
      </c>
      <c r="N2920" s="26" t="s">
        <v>691</v>
      </c>
    </row>
    <row r="2921">
      <c r="A2921" s="25">
        <v>43388.85883079861</v>
      </c>
      <c r="B2921" s="26" t="s">
        <v>378</v>
      </c>
      <c r="C2921" s="26" t="s">
        <v>2004</v>
      </c>
      <c r="D2921" s="26" t="s">
        <v>31</v>
      </c>
      <c r="E2921" s="26">
        <v>155.0</v>
      </c>
      <c r="F2921" s="26" t="s">
        <v>32</v>
      </c>
      <c r="G2921" s="26">
        <v>8.0</v>
      </c>
      <c r="H2921" s="26">
        <v>4.0</v>
      </c>
      <c r="I2921" s="26">
        <v>155.0</v>
      </c>
      <c r="J2921" s="26">
        <v>30.0</v>
      </c>
      <c r="N2921" s="26" t="s">
        <v>696</v>
      </c>
    </row>
    <row r="2922">
      <c r="A2922" s="25">
        <v>43388.89691570602</v>
      </c>
      <c r="B2922" s="26" t="s">
        <v>880</v>
      </c>
      <c r="C2922" s="26" t="s">
        <v>78</v>
      </c>
      <c r="D2922" s="26" t="s">
        <v>31</v>
      </c>
      <c r="E2922" s="26">
        <v>300.0</v>
      </c>
      <c r="F2922" s="26" t="s">
        <v>175</v>
      </c>
      <c r="G2922" s="26">
        <v>10.0</v>
      </c>
      <c r="H2922" s="26">
        <v>2.0</v>
      </c>
      <c r="I2922" s="26">
        <v>190.0</v>
      </c>
      <c r="J2922" s="26">
        <v>80.0</v>
      </c>
      <c r="K2922" s="26">
        <v>30.0</v>
      </c>
      <c r="N2922" s="26" t="s">
        <v>685</v>
      </c>
    </row>
    <row r="2923">
      <c r="A2923" s="25">
        <v>43388.935092141204</v>
      </c>
      <c r="B2923" s="26" t="s">
        <v>40</v>
      </c>
      <c r="C2923" s="26">
        <v>62.0</v>
      </c>
      <c r="D2923" s="26" t="s">
        <v>31</v>
      </c>
      <c r="E2923" s="26">
        <v>170.0</v>
      </c>
      <c r="F2923" s="26" t="s">
        <v>75</v>
      </c>
      <c r="G2923" s="26">
        <v>10.0</v>
      </c>
      <c r="H2923" s="26">
        <v>2.0</v>
      </c>
      <c r="I2923" s="26">
        <v>140.0</v>
      </c>
      <c r="J2923" s="26">
        <v>15.0</v>
      </c>
      <c r="K2923" s="26">
        <v>15.0</v>
      </c>
      <c r="N2923" s="26" t="s">
        <v>683</v>
      </c>
    </row>
    <row r="2924">
      <c r="A2924" s="25">
        <v>43388.952954189816</v>
      </c>
      <c r="B2924" s="26" t="s">
        <v>95</v>
      </c>
      <c r="C2924" s="26" t="s">
        <v>1629</v>
      </c>
      <c r="D2924" s="26" t="s">
        <v>41</v>
      </c>
      <c r="E2924" s="26">
        <v>400.0</v>
      </c>
      <c r="F2924" s="26" t="s">
        <v>97</v>
      </c>
      <c r="G2924" s="26">
        <v>10.0</v>
      </c>
      <c r="H2924" s="26">
        <v>6.0</v>
      </c>
      <c r="I2924" s="26">
        <v>400.0</v>
      </c>
      <c r="N2924" s="26" t="s">
        <v>728</v>
      </c>
    </row>
    <row r="2925">
      <c r="A2925" s="25">
        <v>43388.970267094905</v>
      </c>
      <c r="B2925" s="26" t="s">
        <v>819</v>
      </c>
      <c r="C2925" s="26" t="s">
        <v>110</v>
      </c>
      <c r="D2925" s="26" t="s">
        <v>31</v>
      </c>
      <c r="E2925" s="26">
        <v>163.0</v>
      </c>
      <c r="F2925" s="26" t="s">
        <v>175</v>
      </c>
      <c r="G2925" s="26">
        <v>0.0</v>
      </c>
      <c r="H2925" s="26">
        <v>0.0</v>
      </c>
      <c r="I2925" s="26">
        <v>120.0</v>
      </c>
      <c r="J2925" s="26">
        <v>25.0</v>
      </c>
      <c r="K2925" s="26">
        <v>18.0</v>
      </c>
      <c r="N2925" s="26" t="s">
        <v>704</v>
      </c>
    </row>
    <row r="2926">
      <c r="A2926" s="25">
        <v>43389.012165196764</v>
      </c>
      <c r="B2926" s="26" t="s">
        <v>25</v>
      </c>
      <c r="C2926" s="26" t="s">
        <v>462</v>
      </c>
      <c r="D2926" s="26" t="s">
        <v>31</v>
      </c>
      <c r="E2926" s="26">
        <v>465.0</v>
      </c>
      <c r="F2926" s="26" t="s">
        <v>35</v>
      </c>
      <c r="G2926" s="26">
        <v>14.0</v>
      </c>
      <c r="H2926" s="26">
        <v>2.0</v>
      </c>
      <c r="I2926" s="26">
        <v>200.0</v>
      </c>
      <c r="J2926" s="26">
        <v>265.0</v>
      </c>
      <c r="N2926" s="26" t="s">
        <v>683</v>
      </c>
    </row>
    <row r="2927">
      <c r="A2927" s="25">
        <v>43389.150347511575</v>
      </c>
      <c r="B2927" s="27" t="s">
        <v>700</v>
      </c>
      <c r="C2927" s="26" t="s">
        <v>2005</v>
      </c>
      <c r="D2927" s="26" t="s">
        <v>1225</v>
      </c>
      <c r="E2927" s="26">
        <v>72.0</v>
      </c>
      <c r="F2927" s="26" t="s">
        <v>1773</v>
      </c>
      <c r="G2927" s="26">
        <v>4.0</v>
      </c>
      <c r="H2927" s="26">
        <v>2.0</v>
      </c>
      <c r="N2927" s="26" t="s">
        <v>696</v>
      </c>
    </row>
    <row r="2928">
      <c r="A2928" s="25">
        <v>43389.2015381713</v>
      </c>
      <c r="B2928" s="27" t="s">
        <v>700</v>
      </c>
      <c r="C2928" s="26" t="s">
        <v>37</v>
      </c>
      <c r="D2928" s="26" t="s">
        <v>711</v>
      </c>
      <c r="E2928" s="26">
        <v>160.0</v>
      </c>
      <c r="F2928" s="26" t="s">
        <v>1773</v>
      </c>
      <c r="G2928" s="26">
        <v>6.0</v>
      </c>
      <c r="H2928" s="26">
        <v>2.0</v>
      </c>
      <c r="I2928" s="26">
        <v>120.0</v>
      </c>
      <c r="J2928" s="26">
        <v>20.0</v>
      </c>
      <c r="K2928" s="26">
        <v>20.0</v>
      </c>
      <c r="N2928" s="26" t="s">
        <v>691</v>
      </c>
    </row>
    <row r="2929">
      <c r="A2929" s="25">
        <v>43389.20324775463</v>
      </c>
      <c r="B2929" s="27" t="s">
        <v>700</v>
      </c>
      <c r="C2929" s="26" t="s">
        <v>37</v>
      </c>
      <c r="D2929" s="26" t="s">
        <v>711</v>
      </c>
      <c r="E2929" s="26">
        <v>160.0</v>
      </c>
      <c r="F2929" s="26" t="s">
        <v>1773</v>
      </c>
      <c r="G2929" s="26">
        <v>6.0</v>
      </c>
      <c r="H2929" s="26">
        <v>2.0</v>
      </c>
      <c r="I2929" s="26">
        <v>120.0</v>
      </c>
      <c r="J2929" s="26">
        <v>20.0</v>
      </c>
      <c r="K2929" s="26">
        <v>20.0</v>
      </c>
      <c r="N2929" s="26" t="s">
        <v>691</v>
      </c>
    </row>
    <row r="2930">
      <c r="A2930" s="25">
        <v>43389.22041126157</v>
      </c>
      <c r="B2930" s="26" t="s">
        <v>420</v>
      </c>
      <c r="C2930" s="26" t="s">
        <v>143</v>
      </c>
      <c r="D2930" s="26" t="s">
        <v>713</v>
      </c>
      <c r="E2930" s="26">
        <v>488.0</v>
      </c>
      <c r="F2930" s="26" t="s">
        <v>94</v>
      </c>
      <c r="G2930" s="26">
        <v>10.0</v>
      </c>
      <c r="H2930" s="26">
        <v>4.0</v>
      </c>
      <c r="I2930" s="26">
        <v>388.0</v>
      </c>
      <c r="J2930" s="26">
        <v>80.0</v>
      </c>
      <c r="K2930" s="26">
        <v>20.0</v>
      </c>
      <c r="N2930" s="26" t="s">
        <v>2006</v>
      </c>
    </row>
    <row r="2931">
      <c r="A2931" s="25">
        <v>43389.22041126157</v>
      </c>
      <c r="B2931" s="26" t="s">
        <v>420</v>
      </c>
      <c r="C2931" s="26" t="s">
        <v>143</v>
      </c>
      <c r="D2931" s="26" t="s">
        <v>713</v>
      </c>
      <c r="E2931" s="26">
        <v>488.0</v>
      </c>
      <c r="F2931" s="26" t="s">
        <v>94</v>
      </c>
      <c r="G2931" s="26">
        <v>10.0</v>
      </c>
      <c r="H2931" s="26">
        <v>4.0</v>
      </c>
      <c r="I2931" s="26">
        <v>388.0</v>
      </c>
      <c r="J2931" s="26">
        <v>80.0</v>
      </c>
      <c r="K2931" s="26">
        <v>20.0</v>
      </c>
      <c r="N2931" s="26" t="s">
        <v>2006</v>
      </c>
    </row>
    <row r="2932">
      <c r="A2932" s="25">
        <v>43389.22182803241</v>
      </c>
      <c r="B2932" s="26" t="s">
        <v>350</v>
      </c>
      <c r="C2932" s="26" t="s">
        <v>2007</v>
      </c>
      <c r="D2932" s="26" t="s">
        <v>713</v>
      </c>
      <c r="E2932" s="26">
        <v>240.0</v>
      </c>
      <c r="F2932" s="26" t="s">
        <v>94</v>
      </c>
      <c r="G2932" s="26">
        <v>12.0</v>
      </c>
      <c r="H2932" s="26">
        <v>10.0</v>
      </c>
      <c r="I2932" s="26">
        <v>200.0</v>
      </c>
      <c r="J2932" s="26">
        <v>40.0</v>
      </c>
      <c r="N2932" s="26" t="s">
        <v>683</v>
      </c>
    </row>
    <row r="2933">
      <c r="A2933" s="25">
        <v>43389.26967421296</v>
      </c>
      <c r="B2933" s="26" t="s">
        <v>2008</v>
      </c>
      <c r="C2933" s="26" t="s">
        <v>37</v>
      </c>
      <c r="D2933" s="26" t="s">
        <v>713</v>
      </c>
      <c r="E2933" s="26">
        <v>200.0</v>
      </c>
      <c r="F2933" s="26" t="s">
        <v>94</v>
      </c>
      <c r="G2933" s="26">
        <v>10.0</v>
      </c>
      <c r="H2933" s="26">
        <v>3.0</v>
      </c>
      <c r="I2933" s="26">
        <v>180.0</v>
      </c>
      <c r="K2933" s="26">
        <v>20.0</v>
      </c>
      <c r="N2933" s="26" t="s">
        <v>704</v>
      </c>
    </row>
    <row r="2934">
      <c r="A2934" s="25">
        <v>43389.347514803245</v>
      </c>
      <c r="B2934" s="26" t="s">
        <v>80</v>
      </c>
      <c r="C2934" s="26" t="s">
        <v>43</v>
      </c>
      <c r="D2934" s="26" t="s">
        <v>27</v>
      </c>
      <c r="E2934" s="26">
        <v>350.0</v>
      </c>
      <c r="F2934" s="26" t="s">
        <v>32</v>
      </c>
      <c r="G2934" s="26">
        <v>5.0</v>
      </c>
      <c r="H2934" s="26">
        <v>1.0</v>
      </c>
      <c r="I2934" s="26">
        <v>175.0</v>
      </c>
      <c r="J2934" s="26">
        <v>140.0</v>
      </c>
      <c r="K2934" s="26">
        <v>35.0</v>
      </c>
      <c r="N2934" s="26" t="s">
        <v>757</v>
      </c>
    </row>
    <row r="2935">
      <c r="A2935" s="25">
        <v>43389.429524050924</v>
      </c>
      <c r="B2935" s="26" t="s">
        <v>80</v>
      </c>
      <c r="C2935" s="26" t="s">
        <v>62</v>
      </c>
      <c r="D2935" s="26" t="s">
        <v>31</v>
      </c>
      <c r="E2935" s="26">
        <v>560.0</v>
      </c>
      <c r="F2935" s="26" t="s">
        <v>238</v>
      </c>
      <c r="G2935" s="26">
        <v>26.0</v>
      </c>
      <c r="H2935" s="26">
        <v>3.5</v>
      </c>
      <c r="N2935" s="26" t="s">
        <v>696</v>
      </c>
    </row>
    <row r="2936">
      <c r="A2936" s="25">
        <v>43389.449338425926</v>
      </c>
      <c r="B2936" s="26" t="s">
        <v>2009</v>
      </c>
      <c r="C2936" s="26" t="s">
        <v>37</v>
      </c>
      <c r="D2936" s="26" t="s">
        <v>27</v>
      </c>
      <c r="E2936" s="26">
        <v>280.0</v>
      </c>
      <c r="F2936" s="26" t="s">
        <v>238</v>
      </c>
      <c r="G2936" s="26">
        <v>15.0</v>
      </c>
      <c r="H2936" s="26">
        <v>7.0</v>
      </c>
      <c r="I2936" s="26">
        <v>210.0</v>
      </c>
      <c r="J2936" s="26">
        <v>40.0</v>
      </c>
      <c r="K2936" s="26">
        <v>30.0</v>
      </c>
      <c r="N2936" s="26" t="s">
        <v>683</v>
      </c>
    </row>
    <row r="2937">
      <c r="A2937" s="25">
        <v>43389.53198399306</v>
      </c>
      <c r="B2937" s="26" t="s">
        <v>270</v>
      </c>
      <c r="C2937" s="26" t="s">
        <v>742</v>
      </c>
      <c r="D2937" s="26" t="s">
        <v>31</v>
      </c>
      <c r="E2937" s="26">
        <v>239.0</v>
      </c>
      <c r="F2937" s="26" t="s">
        <v>756</v>
      </c>
      <c r="G2937" s="26">
        <v>2.0</v>
      </c>
      <c r="H2937" s="26">
        <v>2.0</v>
      </c>
      <c r="I2937" s="26">
        <v>162.0</v>
      </c>
      <c r="J2937" s="26">
        <v>60.0</v>
      </c>
      <c r="K2937" s="26">
        <v>17.0</v>
      </c>
      <c r="N2937" s="26" t="s">
        <v>685</v>
      </c>
    </row>
    <row r="2938">
      <c r="A2938" s="25">
        <v>43389.56195048611</v>
      </c>
      <c r="B2938" s="26" t="s">
        <v>45</v>
      </c>
      <c r="C2938" s="26" t="s">
        <v>116</v>
      </c>
      <c r="D2938" s="26" t="s">
        <v>1225</v>
      </c>
      <c r="E2938" s="26">
        <v>247.0</v>
      </c>
      <c r="F2938" s="26" t="s">
        <v>104</v>
      </c>
      <c r="G2938" s="26">
        <v>8.0</v>
      </c>
      <c r="H2938" s="26">
        <v>0.0</v>
      </c>
      <c r="I2938" s="26">
        <v>187.0</v>
      </c>
      <c r="J2938" s="26">
        <v>40.0</v>
      </c>
      <c r="K2938" s="26">
        <v>20.0</v>
      </c>
      <c r="N2938" s="26" t="s">
        <v>1169</v>
      </c>
    </row>
    <row r="2939">
      <c r="A2939" s="25">
        <v>43389.597988298614</v>
      </c>
      <c r="B2939" s="26" t="s">
        <v>1160</v>
      </c>
      <c r="C2939" s="26">
        <v>1.0</v>
      </c>
      <c r="D2939" s="26" t="s">
        <v>711</v>
      </c>
      <c r="E2939" s="26">
        <v>100.0</v>
      </c>
      <c r="F2939" s="26" t="s">
        <v>2010</v>
      </c>
      <c r="G2939" s="26">
        <v>1.0</v>
      </c>
      <c r="H2939" s="26">
        <v>1.0</v>
      </c>
      <c r="I2939" s="26">
        <v>85.0</v>
      </c>
      <c r="K2939" s="26">
        <v>15.0</v>
      </c>
      <c r="N2939" s="26" t="s">
        <v>2011</v>
      </c>
    </row>
    <row r="2940">
      <c r="A2940" s="25">
        <v>43389.59888873843</v>
      </c>
      <c r="B2940" s="26" t="s">
        <v>1160</v>
      </c>
      <c r="C2940" s="26">
        <v>1.0</v>
      </c>
      <c r="D2940" s="26" t="s">
        <v>711</v>
      </c>
      <c r="E2940" s="26">
        <v>114.0</v>
      </c>
      <c r="F2940" s="26" t="s">
        <v>94</v>
      </c>
      <c r="G2940" s="26">
        <v>2.0</v>
      </c>
      <c r="H2940" s="26">
        <v>2.0</v>
      </c>
      <c r="I2940" s="26">
        <v>97.0</v>
      </c>
      <c r="K2940" s="26">
        <v>17.0</v>
      </c>
      <c r="N2940" s="26" t="s">
        <v>2011</v>
      </c>
    </row>
    <row r="2941">
      <c r="A2941" s="25">
        <v>43389.59981773148</v>
      </c>
      <c r="B2941" s="26" t="s">
        <v>1160</v>
      </c>
      <c r="C2941" s="26">
        <v>2.0</v>
      </c>
      <c r="D2941" s="26" t="s">
        <v>711</v>
      </c>
      <c r="E2941" s="26">
        <v>119.0</v>
      </c>
      <c r="F2941" s="26" t="s">
        <v>94</v>
      </c>
      <c r="G2941" s="26">
        <v>2.0</v>
      </c>
      <c r="H2941" s="26">
        <v>2.0</v>
      </c>
      <c r="I2941" s="26">
        <v>104.0</v>
      </c>
      <c r="K2941" s="26">
        <v>15.0</v>
      </c>
      <c r="N2941" s="26" t="s">
        <v>2011</v>
      </c>
    </row>
    <row r="2942">
      <c r="A2942" s="25">
        <v>43389.62227550926</v>
      </c>
      <c r="B2942" s="26" t="s">
        <v>33</v>
      </c>
      <c r="C2942" s="26" t="s">
        <v>1291</v>
      </c>
      <c r="D2942" s="26" t="s">
        <v>41</v>
      </c>
      <c r="E2942" s="26">
        <v>172.0</v>
      </c>
      <c r="F2942" s="26" t="s">
        <v>44</v>
      </c>
      <c r="G2942" s="26">
        <v>10.0</v>
      </c>
      <c r="H2942" s="26">
        <v>2.0</v>
      </c>
      <c r="I2942" s="26">
        <v>142.0</v>
      </c>
      <c r="J2942" s="26">
        <v>10.0</v>
      </c>
      <c r="K2942" s="26">
        <v>20.0</v>
      </c>
      <c r="N2942" s="26" t="s">
        <v>685</v>
      </c>
    </row>
    <row r="2943">
      <c r="A2943" s="25">
        <v>43389.658887893514</v>
      </c>
      <c r="B2943" s="26" t="s">
        <v>80</v>
      </c>
      <c r="C2943" s="26" t="s">
        <v>430</v>
      </c>
      <c r="D2943" s="26" t="s">
        <v>31</v>
      </c>
      <c r="E2943" s="26">
        <v>420.0</v>
      </c>
      <c r="F2943" s="26" t="s">
        <v>1818</v>
      </c>
      <c r="G2943" s="26">
        <v>7.0</v>
      </c>
      <c r="H2943" s="26">
        <v>4.0</v>
      </c>
      <c r="I2943" s="26">
        <v>165.0</v>
      </c>
      <c r="J2943" s="26">
        <v>225.0</v>
      </c>
      <c r="K2943" s="26">
        <v>30.0</v>
      </c>
      <c r="N2943" s="26" t="s">
        <v>683</v>
      </c>
    </row>
    <row r="2944">
      <c r="A2944" s="25">
        <v>43389.73587914352</v>
      </c>
      <c r="B2944" s="26" t="s">
        <v>33</v>
      </c>
      <c r="C2944" s="26" t="s">
        <v>1291</v>
      </c>
      <c r="D2944" s="26" t="s">
        <v>41</v>
      </c>
      <c r="E2944" s="26">
        <v>255.0</v>
      </c>
      <c r="F2944" s="26" t="s">
        <v>35</v>
      </c>
      <c r="G2944" s="26">
        <v>9.0</v>
      </c>
      <c r="H2944" s="26">
        <v>3.0</v>
      </c>
      <c r="I2944" s="26">
        <v>157500.0</v>
      </c>
      <c r="J2944" s="26">
        <v>97918.0</v>
      </c>
      <c r="N2944" s="26" t="s">
        <v>757</v>
      </c>
    </row>
    <row r="2945">
      <c r="A2945" s="25">
        <v>43389.783163761575</v>
      </c>
      <c r="B2945" s="26" t="s">
        <v>350</v>
      </c>
      <c r="C2945" s="26" t="s">
        <v>1119</v>
      </c>
      <c r="D2945" s="26" t="s">
        <v>31</v>
      </c>
      <c r="E2945" s="26">
        <v>110.0</v>
      </c>
      <c r="F2945" s="26" t="s">
        <v>1115</v>
      </c>
      <c r="G2945" s="26">
        <v>0.0</v>
      </c>
      <c r="H2945" s="26">
        <v>0.0</v>
      </c>
      <c r="I2945" s="26">
        <v>90.0</v>
      </c>
      <c r="K2945" s="26">
        <v>20.0</v>
      </c>
      <c r="L2945" s="26" t="s">
        <v>2012</v>
      </c>
      <c r="N2945" s="26" t="s">
        <v>683</v>
      </c>
    </row>
    <row r="2946">
      <c r="A2946" s="25">
        <v>43389.799106770835</v>
      </c>
      <c r="B2946" s="26" t="s">
        <v>119</v>
      </c>
      <c r="C2946" s="26" t="s">
        <v>1791</v>
      </c>
      <c r="D2946" s="26" t="s">
        <v>31</v>
      </c>
      <c r="E2946" s="26">
        <v>164.0</v>
      </c>
      <c r="F2946" s="26" t="s">
        <v>32</v>
      </c>
      <c r="G2946" s="26">
        <v>3.0</v>
      </c>
      <c r="H2946" s="26">
        <v>1.0</v>
      </c>
      <c r="I2946" s="26">
        <v>130.0</v>
      </c>
      <c r="J2946" s="26">
        <v>21.0</v>
      </c>
      <c r="K2946" s="26">
        <v>13.0</v>
      </c>
      <c r="N2946" s="26" t="s">
        <v>757</v>
      </c>
    </row>
    <row r="2947">
      <c r="A2947" s="25">
        <v>43389.90382782408</v>
      </c>
      <c r="B2947" s="26" t="s">
        <v>2013</v>
      </c>
      <c r="C2947" s="26" t="s">
        <v>2014</v>
      </c>
      <c r="D2947" s="26" t="s">
        <v>31</v>
      </c>
      <c r="E2947" s="26">
        <v>145.0</v>
      </c>
      <c r="F2947" s="26" t="s">
        <v>354</v>
      </c>
      <c r="G2947" s="26">
        <v>4.0</v>
      </c>
      <c r="H2947" s="26">
        <v>0.5</v>
      </c>
      <c r="I2947" s="26">
        <v>135.0</v>
      </c>
      <c r="K2947" s="26">
        <v>10.0</v>
      </c>
      <c r="L2947" s="26" t="s">
        <v>2015</v>
      </c>
      <c r="N2947" s="26" t="s">
        <v>704</v>
      </c>
    </row>
    <row r="2948">
      <c r="A2948" s="25">
        <v>43389.90451572917</v>
      </c>
      <c r="B2948" s="26" t="s">
        <v>119</v>
      </c>
      <c r="C2948" s="26" t="s">
        <v>484</v>
      </c>
      <c r="D2948" s="26" t="s">
        <v>31</v>
      </c>
      <c r="E2948" s="26">
        <v>185.0</v>
      </c>
      <c r="F2948" s="26" t="s">
        <v>58</v>
      </c>
      <c r="G2948" s="26">
        <v>3.0</v>
      </c>
      <c r="H2948" s="26">
        <v>0.0</v>
      </c>
      <c r="I2948" s="26">
        <v>145.0</v>
      </c>
      <c r="J2948" s="26">
        <v>25.0</v>
      </c>
      <c r="K2948" s="26">
        <v>15.0</v>
      </c>
      <c r="N2948" s="26" t="s">
        <v>685</v>
      </c>
    </row>
    <row r="2949">
      <c r="A2949" s="25">
        <v>43389.906426898146</v>
      </c>
      <c r="B2949" s="26" t="s">
        <v>1464</v>
      </c>
      <c r="C2949" s="26" t="s">
        <v>386</v>
      </c>
      <c r="D2949" s="26" t="s">
        <v>31</v>
      </c>
      <c r="E2949" s="26">
        <v>242.0</v>
      </c>
      <c r="F2949" s="26" t="s">
        <v>354</v>
      </c>
      <c r="G2949" s="26">
        <v>5.0</v>
      </c>
      <c r="H2949" s="26">
        <v>0.0</v>
      </c>
      <c r="I2949" s="26">
        <v>170.0</v>
      </c>
      <c r="J2949" s="26">
        <v>55.0</v>
      </c>
      <c r="K2949" s="26">
        <v>17.0</v>
      </c>
      <c r="L2949" s="26" t="s">
        <v>2016</v>
      </c>
      <c r="N2949" s="26" t="s">
        <v>704</v>
      </c>
    </row>
    <row r="2950">
      <c r="A2950" s="25">
        <v>43389.91615863426</v>
      </c>
      <c r="B2950" s="26" t="s">
        <v>33</v>
      </c>
      <c r="C2950" s="26" t="s">
        <v>62</v>
      </c>
      <c r="D2950" s="26" t="s">
        <v>31</v>
      </c>
      <c r="E2950" s="26">
        <v>264.0</v>
      </c>
      <c r="F2950" s="26" t="s">
        <v>35</v>
      </c>
      <c r="G2950" s="26">
        <v>6.0</v>
      </c>
      <c r="H2950" s="26">
        <v>6.0</v>
      </c>
      <c r="I2950" s="26">
        <v>144.0</v>
      </c>
      <c r="J2950" s="26">
        <v>120.0</v>
      </c>
      <c r="N2950" s="26" t="s">
        <v>685</v>
      </c>
    </row>
    <row r="2951">
      <c r="A2951" s="25">
        <v>43389.922825347225</v>
      </c>
      <c r="B2951" s="26" t="s">
        <v>33</v>
      </c>
      <c r="C2951" s="26" t="s">
        <v>43</v>
      </c>
      <c r="D2951" s="26" t="s">
        <v>31</v>
      </c>
      <c r="E2951" s="26">
        <v>200.0</v>
      </c>
      <c r="F2951" s="26" t="s">
        <v>35</v>
      </c>
      <c r="G2951" s="26">
        <v>5.0</v>
      </c>
      <c r="H2951" s="26">
        <v>2.0</v>
      </c>
      <c r="I2951" s="26">
        <v>130.0</v>
      </c>
      <c r="J2951" s="26">
        <v>70.0</v>
      </c>
      <c r="N2951" s="26" t="s">
        <v>683</v>
      </c>
    </row>
    <row r="2952">
      <c r="A2952" s="25">
        <v>43389.9833541088</v>
      </c>
      <c r="B2952" s="26" t="s">
        <v>1093</v>
      </c>
      <c r="C2952" s="26" t="s">
        <v>116</v>
      </c>
      <c r="D2952" s="26" t="s">
        <v>31</v>
      </c>
      <c r="E2952" s="26">
        <v>300.0</v>
      </c>
      <c r="F2952" s="26" t="s">
        <v>104</v>
      </c>
      <c r="G2952" s="26">
        <v>6.0</v>
      </c>
      <c r="H2952" s="26">
        <v>2.0</v>
      </c>
      <c r="I2952" s="26">
        <v>185.0</v>
      </c>
      <c r="J2952" s="26">
        <v>85.0</v>
      </c>
      <c r="K2952" s="26">
        <v>20.0</v>
      </c>
      <c r="N2952" s="26" t="s">
        <v>699</v>
      </c>
    </row>
    <row r="2953">
      <c r="A2953" s="25">
        <v>43389.994196493055</v>
      </c>
      <c r="B2953" s="26" t="s">
        <v>187</v>
      </c>
      <c r="C2953" s="26" t="s">
        <v>179</v>
      </c>
      <c r="D2953" s="26" t="s">
        <v>711</v>
      </c>
      <c r="E2953" s="26">
        <v>250.0</v>
      </c>
      <c r="F2953" s="26" t="s">
        <v>32</v>
      </c>
      <c r="G2953" s="26">
        <v>0.0</v>
      </c>
      <c r="H2953" s="26">
        <v>0.0</v>
      </c>
      <c r="I2953" s="26">
        <v>130.0</v>
      </c>
      <c r="J2953" s="26">
        <v>70.0</v>
      </c>
      <c r="K2953" s="26">
        <v>50.0</v>
      </c>
      <c r="N2953" s="26" t="s">
        <v>2017</v>
      </c>
    </row>
    <row r="2954">
      <c r="A2954" s="25">
        <v>43390.09152412037</v>
      </c>
      <c r="B2954" s="26" t="s">
        <v>2018</v>
      </c>
      <c r="C2954" s="26" t="s">
        <v>37</v>
      </c>
      <c r="D2954" s="26" t="s">
        <v>31</v>
      </c>
      <c r="E2954" s="26">
        <v>120.0</v>
      </c>
      <c r="F2954" s="26" t="s">
        <v>767</v>
      </c>
      <c r="G2954" s="26">
        <v>10.0</v>
      </c>
      <c r="H2954" s="26">
        <v>1.0</v>
      </c>
      <c r="N2954" s="26" t="s">
        <v>685</v>
      </c>
    </row>
    <row r="2955">
      <c r="A2955" s="25">
        <v>43390.236820659724</v>
      </c>
      <c r="B2955" s="26" t="s">
        <v>40</v>
      </c>
      <c r="C2955" s="26">
        <v>62.0</v>
      </c>
      <c r="D2955" s="26" t="s">
        <v>711</v>
      </c>
      <c r="E2955" s="26">
        <v>182.0</v>
      </c>
      <c r="F2955" s="26" t="s">
        <v>161</v>
      </c>
      <c r="G2955" s="26">
        <v>10.0</v>
      </c>
      <c r="H2955" s="26">
        <v>3.0</v>
      </c>
      <c r="I2955" s="26">
        <v>157.0</v>
      </c>
      <c r="J2955" s="26">
        <v>10.0</v>
      </c>
      <c r="K2955" s="26">
        <v>16.0</v>
      </c>
      <c r="N2955" s="26" t="s">
        <v>691</v>
      </c>
    </row>
    <row r="2956">
      <c r="A2956" s="25">
        <v>43390.23867140047</v>
      </c>
      <c r="B2956" s="26" t="s">
        <v>33</v>
      </c>
      <c r="C2956" s="26" t="s">
        <v>43</v>
      </c>
      <c r="D2956" s="26" t="s">
        <v>711</v>
      </c>
      <c r="E2956" s="26">
        <v>185.0</v>
      </c>
      <c r="F2956" s="26" t="s">
        <v>35</v>
      </c>
      <c r="G2956" s="26">
        <v>7.0</v>
      </c>
      <c r="H2956" s="26">
        <v>2.0</v>
      </c>
      <c r="I2956" s="26">
        <v>125000.0</v>
      </c>
      <c r="J2956" s="26">
        <v>60000.0</v>
      </c>
      <c r="N2956" s="26" t="s">
        <v>691</v>
      </c>
    </row>
    <row r="2957">
      <c r="A2957" s="25">
        <v>43390.42654900463</v>
      </c>
      <c r="B2957" s="26" t="s">
        <v>48</v>
      </c>
      <c r="C2957" s="26" t="s">
        <v>69</v>
      </c>
      <c r="D2957" s="26" t="s">
        <v>31</v>
      </c>
      <c r="E2957" s="26">
        <v>160.0</v>
      </c>
      <c r="F2957" s="26" t="s">
        <v>35</v>
      </c>
      <c r="G2957" s="26">
        <v>0.0</v>
      </c>
      <c r="H2957" s="26">
        <v>0.0</v>
      </c>
      <c r="I2957" s="26">
        <v>110.0</v>
      </c>
      <c r="J2957" s="26">
        <v>40.0</v>
      </c>
      <c r="K2957" s="26">
        <v>11.0</v>
      </c>
      <c r="N2957" s="26" t="s">
        <v>683</v>
      </c>
    </row>
    <row r="2958">
      <c r="A2958" s="25">
        <v>43390.42898768518</v>
      </c>
      <c r="B2958" s="26" t="s">
        <v>40</v>
      </c>
      <c r="C2958" s="26">
        <v>60.0</v>
      </c>
      <c r="D2958" s="26" t="s">
        <v>31</v>
      </c>
      <c r="E2958" s="26">
        <v>165.0</v>
      </c>
      <c r="F2958" s="26" t="s">
        <v>35</v>
      </c>
      <c r="G2958" s="26">
        <v>0.0</v>
      </c>
      <c r="H2958" s="26">
        <v>0.0</v>
      </c>
      <c r="I2958" s="26">
        <v>117.0</v>
      </c>
      <c r="J2958" s="26">
        <v>31.0</v>
      </c>
      <c r="K2958" s="26">
        <v>17.0</v>
      </c>
      <c r="N2958" s="26" t="s">
        <v>691</v>
      </c>
    </row>
    <row r="2959">
      <c r="A2959" s="25">
        <v>43390.46315159722</v>
      </c>
      <c r="B2959" s="26" t="s">
        <v>80</v>
      </c>
      <c r="C2959" s="26" t="s">
        <v>179</v>
      </c>
      <c r="D2959" s="26" t="s">
        <v>31</v>
      </c>
      <c r="E2959" s="26">
        <v>204.0</v>
      </c>
      <c r="F2959" s="26" t="s">
        <v>51</v>
      </c>
      <c r="G2959" s="26">
        <v>0.0</v>
      </c>
      <c r="H2959" s="26">
        <v>0.0</v>
      </c>
      <c r="N2959" s="26" t="s">
        <v>683</v>
      </c>
    </row>
    <row r="2960">
      <c r="A2960" s="25">
        <v>43390.503063842596</v>
      </c>
      <c r="B2960" s="26" t="s">
        <v>40</v>
      </c>
      <c r="C2960" s="26">
        <v>62.0</v>
      </c>
      <c r="D2960" s="26" t="s">
        <v>31</v>
      </c>
      <c r="E2960" s="26">
        <v>128.0</v>
      </c>
      <c r="F2960" s="26" t="s">
        <v>75</v>
      </c>
      <c r="G2960" s="26">
        <v>7.0</v>
      </c>
      <c r="H2960" s="26">
        <v>7.0</v>
      </c>
      <c r="I2960" s="26">
        <v>128.0</v>
      </c>
      <c r="J2960" s="26">
        <v>2.0</v>
      </c>
      <c r="K2960" s="26">
        <v>7.0</v>
      </c>
      <c r="N2960" s="26" t="s">
        <v>683</v>
      </c>
    </row>
    <row r="2961">
      <c r="A2961" s="25">
        <v>43390.58722064814</v>
      </c>
      <c r="B2961" s="26" t="s">
        <v>139</v>
      </c>
      <c r="C2961" s="26" t="s">
        <v>117</v>
      </c>
      <c r="D2961" s="26" t="s">
        <v>31</v>
      </c>
      <c r="E2961" s="26">
        <v>130.0</v>
      </c>
      <c r="F2961" s="26" t="s">
        <v>2019</v>
      </c>
      <c r="G2961" s="26">
        <v>2.0</v>
      </c>
      <c r="H2961" s="26">
        <v>1.0</v>
      </c>
      <c r="I2961" s="26">
        <v>113.0</v>
      </c>
      <c r="J2961" s="26">
        <v>10.0</v>
      </c>
      <c r="K2961" s="26">
        <v>7.0</v>
      </c>
      <c r="L2961" s="26" t="s">
        <v>2020</v>
      </c>
      <c r="N2961" s="26" t="s">
        <v>685</v>
      </c>
    </row>
    <row r="2962">
      <c r="A2962" s="25">
        <v>43390.61624495371</v>
      </c>
      <c r="B2962" s="26" t="s">
        <v>1196</v>
      </c>
      <c r="C2962" s="26">
        <v>61.0</v>
      </c>
      <c r="D2962" s="26" t="s">
        <v>31</v>
      </c>
      <c r="E2962" s="26">
        <v>160.0</v>
      </c>
      <c r="F2962" s="26" t="s">
        <v>52</v>
      </c>
      <c r="G2962" s="26">
        <v>4.0</v>
      </c>
      <c r="H2962" s="26">
        <v>2.0</v>
      </c>
      <c r="I2962" s="26">
        <v>139.0</v>
      </c>
      <c r="J2962" s="26">
        <v>11.0</v>
      </c>
      <c r="K2962" s="26">
        <v>10.0</v>
      </c>
      <c r="N2962" s="26" t="s">
        <v>685</v>
      </c>
    </row>
    <row r="2963">
      <c r="A2963" s="25">
        <v>43390.67596815972</v>
      </c>
      <c r="B2963" s="26" t="s">
        <v>1884</v>
      </c>
      <c r="C2963" s="26" t="s">
        <v>165</v>
      </c>
      <c r="D2963" s="26" t="s">
        <v>31</v>
      </c>
      <c r="E2963" s="26">
        <v>151.0</v>
      </c>
      <c r="F2963" s="26" t="s">
        <v>1583</v>
      </c>
      <c r="G2963" s="26">
        <v>6.0</v>
      </c>
      <c r="H2963" s="26">
        <v>2.0</v>
      </c>
      <c r="I2963" s="26">
        <v>124.0</v>
      </c>
      <c r="J2963" s="26">
        <v>20.0</v>
      </c>
      <c r="K2963" s="26">
        <v>7.0</v>
      </c>
      <c r="N2963" s="26" t="s">
        <v>683</v>
      </c>
    </row>
    <row r="2964">
      <c r="A2964" s="25">
        <v>43390.85757862269</v>
      </c>
      <c r="B2964" s="26" t="s">
        <v>48</v>
      </c>
      <c r="C2964" s="26" t="s">
        <v>49</v>
      </c>
      <c r="D2964" s="26" t="s">
        <v>31</v>
      </c>
      <c r="E2964" s="26">
        <v>230.0</v>
      </c>
      <c r="F2964" s="26" t="s">
        <v>415</v>
      </c>
      <c r="G2964" s="26">
        <v>1.0</v>
      </c>
      <c r="H2964" s="26">
        <v>1.0</v>
      </c>
      <c r="I2964" s="26">
        <v>145.0</v>
      </c>
      <c r="J2964" s="26">
        <v>68.0</v>
      </c>
      <c r="K2964" s="26">
        <v>15.0</v>
      </c>
      <c r="N2964" s="26" t="s">
        <v>691</v>
      </c>
    </row>
    <row r="2965">
      <c r="A2965" s="25">
        <v>43390.89708840278</v>
      </c>
      <c r="B2965" s="26" t="s">
        <v>673</v>
      </c>
      <c r="C2965" s="26" t="s">
        <v>2021</v>
      </c>
      <c r="D2965" s="26" t="s">
        <v>31</v>
      </c>
      <c r="E2965" s="26">
        <v>175.0</v>
      </c>
      <c r="F2965" s="26" t="s">
        <v>238</v>
      </c>
      <c r="G2965" s="26">
        <v>4.0</v>
      </c>
      <c r="H2965" s="26">
        <v>0.0</v>
      </c>
      <c r="I2965" s="26">
        <v>125.0</v>
      </c>
      <c r="J2965" s="26">
        <v>30.0</v>
      </c>
      <c r="K2965" s="26">
        <v>20.0</v>
      </c>
      <c r="N2965" s="26" t="s">
        <v>685</v>
      </c>
    </row>
    <row r="2966">
      <c r="A2966" s="25">
        <v>43390.936890474535</v>
      </c>
      <c r="B2966" s="26" t="s">
        <v>2022</v>
      </c>
      <c r="C2966" s="26" t="s">
        <v>2023</v>
      </c>
      <c r="D2966" s="26" t="s">
        <v>1529</v>
      </c>
      <c r="E2966" s="26">
        <v>410.0</v>
      </c>
      <c r="F2966" s="26" t="s">
        <v>238</v>
      </c>
      <c r="G2966" s="26">
        <v>15.0</v>
      </c>
      <c r="H2966" s="26">
        <v>10.0</v>
      </c>
      <c r="I2966" s="26">
        <v>177.0</v>
      </c>
      <c r="J2966" s="26">
        <v>180.0</v>
      </c>
      <c r="K2966" s="26">
        <v>53.0</v>
      </c>
      <c r="L2966" s="26" t="s">
        <v>2024</v>
      </c>
      <c r="N2966" s="26" t="s">
        <v>2025</v>
      </c>
    </row>
    <row r="2967">
      <c r="A2967" s="25">
        <v>43390.960844710644</v>
      </c>
      <c r="B2967" s="26" t="s">
        <v>45</v>
      </c>
      <c r="C2967" s="26" t="s">
        <v>102</v>
      </c>
      <c r="D2967" s="26" t="s">
        <v>31</v>
      </c>
      <c r="E2967" s="26">
        <v>200.0</v>
      </c>
      <c r="F2967" s="26" t="s">
        <v>134</v>
      </c>
      <c r="G2967" s="26">
        <v>4.0</v>
      </c>
      <c r="H2967" s="26">
        <v>4.0</v>
      </c>
      <c r="I2967" s="26">
        <v>138.0</v>
      </c>
      <c r="J2967" s="26">
        <v>50.0</v>
      </c>
      <c r="K2967" s="26">
        <v>12.0</v>
      </c>
      <c r="N2967" s="26" t="s">
        <v>728</v>
      </c>
    </row>
    <row r="2968">
      <c r="A2968" s="25">
        <v>43390.991871122686</v>
      </c>
      <c r="B2968" s="26" t="s">
        <v>33</v>
      </c>
      <c r="C2968" s="26" t="s">
        <v>34</v>
      </c>
      <c r="D2968" s="26" t="s">
        <v>27</v>
      </c>
      <c r="E2968" s="26">
        <v>350.0</v>
      </c>
      <c r="F2968" s="26" t="s">
        <v>35</v>
      </c>
      <c r="G2968" s="26">
        <v>10.0</v>
      </c>
      <c r="H2968" s="26">
        <v>5.0</v>
      </c>
      <c r="N2968" s="26" t="s">
        <v>699</v>
      </c>
    </row>
    <row r="2969">
      <c r="A2969" s="25">
        <v>43391.016101875</v>
      </c>
      <c r="B2969" s="26" t="s">
        <v>36</v>
      </c>
      <c r="C2969" s="26" t="s">
        <v>71</v>
      </c>
      <c r="D2969" s="26" t="s">
        <v>27</v>
      </c>
      <c r="E2969" s="26">
        <v>430.0</v>
      </c>
      <c r="F2969" s="26" t="s">
        <v>58</v>
      </c>
      <c r="G2969" s="26">
        <v>10.0</v>
      </c>
      <c r="H2969" s="26">
        <v>3.0</v>
      </c>
      <c r="I2969" s="26">
        <v>175.0</v>
      </c>
      <c r="J2969" s="26">
        <v>225.0</v>
      </c>
      <c r="K2969" s="26">
        <v>30.0</v>
      </c>
      <c r="N2969" s="26" t="s">
        <v>1251</v>
      </c>
    </row>
    <row r="2970">
      <c r="A2970" s="25">
        <v>43391.05090445602</v>
      </c>
      <c r="B2970" s="26" t="s">
        <v>168</v>
      </c>
      <c r="C2970" s="26">
        <v>63.0</v>
      </c>
      <c r="D2970" s="26" t="s">
        <v>27</v>
      </c>
      <c r="E2970" s="26">
        <v>193.0</v>
      </c>
      <c r="F2970" s="26" t="s">
        <v>75</v>
      </c>
      <c r="G2970" s="26">
        <v>12.0</v>
      </c>
      <c r="H2970" s="26">
        <v>12.0</v>
      </c>
      <c r="I2970" s="26">
        <v>153.0</v>
      </c>
      <c r="J2970" s="26">
        <v>18.0</v>
      </c>
      <c r="K2970" s="26">
        <v>22.0</v>
      </c>
      <c r="N2970" s="26" t="s">
        <v>715</v>
      </c>
    </row>
    <row r="2971">
      <c r="A2971" s="25">
        <v>43391.07513576389</v>
      </c>
      <c r="B2971" s="26" t="s">
        <v>119</v>
      </c>
      <c r="C2971" s="26">
        <v>7.0</v>
      </c>
      <c r="D2971" s="26" t="s">
        <v>41</v>
      </c>
      <c r="E2971" s="26">
        <v>112.0</v>
      </c>
      <c r="F2971" s="26" t="s">
        <v>1463</v>
      </c>
      <c r="G2971" s="26">
        <v>4.0</v>
      </c>
      <c r="H2971" s="26">
        <v>4.0</v>
      </c>
      <c r="N2971" s="26" t="s">
        <v>704</v>
      </c>
    </row>
    <row r="2972">
      <c r="A2972" s="25">
        <v>43391.246142812495</v>
      </c>
      <c r="B2972" s="26" t="s">
        <v>371</v>
      </c>
      <c r="C2972" s="26" t="s">
        <v>372</v>
      </c>
      <c r="D2972" s="26" t="s">
        <v>31</v>
      </c>
      <c r="E2972" s="26">
        <v>188.0</v>
      </c>
      <c r="F2972" s="26" t="s">
        <v>238</v>
      </c>
      <c r="G2972" s="26">
        <v>9.0</v>
      </c>
      <c r="H2972" s="26">
        <v>8.0</v>
      </c>
      <c r="N2972" s="26" t="s">
        <v>715</v>
      </c>
    </row>
    <row r="2973">
      <c r="A2973" s="25">
        <v>43391.34148787037</v>
      </c>
      <c r="B2973" s="26" t="s">
        <v>40</v>
      </c>
      <c r="C2973" s="26">
        <v>64.0</v>
      </c>
      <c r="D2973" s="26" t="s">
        <v>31</v>
      </c>
      <c r="E2973" s="26">
        <v>246.0</v>
      </c>
      <c r="F2973" s="26" t="s">
        <v>276</v>
      </c>
      <c r="G2973" s="26">
        <v>16.0</v>
      </c>
      <c r="H2973" s="26">
        <v>6.0</v>
      </c>
      <c r="I2973" s="26">
        <v>180.0</v>
      </c>
      <c r="J2973" s="26">
        <v>36.0</v>
      </c>
      <c r="K2973" s="26">
        <v>30.0</v>
      </c>
      <c r="N2973" s="26" t="s">
        <v>757</v>
      </c>
    </row>
    <row r="2974">
      <c r="A2974" s="25">
        <v>43391.39457174769</v>
      </c>
      <c r="B2974" s="27" t="s">
        <v>700</v>
      </c>
      <c r="C2974" s="26" t="s">
        <v>1217</v>
      </c>
      <c r="D2974" s="26" t="s">
        <v>1311</v>
      </c>
      <c r="E2974" s="26">
        <v>87.0</v>
      </c>
      <c r="F2974" s="26" t="s">
        <v>2026</v>
      </c>
      <c r="G2974" s="26">
        <v>4.0</v>
      </c>
      <c r="H2974" s="26">
        <v>1.5</v>
      </c>
      <c r="I2974" s="26">
        <v>71.0</v>
      </c>
      <c r="J2974" s="26">
        <v>7.0</v>
      </c>
      <c r="K2974" s="26">
        <v>9.0</v>
      </c>
      <c r="N2974" s="26" t="s">
        <v>1771</v>
      </c>
    </row>
    <row r="2975">
      <c r="A2975" s="25">
        <v>43391.41158797454</v>
      </c>
      <c r="B2975" s="26" t="s">
        <v>80</v>
      </c>
      <c r="C2975" s="26" t="s">
        <v>191</v>
      </c>
      <c r="D2975" s="26" t="s">
        <v>711</v>
      </c>
      <c r="E2975" s="26">
        <v>120.0</v>
      </c>
      <c r="F2975" s="26" t="s">
        <v>925</v>
      </c>
      <c r="G2975" s="26">
        <v>1.0</v>
      </c>
      <c r="H2975" s="26">
        <v>0.0</v>
      </c>
      <c r="N2975" s="26" t="s">
        <v>691</v>
      </c>
    </row>
    <row r="2976">
      <c r="A2976" s="25">
        <v>43391.41937556713</v>
      </c>
      <c r="B2976" s="26" t="s">
        <v>2027</v>
      </c>
      <c r="C2976" s="26" t="s">
        <v>34</v>
      </c>
      <c r="D2976" s="26" t="s">
        <v>41</v>
      </c>
      <c r="E2976" s="26">
        <v>590.0</v>
      </c>
      <c r="F2976" s="26" t="s">
        <v>63</v>
      </c>
      <c r="G2976" s="26">
        <v>13.0</v>
      </c>
      <c r="H2976" s="26">
        <v>0.0</v>
      </c>
      <c r="I2976" s="26">
        <v>160.0</v>
      </c>
      <c r="J2976" s="26">
        <v>240.0</v>
      </c>
      <c r="K2976" s="26">
        <v>190.0</v>
      </c>
      <c r="N2976" s="26" t="s">
        <v>375</v>
      </c>
    </row>
    <row r="2977">
      <c r="A2977" s="25">
        <v>43391.49267571759</v>
      </c>
      <c r="B2977" s="26" t="s">
        <v>319</v>
      </c>
      <c r="C2977" s="26" t="s">
        <v>2028</v>
      </c>
      <c r="D2977" s="26" t="s">
        <v>27</v>
      </c>
      <c r="E2977" s="26">
        <v>157.0</v>
      </c>
      <c r="F2977" s="26" t="s">
        <v>338</v>
      </c>
      <c r="G2977" s="26">
        <v>14.0</v>
      </c>
      <c r="H2977" s="26">
        <v>14.0</v>
      </c>
      <c r="N2977" s="26" t="s">
        <v>726</v>
      </c>
    </row>
    <row r="2978">
      <c r="A2978" s="25">
        <v>43391.680526689815</v>
      </c>
      <c r="B2978" s="26" t="s">
        <v>2029</v>
      </c>
      <c r="C2978" s="26" t="s">
        <v>2030</v>
      </c>
      <c r="D2978" s="26" t="s">
        <v>2030</v>
      </c>
      <c r="E2978" s="26">
        <v>170.0</v>
      </c>
      <c r="F2978" s="26" t="s">
        <v>415</v>
      </c>
      <c r="G2978" s="26">
        <v>10.0</v>
      </c>
      <c r="H2978" s="26">
        <v>1.0</v>
      </c>
      <c r="I2978" s="26">
        <v>170.0</v>
      </c>
      <c r="N2978" s="26" t="s">
        <v>2031</v>
      </c>
    </row>
    <row r="2979">
      <c r="A2979" s="25">
        <v>43391.68977373843</v>
      </c>
      <c r="B2979" s="26" t="s">
        <v>48</v>
      </c>
      <c r="C2979" s="26">
        <v>5.0</v>
      </c>
      <c r="D2979" s="26" t="s">
        <v>2032</v>
      </c>
      <c r="E2979" s="26">
        <v>230.0</v>
      </c>
      <c r="F2979" s="26" t="s">
        <v>1143</v>
      </c>
      <c r="G2979" s="26">
        <v>13.0</v>
      </c>
      <c r="H2979" s="26">
        <v>1.0</v>
      </c>
      <c r="I2979" s="26">
        <v>160.0</v>
      </c>
      <c r="J2979" s="26">
        <v>35.0</v>
      </c>
      <c r="K2979" s="26">
        <v>35.0</v>
      </c>
      <c r="N2979" s="26" t="s">
        <v>2033</v>
      </c>
    </row>
    <row r="2980">
      <c r="A2980" s="25">
        <v>43391.72964012732</v>
      </c>
      <c r="B2980" s="26" t="s">
        <v>48</v>
      </c>
      <c r="C2980" s="26" t="s">
        <v>49</v>
      </c>
      <c r="D2980" s="26" t="s">
        <v>31</v>
      </c>
      <c r="E2980" s="26">
        <v>223.0</v>
      </c>
      <c r="F2980" s="26" t="s">
        <v>50</v>
      </c>
      <c r="G2980" s="26">
        <v>2.0</v>
      </c>
      <c r="H2980" s="26">
        <v>2.0</v>
      </c>
      <c r="I2980" s="26">
        <v>145.0</v>
      </c>
      <c r="J2980" s="26">
        <v>63.0</v>
      </c>
      <c r="K2980" s="26">
        <v>15.0</v>
      </c>
      <c r="N2980" s="26" t="s">
        <v>751</v>
      </c>
    </row>
    <row r="2981">
      <c r="A2981" s="25">
        <v>43391.77978133102</v>
      </c>
      <c r="B2981" s="26" t="s">
        <v>119</v>
      </c>
      <c r="C2981" s="26" t="s">
        <v>1578</v>
      </c>
      <c r="D2981" s="26" t="s">
        <v>2034</v>
      </c>
      <c r="E2981" s="26">
        <v>300.0</v>
      </c>
      <c r="F2981" s="26" t="s">
        <v>320</v>
      </c>
      <c r="G2981" s="26">
        <v>25.0</v>
      </c>
      <c r="H2981" s="26">
        <v>10.0</v>
      </c>
      <c r="I2981" s="26">
        <v>239.0</v>
      </c>
      <c r="K2981" s="26">
        <v>60.0</v>
      </c>
      <c r="N2981" s="26" t="s">
        <v>2035</v>
      </c>
    </row>
    <row r="2982">
      <c r="A2982" s="25">
        <v>43391.82753311342</v>
      </c>
      <c r="B2982" s="26" t="s">
        <v>80</v>
      </c>
      <c r="C2982" s="26" t="s">
        <v>179</v>
      </c>
      <c r="D2982" s="26" t="s">
        <v>31</v>
      </c>
      <c r="E2982" s="26">
        <v>135.0</v>
      </c>
      <c r="F2982" s="26" t="s">
        <v>297</v>
      </c>
      <c r="G2982" s="26">
        <v>0.0</v>
      </c>
      <c r="H2982" s="26">
        <v>0.0</v>
      </c>
      <c r="I2982" s="26">
        <v>99.0</v>
      </c>
      <c r="J2982" s="26">
        <v>21.0</v>
      </c>
      <c r="K2982" s="26">
        <v>15.0</v>
      </c>
      <c r="N2982" s="26" t="s">
        <v>691</v>
      </c>
    </row>
    <row r="2983">
      <c r="A2983" s="25">
        <v>43391.85096447916</v>
      </c>
      <c r="B2983" s="26" t="s">
        <v>33</v>
      </c>
      <c r="C2983" s="26" t="s">
        <v>73</v>
      </c>
      <c r="D2983" s="26" t="s">
        <v>31</v>
      </c>
      <c r="E2983" s="26">
        <v>136.0</v>
      </c>
      <c r="F2983" s="26" t="s">
        <v>63</v>
      </c>
      <c r="G2983" s="26">
        <v>1.0</v>
      </c>
      <c r="H2983" s="26">
        <v>1.0</v>
      </c>
      <c r="N2983" s="26" t="s">
        <v>704</v>
      </c>
    </row>
    <row r="2984">
      <c r="A2984" s="25">
        <v>43391.868122685184</v>
      </c>
      <c r="B2984" s="26" t="s">
        <v>119</v>
      </c>
      <c r="C2984" s="26" t="s">
        <v>120</v>
      </c>
      <c r="D2984" s="26" t="s">
        <v>31</v>
      </c>
      <c r="E2984" s="26">
        <v>200.0</v>
      </c>
      <c r="F2984" s="26" t="s">
        <v>35</v>
      </c>
      <c r="G2984" s="26">
        <v>10.0</v>
      </c>
      <c r="H2984" s="26">
        <v>2.0</v>
      </c>
      <c r="N2984" s="26" t="s">
        <v>685</v>
      </c>
    </row>
    <row r="2985">
      <c r="A2985" s="25">
        <v>43391.874837650466</v>
      </c>
      <c r="B2985" s="26" t="s">
        <v>25</v>
      </c>
      <c r="C2985" s="26" t="s">
        <v>462</v>
      </c>
      <c r="D2985" s="26" t="s">
        <v>31</v>
      </c>
      <c r="E2985" s="26">
        <v>315.0</v>
      </c>
      <c r="F2985" s="26" t="s">
        <v>35</v>
      </c>
      <c r="G2985" s="26">
        <v>15.0</v>
      </c>
      <c r="H2985" s="26">
        <v>2.0</v>
      </c>
      <c r="I2985" s="26">
        <v>180.0</v>
      </c>
      <c r="J2985" s="26">
        <v>120.0</v>
      </c>
      <c r="K2985" s="26">
        <v>15.0</v>
      </c>
      <c r="N2985" s="26" t="s">
        <v>685</v>
      </c>
    </row>
    <row r="2986">
      <c r="A2986" s="25">
        <v>43391.894435625</v>
      </c>
      <c r="B2986" s="26" t="s">
        <v>40</v>
      </c>
      <c r="C2986" s="26" t="s">
        <v>83</v>
      </c>
      <c r="D2986" s="26" t="s">
        <v>31</v>
      </c>
      <c r="E2986" s="26">
        <v>215.0</v>
      </c>
      <c r="F2986" s="26" t="s">
        <v>2036</v>
      </c>
      <c r="G2986" s="26">
        <v>15.0</v>
      </c>
      <c r="H2986" s="26">
        <v>3.0</v>
      </c>
      <c r="I2986" s="26">
        <v>155.0</v>
      </c>
      <c r="J2986" s="26">
        <v>30.0</v>
      </c>
      <c r="K2986" s="26">
        <v>30.0</v>
      </c>
      <c r="N2986" s="26" t="s">
        <v>685</v>
      </c>
    </row>
    <row r="2987">
      <c r="A2987" s="25">
        <v>43391.8985709375</v>
      </c>
      <c r="B2987" s="26" t="s">
        <v>256</v>
      </c>
      <c r="C2987" s="26" t="s">
        <v>184</v>
      </c>
      <c r="D2987" s="26" t="s">
        <v>31</v>
      </c>
      <c r="E2987" s="26">
        <v>320.0</v>
      </c>
      <c r="F2987" s="26" t="s">
        <v>32</v>
      </c>
      <c r="G2987" s="26">
        <v>5.0</v>
      </c>
      <c r="H2987" s="26">
        <v>4.0</v>
      </c>
      <c r="N2987" s="26" t="s">
        <v>683</v>
      </c>
    </row>
    <row r="2988">
      <c r="A2988" s="25">
        <v>43391.90386436343</v>
      </c>
      <c r="B2988" s="26" t="s">
        <v>673</v>
      </c>
      <c r="C2988" s="26" t="s">
        <v>1067</v>
      </c>
      <c r="D2988" s="26" t="s">
        <v>41</v>
      </c>
      <c r="E2988" s="26">
        <v>568.0</v>
      </c>
      <c r="F2988" s="26" t="s">
        <v>238</v>
      </c>
      <c r="G2988" s="26">
        <v>11.0</v>
      </c>
      <c r="H2988" s="26">
        <v>5.0</v>
      </c>
      <c r="I2988" s="26">
        <v>210.0</v>
      </c>
      <c r="J2988" s="26">
        <v>330.0</v>
      </c>
      <c r="K2988" s="26">
        <v>28.0</v>
      </c>
      <c r="N2988" s="26" t="s">
        <v>685</v>
      </c>
    </row>
    <row r="2989">
      <c r="A2989" s="25">
        <v>43391.90556211806</v>
      </c>
      <c r="B2989" s="26" t="s">
        <v>673</v>
      </c>
      <c r="C2989" s="26" t="s">
        <v>1067</v>
      </c>
      <c r="D2989" s="26" t="s">
        <v>41</v>
      </c>
      <c r="E2989" s="26">
        <v>568.0</v>
      </c>
      <c r="F2989" s="26" t="s">
        <v>238</v>
      </c>
      <c r="G2989" s="26">
        <v>11.0</v>
      </c>
      <c r="H2989" s="26">
        <v>5.0</v>
      </c>
      <c r="I2989" s="26">
        <v>210.0</v>
      </c>
      <c r="J2989" s="26">
        <v>330.0</v>
      </c>
      <c r="K2989" s="26">
        <v>28.0</v>
      </c>
      <c r="N2989" s="26" t="s">
        <v>685</v>
      </c>
    </row>
    <row r="2990">
      <c r="A2990" s="25">
        <v>43391.97631642361</v>
      </c>
      <c r="B2990" s="26" t="s">
        <v>45</v>
      </c>
      <c r="C2990" s="26" t="s">
        <v>46</v>
      </c>
      <c r="D2990" s="26" t="s">
        <v>41</v>
      </c>
      <c r="E2990" s="26">
        <v>500.0</v>
      </c>
      <c r="F2990" s="26" t="s">
        <v>32</v>
      </c>
      <c r="G2990" s="26">
        <v>16.0</v>
      </c>
      <c r="H2990" s="26">
        <v>7.0</v>
      </c>
      <c r="N2990" s="26" t="s">
        <v>691</v>
      </c>
    </row>
    <row r="2991">
      <c r="A2991" s="25">
        <v>43391.981077592594</v>
      </c>
      <c r="B2991" s="26" t="s">
        <v>119</v>
      </c>
      <c r="C2991" s="26" t="s">
        <v>1578</v>
      </c>
      <c r="D2991" s="26" t="s">
        <v>2037</v>
      </c>
      <c r="E2991" s="26">
        <v>430.0</v>
      </c>
      <c r="F2991" s="26" t="s">
        <v>72</v>
      </c>
      <c r="G2991" s="26">
        <v>18.0</v>
      </c>
      <c r="H2991" s="26">
        <v>6.0</v>
      </c>
      <c r="I2991" s="26">
        <v>250.0</v>
      </c>
      <c r="J2991" s="26">
        <v>100.0</v>
      </c>
      <c r="K2991" s="26">
        <v>80.0</v>
      </c>
      <c r="N2991" s="26" t="s">
        <v>683</v>
      </c>
    </row>
    <row r="2992">
      <c r="A2992" s="25">
        <v>43392.14417586806</v>
      </c>
      <c r="B2992" s="26" t="s">
        <v>411</v>
      </c>
      <c r="C2992" s="26" t="s">
        <v>628</v>
      </c>
      <c r="D2992" s="26" t="s">
        <v>31</v>
      </c>
      <c r="E2992" s="26">
        <v>145.0</v>
      </c>
      <c r="F2992" s="26" t="s">
        <v>1717</v>
      </c>
      <c r="G2992" s="26">
        <v>8.0</v>
      </c>
      <c r="H2992" s="26">
        <v>4.0</v>
      </c>
      <c r="N2992" s="26" t="s">
        <v>704</v>
      </c>
    </row>
    <row r="2993">
      <c r="A2993" s="25">
        <v>43392.33794405093</v>
      </c>
      <c r="B2993" s="26" t="s">
        <v>80</v>
      </c>
      <c r="C2993" s="26" t="s">
        <v>125</v>
      </c>
      <c r="D2993" s="26" t="s">
        <v>31</v>
      </c>
      <c r="E2993" s="26">
        <v>120.0</v>
      </c>
      <c r="F2993" s="26" t="s">
        <v>58</v>
      </c>
      <c r="G2993" s="26">
        <v>8.0</v>
      </c>
      <c r="H2993" s="26">
        <v>2.0</v>
      </c>
      <c r="N2993" s="26" t="s">
        <v>683</v>
      </c>
    </row>
    <row r="2994">
      <c r="A2994" s="25">
        <v>43392.35818246528</v>
      </c>
      <c r="B2994" s="26" t="s">
        <v>36</v>
      </c>
      <c r="C2994" s="26" t="s">
        <v>610</v>
      </c>
      <c r="D2994" s="26" t="s">
        <v>31</v>
      </c>
      <c r="E2994" s="26">
        <v>333.0</v>
      </c>
      <c r="F2994" s="26" t="s">
        <v>58</v>
      </c>
      <c r="G2994" s="26">
        <v>3.0</v>
      </c>
      <c r="H2994" s="26">
        <v>0.0</v>
      </c>
      <c r="I2994" s="26">
        <v>155.0</v>
      </c>
      <c r="J2994" s="26">
        <v>138.0</v>
      </c>
      <c r="K2994" s="26">
        <v>40.0</v>
      </c>
      <c r="N2994" s="26" t="s">
        <v>685</v>
      </c>
    </row>
    <row r="2995">
      <c r="A2995" s="25">
        <v>43392.39820297454</v>
      </c>
      <c r="B2995" s="26" t="s">
        <v>170</v>
      </c>
      <c r="C2995" s="26" t="s">
        <v>590</v>
      </c>
      <c r="D2995" s="26" t="s">
        <v>2038</v>
      </c>
      <c r="E2995" s="26">
        <v>205.0</v>
      </c>
      <c r="F2995" s="26" t="s">
        <v>453</v>
      </c>
      <c r="G2995" s="26">
        <v>7.0</v>
      </c>
      <c r="H2995" s="26">
        <v>5.0</v>
      </c>
      <c r="I2995" s="26">
        <v>155.0</v>
      </c>
      <c r="J2995" s="26">
        <v>20.0</v>
      </c>
      <c r="K2995" s="26">
        <v>30.0</v>
      </c>
      <c r="N2995" s="26" t="s">
        <v>2039</v>
      </c>
    </row>
    <row r="2996">
      <c r="A2996" s="25">
        <v>43392.40034770833</v>
      </c>
      <c r="B2996" s="26" t="s">
        <v>119</v>
      </c>
      <c r="C2996" s="26" t="s">
        <v>484</v>
      </c>
      <c r="D2996" s="26" t="s">
        <v>31</v>
      </c>
      <c r="E2996" s="26">
        <v>165.0</v>
      </c>
      <c r="F2996" s="26" t="s">
        <v>32</v>
      </c>
      <c r="G2996" s="26">
        <v>3.0</v>
      </c>
      <c r="H2996" s="26">
        <v>3.0</v>
      </c>
      <c r="I2996" s="26">
        <v>150.0</v>
      </c>
      <c r="J2996" s="26">
        <v>7.0</v>
      </c>
      <c r="K2996" s="26">
        <v>8.0</v>
      </c>
      <c r="N2996" s="26" t="s">
        <v>683</v>
      </c>
    </row>
    <row r="2997">
      <c r="A2997" s="25">
        <v>43392.43168465278</v>
      </c>
      <c r="B2997" s="26" t="s">
        <v>33</v>
      </c>
      <c r="C2997" s="26">
        <v>4.0</v>
      </c>
      <c r="D2997" s="26" t="s">
        <v>31</v>
      </c>
      <c r="E2997" s="26">
        <v>138.0</v>
      </c>
      <c r="F2997" s="26" t="s">
        <v>63</v>
      </c>
      <c r="G2997" s="26">
        <v>0.0</v>
      </c>
      <c r="H2997" s="26">
        <v>1.0</v>
      </c>
      <c r="I2997" s="26">
        <v>100.0</v>
      </c>
      <c r="J2997" s="26">
        <v>3.0</v>
      </c>
      <c r="K2997" s="26">
        <v>35.0</v>
      </c>
      <c r="L2997" s="26" t="s">
        <v>2040</v>
      </c>
      <c r="N2997" s="26" t="s">
        <v>704</v>
      </c>
    </row>
    <row r="2998">
      <c r="A2998" s="25">
        <v>43392.47520185185</v>
      </c>
      <c r="B2998" s="26" t="s">
        <v>802</v>
      </c>
      <c r="C2998" s="26" t="s">
        <v>26</v>
      </c>
      <c r="D2998" s="26" t="s">
        <v>31</v>
      </c>
      <c r="E2998" s="26">
        <v>130.0</v>
      </c>
      <c r="F2998" s="26" t="s">
        <v>35</v>
      </c>
      <c r="G2998" s="26">
        <v>0.0</v>
      </c>
      <c r="H2998" s="26">
        <v>0.5</v>
      </c>
      <c r="I2998" s="26">
        <v>105.0</v>
      </c>
      <c r="J2998" s="26">
        <v>20.0</v>
      </c>
      <c r="K2998" s="26">
        <v>5.0</v>
      </c>
      <c r="L2998" s="26" t="s">
        <v>2041</v>
      </c>
      <c r="N2998" s="26" t="s">
        <v>704</v>
      </c>
    </row>
    <row r="2999">
      <c r="A2999" s="25">
        <v>43392.48362655092</v>
      </c>
      <c r="B2999" s="26" t="s">
        <v>48</v>
      </c>
      <c r="C2999" s="26" t="s">
        <v>70</v>
      </c>
      <c r="D2999" s="26" t="s">
        <v>31</v>
      </c>
      <c r="E2999" s="26">
        <v>520.0</v>
      </c>
      <c r="F2999" s="26" t="s">
        <v>32</v>
      </c>
      <c r="G2999" s="26">
        <v>13.0</v>
      </c>
      <c r="H2999" s="26">
        <v>0.0</v>
      </c>
      <c r="I2999" s="26">
        <v>225.0</v>
      </c>
      <c r="J2999" s="26">
        <v>250.0</v>
      </c>
      <c r="K2999" s="26">
        <v>45.0</v>
      </c>
      <c r="N2999" s="26" t="s">
        <v>687</v>
      </c>
    </row>
    <row r="3000">
      <c r="A3000" s="25">
        <v>43392.552035995366</v>
      </c>
      <c r="B3000" s="26" t="s">
        <v>25</v>
      </c>
      <c r="C3000" s="26" t="s">
        <v>462</v>
      </c>
      <c r="D3000" s="26" t="s">
        <v>31</v>
      </c>
      <c r="E3000" s="26">
        <v>181.0</v>
      </c>
      <c r="F3000" s="26" t="s">
        <v>28</v>
      </c>
      <c r="G3000" s="26">
        <v>7.0</v>
      </c>
      <c r="H3000" s="26">
        <v>7.0</v>
      </c>
      <c r="N3000" s="26" t="s">
        <v>685</v>
      </c>
    </row>
    <row r="3001">
      <c r="A3001" s="25">
        <v>43392.563397314814</v>
      </c>
      <c r="B3001" s="26" t="s">
        <v>45</v>
      </c>
      <c r="C3001" s="26" t="s">
        <v>116</v>
      </c>
      <c r="D3001" s="26" t="s">
        <v>31</v>
      </c>
      <c r="E3001" s="26">
        <v>304.0</v>
      </c>
      <c r="F3001" s="26" t="s">
        <v>104</v>
      </c>
      <c r="G3001" s="26">
        <v>15.0</v>
      </c>
      <c r="H3001" s="26">
        <v>2.5</v>
      </c>
      <c r="I3001" s="26">
        <v>182.0</v>
      </c>
      <c r="J3001" s="26">
        <v>100.0</v>
      </c>
      <c r="K3001" s="26">
        <v>22.0</v>
      </c>
      <c r="N3001" s="26" t="s">
        <v>708</v>
      </c>
    </row>
    <row r="3002">
      <c r="A3002" s="25">
        <v>43392.677946076394</v>
      </c>
      <c r="B3002" s="26" t="s">
        <v>40</v>
      </c>
      <c r="C3002" s="26">
        <v>59.0</v>
      </c>
      <c r="D3002" s="26" t="s">
        <v>31</v>
      </c>
      <c r="E3002" s="26">
        <v>150.0</v>
      </c>
      <c r="F3002" s="26" t="s">
        <v>52</v>
      </c>
      <c r="G3002" s="26">
        <v>1.0</v>
      </c>
      <c r="H3002" s="26">
        <v>1.0</v>
      </c>
      <c r="I3002" s="26">
        <v>111.0</v>
      </c>
      <c r="J3002" s="26">
        <v>35.0</v>
      </c>
      <c r="K3002" s="26">
        <v>5.0</v>
      </c>
      <c r="N3002" s="26" t="s">
        <v>751</v>
      </c>
    </row>
    <row r="3003">
      <c r="A3003" s="25">
        <v>43392.821538055556</v>
      </c>
      <c r="B3003" s="26" t="s">
        <v>2042</v>
      </c>
      <c r="C3003" s="26" t="s">
        <v>2043</v>
      </c>
      <c r="D3003" s="26" t="s">
        <v>713</v>
      </c>
      <c r="E3003" s="26">
        <v>157.0</v>
      </c>
      <c r="F3003" s="26" t="s">
        <v>2044</v>
      </c>
      <c r="G3003" s="26">
        <v>16.0</v>
      </c>
      <c r="H3003" s="26">
        <v>2.0</v>
      </c>
      <c r="I3003" s="26">
        <v>150.0</v>
      </c>
      <c r="J3003" s="26">
        <v>5.0</v>
      </c>
      <c r="K3003" s="26">
        <v>2.0</v>
      </c>
      <c r="N3003" s="26" t="s">
        <v>2045</v>
      </c>
    </row>
    <row r="3004">
      <c r="A3004" s="25">
        <v>43392.82407270833</v>
      </c>
      <c r="B3004" s="26" t="s">
        <v>2046</v>
      </c>
      <c r="C3004" s="26" t="s">
        <v>2021</v>
      </c>
      <c r="D3004" s="26" t="s">
        <v>31</v>
      </c>
      <c r="E3004" s="26">
        <v>100.0</v>
      </c>
      <c r="F3004" s="26" t="s">
        <v>2047</v>
      </c>
      <c r="G3004" s="26">
        <v>0.0</v>
      </c>
      <c r="H3004" s="26">
        <v>0.0</v>
      </c>
      <c r="I3004" s="26">
        <v>85.0</v>
      </c>
      <c r="J3004" s="26">
        <v>5.0</v>
      </c>
      <c r="K3004" s="26">
        <v>10.0</v>
      </c>
      <c r="L3004" s="26" t="s">
        <v>2048</v>
      </c>
      <c r="N3004" s="26" t="s">
        <v>685</v>
      </c>
    </row>
    <row r="3005">
      <c r="A3005" s="25">
        <v>43392.82735450231</v>
      </c>
      <c r="B3005" s="26" t="s">
        <v>48</v>
      </c>
      <c r="C3005" s="26" t="s">
        <v>70</v>
      </c>
      <c r="D3005" s="26" t="s">
        <v>31</v>
      </c>
      <c r="E3005" s="26">
        <v>514.0</v>
      </c>
      <c r="F3005" s="26" t="s">
        <v>50</v>
      </c>
      <c r="G3005" s="26">
        <v>20.0</v>
      </c>
      <c r="H3005" s="26">
        <v>2.0</v>
      </c>
      <c r="I3005" s="26">
        <v>220.0</v>
      </c>
      <c r="J3005" s="26">
        <v>250.0</v>
      </c>
      <c r="K3005" s="26">
        <v>44.0</v>
      </c>
      <c r="N3005" s="26" t="s">
        <v>699</v>
      </c>
    </row>
    <row r="3006">
      <c r="A3006" s="25">
        <v>43392.82883989583</v>
      </c>
      <c r="B3006" s="26" t="s">
        <v>170</v>
      </c>
      <c r="C3006" s="26" t="s">
        <v>572</v>
      </c>
      <c r="D3006" s="26" t="s">
        <v>2049</v>
      </c>
      <c r="E3006" s="26">
        <v>220.0</v>
      </c>
      <c r="F3006" s="26" t="s">
        <v>453</v>
      </c>
      <c r="G3006" s="26">
        <v>11.0</v>
      </c>
      <c r="H3006" s="26">
        <v>11.0</v>
      </c>
      <c r="I3006" s="26">
        <v>140.0</v>
      </c>
      <c r="J3006" s="26">
        <v>48.0</v>
      </c>
      <c r="K3006" s="26">
        <v>32.0</v>
      </c>
      <c r="N3006" s="26" t="s">
        <v>2050</v>
      </c>
    </row>
    <row r="3007">
      <c r="A3007" s="25">
        <v>43392.87708486111</v>
      </c>
      <c r="B3007" s="26" t="s">
        <v>119</v>
      </c>
      <c r="C3007" s="26" t="s">
        <v>120</v>
      </c>
      <c r="D3007" s="26" t="s">
        <v>31</v>
      </c>
      <c r="E3007" s="26">
        <v>320.0</v>
      </c>
      <c r="F3007" s="26" t="s">
        <v>86</v>
      </c>
      <c r="G3007" s="26">
        <v>13.0</v>
      </c>
      <c r="H3007" s="26">
        <v>2.0</v>
      </c>
      <c r="I3007" s="26">
        <v>195.0</v>
      </c>
      <c r="J3007" s="26">
        <v>96.0</v>
      </c>
      <c r="K3007" s="26">
        <v>29.0</v>
      </c>
      <c r="N3007" s="26" t="s">
        <v>757</v>
      </c>
    </row>
    <row r="3008">
      <c r="A3008" s="25">
        <v>43392.89410534722</v>
      </c>
      <c r="B3008" s="26" t="s">
        <v>33</v>
      </c>
      <c r="C3008" s="26" t="s">
        <v>34</v>
      </c>
      <c r="D3008" s="26" t="s">
        <v>27</v>
      </c>
      <c r="E3008" s="26">
        <v>430.0</v>
      </c>
      <c r="F3008" s="26" t="s">
        <v>35</v>
      </c>
      <c r="G3008" s="26">
        <v>13.0</v>
      </c>
      <c r="H3008" s="26">
        <v>2.0</v>
      </c>
      <c r="N3008" s="26" t="s">
        <v>696</v>
      </c>
    </row>
    <row r="3009">
      <c r="A3009" s="25">
        <v>43392.90348583333</v>
      </c>
      <c r="B3009" s="26" t="s">
        <v>1884</v>
      </c>
      <c r="C3009" s="26" t="s">
        <v>1671</v>
      </c>
      <c r="D3009" s="26" t="s">
        <v>27</v>
      </c>
      <c r="E3009" s="26">
        <v>260.0</v>
      </c>
      <c r="F3009" s="26" t="s">
        <v>32</v>
      </c>
      <c r="G3009" s="26">
        <v>15.0</v>
      </c>
      <c r="H3009" s="26">
        <v>1.0</v>
      </c>
      <c r="N3009" s="26" t="s">
        <v>683</v>
      </c>
    </row>
    <row r="3010">
      <c r="A3010" s="25">
        <v>43392.944417175924</v>
      </c>
      <c r="B3010" s="26" t="s">
        <v>33</v>
      </c>
      <c r="C3010" s="26" t="s">
        <v>43</v>
      </c>
      <c r="D3010" s="26" t="s">
        <v>31</v>
      </c>
      <c r="E3010" s="26">
        <v>180.0</v>
      </c>
      <c r="F3010" s="26" t="s">
        <v>212</v>
      </c>
      <c r="G3010" s="26">
        <v>3.0</v>
      </c>
      <c r="H3010" s="26">
        <v>1.5</v>
      </c>
      <c r="I3010" s="26">
        <v>135.0</v>
      </c>
      <c r="J3010" s="26">
        <v>20.0</v>
      </c>
      <c r="K3010" s="26">
        <v>25.0</v>
      </c>
      <c r="N3010" s="26" t="s">
        <v>685</v>
      </c>
    </row>
    <row r="3011">
      <c r="A3011" s="25">
        <v>43393.054659988426</v>
      </c>
      <c r="B3011" s="26" t="s">
        <v>2051</v>
      </c>
      <c r="C3011" s="26" t="s">
        <v>96</v>
      </c>
      <c r="D3011" s="26" t="s">
        <v>31</v>
      </c>
      <c r="E3011" s="26">
        <v>136.0</v>
      </c>
      <c r="F3011" s="26" t="s">
        <v>238</v>
      </c>
      <c r="G3011" s="26">
        <v>7.0</v>
      </c>
      <c r="H3011" s="26">
        <v>3.0</v>
      </c>
      <c r="N3011" s="26" t="s">
        <v>704</v>
      </c>
    </row>
    <row r="3012">
      <c r="A3012" s="25">
        <v>43393.07812542824</v>
      </c>
      <c r="B3012" s="26" t="s">
        <v>80</v>
      </c>
      <c r="C3012" s="26" t="s">
        <v>176</v>
      </c>
      <c r="D3012" s="26" t="s">
        <v>27</v>
      </c>
      <c r="E3012" s="26">
        <v>350.0</v>
      </c>
      <c r="F3012" s="26" t="s">
        <v>32</v>
      </c>
      <c r="G3012" s="26">
        <v>8.0</v>
      </c>
      <c r="H3012" s="26">
        <v>2.0</v>
      </c>
      <c r="N3012" s="26" t="s">
        <v>699</v>
      </c>
    </row>
    <row r="3013">
      <c r="A3013" s="25">
        <v>43393.13414430556</v>
      </c>
      <c r="B3013" s="26" t="s">
        <v>80</v>
      </c>
      <c r="C3013" s="26" t="s">
        <v>179</v>
      </c>
      <c r="D3013" s="26" t="s">
        <v>31</v>
      </c>
      <c r="E3013" s="26">
        <v>158.0</v>
      </c>
      <c r="F3013" s="26" t="s">
        <v>51</v>
      </c>
      <c r="G3013" s="26">
        <v>0.0</v>
      </c>
      <c r="H3013" s="26">
        <v>0.0</v>
      </c>
      <c r="I3013" s="26">
        <v>116.0</v>
      </c>
      <c r="J3013" s="26">
        <v>25.0</v>
      </c>
      <c r="K3013" s="26">
        <v>18.0</v>
      </c>
      <c r="N3013" s="26" t="s">
        <v>685</v>
      </c>
    </row>
    <row r="3014">
      <c r="A3014" s="25">
        <v>43393.289237233796</v>
      </c>
      <c r="B3014" s="26" t="s">
        <v>426</v>
      </c>
      <c r="C3014" s="26" t="s">
        <v>427</v>
      </c>
      <c r="D3014" s="26" t="s">
        <v>147</v>
      </c>
      <c r="E3014" s="26">
        <v>235.0</v>
      </c>
      <c r="F3014" s="26" t="s">
        <v>94</v>
      </c>
      <c r="G3014" s="26">
        <v>5.0</v>
      </c>
      <c r="H3014" s="26">
        <v>5.0</v>
      </c>
      <c r="I3014" s="26">
        <v>125.0</v>
      </c>
      <c r="K3014" s="26">
        <v>110.0</v>
      </c>
      <c r="N3014" s="26" t="s">
        <v>2052</v>
      </c>
    </row>
    <row r="3015">
      <c r="A3015" s="25">
        <v>43393.34285753472</v>
      </c>
      <c r="B3015" s="26" t="s">
        <v>2053</v>
      </c>
      <c r="C3015" s="26" t="s">
        <v>166</v>
      </c>
      <c r="D3015" s="26" t="s">
        <v>41</v>
      </c>
      <c r="E3015" s="26">
        <v>122.0</v>
      </c>
      <c r="F3015" s="26" t="s">
        <v>161</v>
      </c>
      <c r="G3015" s="26">
        <v>1.0</v>
      </c>
      <c r="H3015" s="26">
        <v>4.0</v>
      </c>
      <c r="I3015" s="26">
        <v>112.0</v>
      </c>
      <c r="K3015" s="26">
        <v>10.0</v>
      </c>
      <c r="N3015" s="26" t="s">
        <v>704</v>
      </c>
    </row>
    <row r="3016">
      <c r="A3016" s="25">
        <v>43393.35468907407</v>
      </c>
      <c r="B3016" s="26" t="s">
        <v>256</v>
      </c>
      <c r="C3016" s="26" t="s">
        <v>26</v>
      </c>
      <c r="D3016" s="26" t="s">
        <v>31</v>
      </c>
      <c r="E3016" s="26">
        <v>310.0</v>
      </c>
      <c r="F3016" s="26" t="s">
        <v>94</v>
      </c>
      <c r="G3016" s="26">
        <v>8.0</v>
      </c>
      <c r="H3016" s="26">
        <v>1.0</v>
      </c>
      <c r="I3016" s="26">
        <v>185.0</v>
      </c>
      <c r="J3016" s="26">
        <v>100.0</v>
      </c>
      <c r="K3016" s="26">
        <v>25.0</v>
      </c>
      <c r="N3016" s="26" t="s">
        <v>683</v>
      </c>
    </row>
    <row r="3017">
      <c r="A3017" s="25">
        <v>43393.35807381944</v>
      </c>
      <c r="B3017" s="26" t="s">
        <v>2054</v>
      </c>
      <c r="C3017" s="26" t="s">
        <v>306</v>
      </c>
      <c r="D3017" s="26" t="s">
        <v>27</v>
      </c>
      <c r="E3017" s="26">
        <v>131.0</v>
      </c>
      <c r="F3017" s="26" t="s">
        <v>58</v>
      </c>
      <c r="G3017" s="26">
        <v>6.0</v>
      </c>
      <c r="H3017" s="26">
        <v>3.0</v>
      </c>
      <c r="I3017" s="26">
        <v>124.0</v>
      </c>
      <c r="K3017" s="26">
        <v>7.0</v>
      </c>
      <c r="N3017" s="26" t="s">
        <v>757</v>
      </c>
    </row>
    <row r="3018">
      <c r="A3018" s="25">
        <v>43393.37247277777</v>
      </c>
      <c r="B3018" s="26" t="s">
        <v>48</v>
      </c>
      <c r="C3018" s="26" t="s">
        <v>2055</v>
      </c>
      <c r="D3018" s="26" t="s">
        <v>27</v>
      </c>
      <c r="E3018" s="26">
        <v>345.0</v>
      </c>
      <c r="F3018" s="26" t="s">
        <v>50</v>
      </c>
      <c r="G3018" s="26">
        <v>6.0</v>
      </c>
      <c r="H3018" s="26">
        <v>0.0</v>
      </c>
      <c r="N3018" s="26" t="s">
        <v>691</v>
      </c>
    </row>
    <row r="3019">
      <c r="A3019" s="25">
        <v>43393.387057789354</v>
      </c>
      <c r="B3019" s="26" t="s">
        <v>80</v>
      </c>
      <c r="C3019" s="26" t="s">
        <v>43</v>
      </c>
      <c r="D3019" s="26" t="s">
        <v>31</v>
      </c>
      <c r="E3019" s="26">
        <v>377.0</v>
      </c>
      <c r="F3019" s="26" t="s">
        <v>227</v>
      </c>
      <c r="G3019" s="26">
        <v>10.0</v>
      </c>
      <c r="H3019" s="26">
        <v>8.0</v>
      </c>
      <c r="I3019" s="26">
        <v>192.0</v>
      </c>
      <c r="J3019" s="26">
        <v>150.0</v>
      </c>
      <c r="K3019" s="26">
        <v>35.0</v>
      </c>
      <c r="N3019" s="26" t="s">
        <v>685</v>
      </c>
    </row>
    <row r="3020">
      <c r="A3020" s="25">
        <v>43393.39368097222</v>
      </c>
      <c r="B3020" s="26" t="s">
        <v>204</v>
      </c>
      <c r="C3020" s="26" t="s">
        <v>43</v>
      </c>
      <c r="D3020" s="26" t="s">
        <v>31</v>
      </c>
      <c r="E3020" s="26">
        <v>400.0</v>
      </c>
      <c r="F3020" s="26" t="s">
        <v>32</v>
      </c>
      <c r="G3020" s="26">
        <v>5.0</v>
      </c>
      <c r="H3020" s="26">
        <v>3.0</v>
      </c>
      <c r="I3020" s="26">
        <v>200.0</v>
      </c>
      <c r="J3020" s="26">
        <v>160.0</v>
      </c>
      <c r="K3020" s="26">
        <v>40.0</v>
      </c>
      <c r="N3020" s="26" t="s">
        <v>699</v>
      </c>
    </row>
    <row r="3021">
      <c r="A3021" s="25">
        <v>43393.47170355324</v>
      </c>
      <c r="B3021" s="26" t="s">
        <v>48</v>
      </c>
      <c r="C3021" s="26" t="s">
        <v>26</v>
      </c>
      <c r="D3021" s="26" t="s">
        <v>31</v>
      </c>
      <c r="E3021" s="26">
        <v>178.0</v>
      </c>
      <c r="F3021" s="26" t="s">
        <v>50</v>
      </c>
      <c r="G3021" s="26">
        <v>0.0</v>
      </c>
      <c r="H3021" s="26">
        <v>0.0</v>
      </c>
      <c r="I3021" s="26">
        <v>115.0</v>
      </c>
      <c r="J3021" s="26">
        <v>40.0</v>
      </c>
      <c r="K3021" s="26">
        <v>23.0</v>
      </c>
      <c r="N3021" s="26" t="s">
        <v>201</v>
      </c>
    </row>
    <row r="3022">
      <c r="A3022" s="25">
        <v>43393.53835357639</v>
      </c>
      <c r="B3022" s="26" t="s">
        <v>45</v>
      </c>
      <c r="C3022" s="26" t="s">
        <v>116</v>
      </c>
      <c r="D3022" s="26" t="s">
        <v>31</v>
      </c>
      <c r="E3022" s="26">
        <v>290.0</v>
      </c>
      <c r="F3022" s="26" t="s">
        <v>104</v>
      </c>
      <c r="G3022" s="26">
        <v>4.0</v>
      </c>
      <c r="H3022" s="26">
        <v>2.0</v>
      </c>
      <c r="I3022" s="26">
        <v>170.0</v>
      </c>
      <c r="J3022" s="26">
        <v>105.0</v>
      </c>
      <c r="K3022" s="26">
        <v>15.0</v>
      </c>
      <c r="N3022" s="26" t="s">
        <v>691</v>
      </c>
    </row>
    <row r="3023">
      <c r="A3023" s="25">
        <v>43393.53899560185</v>
      </c>
      <c r="B3023" s="26" t="s">
        <v>45</v>
      </c>
      <c r="C3023" s="26" t="s">
        <v>116</v>
      </c>
      <c r="D3023" s="26" t="s">
        <v>31</v>
      </c>
      <c r="E3023" s="26">
        <v>290.0</v>
      </c>
      <c r="F3023" s="26" t="s">
        <v>104</v>
      </c>
      <c r="G3023" s="26">
        <v>4.0</v>
      </c>
      <c r="H3023" s="26">
        <v>2.0</v>
      </c>
      <c r="I3023" s="26">
        <v>170.0</v>
      </c>
      <c r="J3023" s="26">
        <v>105.0</v>
      </c>
      <c r="K3023" s="26">
        <v>15.0</v>
      </c>
      <c r="N3023" s="26" t="s">
        <v>691</v>
      </c>
    </row>
    <row r="3024">
      <c r="A3024" s="25">
        <v>43393.614936342594</v>
      </c>
      <c r="B3024" s="26" t="s">
        <v>29</v>
      </c>
      <c r="C3024" s="26" t="s">
        <v>160</v>
      </c>
      <c r="D3024" s="26" t="s">
        <v>31</v>
      </c>
      <c r="E3024" s="26">
        <v>180.0</v>
      </c>
      <c r="F3024" s="26" t="s">
        <v>238</v>
      </c>
      <c r="G3024" s="26">
        <v>9.0</v>
      </c>
      <c r="H3024" s="26">
        <v>3.0</v>
      </c>
      <c r="I3024" s="26">
        <v>156.0</v>
      </c>
      <c r="J3024" s="26">
        <v>4.0</v>
      </c>
      <c r="K3024" s="26">
        <v>10.0</v>
      </c>
      <c r="N3024" s="26" t="s">
        <v>728</v>
      </c>
    </row>
    <row r="3025">
      <c r="A3025" s="25">
        <v>43393.670136886576</v>
      </c>
      <c r="B3025" s="26" t="s">
        <v>45</v>
      </c>
      <c r="C3025" s="26" t="s">
        <v>102</v>
      </c>
      <c r="D3025" s="26" t="s">
        <v>31</v>
      </c>
      <c r="E3025" s="26">
        <v>195.0</v>
      </c>
      <c r="F3025" s="26" t="s">
        <v>92</v>
      </c>
      <c r="G3025" s="26">
        <v>1.0</v>
      </c>
      <c r="H3025" s="26">
        <v>1.0</v>
      </c>
      <c r="I3025" s="26">
        <v>125.0</v>
      </c>
      <c r="J3025" s="26">
        <v>60.0</v>
      </c>
      <c r="K3025" s="26">
        <v>10.0</v>
      </c>
      <c r="N3025" s="26" t="s">
        <v>691</v>
      </c>
    </row>
    <row r="3026">
      <c r="A3026" s="25">
        <v>43393.695290324074</v>
      </c>
      <c r="B3026" s="26" t="s">
        <v>2056</v>
      </c>
      <c r="C3026" s="26" t="s">
        <v>737</v>
      </c>
      <c r="D3026" s="26" t="s">
        <v>31</v>
      </c>
      <c r="E3026" s="26">
        <v>222.0</v>
      </c>
      <c r="F3026" s="26" t="s">
        <v>238</v>
      </c>
      <c r="G3026" s="26">
        <v>11.0</v>
      </c>
      <c r="H3026" s="26">
        <v>11.0</v>
      </c>
      <c r="I3026" s="26">
        <v>165.0</v>
      </c>
      <c r="J3026" s="26">
        <v>42.0</v>
      </c>
      <c r="K3026" s="26">
        <v>15.0</v>
      </c>
      <c r="N3026" s="26" t="s">
        <v>696</v>
      </c>
    </row>
    <row r="3027">
      <c r="A3027" s="25">
        <v>43393.7779850463</v>
      </c>
      <c r="B3027" s="26" t="s">
        <v>506</v>
      </c>
      <c r="C3027" s="26">
        <v>6.0</v>
      </c>
      <c r="D3027" s="26" t="s">
        <v>41</v>
      </c>
      <c r="E3027" s="26">
        <v>327.0</v>
      </c>
      <c r="F3027" s="26" t="s">
        <v>134</v>
      </c>
      <c r="G3027" s="26">
        <v>20.0</v>
      </c>
      <c r="H3027" s="26">
        <v>5.0</v>
      </c>
      <c r="I3027" s="26">
        <v>200.0</v>
      </c>
      <c r="J3027" s="26">
        <v>80.0</v>
      </c>
      <c r="K3027" s="26">
        <v>47.0</v>
      </c>
      <c r="N3027" s="26" t="s">
        <v>683</v>
      </c>
    </row>
    <row r="3028">
      <c r="A3028" s="25">
        <v>43393.85673640046</v>
      </c>
      <c r="B3028" s="26" t="s">
        <v>790</v>
      </c>
      <c r="C3028" s="26" t="s">
        <v>502</v>
      </c>
      <c r="D3028" s="26" t="s">
        <v>31</v>
      </c>
      <c r="E3028" s="26">
        <v>205.0</v>
      </c>
      <c r="F3028" s="26" t="s">
        <v>925</v>
      </c>
      <c r="G3028" s="26">
        <v>1.0</v>
      </c>
      <c r="H3028" s="26">
        <v>0.0</v>
      </c>
      <c r="I3028" s="26">
        <v>124.0</v>
      </c>
      <c r="J3028" s="26">
        <v>31.0</v>
      </c>
      <c r="K3028" s="26">
        <v>50.0</v>
      </c>
      <c r="N3028" s="26" t="s">
        <v>685</v>
      </c>
    </row>
    <row r="3029">
      <c r="A3029" s="25">
        <v>43394.05627511574</v>
      </c>
      <c r="B3029" s="26" t="s">
        <v>33</v>
      </c>
      <c r="C3029" s="26" t="s">
        <v>43</v>
      </c>
      <c r="D3029" s="26" t="s">
        <v>31</v>
      </c>
      <c r="E3029" s="26">
        <v>180.0</v>
      </c>
      <c r="F3029" s="26" t="s">
        <v>320</v>
      </c>
      <c r="G3029" s="26">
        <v>3.0</v>
      </c>
      <c r="H3029" s="26">
        <v>3.0</v>
      </c>
      <c r="I3029" s="26">
        <v>120.0</v>
      </c>
      <c r="J3029" s="26">
        <v>60.0</v>
      </c>
      <c r="N3029" s="26" t="s">
        <v>704</v>
      </c>
    </row>
    <row r="3030">
      <c r="A3030" s="25">
        <v>43394.07557378472</v>
      </c>
      <c r="B3030" s="26" t="s">
        <v>40</v>
      </c>
      <c r="C3030" s="26">
        <v>65.0</v>
      </c>
      <c r="D3030" s="26" t="s">
        <v>41</v>
      </c>
      <c r="E3030" s="26">
        <v>250.0</v>
      </c>
      <c r="F3030" s="26" t="s">
        <v>75</v>
      </c>
      <c r="G3030" s="26">
        <v>14.0</v>
      </c>
      <c r="H3030" s="26">
        <v>11.0</v>
      </c>
      <c r="I3030" s="26">
        <v>175.0</v>
      </c>
      <c r="J3030" s="26">
        <v>40.0</v>
      </c>
      <c r="K3030" s="26">
        <v>35.0</v>
      </c>
      <c r="N3030" s="26" t="s">
        <v>683</v>
      </c>
    </row>
    <row r="3031">
      <c r="A3031" s="25">
        <v>43394.16669085648</v>
      </c>
      <c r="B3031" s="26" t="s">
        <v>233</v>
      </c>
      <c r="C3031" s="26" t="s">
        <v>2057</v>
      </c>
      <c r="D3031" s="26" t="s">
        <v>41</v>
      </c>
      <c r="E3031" s="26">
        <v>400.0</v>
      </c>
      <c r="F3031" s="26" t="s">
        <v>616</v>
      </c>
      <c r="G3031" s="26">
        <v>18.0</v>
      </c>
      <c r="H3031" s="26">
        <v>12.0</v>
      </c>
      <c r="I3031" s="26">
        <v>210.0</v>
      </c>
      <c r="J3031" s="26">
        <v>160.0</v>
      </c>
      <c r="K3031" s="26">
        <v>30.0</v>
      </c>
      <c r="N3031" s="26" t="s">
        <v>691</v>
      </c>
    </row>
    <row r="3032">
      <c r="A3032" s="25">
        <v>43394.35257708334</v>
      </c>
      <c r="B3032" s="26" t="s">
        <v>48</v>
      </c>
      <c r="C3032" s="26" t="s">
        <v>166</v>
      </c>
      <c r="D3032" s="26" t="s">
        <v>31</v>
      </c>
      <c r="E3032" s="26">
        <v>245.0</v>
      </c>
      <c r="F3032" s="26" t="s">
        <v>403</v>
      </c>
      <c r="G3032" s="26">
        <v>3.0</v>
      </c>
      <c r="H3032" s="26">
        <v>1.0</v>
      </c>
      <c r="I3032" s="26">
        <v>130.0</v>
      </c>
      <c r="J3032" s="26">
        <v>100.0</v>
      </c>
      <c r="K3032" s="26">
        <v>15.0</v>
      </c>
      <c r="N3032" s="26" t="s">
        <v>708</v>
      </c>
    </row>
    <row r="3033">
      <c r="A3033" s="25">
        <v>43394.42407832176</v>
      </c>
      <c r="B3033" s="26" t="s">
        <v>64</v>
      </c>
      <c r="C3033" s="26" t="s">
        <v>1173</v>
      </c>
      <c r="D3033" s="26" t="s">
        <v>31</v>
      </c>
      <c r="E3033" s="26">
        <v>295.0</v>
      </c>
      <c r="F3033" s="26" t="s">
        <v>35</v>
      </c>
      <c r="G3033" s="26">
        <v>20.0</v>
      </c>
      <c r="H3033" s="26">
        <v>0.3</v>
      </c>
      <c r="I3033" s="26">
        <v>200.0</v>
      </c>
      <c r="J3033" s="26">
        <v>32.0</v>
      </c>
      <c r="K3033" s="26">
        <v>60.0</v>
      </c>
      <c r="N3033" s="26" t="s">
        <v>683</v>
      </c>
    </row>
    <row r="3034">
      <c r="A3034" s="25">
        <v>43394.45983790509</v>
      </c>
      <c r="B3034" s="26" t="s">
        <v>1325</v>
      </c>
      <c r="C3034" s="26" t="s">
        <v>374</v>
      </c>
      <c r="D3034" s="26" t="s">
        <v>27</v>
      </c>
      <c r="E3034" s="26">
        <v>220.0</v>
      </c>
      <c r="F3034" s="26" t="s">
        <v>86</v>
      </c>
      <c r="G3034" s="26">
        <v>16.0</v>
      </c>
      <c r="H3034" s="26">
        <v>10.0</v>
      </c>
      <c r="I3034" s="26">
        <v>164.0</v>
      </c>
      <c r="J3034" s="26">
        <v>28.0</v>
      </c>
      <c r="K3034" s="26">
        <v>28.0</v>
      </c>
      <c r="N3034" s="26" t="s">
        <v>691</v>
      </c>
    </row>
    <row r="3035">
      <c r="A3035" s="25">
        <v>43394.527121493054</v>
      </c>
      <c r="B3035" s="26" t="s">
        <v>124</v>
      </c>
      <c r="C3035" s="26" t="s">
        <v>737</v>
      </c>
      <c r="D3035" s="26" t="s">
        <v>711</v>
      </c>
      <c r="E3035" s="26">
        <v>318.0</v>
      </c>
      <c r="F3035" s="26" t="s">
        <v>51</v>
      </c>
      <c r="G3035" s="26">
        <v>3.0</v>
      </c>
      <c r="H3035" s="26">
        <v>0.0</v>
      </c>
      <c r="I3035" s="26">
        <v>200.0</v>
      </c>
      <c r="J3035" s="26">
        <v>78.0</v>
      </c>
      <c r="K3035" s="26">
        <v>40.0</v>
      </c>
      <c r="N3035" s="26" t="s">
        <v>691</v>
      </c>
    </row>
    <row r="3036">
      <c r="A3036" s="25">
        <v>43394.540570972225</v>
      </c>
      <c r="B3036" s="26" t="s">
        <v>130</v>
      </c>
      <c r="C3036" s="26" t="s">
        <v>43</v>
      </c>
      <c r="D3036" s="26" t="s">
        <v>31</v>
      </c>
      <c r="E3036" s="26">
        <v>230.0</v>
      </c>
      <c r="F3036" s="26" t="s">
        <v>35</v>
      </c>
      <c r="G3036" s="26">
        <v>25.0</v>
      </c>
      <c r="H3036" s="26">
        <v>1.5</v>
      </c>
      <c r="I3036" s="26">
        <v>145.0</v>
      </c>
      <c r="J3036" s="26">
        <v>50.0</v>
      </c>
      <c r="K3036" s="26">
        <v>35.0</v>
      </c>
      <c r="N3036" s="26" t="s">
        <v>704</v>
      </c>
    </row>
    <row r="3037">
      <c r="A3037" s="25">
        <v>43394.75690421296</v>
      </c>
      <c r="B3037" s="26" t="s">
        <v>25</v>
      </c>
      <c r="C3037" s="26" t="s">
        <v>1142</v>
      </c>
      <c r="D3037" s="26" t="s">
        <v>31</v>
      </c>
      <c r="E3037" s="26">
        <v>115.0</v>
      </c>
      <c r="F3037" s="26" t="s">
        <v>948</v>
      </c>
      <c r="G3037" s="26">
        <v>2.0</v>
      </c>
      <c r="H3037" s="26">
        <v>2.0</v>
      </c>
      <c r="N3037" s="26" t="s">
        <v>1163</v>
      </c>
    </row>
    <row r="3038">
      <c r="A3038" s="25">
        <v>43394.83133853009</v>
      </c>
      <c r="B3038" s="26" t="s">
        <v>350</v>
      </c>
      <c r="C3038" s="26" t="s">
        <v>2058</v>
      </c>
      <c r="D3038" s="26" t="s">
        <v>31</v>
      </c>
      <c r="E3038" s="26">
        <v>123.0</v>
      </c>
      <c r="F3038" s="26" t="s">
        <v>58</v>
      </c>
      <c r="G3038" s="26">
        <v>1.0</v>
      </c>
      <c r="H3038" s="26">
        <v>1.0</v>
      </c>
      <c r="I3038" s="26">
        <v>113.0</v>
      </c>
      <c r="K3038" s="26">
        <v>10.0</v>
      </c>
      <c r="N3038" s="26" t="s">
        <v>704</v>
      </c>
    </row>
    <row r="3039">
      <c r="A3039" s="25">
        <v>43394.942575127316</v>
      </c>
      <c r="B3039" s="26" t="s">
        <v>40</v>
      </c>
      <c r="C3039" s="26">
        <v>63.0</v>
      </c>
      <c r="D3039" s="26" t="s">
        <v>2059</v>
      </c>
      <c r="E3039" s="26">
        <v>165.0</v>
      </c>
      <c r="F3039" s="26" t="s">
        <v>2060</v>
      </c>
      <c r="G3039" s="26">
        <v>20.0</v>
      </c>
      <c r="H3039" s="26">
        <v>9.0</v>
      </c>
      <c r="I3039" s="26">
        <v>135.0</v>
      </c>
      <c r="J3039" s="26">
        <v>15.0</v>
      </c>
      <c r="K3039" s="26">
        <v>15.0</v>
      </c>
      <c r="N3039" s="26" t="s">
        <v>1639</v>
      </c>
    </row>
    <row r="3040">
      <c r="A3040" s="25">
        <v>43394.96204172454</v>
      </c>
      <c r="B3040" s="26" t="s">
        <v>2061</v>
      </c>
      <c r="C3040" s="26" t="s">
        <v>2062</v>
      </c>
      <c r="D3040" s="26" t="s">
        <v>2063</v>
      </c>
      <c r="E3040" s="26">
        <v>800.0</v>
      </c>
      <c r="F3040" s="26" t="s">
        <v>32</v>
      </c>
      <c r="G3040" s="26">
        <v>3.0</v>
      </c>
      <c r="H3040" s="26">
        <v>3.0</v>
      </c>
      <c r="N3040" s="26" t="s">
        <v>715</v>
      </c>
    </row>
    <row r="3041">
      <c r="A3041" s="25">
        <v>43395.185758252315</v>
      </c>
      <c r="B3041" s="26" t="s">
        <v>40</v>
      </c>
      <c r="C3041" s="26" t="s">
        <v>824</v>
      </c>
      <c r="D3041" s="26" t="s">
        <v>31</v>
      </c>
      <c r="E3041" s="26">
        <v>139.0</v>
      </c>
      <c r="F3041" s="26" t="s">
        <v>75</v>
      </c>
      <c r="G3041" s="26">
        <v>0.0</v>
      </c>
      <c r="H3041" s="26">
        <v>0.0</v>
      </c>
      <c r="I3041" s="26">
        <v>109.0</v>
      </c>
      <c r="J3041" s="26">
        <v>20.0</v>
      </c>
      <c r="K3041" s="26">
        <v>10.0</v>
      </c>
      <c r="N3041" s="26" t="s">
        <v>704</v>
      </c>
    </row>
    <row r="3042">
      <c r="A3042" s="25">
        <v>43395.30822373842</v>
      </c>
      <c r="B3042" s="26" t="s">
        <v>119</v>
      </c>
      <c r="C3042" s="26" t="s">
        <v>143</v>
      </c>
      <c r="D3042" s="26" t="s">
        <v>27</v>
      </c>
      <c r="E3042" s="26">
        <v>340.0</v>
      </c>
      <c r="F3042" s="26" t="s">
        <v>32</v>
      </c>
      <c r="G3042" s="26">
        <v>15.0</v>
      </c>
      <c r="H3042" s="26">
        <v>1.5</v>
      </c>
      <c r="I3042" s="26">
        <v>240.0</v>
      </c>
      <c r="J3042" s="26">
        <v>40.0</v>
      </c>
      <c r="K3042" s="26">
        <v>50.0</v>
      </c>
      <c r="N3042" s="26" t="s">
        <v>1254</v>
      </c>
    </row>
    <row r="3043">
      <c r="A3043" s="25">
        <v>43395.31099557871</v>
      </c>
      <c r="B3043" s="26" t="s">
        <v>80</v>
      </c>
      <c r="C3043" s="26" t="s">
        <v>179</v>
      </c>
      <c r="D3043" s="26" t="s">
        <v>31</v>
      </c>
      <c r="E3043" s="26">
        <v>132.0</v>
      </c>
      <c r="F3043" s="26" t="s">
        <v>1742</v>
      </c>
      <c r="G3043" s="26">
        <v>0.0</v>
      </c>
      <c r="H3043" s="26">
        <v>0.0</v>
      </c>
      <c r="I3043" s="26">
        <v>92.0</v>
      </c>
      <c r="J3043" s="26">
        <v>27.0</v>
      </c>
      <c r="K3043" s="26">
        <v>13.0</v>
      </c>
      <c r="N3043" s="26" t="s">
        <v>715</v>
      </c>
    </row>
    <row r="3044">
      <c r="A3044" s="25">
        <v>43395.37801748843</v>
      </c>
      <c r="B3044" s="26" t="s">
        <v>409</v>
      </c>
      <c r="C3044" s="26" t="s">
        <v>2064</v>
      </c>
      <c r="D3044" s="26" t="s">
        <v>2065</v>
      </c>
      <c r="E3044" s="26">
        <v>90.0</v>
      </c>
      <c r="F3044" s="26" t="s">
        <v>1688</v>
      </c>
      <c r="G3044" s="26">
        <v>20.0</v>
      </c>
      <c r="H3044" s="26">
        <v>1.0</v>
      </c>
      <c r="I3044" s="26">
        <v>80.0</v>
      </c>
      <c r="K3044" s="26">
        <v>10.0</v>
      </c>
      <c r="N3044" s="26" t="s">
        <v>685</v>
      </c>
    </row>
    <row r="3045">
      <c r="A3045" s="25">
        <v>43395.4407041088</v>
      </c>
      <c r="B3045" s="26" t="s">
        <v>2066</v>
      </c>
      <c r="C3045" s="26" t="s">
        <v>713</v>
      </c>
      <c r="D3045" s="26" t="s">
        <v>713</v>
      </c>
      <c r="E3045" s="26">
        <v>156.0</v>
      </c>
      <c r="F3045" s="26" t="s">
        <v>2067</v>
      </c>
      <c r="G3045" s="26">
        <v>16.0</v>
      </c>
      <c r="H3045" s="26">
        <v>5.0</v>
      </c>
      <c r="I3045" s="26">
        <v>154.0</v>
      </c>
      <c r="K3045" s="26">
        <v>2.0</v>
      </c>
      <c r="N3045" s="26" t="s">
        <v>2068</v>
      </c>
    </row>
    <row r="3046">
      <c r="A3046" s="25">
        <v>43395.456178900466</v>
      </c>
      <c r="B3046" s="26" t="s">
        <v>33</v>
      </c>
      <c r="C3046" s="26" t="s">
        <v>62</v>
      </c>
      <c r="D3046" s="26" t="s">
        <v>1218</v>
      </c>
      <c r="E3046" s="26">
        <v>325.0</v>
      </c>
      <c r="F3046" s="26" t="s">
        <v>35</v>
      </c>
      <c r="G3046" s="26">
        <v>7.0</v>
      </c>
      <c r="H3046" s="26">
        <v>0.0</v>
      </c>
      <c r="I3046" s="26">
        <v>160000.0</v>
      </c>
      <c r="N3046" s="26" t="s">
        <v>757</v>
      </c>
    </row>
    <row r="3047">
      <c r="A3047" s="25">
        <v>43395.58476021991</v>
      </c>
      <c r="B3047" s="26" t="s">
        <v>40</v>
      </c>
      <c r="C3047" s="26">
        <v>60.0</v>
      </c>
      <c r="D3047" s="26" t="s">
        <v>31</v>
      </c>
      <c r="E3047" s="26">
        <v>170.0</v>
      </c>
      <c r="F3047" s="26" t="s">
        <v>75</v>
      </c>
      <c r="G3047" s="26">
        <v>5.0</v>
      </c>
      <c r="H3047" s="26">
        <v>2.0</v>
      </c>
      <c r="I3047" s="26">
        <v>120.0</v>
      </c>
      <c r="J3047" s="26">
        <v>40.0</v>
      </c>
      <c r="K3047" s="26">
        <v>10.0</v>
      </c>
      <c r="N3047" s="26" t="s">
        <v>683</v>
      </c>
    </row>
    <row r="3048">
      <c r="A3048" s="25">
        <v>43395.60114219907</v>
      </c>
      <c r="B3048" s="26" t="s">
        <v>45</v>
      </c>
      <c r="C3048" s="26" t="s">
        <v>116</v>
      </c>
      <c r="D3048" s="26" t="s">
        <v>31</v>
      </c>
      <c r="E3048" s="26">
        <v>350.0</v>
      </c>
      <c r="F3048" s="26" t="s">
        <v>32</v>
      </c>
      <c r="G3048" s="26">
        <v>20.0</v>
      </c>
      <c r="H3048" s="26">
        <v>2.0</v>
      </c>
      <c r="I3048" s="26">
        <v>205.0</v>
      </c>
      <c r="J3048" s="26">
        <v>125.0</v>
      </c>
      <c r="K3048" s="26">
        <v>25.0</v>
      </c>
      <c r="N3048" s="26" t="s">
        <v>699</v>
      </c>
    </row>
    <row r="3049">
      <c r="A3049" s="25">
        <v>43395.617051863424</v>
      </c>
      <c r="B3049" s="26" t="s">
        <v>80</v>
      </c>
      <c r="C3049" s="26" t="s">
        <v>93</v>
      </c>
      <c r="D3049" s="26" t="s">
        <v>31</v>
      </c>
      <c r="E3049" s="26">
        <v>450.0</v>
      </c>
      <c r="F3049" s="26" t="s">
        <v>1818</v>
      </c>
      <c r="G3049" s="26">
        <v>12.0</v>
      </c>
      <c r="H3049" s="26">
        <v>7.0</v>
      </c>
      <c r="I3049" s="26">
        <v>220.0</v>
      </c>
      <c r="J3049" s="26">
        <v>180.0</v>
      </c>
      <c r="K3049" s="26">
        <v>50.0</v>
      </c>
      <c r="N3049" s="26" t="s">
        <v>683</v>
      </c>
    </row>
    <row r="3050">
      <c r="A3050" s="25">
        <v>43395.72666627315</v>
      </c>
      <c r="B3050" s="26" t="s">
        <v>33</v>
      </c>
      <c r="C3050" s="26">
        <v>6.0</v>
      </c>
      <c r="D3050" s="26" t="s">
        <v>41</v>
      </c>
      <c r="E3050" s="26">
        <v>260.0</v>
      </c>
      <c r="F3050" s="26" t="s">
        <v>63</v>
      </c>
      <c r="G3050" s="26">
        <v>19.0</v>
      </c>
      <c r="H3050" s="26">
        <v>1.0</v>
      </c>
      <c r="I3050" s="26">
        <v>155.0</v>
      </c>
      <c r="J3050" s="26">
        <v>105.0</v>
      </c>
      <c r="N3050" s="26" t="s">
        <v>757</v>
      </c>
    </row>
    <row r="3051">
      <c r="A3051" s="25">
        <v>43395.79061601852</v>
      </c>
      <c r="B3051" s="26" t="s">
        <v>40</v>
      </c>
      <c r="C3051" s="26">
        <v>64.0</v>
      </c>
      <c r="D3051" s="26" t="s">
        <v>31</v>
      </c>
      <c r="E3051" s="26">
        <v>230.0</v>
      </c>
      <c r="F3051" s="26" t="s">
        <v>75</v>
      </c>
      <c r="G3051" s="26">
        <v>10.0</v>
      </c>
      <c r="H3051" s="26">
        <v>3.0</v>
      </c>
      <c r="I3051" s="26">
        <v>170.0</v>
      </c>
      <c r="J3051" s="26">
        <v>24.0</v>
      </c>
      <c r="K3051" s="26">
        <v>36.0</v>
      </c>
      <c r="N3051" s="26" t="s">
        <v>683</v>
      </c>
    </row>
    <row r="3052">
      <c r="A3052" s="25">
        <v>43395.837394664355</v>
      </c>
      <c r="B3052" s="26" t="s">
        <v>1196</v>
      </c>
      <c r="C3052" s="26">
        <v>67.0</v>
      </c>
      <c r="D3052" s="26" t="s">
        <v>41</v>
      </c>
      <c r="E3052" s="26">
        <v>466.0</v>
      </c>
      <c r="F3052" s="26" t="s">
        <v>52</v>
      </c>
      <c r="G3052" s="26">
        <v>11.0</v>
      </c>
      <c r="H3052" s="26">
        <v>11.0</v>
      </c>
      <c r="I3052" s="26">
        <v>201.0</v>
      </c>
      <c r="J3052" s="26">
        <v>200.0</v>
      </c>
      <c r="K3052" s="26">
        <v>65.0</v>
      </c>
      <c r="N3052" s="26" t="s">
        <v>685</v>
      </c>
    </row>
    <row r="3053">
      <c r="A3053" s="25">
        <v>43395.86324697916</v>
      </c>
      <c r="B3053" s="26" t="s">
        <v>48</v>
      </c>
      <c r="C3053" s="26" t="s">
        <v>70</v>
      </c>
      <c r="D3053" s="26" t="s">
        <v>31</v>
      </c>
      <c r="E3053" s="26">
        <v>600.0</v>
      </c>
      <c r="F3053" s="26" t="s">
        <v>32</v>
      </c>
      <c r="G3053" s="26">
        <v>10.0</v>
      </c>
      <c r="H3053" s="26">
        <v>1.0</v>
      </c>
      <c r="N3053" s="26" t="s">
        <v>691</v>
      </c>
    </row>
    <row r="3054">
      <c r="A3054" s="25">
        <v>43395.87168193287</v>
      </c>
      <c r="B3054" s="26" t="s">
        <v>40</v>
      </c>
      <c r="C3054" s="26" t="s">
        <v>824</v>
      </c>
      <c r="D3054" s="26" t="s">
        <v>31</v>
      </c>
      <c r="E3054" s="26">
        <v>164.0</v>
      </c>
      <c r="F3054" s="26" t="s">
        <v>75</v>
      </c>
      <c r="G3054" s="26">
        <v>0.0</v>
      </c>
      <c r="H3054" s="26">
        <v>0.0</v>
      </c>
      <c r="I3054" s="26">
        <v>109.0</v>
      </c>
      <c r="J3054" s="26">
        <v>30.0</v>
      </c>
      <c r="K3054" s="26">
        <v>22.0</v>
      </c>
      <c r="N3054" s="26" t="s">
        <v>683</v>
      </c>
    </row>
    <row r="3055">
      <c r="A3055" s="25">
        <v>43395.8735950463</v>
      </c>
      <c r="B3055" s="26" t="s">
        <v>188</v>
      </c>
      <c r="C3055" s="26" t="s">
        <v>49</v>
      </c>
      <c r="D3055" s="26" t="s">
        <v>31</v>
      </c>
      <c r="E3055" s="26">
        <v>417.0</v>
      </c>
      <c r="F3055" s="26" t="s">
        <v>63</v>
      </c>
      <c r="G3055" s="26">
        <v>3.0</v>
      </c>
      <c r="H3055" s="26">
        <v>1.0</v>
      </c>
      <c r="I3055" s="26">
        <v>190.0</v>
      </c>
      <c r="J3055" s="26">
        <v>187.0</v>
      </c>
      <c r="L3055" s="26" t="s">
        <v>2069</v>
      </c>
      <c r="N3055" s="26" t="s">
        <v>751</v>
      </c>
    </row>
    <row r="3056">
      <c r="A3056" s="25">
        <v>43395.901948391205</v>
      </c>
      <c r="B3056" s="26" t="s">
        <v>2070</v>
      </c>
      <c r="C3056" s="26">
        <v>3.0</v>
      </c>
      <c r="D3056" s="26" t="s">
        <v>2071</v>
      </c>
      <c r="E3056" s="26">
        <v>120.0</v>
      </c>
      <c r="F3056" s="26" t="s">
        <v>1072</v>
      </c>
      <c r="G3056" s="26">
        <v>10.0</v>
      </c>
      <c r="H3056" s="26">
        <v>1.0</v>
      </c>
      <c r="I3056" s="26">
        <v>120.0</v>
      </c>
      <c r="N3056" s="26" t="s">
        <v>1169</v>
      </c>
    </row>
    <row r="3057">
      <c r="A3057" s="25">
        <v>43395.91630783565</v>
      </c>
      <c r="B3057" s="26" t="s">
        <v>80</v>
      </c>
      <c r="C3057" s="26" t="s">
        <v>26</v>
      </c>
      <c r="D3057" s="26" t="s">
        <v>31</v>
      </c>
      <c r="E3057" s="26">
        <v>140.0</v>
      </c>
      <c r="F3057" s="26" t="s">
        <v>549</v>
      </c>
      <c r="G3057" s="26">
        <v>6.0</v>
      </c>
      <c r="H3057" s="26">
        <v>1.0</v>
      </c>
      <c r="I3057" s="26">
        <v>100.0</v>
      </c>
      <c r="J3057" s="26">
        <v>25.0</v>
      </c>
      <c r="K3057" s="26">
        <v>15.0</v>
      </c>
      <c r="N3057" s="26" t="s">
        <v>687</v>
      </c>
    </row>
    <row r="3058">
      <c r="A3058" s="25">
        <v>43395.97791383102</v>
      </c>
      <c r="B3058" s="26" t="s">
        <v>124</v>
      </c>
      <c r="C3058" s="26" t="s">
        <v>737</v>
      </c>
      <c r="D3058" s="26" t="s">
        <v>31</v>
      </c>
      <c r="E3058" s="26">
        <v>295.0</v>
      </c>
      <c r="F3058" s="26" t="s">
        <v>51</v>
      </c>
      <c r="G3058" s="26">
        <v>10.0</v>
      </c>
      <c r="H3058" s="26">
        <v>5.0</v>
      </c>
      <c r="I3058" s="26">
        <v>165.0</v>
      </c>
      <c r="J3058" s="26">
        <v>100.0</v>
      </c>
      <c r="K3058" s="26">
        <v>30.0</v>
      </c>
      <c r="N3058" s="26" t="s">
        <v>696</v>
      </c>
    </row>
    <row r="3059">
      <c r="A3059" s="25">
        <v>43396.02822626157</v>
      </c>
      <c r="B3059" s="26" t="s">
        <v>204</v>
      </c>
      <c r="C3059" s="26" t="s">
        <v>73</v>
      </c>
      <c r="D3059" s="26" t="s">
        <v>31</v>
      </c>
      <c r="E3059" s="26">
        <v>313.0</v>
      </c>
      <c r="F3059" s="26" t="s">
        <v>32</v>
      </c>
      <c r="G3059" s="26">
        <v>7.0</v>
      </c>
      <c r="H3059" s="26">
        <v>3.0</v>
      </c>
      <c r="I3059" s="26">
        <v>185.0</v>
      </c>
      <c r="J3059" s="26">
        <v>100.0</v>
      </c>
      <c r="K3059" s="26">
        <v>28.0</v>
      </c>
      <c r="N3059" s="26" t="s">
        <v>685</v>
      </c>
    </row>
    <row r="3060">
      <c r="A3060" s="25">
        <v>43396.08122152778</v>
      </c>
      <c r="B3060" s="26" t="s">
        <v>119</v>
      </c>
      <c r="C3060" s="26">
        <v>7.0</v>
      </c>
      <c r="D3060" s="26" t="s">
        <v>41</v>
      </c>
      <c r="E3060" s="26">
        <v>210.0</v>
      </c>
      <c r="F3060" s="26" t="s">
        <v>1074</v>
      </c>
      <c r="G3060" s="26">
        <v>12.0</v>
      </c>
      <c r="H3060" s="26">
        <v>2.0</v>
      </c>
      <c r="I3060" s="26">
        <v>165.0</v>
      </c>
      <c r="J3060" s="26">
        <v>20.0</v>
      </c>
      <c r="K3060" s="26">
        <v>25.0</v>
      </c>
      <c r="N3060" s="26" t="s">
        <v>708</v>
      </c>
    </row>
    <row r="3061">
      <c r="A3061" s="25">
        <v>43396.136183449074</v>
      </c>
      <c r="B3061" s="26" t="s">
        <v>2072</v>
      </c>
      <c r="C3061" s="26" t="s">
        <v>1761</v>
      </c>
      <c r="D3061" s="26" t="s">
        <v>41</v>
      </c>
      <c r="E3061" s="26">
        <v>175.0</v>
      </c>
      <c r="F3061" s="26" t="s">
        <v>94</v>
      </c>
      <c r="G3061" s="26">
        <v>20.0</v>
      </c>
      <c r="H3061" s="26">
        <v>1.0</v>
      </c>
      <c r="N3061" s="26" t="s">
        <v>696</v>
      </c>
    </row>
    <row r="3062">
      <c r="A3062" s="25">
        <v>43396.28297701389</v>
      </c>
      <c r="B3062" s="26" t="s">
        <v>33</v>
      </c>
      <c r="C3062" s="26" t="s">
        <v>43</v>
      </c>
      <c r="D3062" s="26" t="s">
        <v>31</v>
      </c>
      <c r="E3062" s="26">
        <v>230.0</v>
      </c>
      <c r="F3062" s="26" t="s">
        <v>133</v>
      </c>
      <c r="G3062" s="26">
        <v>15.0</v>
      </c>
      <c r="H3062" s="26">
        <v>1.0</v>
      </c>
      <c r="I3062" s="26">
        <v>156.0</v>
      </c>
      <c r="J3062" s="26">
        <v>34.0</v>
      </c>
      <c r="K3062" s="26">
        <v>40.0</v>
      </c>
      <c r="N3062" s="26" t="s">
        <v>683</v>
      </c>
    </row>
    <row r="3063">
      <c r="A3063" s="25">
        <v>43396.484378912035</v>
      </c>
      <c r="B3063" s="26" t="s">
        <v>2073</v>
      </c>
      <c r="C3063" s="26">
        <v>3.0</v>
      </c>
      <c r="D3063" s="26" t="s">
        <v>31</v>
      </c>
      <c r="E3063" s="26">
        <v>140.0</v>
      </c>
      <c r="F3063" s="26" t="s">
        <v>32</v>
      </c>
      <c r="G3063" s="26">
        <v>6.0</v>
      </c>
      <c r="H3063" s="26">
        <v>6.0</v>
      </c>
      <c r="N3063" s="26" t="s">
        <v>683</v>
      </c>
    </row>
    <row r="3064">
      <c r="A3064" s="25">
        <v>43396.48534518518</v>
      </c>
      <c r="B3064" s="26" t="s">
        <v>2073</v>
      </c>
      <c r="C3064" s="26">
        <v>3.0</v>
      </c>
      <c r="D3064" s="26" t="s">
        <v>31</v>
      </c>
      <c r="E3064" s="26">
        <v>140.0</v>
      </c>
      <c r="F3064" s="26" t="s">
        <v>32</v>
      </c>
      <c r="G3064" s="26">
        <v>6.0</v>
      </c>
      <c r="H3064" s="26">
        <v>4.0</v>
      </c>
      <c r="N3064" s="26" t="s">
        <v>683</v>
      </c>
    </row>
    <row r="3065">
      <c r="A3065" s="25">
        <v>43396.49222155093</v>
      </c>
      <c r="B3065" s="26" t="s">
        <v>170</v>
      </c>
      <c r="C3065" s="26" t="s">
        <v>424</v>
      </c>
      <c r="D3065" s="26" t="s">
        <v>31</v>
      </c>
      <c r="E3065" s="26">
        <v>120.0</v>
      </c>
      <c r="F3065" s="26" t="s">
        <v>478</v>
      </c>
      <c r="G3065" s="26">
        <v>11.0</v>
      </c>
      <c r="H3065" s="26">
        <v>11.0</v>
      </c>
      <c r="I3065" s="26">
        <v>102.0</v>
      </c>
      <c r="J3065" s="26">
        <v>10.0</v>
      </c>
      <c r="K3065" s="26">
        <v>8.0</v>
      </c>
      <c r="N3065" s="26" t="s">
        <v>2074</v>
      </c>
    </row>
    <row r="3066">
      <c r="A3066" s="25">
        <v>43396.49360137731</v>
      </c>
      <c r="B3066" s="26" t="s">
        <v>170</v>
      </c>
      <c r="C3066" s="26" t="s">
        <v>424</v>
      </c>
      <c r="D3066" s="26" t="s">
        <v>31</v>
      </c>
      <c r="E3066" s="26">
        <v>120.0</v>
      </c>
      <c r="F3066" s="26" t="s">
        <v>478</v>
      </c>
      <c r="G3066" s="26">
        <v>11.0</v>
      </c>
      <c r="H3066" s="26">
        <v>11.0</v>
      </c>
      <c r="I3066" s="26">
        <v>102.0</v>
      </c>
      <c r="J3066" s="26">
        <v>10.0</v>
      </c>
      <c r="K3066" s="26">
        <v>8.0</v>
      </c>
      <c r="N3066" s="26" t="s">
        <v>2074</v>
      </c>
    </row>
    <row r="3067">
      <c r="A3067" s="25">
        <v>43396.50842913194</v>
      </c>
      <c r="B3067" s="26" t="s">
        <v>48</v>
      </c>
      <c r="C3067" s="26" t="s">
        <v>69</v>
      </c>
      <c r="D3067" s="26" t="s">
        <v>31</v>
      </c>
      <c r="E3067" s="26">
        <v>158.0</v>
      </c>
      <c r="F3067" s="26" t="s">
        <v>35</v>
      </c>
      <c r="G3067" s="26">
        <v>0.0</v>
      </c>
      <c r="H3067" s="26">
        <v>0.0</v>
      </c>
      <c r="I3067" s="26">
        <v>110.0</v>
      </c>
      <c r="J3067" s="26">
        <v>37.0</v>
      </c>
      <c r="K3067" s="26">
        <v>11.0</v>
      </c>
      <c r="N3067" s="26" t="s">
        <v>683</v>
      </c>
    </row>
    <row r="3068">
      <c r="A3068" s="25">
        <v>43396.5693509375</v>
      </c>
      <c r="B3068" s="26" t="s">
        <v>40</v>
      </c>
      <c r="C3068" s="26">
        <v>64.0</v>
      </c>
      <c r="D3068" s="26" t="s">
        <v>31</v>
      </c>
      <c r="E3068" s="26">
        <v>200.0</v>
      </c>
      <c r="F3068" s="26" t="s">
        <v>86</v>
      </c>
      <c r="G3068" s="26">
        <v>14.0</v>
      </c>
      <c r="H3068" s="26">
        <v>13.0</v>
      </c>
      <c r="I3068" s="26">
        <v>160.0</v>
      </c>
      <c r="J3068" s="26">
        <v>20.0</v>
      </c>
      <c r="K3068" s="26">
        <v>20.0</v>
      </c>
      <c r="N3068" s="26" t="s">
        <v>685</v>
      </c>
    </row>
    <row r="3069">
      <c r="A3069" s="25">
        <v>43396.57206503472</v>
      </c>
      <c r="B3069" s="26" t="s">
        <v>45</v>
      </c>
      <c r="C3069" s="26" t="s">
        <v>116</v>
      </c>
      <c r="D3069" s="26" t="s">
        <v>31</v>
      </c>
      <c r="E3069" s="26">
        <v>273.0</v>
      </c>
      <c r="F3069" s="26" t="s">
        <v>104</v>
      </c>
      <c r="G3069" s="26">
        <v>14.0</v>
      </c>
      <c r="H3069" s="26">
        <v>1.0</v>
      </c>
      <c r="I3069" s="26">
        <v>190.0</v>
      </c>
      <c r="J3069" s="26">
        <v>62.0</v>
      </c>
      <c r="K3069" s="26">
        <v>21.0</v>
      </c>
      <c r="N3069" s="26" t="s">
        <v>699</v>
      </c>
    </row>
    <row r="3070">
      <c r="A3070" s="25">
        <v>43396.576700335645</v>
      </c>
      <c r="B3070" s="26" t="s">
        <v>1489</v>
      </c>
      <c r="C3070" s="26" t="s">
        <v>1348</v>
      </c>
      <c r="D3070" s="26" t="s">
        <v>711</v>
      </c>
      <c r="E3070" s="26">
        <v>135.0</v>
      </c>
      <c r="F3070" s="26" t="s">
        <v>94</v>
      </c>
      <c r="G3070" s="26">
        <v>3.0</v>
      </c>
      <c r="H3070" s="26">
        <v>2.0</v>
      </c>
      <c r="N3070" s="26" t="s">
        <v>691</v>
      </c>
    </row>
    <row r="3071">
      <c r="A3071" s="25">
        <v>43396.62945700232</v>
      </c>
      <c r="B3071" s="26" t="s">
        <v>33</v>
      </c>
      <c r="C3071" s="26" t="s">
        <v>43</v>
      </c>
      <c r="D3071" s="26" t="s">
        <v>711</v>
      </c>
      <c r="E3071" s="26">
        <v>228.0</v>
      </c>
      <c r="F3071" s="26" t="s">
        <v>35</v>
      </c>
      <c r="G3071" s="26">
        <v>5.0</v>
      </c>
      <c r="H3071" s="26">
        <v>5.0</v>
      </c>
      <c r="I3071" s="26">
        <v>127.0</v>
      </c>
      <c r="J3071" s="26">
        <v>101.0</v>
      </c>
      <c r="N3071" s="26" t="s">
        <v>1786</v>
      </c>
    </row>
    <row r="3072">
      <c r="A3072" s="25">
        <v>43396.65690456019</v>
      </c>
      <c r="B3072" s="26" t="s">
        <v>40</v>
      </c>
      <c r="C3072" s="26">
        <v>65.0</v>
      </c>
      <c r="D3072" s="26" t="s">
        <v>27</v>
      </c>
      <c r="E3072" s="26">
        <v>270.0</v>
      </c>
      <c r="F3072" s="26" t="s">
        <v>75</v>
      </c>
      <c r="G3072" s="26">
        <v>9.0</v>
      </c>
      <c r="H3072" s="26">
        <v>9.0</v>
      </c>
      <c r="I3072" s="26">
        <v>185.0</v>
      </c>
      <c r="J3072" s="26">
        <v>45.0</v>
      </c>
      <c r="K3072" s="26">
        <v>40.0</v>
      </c>
      <c r="N3072" s="26" t="s">
        <v>685</v>
      </c>
    </row>
    <row r="3073">
      <c r="A3073" s="25">
        <v>43396.73038061343</v>
      </c>
      <c r="B3073" s="26" t="s">
        <v>2075</v>
      </c>
      <c r="C3073" s="26" t="s">
        <v>1395</v>
      </c>
      <c r="D3073" s="26" t="s">
        <v>711</v>
      </c>
      <c r="E3073" s="26">
        <v>100.0</v>
      </c>
      <c r="F3073" s="26" t="s">
        <v>2076</v>
      </c>
      <c r="G3073" s="26">
        <v>4.0</v>
      </c>
      <c r="H3073" s="26">
        <v>1.0</v>
      </c>
      <c r="I3073" s="26">
        <v>100.0</v>
      </c>
      <c r="N3073" s="26" t="s">
        <v>691</v>
      </c>
    </row>
    <row r="3074">
      <c r="A3074" s="25">
        <v>43396.75102846065</v>
      </c>
      <c r="B3074" s="26" t="s">
        <v>40</v>
      </c>
      <c r="C3074" s="26">
        <v>61.0</v>
      </c>
      <c r="D3074" s="26" t="s">
        <v>31</v>
      </c>
      <c r="E3074" s="26">
        <v>162.0</v>
      </c>
      <c r="F3074" s="26" t="s">
        <v>56</v>
      </c>
      <c r="G3074" s="26">
        <v>2.0</v>
      </c>
      <c r="H3074" s="26">
        <v>2.0</v>
      </c>
      <c r="I3074" s="26">
        <v>127.0</v>
      </c>
      <c r="J3074" s="26">
        <v>10.0</v>
      </c>
      <c r="K3074" s="26">
        <v>25.0</v>
      </c>
      <c r="N3074" s="26" t="s">
        <v>683</v>
      </c>
    </row>
    <row r="3075">
      <c r="A3075" s="25">
        <v>43396.82794511574</v>
      </c>
      <c r="B3075" s="26" t="s">
        <v>802</v>
      </c>
      <c r="C3075" s="26" t="s">
        <v>73</v>
      </c>
      <c r="D3075" s="26" t="s">
        <v>31</v>
      </c>
      <c r="E3075" s="26">
        <v>143.0</v>
      </c>
      <c r="F3075" s="26" t="s">
        <v>63</v>
      </c>
      <c r="G3075" s="26">
        <v>4.0</v>
      </c>
      <c r="H3075" s="26">
        <v>0.0</v>
      </c>
      <c r="I3075" s="26">
        <v>130.0</v>
      </c>
      <c r="K3075" s="26">
        <v>13.0</v>
      </c>
      <c r="N3075" s="26" t="s">
        <v>683</v>
      </c>
    </row>
    <row r="3076">
      <c r="A3076" s="25">
        <v>43396.85497429398</v>
      </c>
      <c r="B3076" s="26" t="s">
        <v>80</v>
      </c>
      <c r="C3076" s="26" t="s">
        <v>43</v>
      </c>
      <c r="D3076" s="26" t="s">
        <v>2077</v>
      </c>
      <c r="E3076" s="26">
        <v>250.0</v>
      </c>
      <c r="F3076" s="26" t="s">
        <v>51</v>
      </c>
      <c r="G3076" s="26">
        <v>8.0</v>
      </c>
      <c r="H3076" s="26">
        <v>2.0</v>
      </c>
      <c r="I3076" s="26">
        <v>160.0</v>
      </c>
      <c r="J3076" s="26">
        <v>60.0</v>
      </c>
      <c r="K3076" s="26">
        <v>30.0</v>
      </c>
      <c r="N3076" s="26" t="s">
        <v>726</v>
      </c>
    </row>
    <row r="3077">
      <c r="A3077" s="25">
        <v>43396.8683691551</v>
      </c>
      <c r="B3077" s="26" t="s">
        <v>48</v>
      </c>
      <c r="C3077" s="26" t="s">
        <v>70</v>
      </c>
      <c r="D3077" s="26" t="s">
        <v>31</v>
      </c>
      <c r="E3077" s="26">
        <v>600.0</v>
      </c>
      <c r="F3077" s="26" t="s">
        <v>35</v>
      </c>
      <c r="G3077" s="26">
        <v>12.0</v>
      </c>
      <c r="H3077" s="26">
        <v>4.0</v>
      </c>
      <c r="N3077" s="26" t="s">
        <v>687</v>
      </c>
    </row>
    <row r="3078">
      <c r="A3078" s="25">
        <v>43396.92020736111</v>
      </c>
      <c r="B3078" s="26" t="s">
        <v>523</v>
      </c>
      <c r="C3078" s="26" t="s">
        <v>37</v>
      </c>
      <c r="D3078" s="26" t="s">
        <v>31</v>
      </c>
      <c r="E3078" s="26">
        <v>200.0</v>
      </c>
      <c r="F3078" s="26" t="s">
        <v>94</v>
      </c>
      <c r="G3078" s="26">
        <v>2.0</v>
      </c>
      <c r="H3078" s="26">
        <v>0.0</v>
      </c>
      <c r="I3078" s="26">
        <v>170.0</v>
      </c>
      <c r="K3078" s="26">
        <v>30.0</v>
      </c>
      <c r="L3078" s="26" t="s">
        <v>2078</v>
      </c>
      <c r="N3078" s="26" t="s">
        <v>704</v>
      </c>
    </row>
    <row r="3079">
      <c r="A3079" s="25">
        <v>43396.963686006944</v>
      </c>
      <c r="B3079" s="26" t="s">
        <v>36</v>
      </c>
      <c r="C3079" s="26" t="s">
        <v>610</v>
      </c>
      <c r="D3079" s="26" t="s">
        <v>31</v>
      </c>
      <c r="E3079" s="26">
        <v>221.0</v>
      </c>
      <c r="F3079" s="26" t="s">
        <v>32</v>
      </c>
      <c r="G3079" s="26">
        <v>3.0</v>
      </c>
      <c r="H3079" s="26">
        <v>3.0</v>
      </c>
      <c r="I3079" s="26">
        <v>145.0</v>
      </c>
      <c r="J3079" s="26">
        <v>60.0</v>
      </c>
      <c r="K3079" s="26">
        <v>15.0</v>
      </c>
      <c r="N3079" s="26" t="s">
        <v>683</v>
      </c>
    </row>
    <row r="3080">
      <c r="A3080" s="25">
        <v>43396.98685789352</v>
      </c>
      <c r="B3080" s="26" t="s">
        <v>64</v>
      </c>
      <c r="C3080" s="26" t="s">
        <v>647</v>
      </c>
      <c r="D3080" s="26" t="s">
        <v>31</v>
      </c>
      <c r="E3080" s="26">
        <v>165.0</v>
      </c>
      <c r="F3080" s="26" t="s">
        <v>175</v>
      </c>
      <c r="G3080" s="26">
        <v>2.0</v>
      </c>
      <c r="H3080" s="26">
        <v>2.0</v>
      </c>
      <c r="I3080" s="26">
        <v>125.0</v>
      </c>
      <c r="J3080" s="26">
        <v>20.0</v>
      </c>
      <c r="K3080" s="26">
        <v>20.0</v>
      </c>
      <c r="N3080" s="26" t="s">
        <v>685</v>
      </c>
    </row>
    <row r="3081">
      <c r="A3081" s="25">
        <v>43397.18212913194</v>
      </c>
      <c r="B3081" s="26" t="s">
        <v>2079</v>
      </c>
      <c r="C3081" s="26" t="s">
        <v>125</v>
      </c>
      <c r="D3081" s="26" t="s">
        <v>1225</v>
      </c>
      <c r="E3081" s="26">
        <v>103.0</v>
      </c>
      <c r="F3081" s="26" t="s">
        <v>161</v>
      </c>
      <c r="G3081" s="26">
        <v>4.0</v>
      </c>
      <c r="H3081" s="26">
        <v>1.0</v>
      </c>
      <c r="I3081" s="26">
        <v>90.0</v>
      </c>
      <c r="J3081" s="26">
        <v>13.0</v>
      </c>
      <c r="N3081" s="26" t="s">
        <v>2080</v>
      </c>
    </row>
    <row r="3082">
      <c r="A3082" s="25">
        <v>43397.34578076389</v>
      </c>
      <c r="B3082" s="26" t="s">
        <v>426</v>
      </c>
      <c r="C3082" s="26" t="s">
        <v>588</v>
      </c>
      <c r="D3082" s="26" t="s">
        <v>31</v>
      </c>
      <c r="E3082" s="26">
        <v>80.0</v>
      </c>
      <c r="F3082" s="26" t="s">
        <v>678</v>
      </c>
      <c r="G3082" s="26">
        <v>0.0</v>
      </c>
      <c r="H3082" s="26">
        <v>0.0</v>
      </c>
      <c r="I3082" s="26">
        <v>65.0</v>
      </c>
      <c r="K3082" s="26">
        <v>15.0</v>
      </c>
      <c r="N3082" s="26" t="s">
        <v>683</v>
      </c>
    </row>
    <row r="3083">
      <c r="A3083" s="25">
        <v>43397.411036550926</v>
      </c>
      <c r="B3083" s="26" t="s">
        <v>428</v>
      </c>
      <c r="C3083" s="26">
        <v>5.0</v>
      </c>
      <c r="D3083" s="26" t="s">
        <v>1225</v>
      </c>
      <c r="E3083" s="26">
        <v>330.0</v>
      </c>
      <c r="F3083" s="26" t="s">
        <v>32</v>
      </c>
      <c r="G3083" s="26">
        <v>7.0</v>
      </c>
      <c r="H3083" s="26">
        <v>2.0</v>
      </c>
      <c r="I3083" s="26">
        <v>150.0</v>
      </c>
      <c r="J3083" s="26">
        <v>150.0</v>
      </c>
      <c r="N3083" s="26" t="s">
        <v>2081</v>
      </c>
    </row>
    <row r="3084">
      <c r="A3084" s="25">
        <v>43397.43549668981</v>
      </c>
      <c r="B3084" s="26" t="s">
        <v>574</v>
      </c>
      <c r="C3084" s="26" t="s">
        <v>37</v>
      </c>
      <c r="D3084" s="26" t="s">
        <v>2082</v>
      </c>
      <c r="E3084" s="26">
        <v>104.0</v>
      </c>
      <c r="F3084" s="26" t="s">
        <v>575</v>
      </c>
      <c r="G3084" s="26">
        <v>4.0</v>
      </c>
      <c r="H3084" s="26">
        <v>1.0</v>
      </c>
      <c r="I3084" s="26">
        <v>104.0</v>
      </c>
      <c r="L3084" s="26" t="s">
        <v>2083</v>
      </c>
      <c r="N3084" s="26" t="s">
        <v>687</v>
      </c>
    </row>
    <row r="3085">
      <c r="A3085" s="25">
        <v>43397.44439770833</v>
      </c>
      <c r="B3085" s="26" t="s">
        <v>80</v>
      </c>
      <c r="C3085" s="26" t="s">
        <v>179</v>
      </c>
      <c r="D3085" s="26" t="s">
        <v>31</v>
      </c>
      <c r="E3085" s="26">
        <v>110.0</v>
      </c>
      <c r="F3085" s="26" t="s">
        <v>100</v>
      </c>
      <c r="G3085" s="26">
        <v>1.0</v>
      </c>
      <c r="H3085" s="26">
        <v>0.0</v>
      </c>
      <c r="N3085" s="26" t="s">
        <v>683</v>
      </c>
    </row>
    <row r="3086">
      <c r="A3086" s="25">
        <v>43397.50043438657</v>
      </c>
      <c r="B3086" s="26" t="s">
        <v>2084</v>
      </c>
      <c r="C3086" s="26" t="s">
        <v>26</v>
      </c>
      <c r="D3086" s="26" t="s">
        <v>31</v>
      </c>
      <c r="E3086" s="26">
        <v>205.0</v>
      </c>
      <c r="F3086" s="26" t="s">
        <v>32</v>
      </c>
      <c r="G3086" s="26">
        <v>2.0</v>
      </c>
      <c r="H3086" s="26">
        <v>2.0</v>
      </c>
      <c r="I3086" s="26">
        <v>120.0</v>
      </c>
      <c r="J3086" s="26">
        <v>60.0</v>
      </c>
      <c r="K3086" s="26">
        <v>25.0</v>
      </c>
      <c r="N3086" s="26" t="s">
        <v>751</v>
      </c>
    </row>
    <row r="3087">
      <c r="A3087" s="25">
        <v>43397.56108284723</v>
      </c>
      <c r="B3087" s="26" t="s">
        <v>319</v>
      </c>
      <c r="C3087" s="26">
        <v>6.0</v>
      </c>
      <c r="D3087" s="26" t="s">
        <v>31</v>
      </c>
      <c r="E3087" s="26">
        <v>89.0</v>
      </c>
      <c r="F3087" s="26" t="s">
        <v>2085</v>
      </c>
      <c r="G3087" s="26">
        <v>2.0</v>
      </c>
      <c r="H3087" s="26">
        <v>2.0</v>
      </c>
      <c r="N3087" s="26" t="s">
        <v>728</v>
      </c>
    </row>
    <row r="3088">
      <c r="A3088" s="25">
        <v>43397.57218336806</v>
      </c>
      <c r="B3088" s="26" t="s">
        <v>36</v>
      </c>
      <c r="C3088" s="26" t="s">
        <v>2086</v>
      </c>
      <c r="D3088" s="26" t="s">
        <v>27</v>
      </c>
      <c r="E3088" s="26">
        <v>490.0</v>
      </c>
      <c r="F3088" s="26" t="s">
        <v>58</v>
      </c>
      <c r="G3088" s="26">
        <v>10.0</v>
      </c>
      <c r="H3088" s="26">
        <v>1.0</v>
      </c>
      <c r="I3088" s="26">
        <v>200.0</v>
      </c>
      <c r="J3088" s="26">
        <v>250.0</v>
      </c>
      <c r="K3088" s="26">
        <v>40.0</v>
      </c>
      <c r="N3088" s="26" t="s">
        <v>691</v>
      </c>
    </row>
    <row r="3089">
      <c r="A3089" s="25">
        <v>43397.6414539699</v>
      </c>
      <c r="B3089" s="26" t="s">
        <v>45</v>
      </c>
      <c r="C3089" s="26" t="s">
        <v>116</v>
      </c>
      <c r="D3089" s="26" t="s">
        <v>31</v>
      </c>
      <c r="E3089" s="26">
        <v>275.0</v>
      </c>
      <c r="F3089" s="26" t="s">
        <v>92</v>
      </c>
      <c r="G3089" s="26">
        <v>6.0</v>
      </c>
      <c r="H3089" s="26">
        <v>3.0</v>
      </c>
      <c r="I3089" s="26">
        <v>185.0</v>
      </c>
      <c r="J3089" s="26">
        <v>70.0</v>
      </c>
      <c r="K3089" s="26">
        <v>20.0</v>
      </c>
      <c r="N3089" s="26" t="s">
        <v>699</v>
      </c>
    </row>
    <row r="3090">
      <c r="A3090" s="25">
        <v>43397.68274907407</v>
      </c>
      <c r="B3090" s="26" t="s">
        <v>139</v>
      </c>
      <c r="C3090" s="26" t="s">
        <v>113</v>
      </c>
      <c r="D3090" s="26" t="s">
        <v>31</v>
      </c>
      <c r="E3090" s="26">
        <v>235.0</v>
      </c>
      <c r="F3090" s="26" t="s">
        <v>134</v>
      </c>
      <c r="G3090" s="26">
        <v>10.0</v>
      </c>
      <c r="H3090" s="26">
        <v>10.0</v>
      </c>
      <c r="I3090" s="26">
        <v>162.0</v>
      </c>
      <c r="J3090" s="26">
        <v>43.0</v>
      </c>
      <c r="K3090" s="26">
        <v>30.0</v>
      </c>
      <c r="N3090" s="26" t="s">
        <v>685</v>
      </c>
    </row>
    <row r="3091">
      <c r="A3091" s="25">
        <v>43397.71530287037</v>
      </c>
      <c r="B3091" s="26" t="s">
        <v>2087</v>
      </c>
      <c r="C3091" s="26">
        <v>67.0</v>
      </c>
      <c r="D3091" s="26" t="s">
        <v>41</v>
      </c>
      <c r="E3091" s="26">
        <v>525.0</v>
      </c>
      <c r="F3091" s="26" t="s">
        <v>302</v>
      </c>
      <c r="G3091" s="26">
        <v>20.0</v>
      </c>
      <c r="H3091" s="26">
        <v>5.0</v>
      </c>
      <c r="I3091" s="26">
        <v>245.0</v>
      </c>
      <c r="J3091" s="26">
        <v>200.0</v>
      </c>
      <c r="K3091" s="26">
        <v>80.0</v>
      </c>
      <c r="N3091" s="26" t="s">
        <v>691</v>
      </c>
    </row>
    <row r="3092">
      <c r="A3092" s="25">
        <v>43397.789952974534</v>
      </c>
      <c r="B3092" s="26" t="s">
        <v>119</v>
      </c>
      <c r="C3092" s="26" t="s">
        <v>120</v>
      </c>
      <c r="D3092" s="26" t="s">
        <v>31</v>
      </c>
      <c r="E3092" s="26">
        <v>263.0</v>
      </c>
      <c r="F3092" s="26" t="s">
        <v>32</v>
      </c>
      <c r="G3092" s="26">
        <v>6.0</v>
      </c>
      <c r="H3092" s="26">
        <v>6.0</v>
      </c>
      <c r="I3092" s="26">
        <v>190.0</v>
      </c>
      <c r="J3092" s="26">
        <v>44.0</v>
      </c>
      <c r="K3092" s="26">
        <v>29.0</v>
      </c>
      <c r="N3092" s="26" t="s">
        <v>683</v>
      </c>
    </row>
    <row r="3093">
      <c r="A3093" s="25">
        <v>43397.86718592593</v>
      </c>
      <c r="B3093" s="26" t="s">
        <v>170</v>
      </c>
      <c r="C3093" s="26" t="s">
        <v>1326</v>
      </c>
      <c r="D3093" s="26" t="s">
        <v>2088</v>
      </c>
      <c r="E3093" s="26">
        <v>250.0</v>
      </c>
      <c r="F3093" s="26" t="s">
        <v>453</v>
      </c>
      <c r="G3093" s="26">
        <v>12.0</v>
      </c>
      <c r="H3093" s="26">
        <v>2.0</v>
      </c>
      <c r="I3093" s="26">
        <v>175.0</v>
      </c>
      <c r="J3093" s="26">
        <v>30.0</v>
      </c>
      <c r="K3093" s="26">
        <v>40.0</v>
      </c>
      <c r="N3093" s="26" t="s">
        <v>2089</v>
      </c>
    </row>
    <row r="3094">
      <c r="A3094" s="25">
        <v>43397.88920388889</v>
      </c>
      <c r="B3094" s="26" t="s">
        <v>80</v>
      </c>
      <c r="C3094" s="26" t="s">
        <v>43</v>
      </c>
      <c r="D3094" s="26" t="s">
        <v>27</v>
      </c>
      <c r="E3094" s="26">
        <v>300.0</v>
      </c>
      <c r="F3094" s="26" t="s">
        <v>51</v>
      </c>
      <c r="G3094" s="26">
        <v>14.0</v>
      </c>
      <c r="H3094" s="26">
        <v>1.0</v>
      </c>
      <c r="I3094" s="26">
        <v>170.0</v>
      </c>
      <c r="J3094" s="26">
        <v>105.0</v>
      </c>
      <c r="K3094" s="26">
        <v>25.0</v>
      </c>
      <c r="N3094" s="26" t="s">
        <v>696</v>
      </c>
    </row>
    <row r="3095">
      <c r="A3095" s="25">
        <v>43397.96100957176</v>
      </c>
      <c r="B3095" s="26" t="s">
        <v>40</v>
      </c>
      <c r="C3095" s="26">
        <v>59.0</v>
      </c>
      <c r="D3095" s="26" t="s">
        <v>31</v>
      </c>
      <c r="E3095" s="26">
        <v>153.0</v>
      </c>
      <c r="F3095" s="26" t="s">
        <v>75</v>
      </c>
      <c r="G3095" s="26">
        <v>0.0</v>
      </c>
      <c r="H3095" s="26">
        <v>0.0</v>
      </c>
      <c r="I3095" s="26">
        <v>108.0</v>
      </c>
      <c r="J3095" s="26">
        <v>30.0</v>
      </c>
      <c r="K3095" s="26">
        <v>15.0</v>
      </c>
      <c r="N3095" s="26" t="s">
        <v>683</v>
      </c>
    </row>
    <row r="3096">
      <c r="A3096" s="25">
        <v>43397.97787386574</v>
      </c>
      <c r="B3096" s="26" t="s">
        <v>33</v>
      </c>
      <c r="C3096" s="26" t="s">
        <v>1061</v>
      </c>
      <c r="D3096" s="26" t="s">
        <v>41</v>
      </c>
      <c r="E3096" s="26">
        <v>275.0</v>
      </c>
      <c r="F3096" s="26" t="s">
        <v>35</v>
      </c>
      <c r="G3096" s="26">
        <v>18.0</v>
      </c>
      <c r="H3096" s="26">
        <v>1.0</v>
      </c>
      <c r="I3096" s="26">
        <v>160.0</v>
      </c>
      <c r="J3096" s="26">
        <v>100.0</v>
      </c>
      <c r="N3096" s="26" t="s">
        <v>683</v>
      </c>
    </row>
    <row r="3097">
      <c r="A3097" s="25">
        <v>43398.13033133102</v>
      </c>
      <c r="B3097" s="26" t="s">
        <v>538</v>
      </c>
      <c r="C3097" s="26" t="s">
        <v>861</v>
      </c>
      <c r="D3097" s="26" t="s">
        <v>31</v>
      </c>
      <c r="E3097" s="26">
        <v>31.0</v>
      </c>
      <c r="F3097" s="26" t="s">
        <v>539</v>
      </c>
      <c r="G3097" s="26">
        <v>5.0</v>
      </c>
      <c r="H3097" s="26">
        <v>2.0</v>
      </c>
      <c r="I3097" s="26">
        <v>27.0</v>
      </c>
      <c r="K3097" s="26">
        <v>4.0</v>
      </c>
      <c r="N3097" s="26" t="s">
        <v>685</v>
      </c>
    </row>
    <row r="3098">
      <c r="A3098" s="25">
        <v>43398.14089861111</v>
      </c>
      <c r="B3098" s="26" t="s">
        <v>538</v>
      </c>
      <c r="C3098" s="26" t="s">
        <v>804</v>
      </c>
      <c r="D3098" s="26" t="s">
        <v>31</v>
      </c>
      <c r="E3098" s="26">
        <v>79.0</v>
      </c>
      <c r="F3098" s="26" t="s">
        <v>681</v>
      </c>
      <c r="G3098" s="26">
        <v>6.0</v>
      </c>
      <c r="H3098" s="26">
        <v>2.0</v>
      </c>
      <c r="I3098" s="26">
        <v>42.0</v>
      </c>
      <c r="J3098" s="26">
        <v>30.0</v>
      </c>
      <c r="K3098" s="26">
        <v>7.0</v>
      </c>
      <c r="N3098" s="26" t="s">
        <v>685</v>
      </c>
    </row>
    <row r="3099">
      <c r="A3099" s="25">
        <v>43398.143528252316</v>
      </c>
      <c r="B3099" s="26" t="s">
        <v>538</v>
      </c>
      <c r="C3099" s="26" t="s">
        <v>680</v>
      </c>
      <c r="D3099" s="26" t="s">
        <v>31</v>
      </c>
      <c r="E3099" s="26">
        <v>53.0</v>
      </c>
      <c r="F3099" s="26" t="s">
        <v>681</v>
      </c>
      <c r="G3099" s="26">
        <v>5.0</v>
      </c>
      <c r="H3099" s="26">
        <v>2.0</v>
      </c>
      <c r="I3099" s="26">
        <v>33.0</v>
      </c>
      <c r="J3099" s="26">
        <v>15.0</v>
      </c>
      <c r="K3099" s="26">
        <v>5.0</v>
      </c>
      <c r="N3099" s="26" t="s">
        <v>685</v>
      </c>
    </row>
    <row r="3100">
      <c r="A3100" s="25">
        <v>43398.15081546296</v>
      </c>
      <c r="B3100" s="26" t="s">
        <v>538</v>
      </c>
      <c r="C3100" s="26" t="s">
        <v>847</v>
      </c>
      <c r="D3100" s="26" t="s">
        <v>31</v>
      </c>
      <c r="E3100" s="26">
        <v>20.0</v>
      </c>
      <c r="F3100" s="26" t="s">
        <v>681</v>
      </c>
      <c r="G3100" s="26">
        <v>1.0</v>
      </c>
      <c r="H3100" s="26">
        <v>1.0</v>
      </c>
      <c r="I3100" s="26">
        <v>18.0</v>
      </c>
      <c r="K3100" s="26">
        <v>2.0</v>
      </c>
      <c r="N3100" s="26" t="s">
        <v>685</v>
      </c>
    </row>
    <row r="3101">
      <c r="A3101" s="25">
        <v>43398.21584444444</v>
      </c>
      <c r="B3101" s="26" t="s">
        <v>463</v>
      </c>
      <c r="C3101" s="26" t="s">
        <v>73</v>
      </c>
      <c r="D3101" s="26" t="s">
        <v>31</v>
      </c>
      <c r="E3101" s="26">
        <v>205.0</v>
      </c>
      <c r="F3101" s="26" t="s">
        <v>453</v>
      </c>
      <c r="G3101" s="26">
        <v>9.0</v>
      </c>
      <c r="H3101" s="26">
        <v>2.0</v>
      </c>
      <c r="N3101" s="26" t="s">
        <v>685</v>
      </c>
    </row>
    <row r="3102">
      <c r="A3102" s="25">
        <v>43398.34366763889</v>
      </c>
      <c r="B3102" s="26" t="s">
        <v>2090</v>
      </c>
      <c r="C3102" s="26" t="s">
        <v>37</v>
      </c>
      <c r="D3102" s="26" t="s">
        <v>1225</v>
      </c>
      <c r="E3102" s="26">
        <v>90.0</v>
      </c>
      <c r="F3102" s="26" t="s">
        <v>678</v>
      </c>
      <c r="G3102" s="26">
        <v>10.0</v>
      </c>
      <c r="H3102" s="26">
        <v>2.0</v>
      </c>
      <c r="I3102" s="26">
        <v>90.0</v>
      </c>
      <c r="N3102" s="26" t="s">
        <v>687</v>
      </c>
    </row>
    <row r="3103">
      <c r="A3103" s="25">
        <v>43398.45475263889</v>
      </c>
      <c r="B3103" s="26" t="s">
        <v>873</v>
      </c>
      <c r="C3103" s="26" t="s">
        <v>1621</v>
      </c>
      <c r="D3103" s="26" t="s">
        <v>31</v>
      </c>
      <c r="E3103" s="26">
        <v>305.0</v>
      </c>
      <c r="F3103" s="26" t="s">
        <v>97</v>
      </c>
      <c r="G3103" s="26">
        <v>2.0</v>
      </c>
      <c r="H3103" s="26">
        <v>0.0</v>
      </c>
      <c r="I3103" s="26">
        <v>240.0</v>
      </c>
      <c r="J3103" s="26">
        <v>65.0</v>
      </c>
      <c r="L3103" s="26" t="s">
        <v>2091</v>
      </c>
      <c r="N3103" s="26" t="s">
        <v>691</v>
      </c>
    </row>
    <row r="3104">
      <c r="A3104" s="25">
        <v>43398.460580115745</v>
      </c>
      <c r="B3104" s="26" t="s">
        <v>2092</v>
      </c>
      <c r="C3104" s="26" t="s">
        <v>1274</v>
      </c>
      <c r="D3104" s="26" t="s">
        <v>711</v>
      </c>
      <c r="E3104" s="26">
        <v>55.0</v>
      </c>
      <c r="F3104" s="26" t="s">
        <v>2093</v>
      </c>
      <c r="G3104" s="26">
        <v>2.0</v>
      </c>
      <c r="H3104" s="26">
        <v>2.0</v>
      </c>
      <c r="N3104" s="26" t="s">
        <v>685</v>
      </c>
    </row>
    <row r="3105">
      <c r="A3105" s="25">
        <v>43398.468241574075</v>
      </c>
      <c r="B3105" s="26" t="s">
        <v>170</v>
      </c>
      <c r="C3105" s="26" t="s">
        <v>424</v>
      </c>
      <c r="D3105" s="26" t="s">
        <v>2094</v>
      </c>
      <c r="E3105" s="26">
        <v>75.0</v>
      </c>
      <c r="F3105" s="26" t="s">
        <v>782</v>
      </c>
      <c r="G3105" s="26">
        <v>5.0</v>
      </c>
      <c r="H3105" s="26">
        <v>5.0</v>
      </c>
      <c r="N3105" s="26" t="s">
        <v>2095</v>
      </c>
    </row>
    <row r="3106">
      <c r="A3106" s="25">
        <v>43398.470578402776</v>
      </c>
      <c r="B3106" s="26" t="s">
        <v>119</v>
      </c>
      <c r="C3106" s="26" t="s">
        <v>494</v>
      </c>
      <c r="D3106" s="26" t="s">
        <v>31</v>
      </c>
      <c r="E3106" s="26">
        <v>240.0</v>
      </c>
      <c r="F3106" s="26" t="s">
        <v>32</v>
      </c>
      <c r="G3106" s="26">
        <v>4.0</v>
      </c>
      <c r="H3106" s="26">
        <v>2.0</v>
      </c>
      <c r="I3106" s="26">
        <v>200.0</v>
      </c>
      <c r="J3106" s="26">
        <v>15.0</v>
      </c>
      <c r="K3106" s="26">
        <v>25.0</v>
      </c>
      <c r="N3106" s="26" t="s">
        <v>683</v>
      </c>
    </row>
    <row r="3107">
      <c r="A3107" s="25">
        <v>43398.48017605324</v>
      </c>
      <c r="B3107" s="26" t="s">
        <v>64</v>
      </c>
      <c r="C3107" s="26" t="s">
        <v>545</v>
      </c>
      <c r="D3107" s="26" t="s">
        <v>2096</v>
      </c>
      <c r="E3107" s="26">
        <v>235.0</v>
      </c>
      <c r="F3107" s="26" t="s">
        <v>236</v>
      </c>
      <c r="G3107" s="26">
        <v>12.0</v>
      </c>
      <c r="H3107" s="26">
        <v>3.0</v>
      </c>
      <c r="I3107" s="26">
        <v>159.0</v>
      </c>
      <c r="J3107" s="26">
        <v>35.0</v>
      </c>
      <c r="K3107" s="26">
        <v>32.0</v>
      </c>
      <c r="M3107" s="26" t="s">
        <v>449</v>
      </c>
      <c r="N3107" s="26" t="s">
        <v>708</v>
      </c>
    </row>
    <row r="3108">
      <c r="A3108" s="25">
        <v>43398.48073905092</v>
      </c>
      <c r="B3108" s="26" t="s">
        <v>380</v>
      </c>
      <c r="C3108" s="26" t="s">
        <v>742</v>
      </c>
      <c r="D3108" s="26" t="s">
        <v>708</v>
      </c>
      <c r="E3108" s="26">
        <v>205.0</v>
      </c>
      <c r="F3108" s="26" t="s">
        <v>599</v>
      </c>
      <c r="G3108" s="26">
        <v>12.0</v>
      </c>
      <c r="H3108" s="26">
        <v>1.0</v>
      </c>
      <c r="I3108" s="26">
        <v>155.0</v>
      </c>
      <c r="J3108" s="26">
        <v>25.0</v>
      </c>
      <c r="K3108" s="26">
        <v>1.0</v>
      </c>
      <c r="M3108" s="26" t="s">
        <v>449</v>
      </c>
      <c r="N3108" s="26" t="s">
        <v>708</v>
      </c>
    </row>
    <row r="3109">
      <c r="A3109" s="25">
        <v>43398.52307616898</v>
      </c>
      <c r="B3109" s="26" t="s">
        <v>45</v>
      </c>
      <c r="C3109" s="26" t="s">
        <v>116</v>
      </c>
      <c r="D3109" s="26" t="s">
        <v>31</v>
      </c>
      <c r="E3109" s="26">
        <v>300.0</v>
      </c>
      <c r="F3109" s="26" t="s">
        <v>104</v>
      </c>
      <c r="G3109" s="26">
        <v>14.0</v>
      </c>
      <c r="H3109" s="26">
        <v>2.0</v>
      </c>
      <c r="I3109" s="26">
        <v>187.0</v>
      </c>
      <c r="J3109" s="26">
        <v>100.0</v>
      </c>
      <c r="K3109" s="26">
        <v>20.0</v>
      </c>
      <c r="N3109" s="26" t="s">
        <v>704</v>
      </c>
    </row>
    <row r="3110">
      <c r="A3110" s="25">
        <v>43398.596977141206</v>
      </c>
      <c r="B3110" s="26" t="s">
        <v>80</v>
      </c>
      <c r="C3110" s="26" t="s">
        <v>179</v>
      </c>
      <c r="D3110" s="26" t="s">
        <v>31</v>
      </c>
      <c r="E3110" s="26">
        <v>168.0</v>
      </c>
      <c r="F3110" s="26" t="s">
        <v>51</v>
      </c>
      <c r="G3110" s="26">
        <v>2.0</v>
      </c>
      <c r="H3110" s="26">
        <v>0.0</v>
      </c>
      <c r="I3110" s="26">
        <v>125.0</v>
      </c>
      <c r="J3110" s="26">
        <v>25.0</v>
      </c>
      <c r="K3110" s="26">
        <v>18.0</v>
      </c>
      <c r="N3110" s="26" t="s">
        <v>691</v>
      </c>
    </row>
    <row r="3111">
      <c r="A3111" s="25">
        <v>43398.72003412037</v>
      </c>
      <c r="B3111" s="26" t="s">
        <v>1489</v>
      </c>
      <c r="C3111" s="26" t="s">
        <v>1348</v>
      </c>
      <c r="D3111" s="26" t="s">
        <v>31</v>
      </c>
      <c r="E3111" s="26">
        <v>170.0</v>
      </c>
      <c r="F3111" s="26" t="s">
        <v>94</v>
      </c>
      <c r="G3111" s="26">
        <v>14.0</v>
      </c>
      <c r="H3111" s="26">
        <v>5.0</v>
      </c>
      <c r="N3111" s="26" t="s">
        <v>685</v>
      </c>
    </row>
    <row r="3112">
      <c r="A3112" s="25">
        <v>43398.74896956018</v>
      </c>
      <c r="B3112" s="26" t="s">
        <v>2097</v>
      </c>
      <c r="C3112" s="26" t="s">
        <v>27</v>
      </c>
      <c r="D3112" s="26" t="s">
        <v>27</v>
      </c>
      <c r="E3112" s="26">
        <v>160.0</v>
      </c>
      <c r="F3112" s="26" t="s">
        <v>32</v>
      </c>
      <c r="G3112" s="26">
        <v>3.0</v>
      </c>
      <c r="H3112" s="26">
        <v>3.0</v>
      </c>
      <c r="I3112" s="26">
        <v>140.0</v>
      </c>
      <c r="J3112" s="26">
        <v>20.0</v>
      </c>
      <c r="N3112" s="26" t="s">
        <v>1043</v>
      </c>
    </row>
    <row r="3113">
      <c r="A3113" s="25">
        <v>43398.79909288195</v>
      </c>
      <c r="B3113" s="26" t="s">
        <v>25</v>
      </c>
      <c r="C3113" s="26" t="s">
        <v>462</v>
      </c>
      <c r="D3113" s="26" t="s">
        <v>31</v>
      </c>
      <c r="E3113" s="26">
        <v>190.0</v>
      </c>
      <c r="F3113" s="26" t="s">
        <v>35</v>
      </c>
      <c r="G3113" s="26">
        <v>14.0</v>
      </c>
      <c r="H3113" s="26">
        <v>1.0</v>
      </c>
      <c r="I3113" s="26">
        <v>140.0</v>
      </c>
      <c r="J3113" s="26">
        <v>50.0</v>
      </c>
      <c r="N3113" s="26" t="s">
        <v>708</v>
      </c>
    </row>
    <row r="3114">
      <c r="A3114" s="25">
        <v>43398.84236519676</v>
      </c>
      <c r="B3114" s="26" t="s">
        <v>2098</v>
      </c>
      <c r="C3114" s="26" t="s">
        <v>155</v>
      </c>
      <c r="D3114" s="26" t="s">
        <v>27</v>
      </c>
      <c r="E3114" s="26">
        <v>231.0</v>
      </c>
      <c r="F3114" s="26" t="s">
        <v>161</v>
      </c>
      <c r="G3114" s="26">
        <v>9.0</v>
      </c>
      <c r="H3114" s="26">
        <v>6.0</v>
      </c>
      <c r="I3114" s="26">
        <v>175.0</v>
      </c>
      <c r="J3114" s="26">
        <v>34.0</v>
      </c>
      <c r="K3114" s="26">
        <v>22.0</v>
      </c>
      <c r="N3114" s="26" t="s">
        <v>726</v>
      </c>
    </row>
    <row r="3115">
      <c r="A3115" s="25">
        <v>43398.86285578704</v>
      </c>
      <c r="B3115" s="26" t="s">
        <v>170</v>
      </c>
      <c r="C3115" s="26" t="s">
        <v>902</v>
      </c>
      <c r="D3115" s="26" t="s">
        <v>31</v>
      </c>
      <c r="E3115" s="26">
        <v>92.0</v>
      </c>
      <c r="F3115" s="26" t="s">
        <v>2099</v>
      </c>
      <c r="G3115" s="26">
        <v>2.0</v>
      </c>
      <c r="H3115" s="26">
        <v>0.0</v>
      </c>
      <c r="N3115" s="26" t="s">
        <v>683</v>
      </c>
    </row>
    <row r="3116">
      <c r="A3116" s="25">
        <v>43398.86623818287</v>
      </c>
      <c r="B3116" s="26" t="s">
        <v>124</v>
      </c>
      <c r="C3116" s="26" t="s">
        <v>442</v>
      </c>
      <c r="D3116" s="26" t="s">
        <v>31</v>
      </c>
      <c r="E3116" s="26">
        <v>128.0</v>
      </c>
      <c r="F3116" s="26" t="s">
        <v>199</v>
      </c>
      <c r="G3116" s="26">
        <v>0.0</v>
      </c>
      <c r="H3116" s="26">
        <v>0.0</v>
      </c>
      <c r="I3116" s="26">
        <v>110.0</v>
      </c>
      <c r="J3116" s="26">
        <v>7.0</v>
      </c>
      <c r="K3116" s="26">
        <v>11.0</v>
      </c>
      <c r="N3116" s="26" t="s">
        <v>683</v>
      </c>
    </row>
    <row r="3117">
      <c r="A3117" s="25">
        <v>43398.87980623843</v>
      </c>
      <c r="B3117" s="26" t="s">
        <v>33</v>
      </c>
      <c r="C3117" s="26" t="s">
        <v>43</v>
      </c>
      <c r="D3117" s="26" t="s">
        <v>2100</v>
      </c>
      <c r="E3117" s="26">
        <v>120.0</v>
      </c>
      <c r="F3117" s="26" t="s">
        <v>35</v>
      </c>
      <c r="G3117" s="26">
        <v>15.0</v>
      </c>
      <c r="H3117" s="26">
        <v>2.0</v>
      </c>
      <c r="N3117" s="26" t="s">
        <v>2101</v>
      </c>
    </row>
    <row r="3118">
      <c r="A3118" s="25">
        <v>43398.88223001157</v>
      </c>
      <c r="B3118" s="26" t="s">
        <v>33</v>
      </c>
      <c r="C3118" s="26" t="s">
        <v>62</v>
      </c>
      <c r="D3118" s="26" t="s">
        <v>41</v>
      </c>
      <c r="E3118" s="26">
        <v>250.0</v>
      </c>
      <c r="F3118" s="26" t="s">
        <v>35</v>
      </c>
      <c r="G3118" s="26">
        <v>5.0</v>
      </c>
      <c r="H3118" s="26">
        <v>5.0</v>
      </c>
      <c r="I3118" s="26">
        <v>150.0</v>
      </c>
      <c r="J3118" s="26">
        <v>100.0</v>
      </c>
      <c r="N3118" s="26" t="s">
        <v>683</v>
      </c>
    </row>
    <row r="3119">
      <c r="A3119" s="25">
        <v>43398.95764199074</v>
      </c>
      <c r="B3119" s="26" t="s">
        <v>105</v>
      </c>
      <c r="C3119" s="26" t="s">
        <v>2102</v>
      </c>
      <c r="D3119" s="26" t="s">
        <v>31</v>
      </c>
      <c r="E3119" s="26">
        <v>138.0</v>
      </c>
      <c r="F3119" s="26" t="s">
        <v>32</v>
      </c>
      <c r="G3119" s="26">
        <v>3.0</v>
      </c>
      <c r="H3119" s="26">
        <v>3.0</v>
      </c>
      <c r="I3119" s="26">
        <v>111.0</v>
      </c>
      <c r="J3119" s="26">
        <v>15.0</v>
      </c>
      <c r="K3119" s="26">
        <v>12.0</v>
      </c>
      <c r="N3119" s="26" t="s">
        <v>683</v>
      </c>
    </row>
    <row r="3120">
      <c r="A3120" s="25">
        <v>43399.05406540509</v>
      </c>
      <c r="B3120" s="26" t="s">
        <v>80</v>
      </c>
      <c r="C3120" s="26" t="s">
        <v>430</v>
      </c>
      <c r="D3120" s="26" t="s">
        <v>1066</v>
      </c>
      <c r="E3120" s="26">
        <v>155.0</v>
      </c>
      <c r="F3120" s="26" t="s">
        <v>51</v>
      </c>
      <c r="G3120" s="26">
        <v>11.0</v>
      </c>
      <c r="H3120" s="26">
        <v>8.0</v>
      </c>
      <c r="I3120" s="26">
        <v>119.0</v>
      </c>
      <c r="J3120" s="26">
        <v>25.0</v>
      </c>
      <c r="K3120" s="26">
        <v>10.0</v>
      </c>
      <c r="N3120" s="26" t="s">
        <v>715</v>
      </c>
    </row>
    <row r="3121">
      <c r="A3121" s="25">
        <v>43399.05800738426</v>
      </c>
      <c r="B3121" s="26" t="s">
        <v>80</v>
      </c>
      <c r="C3121" s="26" t="s">
        <v>125</v>
      </c>
      <c r="D3121" s="26" t="s">
        <v>31</v>
      </c>
      <c r="E3121" s="26">
        <v>520.0</v>
      </c>
      <c r="F3121" s="26" t="s">
        <v>51</v>
      </c>
      <c r="G3121" s="26">
        <v>15.0</v>
      </c>
      <c r="H3121" s="26">
        <v>11.0</v>
      </c>
      <c r="I3121" s="26">
        <v>230.0</v>
      </c>
      <c r="J3121" s="26">
        <v>230.0</v>
      </c>
      <c r="K3121" s="26">
        <v>64.0</v>
      </c>
      <c r="N3121" s="26" t="s">
        <v>751</v>
      </c>
    </row>
    <row r="3122">
      <c r="A3122" s="25">
        <v>43399.231071041664</v>
      </c>
      <c r="B3122" s="26" t="s">
        <v>1867</v>
      </c>
      <c r="C3122" s="26" t="s">
        <v>417</v>
      </c>
      <c r="D3122" s="26" t="s">
        <v>31</v>
      </c>
      <c r="E3122" s="26">
        <v>140.0</v>
      </c>
      <c r="F3122" s="26" t="s">
        <v>2103</v>
      </c>
      <c r="G3122" s="26">
        <v>5.0</v>
      </c>
      <c r="H3122" s="26">
        <v>2.0</v>
      </c>
      <c r="I3122" s="26">
        <v>107.0</v>
      </c>
      <c r="J3122" s="26">
        <v>24.0</v>
      </c>
      <c r="K3122" s="26">
        <v>9.0</v>
      </c>
      <c r="N3122" s="26" t="s">
        <v>696</v>
      </c>
    </row>
    <row r="3123">
      <c r="A3123" s="25">
        <v>43399.26513289352</v>
      </c>
      <c r="B3123" s="26" t="s">
        <v>80</v>
      </c>
      <c r="C3123" s="26" t="s">
        <v>176</v>
      </c>
      <c r="D3123" s="26" t="s">
        <v>31</v>
      </c>
      <c r="E3123" s="26">
        <v>377.0</v>
      </c>
      <c r="F3123" s="26" t="s">
        <v>199</v>
      </c>
      <c r="G3123" s="26">
        <v>20.0</v>
      </c>
      <c r="H3123" s="26">
        <v>5.0</v>
      </c>
      <c r="I3123" s="26">
        <v>195.0</v>
      </c>
      <c r="J3123" s="26">
        <v>152.0</v>
      </c>
      <c r="K3123" s="26">
        <v>30.0</v>
      </c>
      <c r="N3123" s="26" t="s">
        <v>708</v>
      </c>
    </row>
    <row r="3124">
      <c r="A3124" s="25">
        <v>43399.30803167824</v>
      </c>
      <c r="B3124" s="26" t="s">
        <v>119</v>
      </c>
      <c r="C3124" s="26" t="s">
        <v>897</v>
      </c>
      <c r="D3124" s="26" t="s">
        <v>31</v>
      </c>
      <c r="E3124" s="26">
        <v>300.0</v>
      </c>
      <c r="F3124" s="26" t="s">
        <v>32</v>
      </c>
      <c r="G3124" s="26">
        <v>9.0</v>
      </c>
      <c r="H3124" s="26">
        <v>9.0</v>
      </c>
      <c r="I3124" s="26">
        <v>203.0</v>
      </c>
      <c r="J3124" s="26">
        <v>50.0</v>
      </c>
      <c r="K3124" s="26">
        <v>40.0</v>
      </c>
      <c r="N3124" s="26" t="s">
        <v>704</v>
      </c>
    </row>
    <row r="3125">
      <c r="A3125" s="25">
        <v>43399.47178150463</v>
      </c>
      <c r="B3125" s="26" t="s">
        <v>33</v>
      </c>
      <c r="C3125" s="26" t="s">
        <v>73</v>
      </c>
      <c r="D3125" s="26" t="s">
        <v>31</v>
      </c>
      <c r="E3125" s="26">
        <v>139.0</v>
      </c>
      <c r="F3125" s="26" t="s">
        <v>35</v>
      </c>
      <c r="G3125" s="26">
        <v>0.0</v>
      </c>
      <c r="H3125" s="26">
        <v>0.0</v>
      </c>
      <c r="I3125" s="26">
        <v>108.0</v>
      </c>
      <c r="J3125" s="26">
        <v>18.0</v>
      </c>
      <c r="K3125" s="26">
        <v>13.0</v>
      </c>
      <c r="N3125" s="26" t="s">
        <v>685</v>
      </c>
    </row>
    <row r="3126">
      <c r="A3126" s="25">
        <v>43399.47178150463</v>
      </c>
      <c r="B3126" s="26" t="s">
        <v>33</v>
      </c>
      <c r="C3126" s="26" t="s">
        <v>73</v>
      </c>
      <c r="D3126" s="26" t="s">
        <v>31</v>
      </c>
      <c r="E3126" s="26">
        <v>139.0</v>
      </c>
      <c r="F3126" s="26" t="s">
        <v>35</v>
      </c>
      <c r="G3126" s="26">
        <v>0.0</v>
      </c>
      <c r="H3126" s="26">
        <v>0.0</v>
      </c>
      <c r="I3126" s="26">
        <v>108.0</v>
      </c>
      <c r="J3126" s="26">
        <v>18.0</v>
      </c>
      <c r="K3126" s="26">
        <v>13.0</v>
      </c>
      <c r="N3126" s="26" t="s">
        <v>685</v>
      </c>
    </row>
    <row r="3127">
      <c r="A3127" s="25">
        <v>43399.680009675925</v>
      </c>
      <c r="B3127" s="26" t="s">
        <v>1867</v>
      </c>
      <c r="C3127" s="26" t="s">
        <v>2104</v>
      </c>
      <c r="D3127" s="26" t="s">
        <v>27</v>
      </c>
      <c r="E3127" s="26">
        <v>515.0</v>
      </c>
      <c r="F3127" s="26" t="s">
        <v>134</v>
      </c>
      <c r="G3127" s="26">
        <v>15.0</v>
      </c>
      <c r="H3127" s="26">
        <v>6.0</v>
      </c>
      <c r="I3127" s="26">
        <v>250.0</v>
      </c>
      <c r="J3127" s="26">
        <v>190.0</v>
      </c>
      <c r="K3127" s="26">
        <v>75.0</v>
      </c>
      <c r="N3127" s="26" t="s">
        <v>687</v>
      </c>
    </row>
    <row r="3128">
      <c r="A3128" s="25">
        <v>43399.75450534723</v>
      </c>
      <c r="B3128" s="26" t="s">
        <v>80</v>
      </c>
      <c r="C3128" s="26" t="s">
        <v>73</v>
      </c>
      <c r="D3128" s="26" t="s">
        <v>31</v>
      </c>
      <c r="E3128" s="26">
        <v>200.0</v>
      </c>
      <c r="F3128" s="26" t="s">
        <v>134</v>
      </c>
      <c r="G3128" s="26">
        <v>3.0</v>
      </c>
      <c r="H3128" s="26">
        <v>0.0</v>
      </c>
      <c r="N3128" s="26" t="s">
        <v>708</v>
      </c>
    </row>
    <row r="3129">
      <c r="A3129" s="25">
        <v>43399.82354196759</v>
      </c>
      <c r="B3129" s="26" t="s">
        <v>48</v>
      </c>
      <c r="C3129" s="26" t="s">
        <v>69</v>
      </c>
      <c r="D3129" s="26" t="s">
        <v>31</v>
      </c>
      <c r="E3129" s="26">
        <v>201.0</v>
      </c>
      <c r="F3129" s="26" t="s">
        <v>1074</v>
      </c>
      <c r="G3129" s="26">
        <v>0.0</v>
      </c>
      <c r="H3129" s="26">
        <v>0.0</v>
      </c>
      <c r="I3129" s="26">
        <v>110.0</v>
      </c>
      <c r="J3129" s="26">
        <v>55.0</v>
      </c>
      <c r="K3129" s="26">
        <v>36.0</v>
      </c>
      <c r="N3129" s="26" t="s">
        <v>683</v>
      </c>
    </row>
    <row r="3130">
      <c r="A3130" s="25">
        <v>43399.8847002199</v>
      </c>
      <c r="B3130" s="26" t="s">
        <v>2105</v>
      </c>
      <c r="C3130" s="26" t="s">
        <v>336</v>
      </c>
      <c r="D3130" s="26" t="s">
        <v>41</v>
      </c>
      <c r="E3130" s="26">
        <v>250.0</v>
      </c>
      <c r="F3130" s="26" t="s">
        <v>1239</v>
      </c>
      <c r="G3130" s="26">
        <v>8.0</v>
      </c>
      <c r="H3130" s="26">
        <v>4.0</v>
      </c>
      <c r="I3130" s="26">
        <v>160.0</v>
      </c>
      <c r="J3130" s="26">
        <v>60.0</v>
      </c>
      <c r="K3130" s="26">
        <v>30.0</v>
      </c>
      <c r="N3130" s="26" t="s">
        <v>685</v>
      </c>
    </row>
    <row r="3131">
      <c r="A3131" s="25">
        <v>43399.896716840274</v>
      </c>
      <c r="B3131" s="26" t="s">
        <v>33</v>
      </c>
      <c r="C3131" s="26" t="s">
        <v>275</v>
      </c>
      <c r="D3131" s="26" t="s">
        <v>31</v>
      </c>
      <c r="E3131" s="26">
        <v>155.0</v>
      </c>
      <c r="F3131" s="26" t="s">
        <v>35</v>
      </c>
      <c r="G3131" s="26">
        <v>0.0</v>
      </c>
      <c r="H3131" s="26">
        <v>0.0</v>
      </c>
      <c r="I3131" s="26">
        <v>108.0</v>
      </c>
      <c r="J3131" s="26">
        <v>13.0</v>
      </c>
      <c r="K3131" s="26">
        <v>34.0</v>
      </c>
      <c r="N3131" s="26" t="s">
        <v>704</v>
      </c>
    </row>
    <row r="3132">
      <c r="A3132" s="25">
        <v>43399.917840532406</v>
      </c>
      <c r="B3132" s="26" t="s">
        <v>2106</v>
      </c>
      <c r="C3132" s="26" t="s">
        <v>73</v>
      </c>
      <c r="D3132" s="26" t="s">
        <v>31</v>
      </c>
      <c r="E3132" s="26">
        <v>167.0</v>
      </c>
      <c r="F3132" s="26" t="s">
        <v>63</v>
      </c>
      <c r="G3132" s="26">
        <v>6.0</v>
      </c>
      <c r="H3132" s="26">
        <v>1.0</v>
      </c>
      <c r="I3132" s="26">
        <v>135.0</v>
      </c>
      <c r="J3132" s="26">
        <v>25.0</v>
      </c>
      <c r="K3132" s="26">
        <v>6.0</v>
      </c>
      <c r="N3132" s="26" t="s">
        <v>685</v>
      </c>
    </row>
    <row r="3133">
      <c r="A3133" s="25">
        <v>43399.93857931713</v>
      </c>
      <c r="B3133" s="26" t="s">
        <v>40</v>
      </c>
      <c r="C3133" s="26" t="s">
        <v>999</v>
      </c>
      <c r="D3133" s="26" t="s">
        <v>31</v>
      </c>
      <c r="E3133" s="26">
        <v>204.0</v>
      </c>
      <c r="F3133" s="26" t="s">
        <v>75</v>
      </c>
      <c r="G3133" s="26">
        <v>10.0</v>
      </c>
      <c r="H3133" s="26">
        <v>0.0</v>
      </c>
      <c r="I3133" s="26">
        <v>161.0</v>
      </c>
      <c r="J3133" s="26">
        <v>18.0</v>
      </c>
      <c r="K3133" s="26">
        <v>25.0</v>
      </c>
      <c r="N3133" s="26" t="s">
        <v>685</v>
      </c>
    </row>
    <row r="3134">
      <c r="A3134" s="25">
        <v>43399.99026908565</v>
      </c>
      <c r="B3134" s="26" t="s">
        <v>80</v>
      </c>
      <c r="C3134" s="26" t="s">
        <v>43</v>
      </c>
      <c r="D3134" s="26" t="s">
        <v>31</v>
      </c>
      <c r="E3134" s="26">
        <v>347.0</v>
      </c>
      <c r="F3134" s="26" t="s">
        <v>35</v>
      </c>
      <c r="G3134" s="26">
        <v>10.0</v>
      </c>
      <c r="H3134" s="26">
        <v>4.0</v>
      </c>
      <c r="I3134" s="26">
        <v>177.0</v>
      </c>
      <c r="J3134" s="26">
        <v>130.0</v>
      </c>
      <c r="K3134" s="26">
        <v>41.0</v>
      </c>
      <c r="N3134" s="26" t="s">
        <v>683</v>
      </c>
    </row>
    <row r="3135">
      <c r="A3135" s="25">
        <v>43399.990361689815</v>
      </c>
      <c r="B3135" s="26" t="s">
        <v>80</v>
      </c>
      <c r="C3135" s="26" t="s">
        <v>179</v>
      </c>
      <c r="D3135" s="26" t="s">
        <v>31</v>
      </c>
      <c r="E3135" s="26">
        <v>165.0</v>
      </c>
      <c r="F3135" s="26" t="s">
        <v>1072</v>
      </c>
      <c r="G3135" s="26">
        <v>0.0</v>
      </c>
      <c r="H3135" s="26">
        <v>0.0</v>
      </c>
      <c r="I3135" s="26">
        <v>120.0</v>
      </c>
      <c r="J3135" s="26">
        <v>30.0</v>
      </c>
      <c r="K3135" s="26">
        <v>15.0</v>
      </c>
      <c r="N3135" s="26" t="s">
        <v>704</v>
      </c>
    </row>
    <row r="3136">
      <c r="A3136" s="25">
        <v>43400.319792256945</v>
      </c>
      <c r="B3136" s="26" t="s">
        <v>371</v>
      </c>
      <c r="C3136" s="26" t="s">
        <v>372</v>
      </c>
      <c r="D3136" s="26" t="s">
        <v>31</v>
      </c>
      <c r="E3136" s="26">
        <v>180.0</v>
      </c>
      <c r="F3136" s="26" t="s">
        <v>459</v>
      </c>
      <c r="G3136" s="26">
        <v>10.0</v>
      </c>
      <c r="H3136" s="26">
        <v>10.0</v>
      </c>
      <c r="N3136" s="26" t="s">
        <v>1849</v>
      </c>
    </row>
    <row r="3137">
      <c r="A3137" s="25">
        <v>43400.42853260417</v>
      </c>
      <c r="B3137" s="26" t="s">
        <v>119</v>
      </c>
      <c r="C3137" s="26" t="s">
        <v>494</v>
      </c>
      <c r="D3137" s="26" t="s">
        <v>31</v>
      </c>
      <c r="E3137" s="26">
        <v>210.0</v>
      </c>
      <c r="F3137" s="26" t="s">
        <v>32</v>
      </c>
      <c r="G3137" s="26">
        <v>12.0</v>
      </c>
      <c r="H3137" s="26">
        <v>1.0</v>
      </c>
      <c r="I3137" s="26">
        <v>160.0</v>
      </c>
      <c r="J3137" s="26">
        <v>26.0</v>
      </c>
      <c r="K3137" s="26">
        <v>24.0</v>
      </c>
      <c r="N3137" s="26" t="s">
        <v>685</v>
      </c>
    </row>
    <row r="3138">
      <c r="A3138" s="25">
        <v>43400.477699131945</v>
      </c>
      <c r="B3138" s="26" t="s">
        <v>33</v>
      </c>
      <c r="C3138" s="26" t="s">
        <v>73</v>
      </c>
      <c r="D3138" s="26" t="s">
        <v>31</v>
      </c>
      <c r="E3138" s="26">
        <v>121.0</v>
      </c>
      <c r="F3138" s="26" t="s">
        <v>35</v>
      </c>
      <c r="G3138" s="26">
        <v>1.0</v>
      </c>
      <c r="H3138" s="26">
        <v>1.0</v>
      </c>
      <c r="I3138" s="26">
        <v>104.0</v>
      </c>
      <c r="J3138" s="26">
        <v>2.0</v>
      </c>
      <c r="K3138" s="26">
        <v>15.0</v>
      </c>
      <c r="N3138" s="26" t="s">
        <v>696</v>
      </c>
    </row>
    <row r="3139">
      <c r="A3139" s="25">
        <v>43400.496911574075</v>
      </c>
      <c r="B3139" s="26" t="s">
        <v>33</v>
      </c>
      <c r="C3139" s="26" t="s">
        <v>73</v>
      </c>
      <c r="D3139" s="26" t="s">
        <v>31</v>
      </c>
      <c r="E3139" s="26">
        <v>155.0</v>
      </c>
      <c r="F3139" s="26" t="s">
        <v>35</v>
      </c>
      <c r="G3139" s="26">
        <v>1.0</v>
      </c>
      <c r="H3139" s="26">
        <v>0.0</v>
      </c>
      <c r="I3139" s="26">
        <v>106.0</v>
      </c>
      <c r="J3139" s="26">
        <v>3.0</v>
      </c>
      <c r="K3139" s="26">
        <v>46.0</v>
      </c>
      <c r="N3139" s="26" t="s">
        <v>683</v>
      </c>
    </row>
    <row r="3140">
      <c r="A3140" s="25">
        <v>43400.532767592595</v>
      </c>
      <c r="B3140" s="26" t="s">
        <v>80</v>
      </c>
      <c r="C3140" s="26" t="s">
        <v>73</v>
      </c>
      <c r="D3140" s="26" t="s">
        <v>31</v>
      </c>
      <c r="E3140" s="26">
        <v>330.0</v>
      </c>
      <c r="F3140" s="26" t="s">
        <v>32</v>
      </c>
      <c r="G3140" s="26">
        <v>4.0</v>
      </c>
      <c r="H3140" s="26">
        <v>1.0</v>
      </c>
      <c r="N3140" s="26" t="s">
        <v>687</v>
      </c>
    </row>
    <row r="3141">
      <c r="A3141" s="25">
        <v>43400.53424957176</v>
      </c>
      <c r="B3141" s="26" t="s">
        <v>319</v>
      </c>
      <c r="C3141" s="26">
        <v>7.0</v>
      </c>
      <c r="D3141" s="26" t="s">
        <v>711</v>
      </c>
      <c r="E3141" s="26">
        <v>137.0</v>
      </c>
      <c r="F3141" s="26" t="s">
        <v>238</v>
      </c>
      <c r="G3141" s="26">
        <v>2.0</v>
      </c>
      <c r="H3141" s="26">
        <v>1.0</v>
      </c>
      <c r="I3141" s="26">
        <v>135.0</v>
      </c>
      <c r="K3141" s="26">
        <v>2.0</v>
      </c>
      <c r="N3141" s="26" t="s">
        <v>691</v>
      </c>
    </row>
    <row r="3142">
      <c r="A3142" s="25">
        <v>43400.54419148148</v>
      </c>
      <c r="B3142" s="26" t="s">
        <v>105</v>
      </c>
      <c r="C3142" s="26" t="s">
        <v>76</v>
      </c>
      <c r="D3142" s="26" t="s">
        <v>31</v>
      </c>
      <c r="E3142" s="26">
        <v>153.0</v>
      </c>
      <c r="F3142" s="26" t="s">
        <v>86</v>
      </c>
      <c r="G3142" s="26">
        <v>6.0</v>
      </c>
      <c r="H3142" s="26">
        <v>2.0</v>
      </c>
      <c r="I3142" s="26">
        <v>123.0</v>
      </c>
      <c r="J3142" s="26">
        <v>20.0</v>
      </c>
      <c r="K3142" s="26">
        <v>10.0</v>
      </c>
      <c r="N3142" s="26" t="s">
        <v>704</v>
      </c>
    </row>
    <row r="3143">
      <c r="A3143" s="25">
        <v>43400.589491446764</v>
      </c>
      <c r="B3143" s="26" t="s">
        <v>80</v>
      </c>
      <c r="C3143" s="26" t="s">
        <v>34</v>
      </c>
      <c r="D3143" s="26" t="s">
        <v>31</v>
      </c>
      <c r="E3143" s="26">
        <v>999.0</v>
      </c>
      <c r="F3143" s="26" t="s">
        <v>51</v>
      </c>
      <c r="G3143" s="26">
        <v>27.0</v>
      </c>
      <c r="H3143" s="26">
        <v>9.0</v>
      </c>
      <c r="I3143" s="26">
        <v>286.0</v>
      </c>
      <c r="J3143" s="26">
        <v>649.0</v>
      </c>
      <c r="K3143" s="26">
        <v>64.0</v>
      </c>
      <c r="L3143" s="26" t="s">
        <v>2107</v>
      </c>
      <c r="N3143" s="26" t="s">
        <v>715</v>
      </c>
    </row>
    <row r="3144">
      <c r="A3144" s="25">
        <v>43400.601359293985</v>
      </c>
      <c r="B3144" s="26" t="s">
        <v>33</v>
      </c>
      <c r="C3144" s="26" t="s">
        <v>34</v>
      </c>
      <c r="D3144" s="26" t="s">
        <v>41</v>
      </c>
      <c r="E3144" s="26">
        <v>350.0</v>
      </c>
      <c r="F3144" s="26" t="s">
        <v>35</v>
      </c>
      <c r="G3144" s="26">
        <v>15.0</v>
      </c>
      <c r="H3144" s="26">
        <v>5.0</v>
      </c>
      <c r="I3144" s="26">
        <v>160.0</v>
      </c>
      <c r="J3144" s="26">
        <v>190.0</v>
      </c>
      <c r="N3144" s="26" t="s">
        <v>704</v>
      </c>
    </row>
    <row r="3145">
      <c r="A3145" s="25">
        <v>43400.65941202546</v>
      </c>
      <c r="B3145" s="26" t="s">
        <v>33</v>
      </c>
      <c r="C3145" s="26" t="s">
        <v>73</v>
      </c>
      <c r="D3145" s="26" t="s">
        <v>2108</v>
      </c>
      <c r="E3145" s="26">
        <v>149.0</v>
      </c>
      <c r="F3145" s="26" t="s">
        <v>63</v>
      </c>
      <c r="G3145" s="26">
        <v>5.0</v>
      </c>
      <c r="H3145" s="26">
        <v>1.0</v>
      </c>
      <c r="I3145" s="26">
        <v>120.0</v>
      </c>
      <c r="J3145" s="26">
        <v>20.0</v>
      </c>
      <c r="K3145" s="26">
        <v>9.0</v>
      </c>
      <c r="N3145" s="26" t="s">
        <v>715</v>
      </c>
    </row>
    <row r="3146">
      <c r="A3146" s="25">
        <v>43400.663266655094</v>
      </c>
      <c r="B3146" s="26" t="s">
        <v>268</v>
      </c>
      <c r="C3146" s="26" t="s">
        <v>1064</v>
      </c>
      <c r="D3146" s="26" t="s">
        <v>31</v>
      </c>
      <c r="E3146" s="26">
        <v>342.0</v>
      </c>
      <c r="F3146" s="26" t="s">
        <v>1206</v>
      </c>
      <c r="G3146" s="26">
        <v>13.0</v>
      </c>
      <c r="H3146" s="26">
        <v>12.0</v>
      </c>
      <c r="I3146" s="26">
        <v>179.0</v>
      </c>
      <c r="J3146" s="26">
        <v>94.0</v>
      </c>
      <c r="K3146" s="26">
        <v>69.0</v>
      </c>
      <c r="N3146" s="26" t="s">
        <v>704</v>
      </c>
    </row>
    <row r="3147">
      <c r="A3147" s="25">
        <v>43400.668948101855</v>
      </c>
      <c r="B3147" s="26" t="s">
        <v>45</v>
      </c>
      <c r="C3147" s="26" t="s">
        <v>73</v>
      </c>
      <c r="D3147" s="26" t="s">
        <v>31</v>
      </c>
      <c r="E3147" s="26">
        <v>333.0</v>
      </c>
      <c r="F3147" s="26" t="s">
        <v>104</v>
      </c>
      <c r="G3147" s="26">
        <v>15.0</v>
      </c>
      <c r="H3147" s="26">
        <v>6.0</v>
      </c>
      <c r="I3147" s="26">
        <v>189.0</v>
      </c>
      <c r="J3147" s="26">
        <v>120.0</v>
      </c>
      <c r="K3147" s="26">
        <v>24.0</v>
      </c>
      <c r="N3147" s="26" t="s">
        <v>2109</v>
      </c>
    </row>
    <row r="3148">
      <c r="A3148" s="25">
        <v>43400.68218116898</v>
      </c>
      <c r="B3148" s="26" t="s">
        <v>40</v>
      </c>
      <c r="C3148" s="26">
        <v>60.0</v>
      </c>
      <c r="D3148" s="26" t="s">
        <v>27</v>
      </c>
      <c r="E3148" s="26">
        <v>155.0</v>
      </c>
      <c r="F3148" s="26" t="s">
        <v>35</v>
      </c>
      <c r="G3148" s="26">
        <v>1.0</v>
      </c>
      <c r="H3148" s="26">
        <v>1.0</v>
      </c>
      <c r="I3148" s="26">
        <v>116.0</v>
      </c>
      <c r="J3148" s="26">
        <v>21.0</v>
      </c>
      <c r="K3148" s="26">
        <v>18.0</v>
      </c>
      <c r="N3148" s="26" t="s">
        <v>1027</v>
      </c>
    </row>
    <row r="3149">
      <c r="A3149" s="25">
        <v>43400.74684695602</v>
      </c>
      <c r="B3149" s="26" t="s">
        <v>48</v>
      </c>
      <c r="C3149" s="26" t="s">
        <v>70</v>
      </c>
      <c r="D3149" s="26" t="s">
        <v>31</v>
      </c>
      <c r="E3149" s="26">
        <v>702.0</v>
      </c>
      <c r="F3149" s="26" t="s">
        <v>35</v>
      </c>
      <c r="G3149" s="26">
        <v>12.0</v>
      </c>
      <c r="H3149" s="26">
        <v>3.0</v>
      </c>
      <c r="I3149" s="26">
        <v>216.0</v>
      </c>
      <c r="J3149" s="26">
        <v>400.0</v>
      </c>
      <c r="K3149" s="26">
        <v>86.0</v>
      </c>
      <c r="N3149" s="26" t="s">
        <v>685</v>
      </c>
    </row>
    <row r="3150">
      <c r="A3150" s="25">
        <v>43400.78819699074</v>
      </c>
      <c r="B3150" s="26" t="s">
        <v>80</v>
      </c>
      <c r="C3150" s="26" t="s">
        <v>179</v>
      </c>
      <c r="D3150" s="26" t="s">
        <v>31</v>
      </c>
      <c r="E3150" s="26">
        <v>150.0</v>
      </c>
      <c r="F3150" s="26" t="s">
        <v>63</v>
      </c>
      <c r="G3150" s="26">
        <v>0.0</v>
      </c>
      <c r="H3150" s="26">
        <v>0.0</v>
      </c>
      <c r="I3150" s="26">
        <v>115.0</v>
      </c>
      <c r="J3150" s="26">
        <v>28.0</v>
      </c>
      <c r="K3150" s="26">
        <v>17.0</v>
      </c>
      <c r="N3150" s="26" t="s">
        <v>704</v>
      </c>
    </row>
    <row r="3151">
      <c r="A3151" s="25">
        <v>43400.82192974537</v>
      </c>
      <c r="B3151" s="26" t="s">
        <v>234</v>
      </c>
      <c r="C3151" s="26" t="s">
        <v>176</v>
      </c>
      <c r="D3151" s="26" t="s">
        <v>41</v>
      </c>
      <c r="E3151" s="26">
        <v>310.0</v>
      </c>
      <c r="F3151" s="26" t="s">
        <v>175</v>
      </c>
      <c r="G3151" s="26">
        <v>15.0</v>
      </c>
      <c r="H3151" s="26">
        <v>12.0</v>
      </c>
      <c r="I3151" s="26">
        <v>220000.0</v>
      </c>
      <c r="K3151" s="26">
        <v>60000.0</v>
      </c>
      <c r="N3151" s="26" t="s">
        <v>2110</v>
      </c>
    </row>
    <row r="3152">
      <c r="A3152" s="25">
        <v>43400.93385318287</v>
      </c>
      <c r="B3152" s="26" t="s">
        <v>40</v>
      </c>
      <c r="C3152" s="26">
        <v>62.0</v>
      </c>
      <c r="D3152" s="26" t="s">
        <v>27</v>
      </c>
      <c r="E3152" s="26">
        <v>183.0</v>
      </c>
      <c r="F3152" s="26" t="s">
        <v>35</v>
      </c>
      <c r="G3152" s="26">
        <v>4.0</v>
      </c>
      <c r="H3152" s="26">
        <v>1.5</v>
      </c>
      <c r="I3152" s="26">
        <v>150.0</v>
      </c>
      <c r="J3152" s="26">
        <v>18.0</v>
      </c>
      <c r="K3152" s="26">
        <v>15.0</v>
      </c>
      <c r="N3152" s="26" t="s">
        <v>2111</v>
      </c>
    </row>
    <row r="3153">
      <c r="A3153" s="25">
        <v>43401.19958734953</v>
      </c>
      <c r="B3153" s="26" t="s">
        <v>33</v>
      </c>
      <c r="C3153" s="26" t="s">
        <v>43</v>
      </c>
      <c r="D3153" s="26" t="s">
        <v>713</v>
      </c>
      <c r="E3153" s="26">
        <v>80.0</v>
      </c>
      <c r="F3153" s="26" t="s">
        <v>2112</v>
      </c>
      <c r="G3153" s="26">
        <v>20.0</v>
      </c>
      <c r="H3153" s="26">
        <v>1.5</v>
      </c>
      <c r="N3153" s="26" t="s">
        <v>726</v>
      </c>
    </row>
    <row r="3154">
      <c r="A3154" s="25">
        <v>43401.20666081019</v>
      </c>
      <c r="B3154" s="26" t="s">
        <v>33</v>
      </c>
      <c r="C3154" s="26" t="s">
        <v>143</v>
      </c>
      <c r="D3154" s="26" t="s">
        <v>27</v>
      </c>
      <c r="E3154" s="26">
        <v>250.0</v>
      </c>
      <c r="F3154" s="26" t="s">
        <v>1847</v>
      </c>
      <c r="G3154" s="26">
        <v>20.0</v>
      </c>
      <c r="H3154" s="26">
        <v>4.0</v>
      </c>
      <c r="N3154" s="26" t="s">
        <v>2113</v>
      </c>
    </row>
    <row r="3155">
      <c r="A3155" s="25">
        <v>43401.47233766204</v>
      </c>
      <c r="B3155" s="26" t="s">
        <v>33</v>
      </c>
      <c r="C3155" s="26" t="s">
        <v>34</v>
      </c>
      <c r="D3155" s="26" t="s">
        <v>27</v>
      </c>
      <c r="E3155" s="26">
        <v>380.0</v>
      </c>
      <c r="F3155" s="26" t="s">
        <v>94</v>
      </c>
      <c r="G3155" s="26">
        <v>10.0</v>
      </c>
      <c r="H3155" s="26">
        <v>5.0</v>
      </c>
      <c r="N3155" s="26" t="s">
        <v>1043</v>
      </c>
    </row>
    <row r="3156">
      <c r="A3156" s="25">
        <v>43401.68814515046</v>
      </c>
      <c r="B3156" s="26" t="s">
        <v>1600</v>
      </c>
      <c r="C3156" s="26" t="s">
        <v>2114</v>
      </c>
      <c r="D3156" s="26" t="s">
        <v>711</v>
      </c>
      <c r="E3156" s="26">
        <v>156.0</v>
      </c>
      <c r="F3156" s="26" t="s">
        <v>2115</v>
      </c>
      <c r="G3156" s="26">
        <v>20.0</v>
      </c>
      <c r="H3156" s="26">
        <v>15.0</v>
      </c>
      <c r="J3156" s="26">
        <v>10.0</v>
      </c>
      <c r="K3156" s="26">
        <v>16.0</v>
      </c>
      <c r="N3156" s="26" t="s">
        <v>728</v>
      </c>
    </row>
    <row r="3157">
      <c r="A3157" s="25">
        <v>43401.69232185185</v>
      </c>
      <c r="B3157" s="26" t="s">
        <v>48</v>
      </c>
      <c r="C3157" s="26" t="s">
        <v>184</v>
      </c>
      <c r="D3157" s="26" t="s">
        <v>711</v>
      </c>
      <c r="E3157" s="26">
        <v>193.0</v>
      </c>
      <c r="F3157" s="26" t="s">
        <v>137</v>
      </c>
      <c r="G3157" s="26">
        <v>1.0</v>
      </c>
      <c r="H3157" s="26">
        <v>0.0</v>
      </c>
      <c r="N3157" s="26" t="s">
        <v>691</v>
      </c>
    </row>
    <row r="3158">
      <c r="A3158" s="25">
        <v>43401.825134212966</v>
      </c>
      <c r="B3158" s="26" t="s">
        <v>45</v>
      </c>
      <c r="C3158" s="26" t="s">
        <v>149</v>
      </c>
      <c r="D3158" s="26" t="s">
        <v>1218</v>
      </c>
      <c r="E3158" s="26">
        <v>460.0</v>
      </c>
      <c r="F3158" s="26" t="s">
        <v>134</v>
      </c>
      <c r="G3158" s="26">
        <v>13.0</v>
      </c>
      <c r="H3158" s="26">
        <v>4.0</v>
      </c>
      <c r="N3158" s="26" t="s">
        <v>757</v>
      </c>
    </row>
    <row r="3159">
      <c r="A3159" s="25">
        <v>43401.85540560185</v>
      </c>
      <c r="B3159" s="26" t="s">
        <v>2116</v>
      </c>
      <c r="C3159" s="26" t="s">
        <v>125</v>
      </c>
      <c r="D3159" s="26" t="s">
        <v>2117</v>
      </c>
      <c r="E3159" s="26">
        <v>94.0</v>
      </c>
      <c r="F3159" s="26" t="s">
        <v>485</v>
      </c>
      <c r="G3159" s="26">
        <v>10.0</v>
      </c>
      <c r="H3159" s="26">
        <v>6.0</v>
      </c>
      <c r="N3159" s="26" t="s">
        <v>1368</v>
      </c>
    </row>
    <row r="3160">
      <c r="A3160" s="25">
        <v>43401.85919909722</v>
      </c>
      <c r="B3160" s="26" t="s">
        <v>80</v>
      </c>
      <c r="C3160" s="26" t="s">
        <v>176</v>
      </c>
      <c r="D3160" s="26" t="s">
        <v>31</v>
      </c>
      <c r="E3160" s="26">
        <v>370.0</v>
      </c>
      <c r="F3160" s="26" t="s">
        <v>51</v>
      </c>
      <c r="G3160" s="26">
        <v>5.0</v>
      </c>
      <c r="H3160" s="26">
        <v>5.0</v>
      </c>
      <c r="I3160" s="26">
        <v>178.0</v>
      </c>
      <c r="J3160" s="26">
        <v>160.0</v>
      </c>
      <c r="K3160" s="26">
        <v>32.0</v>
      </c>
      <c r="N3160" s="26" t="s">
        <v>691</v>
      </c>
    </row>
    <row r="3161">
      <c r="A3161" s="25">
        <v>43401.9400774074</v>
      </c>
      <c r="B3161" s="26" t="s">
        <v>40</v>
      </c>
      <c r="C3161" s="26">
        <v>60.0</v>
      </c>
      <c r="D3161" s="26" t="s">
        <v>31</v>
      </c>
      <c r="E3161" s="26">
        <v>119.0</v>
      </c>
      <c r="F3161" s="26" t="s">
        <v>302</v>
      </c>
      <c r="G3161" s="26">
        <v>1.0</v>
      </c>
      <c r="H3161" s="26">
        <v>1.0</v>
      </c>
      <c r="N3161" s="26" t="s">
        <v>683</v>
      </c>
    </row>
    <row r="3162">
      <c r="A3162" s="25">
        <v>43401.98340946759</v>
      </c>
      <c r="B3162" s="26" t="s">
        <v>119</v>
      </c>
      <c r="C3162" s="26" t="s">
        <v>484</v>
      </c>
      <c r="D3162" s="26" t="s">
        <v>31</v>
      </c>
      <c r="E3162" s="26">
        <v>157.0</v>
      </c>
      <c r="F3162" s="26" t="s">
        <v>32</v>
      </c>
      <c r="G3162" s="26">
        <v>7.0</v>
      </c>
      <c r="H3162" s="26">
        <v>2.5</v>
      </c>
      <c r="I3162" s="26">
        <v>134.0</v>
      </c>
      <c r="J3162" s="26">
        <v>10.0</v>
      </c>
      <c r="K3162" s="26">
        <v>13.0</v>
      </c>
      <c r="N3162" s="26" t="s">
        <v>757</v>
      </c>
    </row>
    <row r="3163">
      <c r="A3163" s="25">
        <v>43401.98345273148</v>
      </c>
      <c r="B3163" s="26" t="s">
        <v>188</v>
      </c>
      <c r="C3163" s="26">
        <v>4.0</v>
      </c>
      <c r="D3163" s="26" t="s">
        <v>31</v>
      </c>
      <c r="E3163" s="26">
        <v>360.0</v>
      </c>
      <c r="F3163" s="26" t="s">
        <v>140</v>
      </c>
      <c r="G3163" s="26">
        <v>5.0</v>
      </c>
      <c r="H3163" s="26">
        <v>2.0</v>
      </c>
      <c r="I3163" s="26">
        <v>190.0</v>
      </c>
      <c r="J3163" s="26">
        <v>160.0</v>
      </c>
      <c r="N3163" s="26" t="s">
        <v>699</v>
      </c>
    </row>
    <row r="3164">
      <c r="A3164" s="25">
        <v>43402.29982259259</v>
      </c>
      <c r="B3164" s="26" t="s">
        <v>452</v>
      </c>
      <c r="C3164" s="26" t="s">
        <v>2118</v>
      </c>
      <c r="D3164" s="26" t="s">
        <v>31</v>
      </c>
      <c r="E3164" s="26">
        <v>170.0</v>
      </c>
      <c r="F3164" s="26" t="s">
        <v>178</v>
      </c>
      <c r="G3164" s="26">
        <v>5.0</v>
      </c>
      <c r="H3164" s="26">
        <v>1.0</v>
      </c>
      <c r="I3164" s="26">
        <v>140.0</v>
      </c>
      <c r="J3164" s="26">
        <v>20.0</v>
      </c>
      <c r="K3164" s="26">
        <v>10.0</v>
      </c>
      <c r="N3164" s="26" t="s">
        <v>683</v>
      </c>
    </row>
    <row r="3165">
      <c r="A3165" s="25">
        <v>43402.31711533565</v>
      </c>
      <c r="B3165" s="26" t="s">
        <v>40</v>
      </c>
      <c r="C3165" s="26">
        <v>63.0</v>
      </c>
      <c r="D3165" s="26" t="s">
        <v>31</v>
      </c>
      <c r="E3165" s="26">
        <v>222.0</v>
      </c>
      <c r="F3165" s="26" t="s">
        <v>86</v>
      </c>
      <c r="G3165" s="26">
        <v>4.0</v>
      </c>
      <c r="H3165" s="26">
        <v>1.0</v>
      </c>
      <c r="I3165" s="26">
        <v>150.0</v>
      </c>
      <c r="J3165" s="26">
        <v>52.0</v>
      </c>
      <c r="K3165" s="26">
        <v>20.0</v>
      </c>
      <c r="N3165" s="26" t="s">
        <v>687</v>
      </c>
    </row>
    <row r="3166">
      <c r="A3166" s="25">
        <v>43402.392515879634</v>
      </c>
      <c r="B3166" s="26" t="s">
        <v>80</v>
      </c>
      <c r="C3166" s="26" t="s">
        <v>179</v>
      </c>
      <c r="D3166" s="26" t="s">
        <v>31</v>
      </c>
      <c r="E3166" s="26">
        <v>160.0</v>
      </c>
      <c r="F3166" s="26" t="s">
        <v>51</v>
      </c>
      <c r="G3166" s="26">
        <v>2.0</v>
      </c>
      <c r="H3166" s="26">
        <v>0.0</v>
      </c>
      <c r="I3166" s="26">
        <v>120.0</v>
      </c>
      <c r="J3166" s="26">
        <v>15.0</v>
      </c>
      <c r="K3166" s="26">
        <v>25.0</v>
      </c>
      <c r="N3166" s="26" t="s">
        <v>683</v>
      </c>
    </row>
    <row r="3167">
      <c r="A3167" s="25">
        <v>43402.39252981481</v>
      </c>
      <c r="B3167" s="26" t="s">
        <v>40</v>
      </c>
      <c r="C3167" s="26">
        <v>60.0</v>
      </c>
      <c r="D3167" s="26" t="s">
        <v>31</v>
      </c>
      <c r="E3167" s="26">
        <v>120.0</v>
      </c>
      <c r="F3167" s="26" t="s">
        <v>44</v>
      </c>
      <c r="G3167" s="26">
        <v>1.0</v>
      </c>
      <c r="H3167" s="26">
        <v>1.0</v>
      </c>
      <c r="I3167" s="26">
        <v>75.0</v>
      </c>
      <c r="J3167" s="26">
        <v>38.0</v>
      </c>
      <c r="K3167" s="26">
        <v>10.0</v>
      </c>
      <c r="N3167" s="26" t="s">
        <v>691</v>
      </c>
    </row>
    <row r="3168">
      <c r="A3168" s="25">
        <v>43402.40718310185</v>
      </c>
      <c r="B3168" s="26" t="s">
        <v>170</v>
      </c>
      <c r="C3168" s="26" t="s">
        <v>590</v>
      </c>
      <c r="D3168" s="26" t="s">
        <v>31</v>
      </c>
      <c r="E3168" s="26">
        <v>115.0</v>
      </c>
      <c r="F3168" s="26" t="s">
        <v>2119</v>
      </c>
      <c r="G3168" s="26">
        <v>5.0</v>
      </c>
      <c r="H3168" s="26">
        <v>2.0</v>
      </c>
      <c r="N3168" s="26" t="s">
        <v>751</v>
      </c>
    </row>
    <row r="3169">
      <c r="A3169" s="25">
        <v>43402.4336405787</v>
      </c>
      <c r="B3169" s="26" t="s">
        <v>1325</v>
      </c>
      <c r="C3169" s="26">
        <v>64.0</v>
      </c>
      <c r="D3169" s="26" t="s">
        <v>27</v>
      </c>
      <c r="E3169" s="26">
        <v>230.0</v>
      </c>
      <c r="F3169" s="26" t="s">
        <v>1760</v>
      </c>
      <c r="G3169" s="26">
        <v>6.0</v>
      </c>
      <c r="H3169" s="26">
        <v>3.0</v>
      </c>
      <c r="I3169" s="26">
        <v>170.0</v>
      </c>
      <c r="J3169" s="26">
        <v>30.0</v>
      </c>
      <c r="K3169" s="26">
        <v>30.0</v>
      </c>
      <c r="N3169" s="26" t="s">
        <v>685</v>
      </c>
    </row>
    <row r="3170">
      <c r="A3170" s="25">
        <v>43402.58062055556</v>
      </c>
      <c r="B3170" s="26" t="s">
        <v>2120</v>
      </c>
      <c r="C3170" s="26" t="s">
        <v>37</v>
      </c>
      <c r="D3170" s="26" t="s">
        <v>31</v>
      </c>
      <c r="E3170" s="26">
        <v>50.0</v>
      </c>
      <c r="F3170" s="26" t="s">
        <v>52</v>
      </c>
      <c r="G3170" s="26">
        <v>2.0</v>
      </c>
      <c r="H3170" s="26">
        <v>2.0</v>
      </c>
      <c r="N3170" s="26" t="s">
        <v>728</v>
      </c>
    </row>
    <row r="3171">
      <c r="A3171" s="25">
        <v>43402.62702768519</v>
      </c>
      <c r="B3171" s="26" t="s">
        <v>40</v>
      </c>
      <c r="C3171" s="26">
        <v>64.0</v>
      </c>
      <c r="D3171" s="26" t="s">
        <v>31</v>
      </c>
      <c r="E3171" s="26">
        <v>235.0</v>
      </c>
      <c r="F3171" s="26" t="s">
        <v>35</v>
      </c>
      <c r="G3171" s="26">
        <v>12.0</v>
      </c>
      <c r="H3171" s="26">
        <v>11.0</v>
      </c>
      <c r="I3171" s="26">
        <v>170.0</v>
      </c>
      <c r="J3171" s="26">
        <v>30.0</v>
      </c>
      <c r="K3171" s="26">
        <v>35.0</v>
      </c>
      <c r="N3171" s="26" t="s">
        <v>683</v>
      </c>
    </row>
    <row r="3172">
      <c r="A3172" s="25">
        <v>43402.65281027778</v>
      </c>
      <c r="B3172" s="26" t="s">
        <v>170</v>
      </c>
      <c r="C3172" s="26" t="s">
        <v>572</v>
      </c>
      <c r="D3172" s="26" t="s">
        <v>31</v>
      </c>
      <c r="E3172" s="26">
        <v>165.0</v>
      </c>
      <c r="F3172" s="26" t="s">
        <v>453</v>
      </c>
      <c r="G3172" s="26">
        <v>8.0</v>
      </c>
      <c r="H3172" s="26">
        <v>8.0</v>
      </c>
      <c r="N3172" s="26" t="s">
        <v>704</v>
      </c>
    </row>
    <row r="3173">
      <c r="A3173" s="25">
        <v>43402.684636273145</v>
      </c>
      <c r="B3173" s="26" t="s">
        <v>350</v>
      </c>
      <c r="C3173" s="26" t="s">
        <v>1119</v>
      </c>
      <c r="D3173" s="26" t="s">
        <v>31</v>
      </c>
      <c r="E3173" s="26">
        <v>115.0</v>
      </c>
      <c r="F3173" s="26" t="s">
        <v>32</v>
      </c>
      <c r="G3173" s="26">
        <v>2.0</v>
      </c>
      <c r="H3173" s="26">
        <v>2.0</v>
      </c>
      <c r="N3173" s="26" t="s">
        <v>683</v>
      </c>
    </row>
    <row r="3174">
      <c r="A3174" s="25">
        <v>43402.69228127315</v>
      </c>
      <c r="B3174" s="26" t="s">
        <v>40</v>
      </c>
      <c r="C3174" s="26" t="s">
        <v>824</v>
      </c>
      <c r="D3174" s="26" t="s">
        <v>31</v>
      </c>
      <c r="E3174" s="26">
        <v>183.0</v>
      </c>
      <c r="F3174" s="26" t="s">
        <v>75</v>
      </c>
      <c r="G3174" s="26">
        <v>0.0</v>
      </c>
      <c r="H3174" s="26">
        <v>0.0</v>
      </c>
      <c r="I3174" s="26">
        <v>109.0</v>
      </c>
      <c r="J3174" s="26">
        <v>34.0</v>
      </c>
      <c r="K3174" s="26">
        <v>40.0</v>
      </c>
      <c r="N3174" s="26" t="s">
        <v>704</v>
      </c>
    </row>
    <row r="3175">
      <c r="A3175" s="25">
        <v>43402.71267494213</v>
      </c>
      <c r="B3175" s="26" t="s">
        <v>1600</v>
      </c>
      <c r="C3175" s="26" t="s">
        <v>985</v>
      </c>
      <c r="D3175" s="26" t="s">
        <v>2121</v>
      </c>
      <c r="E3175" s="26">
        <v>163.0</v>
      </c>
      <c r="F3175" s="26" t="s">
        <v>2115</v>
      </c>
      <c r="G3175" s="26">
        <v>12.0</v>
      </c>
      <c r="H3175" s="26">
        <v>5.0</v>
      </c>
      <c r="I3175" s="26">
        <v>138.0</v>
      </c>
      <c r="K3175" s="26">
        <v>25.0</v>
      </c>
      <c r="N3175" s="26" t="s">
        <v>2122</v>
      </c>
    </row>
    <row r="3176">
      <c r="A3176" s="25">
        <v>43402.769038495375</v>
      </c>
      <c r="B3176" s="26" t="s">
        <v>80</v>
      </c>
      <c r="C3176" s="26" t="s">
        <v>26</v>
      </c>
      <c r="D3176" s="26" t="s">
        <v>31</v>
      </c>
      <c r="E3176" s="26">
        <v>224.0</v>
      </c>
      <c r="F3176" s="26" t="s">
        <v>35</v>
      </c>
      <c r="G3176" s="26">
        <v>8.0</v>
      </c>
      <c r="H3176" s="26">
        <v>0.0</v>
      </c>
      <c r="I3176" s="26">
        <v>130.0</v>
      </c>
      <c r="J3176" s="26">
        <v>75.0</v>
      </c>
      <c r="K3176" s="26">
        <v>19.0</v>
      </c>
      <c r="N3176" s="26" t="s">
        <v>757</v>
      </c>
    </row>
    <row r="3177">
      <c r="A3177" s="25">
        <v>43402.77692185185</v>
      </c>
      <c r="B3177" s="26" t="s">
        <v>2123</v>
      </c>
      <c r="C3177" s="26" t="s">
        <v>2124</v>
      </c>
      <c r="D3177" s="26" t="s">
        <v>31</v>
      </c>
      <c r="E3177" s="26">
        <v>100.0</v>
      </c>
      <c r="F3177" s="26" t="s">
        <v>1270</v>
      </c>
      <c r="G3177" s="26">
        <v>2.0</v>
      </c>
      <c r="H3177" s="26">
        <v>6.0</v>
      </c>
      <c r="N3177" s="26" t="s">
        <v>699</v>
      </c>
    </row>
    <row r="3178">
      <c r="A3178" s="25">
        <v>43402.80459579861</v>
      </c>
      <c r="B3178" s="26" t="s">
        <v>371</v>
      </c>
      <c r="C3178" s="26" t="s">
        <v>372</v>
      </c>
      <c r="D3178" s="26" t="s">
        <v>31</v>
      </c>
      <c r="E3178" s="26">
        <v>200.0</v>
      </c>
      <c r="F3178" s="26" t="s">
        <v>459</v>
      </c>
      <c r="G3178" s="26">
        <v>8.0</v>
      </c>
      <c r="H3178" s="26">
        <v>6.0</v>
      </c>
      <c r="I3178" s="26">
        <v>144.0</v>
      </c>
      <c r="J3178" s="26">
        <v>40.0</v>
      </c>
      <c r="K3178" s="26">
        <v>16.0</v>
      </c>
      <c r="N3178" s="26" t="s">
        <v>2125</v>
      </c>
    </row>
    <row r="3179">
      <c r="A3179" s="25">
        <v>43402.86696652778</v>
      </c>
      <c r="B3179" s="26" t="s">
        <v>80</v>
      </c>
      <c r="C3179" s="26" t="s">
        <v>43</v>
      </c>
      <c r="D3179" s="26" t="s">
        <v>31</v>
      </c>
      <c r="E3179" s="26">
        <v>418.0</v>
      </c>
      <c r="F3179" s="26" t="s">
        <v>35</v>
      </c>
      <c r="G3179" s="26">
        <v>17.0</v>
      </c>
      <c r="H3179" s="26">
        <v>7.0</v>
      </c>
      <c r="I3179" s="26">
        <v>191.0</v>
      </c>
      <c r="J3179" s="26">
        <v>185.0</v>
      </c>
      <c r="K3179" s="26">
        <v>42.0</v>
      </c>
      <c r="N3179" s="26" t="s">
        <v>685</v>
      </c>
    </row>
    <row r="3180">
      <c r="A3180" s="25">
        <v>43402.945774074076</v>
      </c>
      <c r="B3180" s="26" t="s">
        <v>371</v>
      </c>
      <c r="C3180" s="26" t="s">
        <v>372</v>
      </c>
      <c r="D3180" s="26" t="s">
        <v>2126</v>
      </c>
      <c r="E3180" s="26">
        <v>160.0</v>
      </c>
      <c r="F3180" s="26" t="s">
        <v>453</v>
      </c>
      <c r="G3180" s="26">
        <v>8.0</v>
      </c>
      <c r="H3180" s="26">
        <v>7.0</v>
      </c>
      <c r="I3180" s="26">
        <v>137.0</v>
      </c>
      <c r="J3180" s="26">
        <v>9.0</v>
      </c>
      <c r="K3180" s="26">
        <v>14.0</v>
      </c>
      <c r="N3180" s="26" t="s">
        <v>1163</v>
      </c>
    </row>
    <row r="3181">
      <c r="A3181" s="25">
        <v>43402.97005561343</v>
      </c>
      <c r="B3181" s="26" t="s">
        <v>2127</v>
      </c>
      <c r="C3181" s="26" t="s">
        <v>737</v>
      </c>
      <c r="D3181" s="26" t="s">
        <v>31</v>
      </c>
      <c r="E3181" s="26">
        <v>202.0</v>
      </c>
      <c r="F3181" s="26" t="s">
        <v>2128</v>
      </c>
      <c r="G3181" s="26">
        <v>5.0</v>
      </c>
      <c r="H3181" s="26">
        <v>3.0</v>
      </c>
      <c r="I3181" s="26">
        <v>170.0</v>
      </c>
      <c r="J3181" s="26">
        <v>12.0</v>
      </c>
      <c r="K3181" s="26">
        <v>20.0</v>
      </c>
      <c r="N3181" s="26" t="s">
        <v>683</v>
      </c>
    </row>
    <row r="3182">
      <c r="A3182" s="25">
        <v>43402.987948587965</v>
      </c>
      <c r="B3182" s="26" t="s">
        <v>33</v>
      </c>
      <c r="C3182" s="26" t="s">
        <v>76</v>
      </c>
      <c r="D3182" s="26" t="s">
        <v>31</v>
      </c>
      <c r="E3182" s="26">
        <v>195.0</v>
      </c>
      <c r="F3182" s="26" t="s">
        <v>320</v>
      </c>
      <c r="G3182" s="26">
        <v>7.0</v>
      </c>
      <c r="H3182" s="26">
        <v>0.5</v>
      </c>
      <c r="I3182" s="26">
        <v>145.0</v>
      </c>
      <c r="K3182" s="26">
        <v>50.0</v>
      </c>
      <c r="N3182" s="26" t="s">
        <v>699</v>
      </c>
    </row>
    <row r="3183">
      <c r="A3183" s="25">
        <v>43403.06876253472</v>
      </c>
      <c r="B3183" s="26" t="s">
        <v>256</v>
      </c>
      <c r="C3183" s="26" t="s">
        <v>184</v>
      </c>
      <c r="D3183" s="26" t="s">
        <v>31</v>
      </c>
      <c r="E3183" s="26">
        <v>300.0</v>
      </c>
      <c r="F3183" s="26" t="s">
        <v>63</v>
      </c>
      <c r="G3183" s="26">
        <v>5.0</v>
      </c>
      <c r="H3183" s="26">
        <v>1.5</v>
      </c>
      <c r="N3183" s="26" t="s">
        <v>685</v>
      </c>
    </row>
    <row r="3184">
      <c r="A3184" s="25">
        <v>43403.285583969904</v>
      </c>
      <c r="B3184" s="26" t="s">
        <v>80</v>
      </c>
      <c r="C3184" s="26" t="s">
        <v>73</v>
      </c>
      <c r="D3184" s="26" t="s">
        <v>31</v>
      </c>
      <c r="E3184" s="26">
        <v>295.0</v>
      </c>
      <c r="F3184" s="26" t="s">
        <v>51</v>
      </c>
      <c r="G3184" s="26">
        <v>13.0</v>
      </c>
      <c r="H3184" s="26">
        <v>0.0</v>
      </c>
      <c r="I3184" s="26">
        <v>160.0</v>
      </c>
      <c r="J3184" s="26">
        <v>110.0</v>
      </c>
      <c r="K3184" s="26">
        <v>25.0</v>
      </c>
      <c r="N3184" s="26" t="s">
        <v>2129</v>
      </c>
    </row>
    <row r="3185">
      <c r="A3185" s="25">
        <v>43403.410995115744</v>
      </c>
      <c r="B3185" s="26" t="s">
        <v>119</v>
      </c>
      <c r="C3185" s="26">
        <v>6.0</v>
      </c>
      <c r="D3185" s="26" t="s">
        <v>2130</v>
      </c>
      <c r="E3185" s="26">
        <v>143.0</v>
      </c>
      <c r="F3185" s="26" t="s">
        <v>32</v>
      </c>
      <c r="G3185" s="26">
        <v>10.0</v>
      </c>
      <c r="H3185" s="26">
        <v>3.0</v>
      </c>
      <c r="N3185" s="26" t="s">
        <v>2131</v>
      </c>
    </row>
    <row r="3186">
      <c r="A3186" s="25">
        <v>43403.43061365741</v>
      </c>
      <c r="B3186" s="26" t="s">
        <v>2132</v>
      </c>
      <c r="C3186" s="26" t="s">
        <v>2133</v>
      </c>
      <c r="D3186" s="26" t="s">
        <v>31</v>
      </c>
      <c r="E3186" s="26">
        <v>140.0</v>
      </c>
      <c r="F3186" s="26" t="s">
        <v>35</v>
      </c>
      <c r="G3186" s="26">
        <v>6.0</v>
      </c>
      <c r="H3186" s="26">
        <v>6.0</v>
      </c>
      <c r="I3186" s="26">
        <v>134.0</v>
      </c>
      <c r="K3186" s="26">
        <v>6.0</v>
      </c>
      <c r="N3186" s="26" t="s">
        <v>2134</v>
      </c>
    </row>
    <row r="3187">
      <c r="A3187" s="25">
        <v>43403.5780665625</v>
      </c>
      <c r="B3187" s="26" t="s">
        <v>40</v>
      </c>
      <c r="C3187" s="26">
        <v>65.0</v>
      </c>
      <c r="D3187" s="26" t="s">
        <v>27</v>
      </c>
      <c r="E3187" s="26">
        <v>340.0</v>
      </c>
      <c r="F3187" s="26" t="s">
        <v>75</v>
      </c>
      <c r="G3187" s="26">
        <v>16.0</v>
      </c>
      <c r="H3187" s="26">
        <v>16.0</v>
      </c>
      <c r="I3187" s="26">
        <v>180.0</v>
      </c>
      <c r="J3187" s="26">
        <v>100.0</v>
      </c>
      <c r="K3187" s="26">
        <v>60.0</v>
      </c>
      <c r="N3187" s="26" t="s">
        <v>683</v>
      </c>
    </row>
    <row r="3188">
      <c r="A3188" s="25">
        <v>43403.596893622685</v>
      </c>
      <c r="B3188" s="26" t="s">
        <v>40</v>
      </c>
      <c r="C3188" s="26">
        <v>62.0</v>
      </c>
      <c r="D3188" s="26" t="s">
        <v>31</v>
      </c>
      <c r="E3188" s="26">
        <v>181.0</v>
      </c>
      <c r="F3188" s="26" t="s">
        <v>75</v>
      </c>
      <c r="G3188" s="26">
        <v>13.0</v>
      </c>
      <c r="H3188" s="26">
        <v>0.0</v>
      </c>
      <c r="I3188" s="26">
        <v>145.0</v>
      </c>
      <c r="J3188" s="26">
        <v>7.0</v>
      </c>
      <c r="K3188" s="26">
        <v>29.0</v>
      </c>
      <c r="N3188" s="26" t="s">
        <v>704</v>
      </c>
    </row>
    <row r="3189">
      <c r="A3189" s="25">
        <v>43403.604679282405</v>
      </c>
      <c r="B3189" s="26" t="s">
        <v>80</v>
      </c>
      <c r="C3189" s="26" t="s">
        <v>69</v>
      </c>
      <c r="D3189" s="26" t="s">
        <v>2135</v>
      </c>
      <c r="E3189" s="26">
        <v>150.0</v>
      </c>
      <c r="F3189" s="26" t="s">
        <v>199</v>
      </c>
      <c r="G3189" s="26">
        <v>4.0</v>
      </c>
      <c r="H3189" s="26">
        <v>4.0</v>
      </c>
      <c r="I3189" s="26">
        <v>110.0</v>
      </c>
      <c r="J3189" s="26">
        <v>25.0</v>
      </c>
      <c r="K3189" s="26">
        <v>15.0</v>
      </c>
      <c r="N3189" s="26" t="s">
        <v>2136</v>
      </c>
    </row>
    <row r="3190">
      <c r="A3190" s="25">
        <v>43403.68074560185</v>
      </c>
      <c r="B3190" s="26" t="s">
        <v>2098</v>
      </c>
      <c r="C3190" s="26" t="s">
        <v>37</v>
      </c>
      <c r="D3190" s="26" t="s">
        <v>713</v>
      </c>
      <c r="E3190" s="26">
        <v>215.0</v>
      </c>
      <c r="F3190" s="26" t="s">
        <v>1074</v>
      </c>
      <c r="G3190" s="26">
        <v>10.0</v>
      </c>
      <c r="H3190" s="26">
        <v>3.0</v>
      </c>
      <c r="I3190" s="26">
        <v>145.0</v>
      </c>
      <c r="J3190" s="26">
        <v>30.0</v>
      </c>
      <c r="K3190" s="26">
        <v>40.0</v>
      </c>
      <c r="N3190" s="26" t="s">
        <v>708</v>
      </c>
    </row>
    <row r="3191">
      <c r="A3191" s="25">
        <v>43403.7109</v>
      </c>
      <c r="B3191" s="26" t="s">
        <v>268</v>
      </c>
      <c r="C3191" s="26" t="s">
        <v>1198</v>
      </c>
      <c r="D3191" s="26" t="s">
        <v>31</v>
      </c>
      <c r="E3191" s="26">
        <v>132.0</v>
      </c>
      <c r="F3191" s="26" t="s">
        <v>238</v>
      </c>
      <c r="G3191" s="26">
        <v>3.0</v>
      </c>
      <c r="H3191" s="26">
        <v>3.0</v>
      </c>
      <c r="I3191" s="26">
        <v>117.0</v>
      </c>
      <c r="J3191" s="26">
        <v>6.0</v>
      </c>
      <c r="K3191" s="26">
        <v>9.0</v>
      </c>
      <c r="N3191" s="26" t="s">
        <v>728</v>
      </c>
    </row>
    <row r="3192">
      <c r="A3192" s="25">
        <v>43403.834112916666</v>
      </c>
      <c r="B3192" s="26" t="s">
        <v>33</v>
      </c>
      <c r="C3192" s="26" t="s">
        <v>62</v>
      </c>
      <c r="D3192" s="26" t="s">
        <v>1225</v>
      </c>
      <c r="E3192" s="26">
        <v>220.0</v>
      </c>
      <c r="F3192" s="26" t="s">
        <v>32</v>
      </c>
      <c r="G3192" s="26">
        <v>5.0</v>
      </c>
      <c r="H3192" s="26">
        <v>2.0</v>
      </c>
      <c r="N3192" s="26" t="s">
        <v>1336</v>
      </c>
    </row>
    <row r="3193">
      <c r="A3193" s="25">
        <v>43403.91537962963</v>
      </c>
      <c r="B3193" s="26" t="s">
        <v>80</v>
      </c>
      <c r="C3193" s="26" t="s">
        <v>179</v>
      </c>
      <c r="D3193" s="26" t="s">
        <v>31</v>
      </c>
      <c r="E3193" s="26">
        <v>154.0</v>
      </c>
      <c r="F3193" s="26" t="s">
        <v>178</v>
      </c>
      <c r="G3193" s="26">
        <v>1.0</v>
      </c>
      <c r="H3193" s="26">
        <v>0.0</v>
      </c>
      <c r="I3193" s="26">
        <v>110.0</v>
      </c>
      <c r="J3193" s="26">
        <v>25.0</v>
      </c>
      <c r="K3193" s="26">
        <v>19.0</v>
      </c>
      <c r="L3193" s="26" t="s">
        <v>2137</v>
      </c>
      <c r="N3193" s="26" t="s">
        <v>685</v>
      </c>
    </row>
    <row r="3194">
      <c r="A3194" s="25">
        <v>43404.19529567129</v>
      </c>
      <c r="B3194" s="26" t="s">
        <v>722</v>
      </c>
      <c r="C3194" s="26" t="s">
        <v>2138</v>
      </c>
      <c r="D3194" s="26" t="s">
        <v>2139</v>
      </c>
      <c r="E3194" s="26">
        <v>121.0</v>
      </c>
      <c r="F3194" s="26" t="s">
        <v>35</v>
      </c>
      <c r="G3194" s="26">
        <v>1.0</v>
      </c>
      <c r="H3194" s="26">
        <v>7.0</v>
      </c>
      <c r="I3194" s="26">
        <v>96.0</v>
      </c>
      <c r="J3194" s="26">
        <v>7.0</v>
      </c>
      <c r="K3194" s="26">
        <v>18.0</v>
      </c>
      <c r="N3194" s="26" t="s">
        <v>2140</v>
      </c>
    </row>
    <row r="3195">
      <c r="A3195" s="25">
        <v>43404.34391539352</v>
      </c>
      <c r="B3195" s="26" t="s">
        <v>154</v>
      </c>
      <c r="C3195" s="26" t="s">
        <v>2141</v>
      </c>
      <c r="D3195" s="26" t="s">
        <v>31</v>
      </c>
      <c r="E3195" s="26">
        <v>200.0</v>
      </c>
      <c r="F3195" s="26" t="s">
        <v>1165</v>
      </c>
      <c r="G3195" s="26">
        <v>15.0</v>
      </c>
      <c r="H3195" s="26">
        <v>7.0</v>
      </c>
      <c r="I3195" s="26">
        <v>148.0</v>
      </c>
      <c r="J3195" s="26">
        <v>25.0</v>
      </c>
      <c r="K3195" s="26">
        <v>27.0</v>
      </c>
      <c r="N3195" s="26" t="s">
        <v>704</v>
      </c>
    </row>
    <row r="3196">
      <c r="A3196" s="25">
        <v>43404.42467623843</v>
      </c>
      <c r="B3196" s="26" t="s">
        <v>2142</v>
      </c>
      <c r="C3196" s="26" t="s">
        <v>2143</v>
      </c>
      <c r="D3196" s="26" t="s">
        <v>2144</v>
      </c>
      <c r="E3196" s="26">
        <v>45.0</v>
      </c>
      <c r="F3196" s="26" t="s">
        <v>1014</v>
      </c>
      <c r="G3196" s="26">
        <v>2.0</v>
      </c>
      <c r="H3196" s="26">
        <v>2.0</v>
      </c>
      <c r="I3196" s="26">
        <v>40.0</v>
      </c>
      <c r="K3196" s="26">
        <v>5.0</v>
      </c>
      <c r="N3196" s="26" t="s">
        <v>2145</v>
      </c>
    </row>
    <row r="3197">
      <c r="A3197" s="25">
        <v>43404.483640833336</v>
      </c>
      <c r="B3197" s="26" t="s">
        <v>40</v>
      </c>
      <c r="C3197" s="26">
        <v>64.0</v>
      </c>
      <c r="D3197" s="26" t="s">
        <v>31</v>
      </c>
      <c r="E3197" s="26">
        <v>232.0</v>
      </c>
      <c r="F3197" s="26" t="s">
        <v>35</v>
      </c>
      <c r="G3197" s="26">
        <v>8.0</v>
      </c>
      <c r="H3197" s="26">
        <v>8.0</v>
      </c>
      <c r="I3197" s="26">
        <v>173.0</v>
      </c>
      <c r="J3197" s="26">
        <v>29.0</v>
      </c>
      <c r="K3197" s="26">
        <v>30.0</v>
      </c>
      <c r="N3197" s="26" t="s">
        <v>683</v>
      </c>
    </row>
    <row r="3198">
      <c r="A3198" s="25">
        <v>43404.56082545139</v>
      </c>
      <c r="B3198" s="26" t="s">
        <v>170</v>
      </c>
      <c r="C3198" s="26">
        <v>6.0</v>
      </c>
      <c r="D3198" s="26" t="s">
        <v>31</v>
      </c>
      <c r="E3198" s="26">
        <v>130.0</v>
      </c>
      <c r="F3198" s="26" t="s">
        <v>2146</v>
      </c>
      <c r="G3198" s="26">
        <v>7.0</v>
      </c>
      <c r="H3198" s="26">
        <v>3.0</v>
      </c>
      <c r="I3198" s="26">
        <v>115.0</v>
      </c>
      <c r="J3198" s="26">
        <v>2.0</v>
      </c>
      <c r="K3198" s="26">
        <v>15.0</v>
      </c>
      <c r="N3198" s="26" t="s">
        <v>691</v>
      </c>
    </row>
    <row r="3199">
      <c r="A3199" s="25">
        <v>43404.573274421295</v>
      </c>
      <c r="B3199" s="26" t="s">
        <v>40</v>
      </c>
      <c r="C3199" s="26">
        <v>61.0</v>
      </c>
      <c r="D3199" s="26" t="s">
        <v>31</v>
      </c>
      <c r="E3199" s="26">
        <v>185.0</v>
      </c>
      <c r="F3199" s="26" t="s">
        <v>75</v>
      </c>
      <c r="G3199" s="26">
        <v>0.0</v>
      </c>
      <c r="H3199" s="26">
        <v>0.0</v>
      </c>
      <c r="I3199" s="26">
        <v>130.0</v>
      </c>
      <c r="J3199" s="26">
        <v>45.0</v>
      </c>
      <c r="K3199" s="26">
        <v>12.0</v>
      </c>
      <c r="N3199" s="26" t="s">
        <v>704</v>
      </c>
    </row>
    <row r="3200">
      <c r="A3200" s="25">
        <v>43404.613222685184</v>
      </c>
      <c r="B3200" s="26" t="s">
        <v>40</v>
      </c>
      <c r="C3200" s="26">
        <v>59.0</v>
      </c>
      <c r="D3200" s="26" t="s">
        <v>31</v>
      </c>
      <c r="E3200" s="26">
        <v>15.0</v>
      </c>
      <c r="F3200" s="26" t="s">
        <v>35</v>
      </c>
      <c r="G3200" s="26">
        <v>0.0</v>
      </c>
      <c r="H3200" s="26">
        <v>0.0</v>
      </c>
      <c r="I3200" s="26">
        <v>109.0</v>
      </c>
      <c r="J3200" s="26">
        <v>4.0</v>
      </c>
      <c r="N3200" s="26" t="s">
        <v>683</v>
      </c>
    </row>
    <row r="3201">
      <c r="A3201" s="25">
        <v>43404.64766043982</v>
      </c>
      <c r="B3201" s="26" t="s">
        <v>40</v>
      </c>
      <c r="C3201" s="26">
        <v>67.0</v>
      </c>
      <c r="D3201" s="26" t="s">
        <v>41</v>
      </c>
      <c r="E3201" s="26">
        <v>520.0</v>
      </c>
      <c r="F3201" s="26" t="s">
        <v>86</v>
      </c>
      <c r="G3201" s="26">
        <v>20.0</v>
      </c>
      <c r="H3201" s="26">
        <v>20.0</v>
      </c>
      <c r="I3201" s="26">
        <v>240.0</v>
      </c>
      <c r="J3201" s="26">
        <v>80.0</v>
      </c>
      <c r="K3201" s="26">
        <v>200.0</v>
      </c>
      <c r="N3201" s="26" t="s">
        <v>691</v>
      </c>
    </row>
    <row r="3202">
      <c r="A3202" s="25">
        <v>43404.65028141203</v>
      </c>
      <c r="B3202" s="26" t="s">
        <v>33</v>
      </c>
      <c r="C3202" s="26" t="s">
        <v>43</v>
      </c>
      <c r="D3202" s="26" t="s">
        <v>31</v>
      </c>
      <c r="E3202" s="26">
        <v>246.0</v>
      </c>
      <c r="F3202" s="26" t="s">
        <v>94</v>
      </c>
      <c r="G3202" s="26">
        <v>6.0</v>
      </c>
      <c r="H3202" s="26">
        <v>3.0</v>
      </c>
      <c r="I3202" s="26">
        <v>147.0</v>
      </c>
      <c r="J3202" s="26">
        <v>41.0</v>
      </c>
      <c r="K3202" s="26">
        <v>13.0</v>
      </c>
      <c r="N3202" s="26" t="s">
        <v>685</v>
      </c>
    </row>
    <row r="3203">
      <c r="A3203" s="25">
        <v>43404.65048689814</v>
      </c>
      <c r="B3203" s="26" t="s">
        <v>2147</v>
      </c>
      <c r="C3203" s="26" t="s">
        <v>818</v>
      </c>
      <c r="D3203" s="26" t="s">
        <v>31</v>
      </c>
      <c r="E3203" s="26">
        <v>145.0</v>
      </c>
      <c r="F3203" s="26" t="s">
        <v>58</v>
      </c>
      <c r="G3203" s="26">
        <v>3.0</v>
      </c>
      <c r="H3203" s="26">
        <v>1.0</v>
      </c>
      <c r="I3203" s="26">
        <v>145.0</v>
      </c>
      <c r="N3203" s="26" t="s">
        <v>683</v>
      </c>
    </row>
    <row r="3204">
      <c r="A3204" s="25">
        <v>43404.65637091435</v>
      </c>
      <c r="B3204" s="26" t="s">
        <v>48</v>
      </c>
      <c r="C3204" s="26" t="s">
        <v>69</v>
      </c>
      <c r="D3204" s="26" t="s">
        <v>31</v>
      </c>
      <c r="E3204" s="26">
        <v>157.0</v>
      </c>
      <c r="F3204" s="26" t="s">
        <v>415</v>
      </c>
      <c r="G3204" s="26">
        <v>0.0</v>
      </c>
      <c r="H3204" s="26">
        <v>0.0</v>
      </c>
      <c r="I3204" s="26">
        <v>110.0</v>
      </c>
      <c r="J3204" s="26">
        <v>37.0</v>
      </c>
      <c r="K3204" s="26">
        <v>11.0</v>
      </c>
      <c r="N3204" s="26" t="s">
        <v>683</v>
      </c>
    </row>
    <row r="3205">
      <c r="A3205" s="25">
        <v>43404.65716520834</v>
      </c>
      <c r="B3205" s="26" t="s">
        <v>48</v>
      </c>
      <c r="C3205" s="26" t="s">
        <v>69</v>
      </c>
      <c r="D3205" s="26" t="s">
        <v>31</v>
      </c>
      <c r="E3205" s="26">
        <v>166.0</v>
      </c>
      <c r="F3205" s="26" t="s">
        <v>415</v>
      </c>
      <c r="G3205" s="26">
        <v>0.0</v>
      </c>
      <c r="H3205" s="26">
        <v>0.0</v>
      </c>
      <c r="I3205" s="26">
        <v>115.0</v>
      </c>
      <c r="J3205" s="26">
        <v>40.0</v>
      </c>
      <c r="K3205" s="26">
        <v>11.0</v>
      </c>
      <c r="N3205" s="26" t="s">
        <v>691</v>
      </c>
    </row>
    <row r="3206">
      <c r="A3206" s="25">
        <v>43404.66013440972</v>
      </c>
      <c r="B3206" s="26" t="s">
        <v>40</v>
      </c>
      <c r="C3206" s="26">
        <v>59.0</v>
      </c>
      <c r="D3206" s="26" t="s">
        <v>31</v>
      </c>
      <c r="E3206" s="26">
        <v>157.0</v>
      </c>
      <c r="F3206" s="26" t="s">
        <v>75</v>
      </c>
      <c r="G3206" s="26">
        <v>0.0</v>
      </c>
      <c r="H3206" s="26">
        <v>0.0</v>
      </c>
      <c r="I3206" s="26">
        <v>109.0</v>
      </c>
      <c r="J3206" s="26">
        <v>18.0</v>
      </c>
      <c r="K3206" s="26">
        <v>30.0</v>
      </c>
      <c r="N3206" s="26" t="s">
        <v>683</v>
      </c>
    </row>
    <row r="3207">
      <c r="A3207" s="25">
        <v>43404.661408125</v>
      </c>
      <c r="B3207" s="26" t="s">
        <v>80</v>
      </c>
      <c r="C3207" s="26" t="s">
        <v>73</v>
      </c>
      <c r="D3207" s="26" t="s">
        <v>1225</v>
      </c>
      <c r="E3207" s="26">
        <v>235.0</v>
      </c>
      <c r="F3207" s="26" t="s">
        <v>199</v>
      </c>
      <c r="G3207" s="26">
        <v>5.0</v>
      </c>
      <c r="H3207" s="26">
        <v>1.0</v>
      </c>
      <c r="I3207" s="26">
        <v>120.0</v>
      </c>
      <c r="J3207" s="26">
        <v>100.0</v>
      </c>
      <c r="K3207" s="26">
        <v>15.0</v>
      </c>
      <c r="N3207" s="26" t="s">
        <v>696</v>
      </c>
    </row>
    <row r="3208">
      <c r="A3208" s="25">
        <v>43404.662542997685</v>
      </c>
      <c r="B3208" s="26" t="s">
        <v>1636</v>
      </c>
      <c r="C3208" s="26" t="s">
        <v>1636</v>
      </c>
      <c r="D3208" s="26" t="s">
        <v>31</v>
      </c>
      <c r="E3208" s="26">
        <v>90.0</v>
      </c>
      <c r="F3208" s="26" t="s">
        <v>32</v>
      </c>
      <c r="G3208" s="26">
        <v>9.0</v>
      </c>
      <c r="H3208" s="26">
        <v>9.0</v>
      </c>
      <c r="I3208" s="26">
        <v>90.0</v>
      </c>
      <c r="N3208" s="26" t="s">
        <v>699</v>
      </c>
    </row>
    <row r="3209">
      <c r="A3209" s="25">
        <v>43404.662550532405</v>
      </c>
      <c r="B3209" s="26" t="s">
        <v>1636</v>
      </c>
      <c r="C3209" s="26" t="s">
        <v>1636</v>
      </c>
      <c r="D3209" s="26" t="s">
        <v>31</v>
      </c>
      <c r="E3209" s="26">
        <v>90.0</v>
      </c>
      <c r="F3209" s="26" t="s">
        <v>32</v>
      </c>
      <c r="G3209" s="26">
        <v>9.0</v>
      </c>
      <c r="H3209" s="26">
        <v>9.0</v>
      </c>
      <c r="I3209" s="26">
        <v>90.0</v>
      </c>
      <c r="N3209" s="26" t="s">
        <v>699</v>
      </c>
    </row>
    <row r="3210">
      <c r="A3210" s="25">
        <v>43404.664579317134</v>
      </c>
      <c r="B3210" s="26" t="s">
        <v>45</v>
      </c>
      <c r="C3210" s="26" t="s">
        <v>149</v>
      </c>
      <c r="D3210" s="26" t="s">
        <v>716</v>
      </c>
      <c r="E3210" s="26">
        <v>400.0</v>
      </c>
      <c r="F3210" s="26" t="s">
        <v>239</v>
      </c>
      <c r="G3210" s="26">
        <v>20.0</v>
      </c>
      <c r="H3210" s="26">
        <v>3.0</v>
      </c>
      <c r="N3210" s="26" t="s">
        <v>728</v>
      </c>
    </row>
    <row r="3211">
      <c r="A3211" s="25">
        <v>43404.66519987269</v>
      </c>
      <c r="B3211" s="26" t="s">
        <v>45</v>
      </c>
      <c r="C3211" s="26" t="s">
        <v>116</v>
      </c>
      <c r="D3211" s="26" t="s">
        <v>31</v>
      </c>
      <c r="E3211" s="26">
        <v>185.0</v>
      </c>
      <c r="F3211" s="26" t="s">
        <v>104</v>
      </c>
      <c r="G3211" s="26">
        <v>8.0</v>
      </c>
      <c r="H3211" s="26">
        <v>2.0</v>
      </c>
      <c r="N3211" s="26" t="s">
        <v>699</v>
      </c>
    </row>
    <row r="3212">
      <c r="A3212" s="25">
        <v>43404.666907245366</v>
      </c>
      <c r="B3212" s="26" t="s">
        <v>2148</v>
      </c>
      <c r="C3212" s="26">
        <v>2.0</v>
      </c>
      <c r="D3212" s="26" t="s">
        <v>31</v>
      </c>
      <c r="E3212" s="26">
        <v>146.0</v>
      </c>
      <c r="F3212" s="26" t="s">
        <v>32</v>
      </c>
      <c r="G3212" s="26">
        <v>8.0</v>
      </c>
      <c r="H3212" s="26">
        <v>0.25</v>
      </c>
      <c r="N3212" s="26" t="s">
        <v>696</v>
      </c>
    </row>
    <row r="3213">
      <c r="A3213" s="25">
        <v>43404.6770550463</v>
      </c>
      <c r="B3213" s="26" t="s">
        <v>80</v>
      </c>
      <c r="C3213" s="26" t="s">
        <v>26</v>
      </c>
      <c r="D3213" s="26" t="s">
        <v>31</v>
      </c>
      <c r="E3213" s="26">
        <v>175.0</v>
      </c>
      <c r="F3213" s="26" t="s">
        <v>51</v>
      </c>
      <c r="G3213" s="26">
        <v>3.0</v>
      </c>
      <c r="H3213" s="26">
        <v>1.0</v>
      </c>
      <c r="I3213" s="26">
        <v>126.0</v>
      </c>
      <c r="J3213" s="26">
        <v>30.0</v>
      </c>
      <c r="K3213" s="26">
        <v>19.0</v>
      </c>
      <c r="N3213" s="26" t="s">
        <v>696</v>
      </c>
    </row>
    <row r="3214">
      <c r="A3214" s="25">
        <v>43404.68071997685</v>
      </c>
      <c r="B3214" s="26" t="s">
        <v>40</v>
      </c>
      <c r="C3214" s="26">
        <v>63.0</v>
      </c>
      <c r="D3214" s="26" t="s">
        <v>31</v>
      </c>
      <c r="E3214" s="26">
        <v>189.0</v>
      </c>
      <c r="F3214" s="26" t="s">
        <v>35</v>
      </c>
      <c r="G3214" s="26">
        <v>7.0</v>
      </c>
      <c r="H3214" s="26">
        <v>7.0</v>
      </c>
      <c r="I3214" s="26">
        <v>152.0</v>
      </c>
      <c r="J3214" s="26">
        <v>20.0</v>
      </c>
      <c r="K3214" s="26">
        <v>17.0</v>
      </c>
      <c r="N3214" s="26" t="s">
        <v>685</v>
      </c>
    </row>
    <row r="3215">
      <c r="A3215" s="25">
        <v>43404.684250763894</v>
      </c>
      <c r="B3215" s="26" t="s">
        <v>48</v>
      </c>
      <c r="C3215" s="26" t="s">
        <v>49</v>
      </c>
      <c r="D3215" s="26" t="s">
        <v>31</v>
      </c>
      <c r="E3215" s="26">
        <v>218.0</v>
      </c>
      <c r="F3215" s="26" t="s">
        <v>50</v>
      </c>
      <c r="G3215" s="26">
        <v>5.0</v>
      </c>
      <c r="H3215" s="26">
        <v>1.0</v>
      </c>
      <c r="I3215" s="26">
        <v>148.0</v>
      </c>
      <c r="J3215" s="26">
        <v>55.0</v>
      </c>
      <c r="K3215" s="26">
        <v>15.0</v>
      </c>
      <c r="N3215" s="26" t="s">
        <v>685</v>
      </c>
    </row>
    <row r="3216">
      <c r="A3216" s="25">
        <v>43404.6844819213</v>
      </c>
      <c r="B3216" s="26" t="s">
        <v>548</v>
      </c>
      <c r="C3216" s="26" t="s">
        <v>2144</v>
      </c>
      <c r="D3216" s="26" t="s">
        <v>2149</v>
      </c>
      <c r="E3216" s="26">
        <v>108.0</v>
      </c>
      <c r="F3216" s="26" t="s">
        <v>32</v>
      </c>
      <c r="G3216" s="26">
        <v>6.0</v>
      </c>
      <c r="H3216" s="26">
        <v>3.0</v>
      </c>
      <c r="I3216" s="26">
        <v>106.0</v>
      </c>
      <c r="K3216" s="26">
        <v>2.0</v>
      </c>
      <c r="N3216" s="26" t="s">
        <v>2150</v>
      </c>
    </row>
    <row r="3217">
      <c r="A3217" s="25">
        <v>43404.68532201389</v>
      </c>
      <c r="B3217" s="26" t="s">
        <v>380</v>
      </c>
      <c r="C3217" s="26" t="s">
        <v>1066</v>
      </c>
      <c r="D3217" s="26" t="s">
        <v>1066</v>
      </c>
      <c r="E3217" s="26">
        <v>145.0</v>
      </c>
      <c r="F3217" s="26" t="s">
        <v>456</v>
      </c>
      <c r="G3217" s="26">
        <v>6.0</v>
      </c>
      <c r="H3217" s="26">
        <v>6.0</v>
      </c>
      <c r="I3217" s="26">
        <v>125.0</v>
      </c>
      <c r="J3217" s="26">
        <v>20.0</v>
      </c>
      <c r="N3217" s="26" t="s">
        <v>1546</v>
      </c>
    </row>
    <row r="3218">
      <c r="A3218" s="25">
        <v>43404.687209606476</v>
      </c>
      <c r="B3218" s="26" t="s">
        <v>36</v>
      </c>
      <c r="C3218" s="26" t="s">
        <v>2151</v>
      </c>
      <c r="D3218" s="26" t="s">
        <v>711</v>
      </c>
      <c r="E3218" s="26">
        <v>350.0</v>
      </c>
      <c r="F3218" s="26" t="s">
        <v>58</v>
      </c>
      <c r="G3218" s="26">
        <v>5.0</v>
      </c>
      <c r="H3218" s="26">
        <v>4.0</v>
      </c>
      <c r="I3218" s="26">
        <v>173.0</v>
      </c>
      <c r="J3218" s="26">
        <v>150.0</v>
      </c>
      <c r="K3218" s="26">
        <v>27.0</v>
      </c>
      <c r="N3218" s="26" t="s">
        <v>691</v>
      </c>
    </row>
    <row r="3219">
      <c r="A3219" s="25">
        <v>43404.68864158565</v>
      </c>
      <c r="B3219" s="26" t="s">
        <v>48</v>
      </c>
      <c r="C3219" s="26" t="s">
        <v>69</v>
      </c>
      <c r="D3219" s="26" t="s">
        <v>31</v>
      </c>
      <c r="E3219" s="26">
        <v>173.0</v>
      </c>
      <c r="F3219" s="26" t="s">
        <v>161</v>
      </c>
      <c r="G3219" s="26">
        <v>0.0</v>
      </c>
      <c r="H3219" s="26">
        <v>0.0</v>
      </c>
      <c r="I3219" s="26">
        <v>115.0</v>
      </c>
      <c r="J3219" s="26">
        <v>40.0</v>
      </c>
      <c r="K3219" s="26">
        <v>15.0</v>
      </c>
      <c r="N3219" s="26" t="s">
        <v>691</v>
      </c>
    </row>
    <row r="3220">
      <c r="A3220" s="25">
        <v>43404.69052278935</v>
      </c>
      <c r="B3220" s="26" t="s">
        <v>123</v>
      </c>
      <c r="C3220" s="26" t="s">
        <v>2152</v>
      </c>
      <c r="D3220" s="26" t="s">
        <v>27</v>
      </c>
      <c r="E3220" s="26">
        <v>315.0</v>
      </c>
      <c r="F3220" s="26" t="s">
        <v>134</v>
      </c>
      <c r="G3220" s="26">
        <v>10.0</v>
      </c>
      <c r="H3220" s="26">
        <v>1.0</v>
      </c>
      <c r="I3220" s="26">
        <v>190.0</v>
      </c>
      <c r="J3220" s="26">
        <v>80.0</v>
      </c>
      <c r="K3220" s="26">
        <v>45.0</v>
      </c>
      <c r="N3220" s="26" t="s">
        <v>1318</v>
      </c>
    </row>
    <row r="3221">
      <c r="A3221" s="25">
        <v>43404.692390578704</v>
      </c>
      <c r="B3221" s="26" t="s">
        <v>33</v>
      </c>
      <c r="C3221" s="26" t="s">
        <v>73</v>
      </c>
      <c r="D3221" s="26" t="s">
        <v>31</v>
      </c>
      <c r="E3221" s="26">
        <v>155.0</v>
      </c>
      <c r="F3221" s="26" t="s">
        <v>63</v>
      </c>
      <c r="G3221" s="26">
        <v>1.0</v>
      </c>
      <c r="H3221" s="26">
        <v>1.0</v>
      </c>
      <c r="I3221" s="26">
        <v>111.0</v>
      </c>
      <c r="J3221" s="26">
        <v>24.0</v>
      </c>
      <c r="K3221" s="26">
        <v>20.0</v>
      </c>
      <c r="N3221" s="26" t="s">
        <v>704</v>
      </c>
    </row>
    <row r="3222">
      <c r="A3222" s="25">
        <v>43404.69384677084</v>
      </c>
      <c r="B3222" s="26" t="s">
        <v>157</v>
      </c>
      <c r="C3222" s="26" t="s">
        <v>1174</v>
      </c>
      <c r="D3222" s="26" t="s">
        <v>31</v>
      </c>
      <c r="E3222" s="26">
        <v>207.0</v>
      </c>
      <c r="F3222" s="26" t="s">
        <v>35</v>
      </c>
      <c r="G3222" s="26">
        <v>7.0</v>
      </c>
      <c r="H3222" s="26">
        <v>7.0</v>
      </c>
      <c r="I3222" s="26">
        <v>185.0</v>
      </c>
      <c r="J3222" s="26">
        <v>7.0</v>
      </c>
      <c r="K3222" s="26">
        <v>15.0</v>
      </c>
      <c r="N3222" s="26" t="s">
        <v>2153</v>
      </c>
    </row>
    <row r="3223">
      <c r="A3223" s="25">
        <v>43404.69882832176</v>
      </c>
      <c r="B3223" s="26" t="s">
        <v>45</v>
      </c>
      <c r="C3223" s="26" t="s">
        <v>116</v>
      </c>
      <c r="D3223" s="26" t="s">
        <v>31</v>
      </c>
      <c r="E3223" s="26">
        <v>310.0</v>
      </c>
      <c r="F3223" s="26" t="s">
        <v>104</v>
      </c>
      <c r="G3223" s="26">
        <v>4.0</v>
      </c>
      <c r="H3223" s="26">
        <v>4.0</v>
      </c>
      <c r="I3223" s="26">
        <v>165.0</v>
      </c>
      <c r="J3223" s="26">
        <v>130.0</v>
      </c>
      <c r="K3223" s="26">
        <v>20.0</v>
      </c>
      <c r="N3223" s="26" t="s">
        <v>685</v>
      </c>
    </row>
    <row r="3224">
      <c r="A3224" s="25">
        <v>43404.69899269676</v>
      </c>
      <c r="B3224" s="26" t="s">
        <v>664</v>
      </c>
      <c r="C3224" s="26" t="s">
        <v>37</v>
      </c>
      <c r="D3224" s="26" t="s">
        <v>31</v>
      </c>
      <c r="E3224" s="26">
        <v>140.0</v>
      </c>
      <c r="F3224" s="26" t="s">
        <v>32</v>
      </c>
      <c r="G3224" s="26">
        <v>3.0</v>
      </c>
      <c r="H3224" s="26">
        <v>3.0</v>
      </c>
      <c r="I3224" s="26">
        <v>140.0</v>
      </c>
      <c r="J3224" s="26">
        <v>44.0</v>
      </c>
      <c r="N3224" s="26" t="s">
        <v>708</v>
      </c>
    </row>
    <row r="3225">
      <c r="A3225" s="25">
        <v>43404.699470011576</v>
      </c>
      <c r="B3225" s="26" t="s">
        <v>45</v>
      </c>
      <c r="C3225" s="26" t="s">
        <v>116</v>
      </c>
      <c r="D3225" s="26" t="s">
        <v>31</v>
      </c>
      <c r="E3225" s="26">
        <v>200.0</v>
      </c>
      <c r="F3225" s="26" t="s">
        <v>104</v>
      </c>
      <c r="G3225" s="26">
        <v>11.0</v>
      </c>
      <c r="H3225" s="26">
        <v>4.0</v>
      </c>
      <c r="N3225" s="26" t="s">
        <v>685</v>
      </c>
    </row>
    <row r="3226">
      <c r="A3226" s="25">
        <v>43404.69959921297</v>
      </c>
      <c r="B3226" s="26" t="s">
        <v>33</v>
      </c>
      <c r="C3226" s="26" t="s">
        <v>62</v>
      </c>
      <c r="D3226" s="26" t="s">
        <v>41</v>
      </c>
      <c r="E3226" s="26">
        <v>305.0</v>
      </c>
      <c r="F3226" s="26" t="s">
        <v>63</v>
      </c>
      <c r="G3226" s="26">
        <v>8.0</v>
      </c>
      <c r="H3226" s="26">
        <v>6.0</v>
      </c>
      <c r="I3226" s="26">
        <v>160.0</v>
      </c>
      <c r="J3226" s="26">
        <v>145.0</v>
      </c>
      <c r="N3226" s="26" t="s">
        <v>704</v>
      </c>
    </row>
    <row r="3227">
      <c r="A3227" s="25">
        <v>43404.70107502315</v>
      </c>
      <c r="B3227" s="26" t="s">
        <v>33</v>
      </c>
      <c r="C3227" s="26" t="s">
        <v>43</v>
      </c>
      <c r="D3227" s="26" t="s">
        <v>31</v>
      </c>
      <c r="E3227" s="26">
        <v>205.0</v>
      </c>
      <c r="F3227" s="26" t="s">
        <v>35</v>
      </c>
      <c r="G3227" s="26">
        <v>7.0</v>
      </c>
      <c r="H3227" s="26">
        <v>0.5</v>
      </c>
      <c r="I3227" s="26">
        <v>145.0</v>
      </c>
      <c r="J3227" s="26">
        <v>34.0</v>
      </c>
      <c r="K3227" s="26">
        <v>26.0</v>
      </c>
      <c r="N3227" s="26" t="s">
        <v>685</v>
      </c>
    </row>
    <row r="3228">
      <c r="A3228" s="25">
        <v>43404.70227489583</v>
      </c>
      <c r="B3228" s="26" t="s">
        <v>124</v>
      </c>
      <c r="C3228" s="26" t="s">
        <v>737</v>
      </c>
      <c r="D3228" s="26" t="s">
        <v>31</v>
      </c>
      <c r="E3228" s="26">
        <v>375.0</v>
      </c>
      <c r="F3228" s="26" t="s">
        <v>51</v>
      </c>
      <c r="G3228" s="26">
        <v>5.0</v>
      </c>
      <c r="H3228" s="26">
        <v>4.0</v>
      </c>
      <c r="I3228" s="26">
        <v>175.0</v>
      </c>
      <c r="J3228" s="26">
        <v>50.0</v>
      </c>
      <c r="K3228" s="26">
        <v>150.0</v>
      </c>
      <c r="N3228" s="26" t="s">
        <v>683</v>
      </c>
    </row>
    <row r="3229">
      <c r="A3229" s="25">
        <v>43404.70374783565</v>
      </c>
      <c r="B3229" s="26" t="s">
        <v>80</v>
      </c>
      <c r="C3229" s="26" t="s">
        <v>818</v>
      </c>
      <c r="D3229" s="26" t="s">
        <v>31</v>
      </c>
      <c r="E3229" s="26">
        <v>120.0</v>
      </c>
      <c r="F3229" s="26" t="s">
        <v>94</v>
      </c>
      <c r="G3229" s="26">
        <v>5.0</v>
      </c>
      <c r="H3229" s="26">
        <v>2.0</v>
      </c>
      <c r="N3229" s="26" t="s">
        <v>691</v>
      </c>
    </row>
    <row r="3230">
      <c r="A3230" s="25">
        <v>43404.70748109954</v>
      </c>
      <c r="B3230" s="26" t="s">
        <v>154</v>
      </c>
      <c r="C3230" s="26" t="s">
        <v>764</v>
      </c>
      <c r="D3230" s="26" t="s">
        <v>31</v>
      </c>
      <c r="E3230" s="26">
        <v>126.0</v>
      </c>
      <c r="F3230" s="26" t="s">
        <v>2154</v>
      </c>
      <c r="G3230" s="26">
        <v>4.0</v>
      </c>
      <c r="H3230" s="26">
        <v>1.0</v>
      </c>
      <c r="I3230" s="26">
        <v>110.0</v>
      </c>
      <c r="J3230" s="26">
        <v>5.0</v>
      </c>
      <c r="K3230" s="26">
        <v>11.0</v>
      </c>
      <c r="N3230" s="26" t="s">
        <v>751</v>
      </c>
    </row>
    <row r="3231">
      <c r="A3231" s="25">
        <v>43404.70774990741</v>
      </c>
      <c r="B3231" s="26" t="s">
        <v>40</v>
      </c>
      <c r="C3231" s="26">
        <v>63.0</v>
      </c>
      <c r="D3231" s="26" t="s">
        <v>27</v>
      </c>
      <c r="E3231" s="26">
        <v>200.0</v>
      </c>
      <c r="F3231" s="26" t="s">
        <v>35</v>
      </c>
      <c r="G3231" s="26">
        <v>5.0</v>
      </c>
      <c r="H3231" s="26">
        <v>5.0</v>
      </c>
      <c r="N3231" s="26" t="s">
        <v>683</v>
      </c>
    </row>
    <row r="3232">
      <c r="A3232" s="25">
        <v>43404.70782282407</v>
      </c>
      <c r="B3232" s="26" t="s">
        <v>40</v>
      </c>
      <c r="C3232" s="26">
        <v>62.0</v>
      </c>
      <c r="D3232" s="26" t="s">
        <v>1992</v>
      </c>
      <c r="E3232" s="26">
        <v>131.0</v>
      </c>
      <c r="F3232" s="26" t="s">
        <v>1776</v>
      </c>
      <c r="G3232" s="26">
        <v>9.0</v>
      </c>
      <c r="H3232" s="26">
        <v>1.0</v>
      </c>
      <c r="N3232" s="26" t="s">
        <v>2155</v>
      </c>
    </row>
    <row r="3233">
      <c r="A3233" s="25">
        <v>43404.70806246527</v>
      </c>
      <c r="B3233" s="26" t="s">
        <v>187</v>
      </c>
      <c r="C3233" s="26" t="s">
        <v>73</v>
      </c>
      <c r="D3233" s="26" t="s">
        <v>31</v>
      </c>
      <c r="E3233" s="26">
        <v>210.0</v>
      </c>
      <c r="F3233" s="26" t="s">
        <v>32</v>
      </c>
      <c r="G3233" s="26">
        <v>6.0</v>
      </c>
      <c r="H3233" s="26">
        <v>1.0</v>
      </c>
      <c r="I3233" s="26">
        <v>130.0</v>
      </c>
      <c r="J3233" s="26">
        <v>80.0</v>
      </c>
      <c r="N3233" s="26" t="s">
        <v>683</v>
      </c>
    </row>
    <row r="3234">
      <c r="A3234" s="25">
        <v>43404.711271712964</v>
      </c>
      <c r="B3234" s="26" t="s">
        <v>40</v>
      </c>
      <c r="C3234" s="26">
        <v>61.0</v>
      </c>
      <c r="D3234" s="26" t="s">
        <v>31</v>
      </c>
      <c r="E3234" s="26">
        <v>210.0</v>
      </c>
      <c r="F3234" s="26" t="s">
        <v>75</v>
      </c>
      <c r="G3234" s="26">
        <v>0.0</v>
      </c>
      <c r="H3234" s="26">
        <v>0.0</v>
      </c>
      <c r="I3234" s="26">
        <v>131.0</v>
      </c>
      <c r="J3234" s="26">
        <v>39.0</v>
      </c>
      <c r="K3234" s="26">
        <v>40.0</v>
      </c>
      <c r="N3234" s="26" t="s">
        <v>2156</v>
      </c>
    </row>
    <row r="3235">
      <c r="A3235" s="25">
        <v>43404.71151190972</v>
      </c>
      <c r="B3235" s="26" t="s">
        <v>25</v>
      </c>
      <c r="C3235" s="26" t="s">
        <v>1953</v>
      </c>
      <c r="D3235" s="26" t="s">
        <v>31</v>
      </c>
      <c r="E3235" s="26">
        <v>262.0</v>
      </c>
      <c r="F3235" s="26" t="s">
        <v>35</v>
      </c>
      <c r="G3235" s="26">
        <v>5.0</v>
      </c>
      <c r="H3235" s="26">
        <v>2.0</v>
      </c>
      <c r="I3235" s="26">
        <v>165.0</v>
      </c>
      <c r="N3235" s="26" t="s">
        <v>683</v>
      </c>
    </row>
    <row r="3236">
      <c r="A3236" s="25">
        <v>43404.71160821759</v>
      </c>
      <c r="B3236" s="26" t="s">
        <v>45</v>
      </c>
      <c r="C3236" s="26" t="s">
        <v>102</v>
      </c>
      <c r="D3236" s="26" t="s">
        <v>31</v>
      </c>
      <c r="E3236" s="26">
        <v>276.0</v>
      </c>
      <c r="F3236" s="26" t="s">
        <v>32</v>
      </c>
      <c r="G3236" s="26">
        <v>8.0</v>
      </c>
      <c r="H3236" s="26">
        <v>0.0</v>
      </c>
      <c r="I3236" s="26">
        <v>151.0</v>
      </c>
      <c r="J3236" s="26">
        <v>125.0</v>
      </c>
      <c r="K3236" s="26">
        <v>10.0</v>
      </c>
      <c r="N3236" s="26" t="s">
        <v>685</v>
      </c>
    </row>
    <row r="3237">
      <c r="A3237" s="25">
        <v>43404.711722569446</v>
      </c>
      <c r="B3237" s="26" t="s">
        <v>80</v>
      </c>
      <c r="C3237" s="26" t="s">
        <v>73</v>
      </c>
      <c r="D3237" s="26" t="s">
        <v>1225</v>
      </c>
      <c r="E3237" s="26">
        <v>235.0</v>
      </c>
      <c r="F3237" s="26" t="s">
        <v>51</v>
      </c>
      <c r="G3237" s="26">
        <v>2.0</v>
      </c>
      <c r="H3237" s="26">
        <v>2.0</v>
      </c>
      <c r="I3237" s="26">
        <v>135.0</v>
      </c>
      <c r="J3237" s="26">
        <v>75.0</v>
      </c>
      <c r="K3237" s="26">
        <v>25.0</v>
      </c>
      <c r="N3237" s="26" t="s">
        <v>687</v>
      </c>
    </row>
    <row r="3238">
      <c r="A3238" s="25">
        <v>43404.7148525</v>
      </c>
      <c r="B3238" s="26" t="s">
        <v>2157</v>
      </c>
      <c r="C3238" s="26">
        <v>1.0</v>
      </c>
      <c r="D3238" s="26" t="s">
        <v>31</v>
      </c>
      <c r="E3238" s="26">
        <v>150.0</v>
      </c>
      <c r="F3238" s="26" t="s">
        <v>32</v>
      </c>
      <c r="G3238" s="26">
        <v>2.0</v>
      </c>
      <c r="H3238" s="26">
        <v>2.0</v>
      </c>
      <c r="I3238" s="26">
        <v>115.0</v>
      </c>
      <c r="J3238" s="26">
        <v>25.0</v>
      </c>
      <c r="K3238" s="26">
        <v>10.0</v>
      </c>
      <c r="N3238" s="26" t="s">
        <v>704</v>
      </c>
    </row>
    <row r="3239">
      <c r="A3239" s="25">
        <v>43404.715071875005</v>
      </c>
      <c r="B3239" s="26" t="s">
        <v>48</v>
      </c>
      <c r="C3239" s="26" t="s">
        <v>70</v>
      </c>
      <c r="D3239" s="26" t="s">
        <v>31</v>
      </c>
      <c r="E3239" s="26">
        <v>664.0</v>
      </c>
      <c r="F3239" s="26" t="s">
        <v>50</v>
      </c>
      <c r="G3239" s="26">
        <v>24.0</v>
      </c>
      <c r="H3239" s="26">
        <v>1.0</v>
      </c>
      <c r="I3239" s="26">
        <v>220.0</v>
      </c>
      <c r="J3239" s="26">
        <v>400.0</v>
      </c>
      <c r="K3239" s="26">
        <v>44.0</v>
      </c>
      <c r="N3239" s="26" t="s">
        <v>691</v>
      </c>
    </row>
    <row r="3240">
      <c r="A3240" s="25">
        <v>43404.71642660879</v>
      </c>
      <c r="B3240" s="26" t="s">
        <v>48</v>
      </c>
      <c r="C3240" s="26" t="s">
        <v>166</v>
      </c>
      <c r="D3240" s="26" t="s">
        <v>31</v>
      </c>
      <c r="E3240" s="26">
        <v>360.0</v>
      </c>
      <c r="F3240" s="26" t="s">
        <v>63</v>
      </c>
      <c r="G3240" s="26">
        <v>2.0</v>
      </c>
      <c r="H3240" s="26">
        <v>2.0</v>
      </c>
      <c r="I3240" s="26">
        <v>180.0</v>
      </c>
      <c r="J3240" s="26">
        <v>160.0</v>
      </c>
      <c r="K3240" s="26">
        <v>20.0</v>
      </c>
      <c r="N3240" s="26" t="s">
        <v>685</v>
      </c>
    </row>
    <row r="3241">
      <c r="A3241" s="25">
        <v>43404.717397025466</v>
      </c>
      <c r="B3241" s="26" t="s">
        <v>258</v>
      </c>
      <c r="C3241" s="26" t="s">
        <v>1317</v>
      </c>
      <c r="D3241" s="26" t="s">
        <v>31</v>
      </c>
      <c r="E3241" s="26">
        <v>183.0</v>
      </c>
      <c r="F3241" s="26" t="s">
        <v>58</v>
      </c>
      <c r="G3241" s="26">
        <v>0.0</v>
      </c>
      <c r="H3241" s="26">
        <v>0.0</v>
      </c>
      <c r="N3241" s="26" t="s">
        <v>691</v>
      </c>
    </row>
    <row r="3242">
      <c r="A3242" s="25">
        <v>43404.71784254629</v>
      </c>
      <c r="B3242" s="26" t="s">
        <v>48</v>
      </c>
      <c r="C3242" s="26" t="s">
        <v>222</v>
      </c>
      <c r="D3242" s="26" t="s">
        <v>31</v>
      </c>
      <c r="E3242" s="26">
        <v>700.0</v>
      </c>
      <c r="F3242" s="26" t="s">
        <v>50</v>
      </c>
      <c r="G3242" s="26">
        <v>16.0</v>
      </c>
      <c r="H3242" s="26">
        <v>4.0</v>
      </c>
      <c r="I3242" s="26">
        <v>250000.0</v>
      </c>
      <c r="N3242" s="26" t="s">
        <v>757</v>
      </c>
    </row>
    <row r="3243">
      <c r="A3243" s="25">
        <v>43404.71991881944</v>
      </c>
      <c r="B3243" s="26" t="s">
        <v>428</v>
      </c>
      <c r="C3243" s="26" t="s">
        <v>26</v>
      </c>
      <c r="D3243" s="26" t="s">
        <v>31</v>
      </c>
      <c r="E3243" s="26">
        <v>137.0</v>
      </c>
      <c r="F3243" s="26" t="s">
        <v>58</v>
      </c>
      <c r="G3243" s="26">
        <v>1.0</v>
      </c>
      <c r="H3243" s="26">
        <v>1.0</v>
      </c>
      <c r="I3243" s="26">
        <v>110.0</v>
      </c>
      <c r="J3243" s="26">
        <v>27.0</v>
      </c>
      <c r="N3243" s="26" t="s">
        <v>708</v>
      </c>
    </row>
    <row r="3244">
      <c r="A3244" s="25">
        <v>43404.72061981482</v>
      </c>
      <c r="B3244" s="26" t="s">
        <v>350</v>
      </c>
      <c r="C3244" s="26" t="s">
        <v>2158</v>
      </c>
      <c r="D3244" s="26" t="s">
        <v>31</v>
      </c>
      <c r="E3244" s="26">
        <v>180.0</v>
      </c>
      <c r="F3244" s="26" t="s">
        <v>32</v>
      </c>
      <c r="G3244" s="26">
        <v>8.0</v>
      </c>
      <c r="H3244" s="26">
        <v>4.0</v>
      </c>
      <c r="I3244" s="26">
        <v>180.0</v>
      </c>
      <c r="K3244" s="26">
        <v>10.0</v>
      </c>
      <c r="N3244" s="26" t="s">
        <v>685</v>
      </c>
    </row>
    <row r="3245">
      <c r="A3245" s="25">
        <v>43404.72082474537</v>
      </c>
      <c r="B3245" s="26" t="s">
        <v>33</v>
      </c>
      <c r="C3245" s="26" t="s">
        <v>73</v>
      </c>
      <c r="D3245" s="26" t="s">
        <v>713</v>
      </c>
      <c r="E3245" s="26">
        <v>150.0</v>
      </c>
      <c r="F3245" s="26" t="s">
        <v>32</v>
      </c>
      <c r="G3245" s="26">
        <v>3.0</v>
      </c>
      <c r="H3245" s="26">
        <v>1.0</v>
      </c>
      <c r="I3245" s="26">
        <v>103.0</v>
      </c>
      <c r="J3245" s="26">
        <v>25.0</v>
      </c>
      <c r="K3245" s="26">
        <v>22.0</v>
      </c>
      <c r="N3245" s="26" t="s">
        <v>691</v>
      </c>
    </row>
    <row r="3246">
      <c r="A3246" s="25">
        <v>43404.72088607639</v>
      </c>
      <c r="B3246" s="26" t="s">
        <v>33</v>
      </c>
      <c r="C3246" s="26" t="s">
        <v>73</v>
      </c>
      <c r="D3246" s="26" t="s">
        <v>31</v>
      </c>
      <c r="E3246" s="26">
        <v>151.0</v>
      </c>
      <c r="F3246" s="26" t="s">
        <v>161</v>
      </c>
      <c r="G3246" s="26">
        <v>0.0</v>
      </c>
      <c r="H3246" s="26">
        <v>0.0</v>
      </c>
      <c r="I3246" s="26">
        <v>112.0</v>
      </c>
      <c r="J3246" s="26">
        <v>16.0</v>
      </c>
      <c r="K3246" s="26">
        <v>18.0</v>
      </c>
      <c r="N3246" s="26" t="s">
        <v>683</v>
      </c>
    </row>
    <row r="3247">
      <c r="A3247" s="25">
        <v>43404.72134023148</v>
      </c>
      <c r="B3247" s="26" t="s">
        <v>950</v>
      </c>
      <c r="C3247" s="26" t="s">
        <v>102</v>
      </c>
      <c r="D3247" s="26" t="s">
        <v>1529</v>
      </c>
      <c r="E3247" s="26">
        <v>208.0</v>
      </c>
      <c r="F3247" s="26" t="s">
        <v>104</v>
      </c>
      <c r="G3247" s="26">
        <v>4.0</v>
      </c>
      <c r="H3247" s="26">
        <v>2.0</v>
      </c>
      <c r="I3247" s="26">
        <v>138.0</v>
      </c>
      <c r="J3247" s="26">
        <v>60.0</v>
      </c>
      <c r="K3247" s="26">
        <v>10.0</v>
      </c>
      <c r="N3247" s="26" t="s">
        <v>693</v>
      </c>
    </row>
    <row r="3248">
      <c r="A3248" s="25">
        <v>43404.721417928246</v>
      </c>
      <c r="B3248" s="26" t="s">
        <v>2159</v>
      </c>
      <c r="C3248" s="26" t="s">
        <v>2160</v>
      </c>
      <c r="D3248" s="26" t="s">
        <v>31</v>
      </c>
      <c r="E3248" s="26">
        <v>100.0</v>
      </c>
      <c r="F3248" s="26" t="s">
        <v>2161</v>
      </c>
      <c r="G3248" s="26">
        <v>9.0</v>
      </c>
      <c r="H3248" s="26">
        <v>6.0</v>
      </c>
      <c r="I3248" s="26">
        <v>82.0</v>
      </c>
      <c r="J3248" s="26">
        <v>15.0</v>
      </c>
      <c r="K3248" s="26">
        <v>3.0</v>
      </c>
      <c r="N3248" s="26" t="s">
        <v>683</v>
      </c>
    </row>
    <row r="3249">
      <c r="A3249" s="25">
        <v>43404.723964537035</v>
      </c>
      <c r="B3249" s="26" t="s">
        <v>45</v>
      </c>
      <c r="C3249" s="26" t="s">
        <v>149</v>
      </c>
      <c r="D3249" s="26" t="s">
        <v>711</v>
      </c>
      <c r="E3249" s="26">
        <v>425.0</v>
      </c>
      <c r="F3249" s="26" t="s">
        <v>134</v>
      </c>
      <c r="G3249" s="26">
        <v>9.0</v>
      </c>
      <c r="H3249" s="26">
        <v>1.0</v>
      </c>
      <c r="I3249" s="26">
        <v>200.0</v>
      </c>
      <c r="J3249" s="26">
        <v>150.0</v>
      </c>
      <c r="K3249" s="26">
        <v>75.0</v>
      </c>
      <c r="N3249" s="26" t="s">
        <v>691</v>
      </c>
    </row>
    <row r="3250">
      <c r="A3250" s="25">
        <v>43404.72572008102</v>
      </c>
      <c r="B3250" s="26" t="s">
        <v>40</v>
      </c>
      <c r="C3250" s="26">
        <v>64.0</v>
      </c>
      <c r="D3250" s="26" t="s">
        <v>2162</v>
      </c>
      <c r="E3250" s="26">
        <v>210.0</v>
      </c>
      <c r="F3250" s="26" t="s">
        <v>2163</v>
      </c>
      <c r="G3250" s="26">
        <v>12.0</v>
      </c>
      <c r="H3250" s="26">
        <v>12.0</v>
      </c>
      <c r="I3250" s="26">
        <v>130.0</v>
      </c>
      <c r="J3250" s="26">
        <v>40.0</v>
      </c>
      <c r="K3250" s="26">
        <v>30.0</v>
      </c>
      <c r="N3250" s="26" t="s">
        <v>683</v>
      </c>
    </row>
    <row r="3251">
      <c r="A3251" s="25">
        <v>43404.72611178241</v>
      </c>
      <c r="B3251" s="26" t="s">
        <v>80</v>
      </c>
      <c r="C3251" s="26" t="s">
        <v>179</v>
      </c>
      <c r="D3251" s="26" t="s">
        <v>31</v>
      </c>
      <c r="E3251" s="26">
        <v>147.0</v>
      </c>
      <c r="F3251" s="26" t="s">
        <v>2164</v>
      </c>
      <c r="G3251" s="26">
        <v>5.0</v>
      </c>
      <c r="H3251" s="26">
        <v>1.0</v>
      </c>
      <c r="N3251" s="26" t="s">
        <v>685</v>
      </c>
    </row>
    <row r="3252">
      <c r="A3252" s="25">
        <v>43404.72701454861</v>
      </c>
      <c r="B3252" s="26" t="s">
        <v>341</v>
      </c>
      <c r="C3252" s="26" t="s">
        <v>2165</v>
      </c>
      <c r="D3252" s="26" t="s">
        <v>31</v>
      </c>
      <c r="E3252" s="26">
        <v>320.0</v>
      </c>
      <c r="F3252" s="26" t="s">
        <v>238</v>
      </c>
      <c r="G3252" s="26">
        <v>20.0</v>
      </c>
      <c r="H3252" s="26">
        <v>10.0</v>
      </c>
      <c r="I3252" s="26">
        <v>220.0</v>
      </c>
      <c r="J3252" s="26">
        <v>80.0</v>
      </c>
      <c r="K3252" s="26">
        <v>20.0</v>
      </c>
      <c r="N3252" s="26" t="s">
        <v>683</v>
      </c>
    </row>
    <row r="3253">
      <c r="A3253" s="25">
        <v>43404.72745907407</v>
      </c>
      <c r="B3253" s="26" t="s">
        <v>36</v>
      </c>
      <c r="C3253" s="26" t="s">
        <v>96</v>
      </c>
      <c r="D3253" s="26" t="s">
        <v>31</v>
      </c>
      <c r="E3253" s="26">
        <v>425.0</v>
      </c>
      <c r="F3253" s="26" t="s">
        <v>32</v>
      </c>
      <c r="G3253" s="26">
        <v>13.0</v>
      </c>
      <c r="H3253" s="26">
        <v>3.0</v>
      </c>
      <c r="I3253" s="26">
        <v>200.0</v>
      </c>
      <c r="J3253" s="26">
        <v>200.0</v>
      </c>
      <c r="K3253" s="26">
        <v>25.0</v>
      </c>
      <c r="N3253" s="26" t="s">
        <v>691</v>
      </c>
    </row>
    <row r="3254">
      <c r="A3254" s="25">
        <v>43404.7276962037</v>
      </c>
      <c r="B3254" s="26" t="s">
        <v>256</v>
      </c>
      <c r="C3254" s="26" t="s">
        <v>113</v>
      </c>
      <c r="D3254" s="26" t="s">
        <v>31</v>
      </c>
      <c r="E3254" s="26">
        <v>580.0</v>
      </c>
      <c r="F3254" s="26" t="s">
        <v>58</v>
      </c>
      <c r="G3254" s="26">
        <v>10.0</v>
      </c>
      <c r="H3254" s="26">
        <v>4.0</v>
      </c>
      <c r="N3254" s="26" t="s">
        <v>683</v>
      </c>
    </row>
    <row r="3255">
      <c r="A3255" s="25">
        <v>43404.72959567129</v>
      </c>
      <c r="B3255" s="26" t="s">
        <v>33</v>
      </c>
      <c r="C3255" s="26" t="s">
        <v>62</v>
      </c>
      <c r="D3255" s="26" t="s">
        <v>713</v>
      </c>
      <c r="E3255" s="26">
        <v>250.0</v>
      </c>
      <c r="F3255" s="26" t="s">
        <v>1144</v>
      </c>
      <c r="G3255" s="26">
        <v>16.0</v>
      </c>
      <c r="H3255" s="26">
        <v>4.0</v>
      </c>
      <c r="I3255" s="26">
        <v>160.0</v>
      </c>
      <c r="J3255" s="26">
        <v>90.0</v>
      </c>
      <c r="N3255" s="26" t="s">
        <v>375</v>
      </c>
    </row>
    <row r="3256">
      <c r="A3256" s="25">
        <v>43404.731516087966</v>
      </c>
      <c r="B3256" s="26" t="s">
        <v>80</v>
      </c>
      <c r="C3256" s="26" t="s">
        <v>26</v>
      </c>
      <c r="D3256" s="26" t="s">
        <v>31</v>
      </c>
      <c r="E3256" s="26">
        <v>170.0</v>
      </c>
      <c r="F3256" s="26" t="s">
        <v>140</v>
      </c>
      <c r="G3256" s="26">
        <v>3.0</v>
      </c>
      <c r="H3256" s="26">
        <v>1.5</v>
      </c>
      <c r="I3256" s="26">
        <v>117.0</v>
      </c>
      <c r="J3256" s="26">
        <v>33.0</v>
      </c>
      <c r="K3256" s="26">
        <v>17.0</v>
      </c>
      <c r="N3256" s="26" t="s">
        <v>685</v>
      </c>
    </row>
    <row r="3257">
      <c r="A3257" s="25">
        <v>43404.73145554398</v>
      </c>
      <c r="B3257" s="26" t="s">
        <v>523</v>
      </c>
      <c r="C3257" s="26" t="s">
        <v>37</v>
      </c>
      <c r="D3257" s="26" t="s">
        <v>31</v>
      </c>
      <c r="E3257" s="26">
        <v>250.0</v>
      </c>
      <c r="F3257" s="26" t="s">
        <v>94</v>
      </c>
      <c r="G3257" s="26">
        <v>13.0</v>
      </c>
      <c r="H3257" s="26">
        <v>6.0</v>
      </c>
      <c r="I3257" s="26">
        <v>200.0</v>
      </c>
      <c r="K3257" s="26">
        <v>50.0</v>
      </c>
      <c r="N3257" s="26" t="s">
        <v>704</v>
      </c>
    </row>
    <row r="3258">
      <c r="A3258" s="25">
        <v>43404.73190344908</v>
      </c>
      <c r="B3258" s="26" t="s">
        <v>48</v>
      </c>
      <c r="C3258" s="26" t="s">
        <v>49</v>
      </c>
      <c r="D3258" s="26" t="s">
        <v>31</v>
      </c>
      <c r="E3258" s="26">
        <v>214.0</v>
      </c>
      <c r="F3258" s="26" t="s">
        <v>161</v>
      </c>
      <c r="G3258" s="26">
        <v>3.0</v>
      </c>
      <c r="H3258" s="26">
        <v>0.0</v>
      </c>
      <c r="I3258" s="26">
        <v>145.0</v>
      </c>
      <c r="J3258" s="26">
        <v>55.0</v>
      </c>
      <c r="K3258" s="26">
        <v>14.0</v>
      </c>
      <c r="N3258" s="26" t="s">
        <v>2166</v>
      </c>
    </row>
    <row r="3259">
      <c r="A3259" s="25">
        <v>43404.732391377314</v>
      </c>
      <c r="B3259" s="26" t="s">
        <v>80</v>
      </c>
      <c r="C3259" s="26" t="s">
        <v>430</v>
      </c>
      <c r="D3259" s="26" t="s">
        <v>31</v>
      </c>
      <c r="E3259" s="26">
        <v>258.0</v>
      </c>
      <c r="F3259" s="26" t="s">
        <v>94</v>
      </c>
      <c r="G3259" s="26">
        <v>5.0</v>
      </c>
      <c r="H3259" s="26">
        <v>0.0</v>
      </c>
      <c r="I3259" s="26">
        <v>146.0</v>
      </c>
      <c r="J3259" s="26">
        <v>90.0</v>
      </c>
      <c r="K3259" s="26">
        <v>22.0</v>
      </c>
      <c r="N3259" s="26" t="s">
        <v>683</v>
      </c>
    </row>
    <row r="3260">
      <c r="A3260" s="25">
        <v>43404.732665034724</v>
      </c>
      <c r="B3260" s="26" t="s">
        <v>187</v>
      </c>
      <c r="C3260" s="26" t="s">
        <v>176</v>
      </c>
      <c r="D3260" s="26" t="s">
        <v>31</v>
      </c>
      <c r="E3260" s="26">
        <v>189.0</v>
      </c>
      <c r="F3260" s="26" t="s">
        <v>32</v>
      </c>
      <c r="G3260" s="26">
        <v>10.0</v>
      </c>
      <c r="H3260" s="26">
        <v>1.5</v>
      </c>
      <c r="N3260" s="26" t="s">
        <v>696</v>
      </c>
    </row>
    <row r="3261">
      <c r="A3261" s="25">
        <v>43404.73305241898</v>
      </c>
      <c r="B3261" s="26" t="s">
        <v>40</v>
      </c>
      <c r="C3261" s="26">
        <v>59.0</v>
      </c>
      <c r="D3261" s="26" t="s">
        <v>27</v>
      </c>
      <c r="E3261" s="26">
        <v>173.0</v>
      </c>
      <c r="F3261" s="26" t="s">
        <v>35</v>
      </c>
      <c r="G3261" s="26">
        <v>1.0</v>
      </c>
      <c r="H3261" s="26">
        <v>1.0</v>
      </c>
      <c r="I3261" s="26">
        <v>108.0</v>
      </c>
      <c r="J3261" s="26">
        <v>30.0</v>
      </c>
      <c r="K3261" s="26">
        <v>35.0</v>
      </c>
      <c r="N3261" s="26" t="s">
        <v>708</v>
      </c>
    </row>
    <row r="3262">
      <c r="A3262" s="25">
        <v>43404.73326300926</v>
      </c>
      <c r="B3262" s="26" t="s">
        <v>2167</v>
      </c>
      <c r="C3262" s="26" t="s">
        <v>37</v>
      </c>
      <c r="D3262" s="26" t="s">
        <v>31</v>
      </c>
      <c r="E3262" s="26">
        <v>170.0</v>
      </c>
      <c r="F3262" s="26" t="s">
        <v>32</v>
      </c>
      <c r="G3262" s="26">
        <v>5.0</v>
      </c>
      <c r="H3262" s="26">
        <v>2.5</v>
      </c>
      <c r="I3262" s="26">
        <v>142.0</v>
      </c>
      <c r="J3262" s="26">
        <v>18.0</v>
      </c>
      <c r="K3262" s="26">
        <v>10.0</v>
      </c>
      <c r="N3262" s="26" t="s">
        <v>685</v>
      </c>
    </row>
    <row r="3263">
      <c r="A3263" s="25">
        <v>43404.73472390046</v>
      </c>
      <c r="B3263" s="26" t="s">
        <v>2168</v>
      </c>
      <c r="C3263" s="26" t="s">
        <v>26</v>
      </c>
      <c r="D3263" s="26" t="s">
        <v>31</v>
      </c>
      <c r="E3263" s="26">
        <v>120.0</v>
      </c>
      <c r="F3263" s="26" t="s">
        <v>485</v>
      </c>
      <c r="G3263" s="26">
        <v>5.0</v>
      </c>
      <c r="H3263" s="26">
        <v>5.0</v>
      </c>
      <c r="N3263" s="26" t="s">
        <v>699</v>
      </c>
    </row>
    <row r="3264">
      <c r="A3264" s="25">
        <v>43404.73629576389</v>
      </c>
      <c r="B3264" s="26" t="s">
        <v>1196</v>
      </c>
      <c r="C3264" s="26">
        <v>61.0</v>
      </c>
      <c r="D3264" s="26" t="s">
        <v>31</v>
      </c>
      <c r="E3264" s="26">
        <v>155.0</v>
      </c>
      <c r="F3264" s="26" t="s">
        <v>52</v>
      </c>
      <c r="G3264" s="26">
        <v>3.0</v>
      </c>
      <c r="H3264" s="26">
        <v>3.0</v>
      </c>
      <c r="N3264" s="26" t="s">
        <v>704</v>
      </c>
    </row>
    <row r="3265">
      <c r="A3265" s="25">
        <v>43404.73722466435</v>
      </c>
      <c r="B3265" s="26" t="s">
        <v>80</v>
      </c>
      <c r="C3265" s="26" t="s">
        <v>1062</v>
      </c>
      <c r="D3265" s="26" t="s">
        <v>31</v>
      </c>
      <c r="E3265" s="26">
        <v>227.0</v>
      </c>
      <c r="F3265" s="26" t="s">
        <v>2169</v>
      </c>
      <c r="G3265" s="26">
        <v>15.0</v>
      </c>
      <c r="H3265" s="26">
        <v>7.0</v>
      </c>
      <c r="I3265" s="26">
        <v>94.0</v>
      </c>
      <c r="N3265" s="26" t="s">
        <v>683</v>
      </c>
    </row>
    <row r="3266">
      <c r="A3266" s="25">
        <v>43404.738991377315</v>
      </c>
      <c r="B3266" s="26" t="s">
        <v>80</v>
      </c>
      <c r="C3266" s="26" t="s">
        <v>430</v>
      </c>
      <c r="D3266" s="26" t="s">
        <v>31</v>
      </c>
      <c r="E3266" s="26">
        <v>192.0</v>
      </c>
      <c r="F3266" s="26" t="s">
        <v>35</v>
      </c>
      <c r="G3266" s="26">
        <v>1.0</v>
      </c>
      <c r="H3266" s="26">
        <v>1.0</v>
      </c>
      <c r="I3266" s="26">
        <v>124.0</v>
      </c>
      <c r="J3266" s="26">
        <v>49.0</v>
      </c>
      <c r="K3266" s="26">
        <v>19.0</v>
      </c>
      <c r="N3266" s="26" t="s">
        <v>683</v>
      </c>
    </row>
    <row r="3267">
      <c r="A3267" s="25">
        <v>43404.73912221065</v>
      </c>
      <c r="B3267" s="26" t="s">
        <v>127</v>
      </c>
      <c r="C3267" s="26">
        <v>6.0</v>
      </c>
      <c r="D3267" s="26" t="s">
        <v>31</v>
      </c>
      <c r="E3267" s="26">
        <v>200.0</v>
      </c>
      <c r="F3267" s="26" t="s">
        <v>2170</v>
      </c>
      <c r="G3267" s="26">
        <v>17.0</v>
      </c>
      <c r="H3267" s="26">
        <v>6.0</v>
      </c>
      <c r="I3267" s="26">
        <v>130.0</v>
      </c>
      <c r="J3267" s="26">
        <v>70.0</v>
      </c>
      <c r="N3267" s="26" t="s">
        <v>685</v>
      </c>
    </row>
    <row r="3268">
      <c r="A3268" s="25">
        <v>43404.73948704861</v>
      </c>
      <c r="B3268" s="26" t="s">
        <v>2171</v>
      </c>
      <c r="C3268" s="26" t="s">
        <v>125</v>
      </c>
      <c r="D3268" s="26" t="s">
        <v>31</v>
      </c>
      <c r="E3268" s="26">
        <v>130.0</v>
      </c>
      <c r="F3268" s="26" t="s">
        <v>338</v>
      </c>
      <c r="G3268" s="26">
        <v>6.0</v>
      </c>
      <c r="H3268" s="26">
        <v>2.0</v>
      </c>
      <c r="N3268" s="26" t="s">
        <v>699</v>
      </c>
    </row>
    <row r="3269">
      <c r="A3269" s="25">
        <v>43404.742007824076</v>
      </c>
      <c r="B3269" s="26" t="s">
        <v>173</v>
      </c>
      <c r="C3269" s="26" t="s">
        <v>31</v>
      </c>
      <c r="D3269" s="26" t="s">
        <v>31</v>
      </c>
      <c r="E3269" s="26">
        <v>196.0</v>
      </c>
      <c r="F3269" s="26" t="s">
        <v>94</v>
      </c>
      <c r="G3269" s="26">
        <v>7.0</v>
      </c>
      <c r="H3269" s="26">
        <v>1.0</v>
      </c>
      <c r="N3269" s="26" t="s">
        <v>685</v>
      </c>
    </row>
    <row r="3270">
      <c r="A3270" s="25">
        <v>43404.74274840278</v>
      </c>
      <c r="B3270" s="26" t="s">
        <v>2172</v>
      </c>
      <c r="C3270" s="26" t="s">
        <v>2173</v>
      </c>
      <c r="D3270" s="26" t="s">
        <v>31</v>
      </c>
      <c r="E3270" s="26">
        <v>60.0</v>
      </c>
      <c r="F3270" s="26" t="s">
        <v>485</v>
      </c>
      <c r="G3270" s="26">
        <v>0.0</v>
      </c>
      <c r="H3270" s="26">
        <v>0.0</v>
      </c>
      <c r="I3270" s="26">
        <v>50.0</v>
      </c>
      <c r="J3270" s="26">
        <v>10.0</v>
      </c>
      <c r="K3270" s="26">
        <v>10.0</v>
      </c>
      <c r="N3270" s="26" t="s">
        <v>2174</v>
      </c>
    </row>
    <row r="3271">
      <c r="A3271" s="25">
        <v>43404.74346641204</v>
      </c>
      <c r="B3271" s="26" t="s">
        <v>80</v>
      </c>
      <c r="C3271" s="26" t="s">
        <v>179</v>
      </c>
      <c r="D3271" s="26" t="s">
        <v>31</v>
      </c>
      <c r="E3271" s="26">
        <v>196.0</v>
      </c>
      <c r="F3271" s="26" t="s">
        <v>63</v>
      </c>
      <c r="G3271" s="26">
        <v>0.0</v>
      </c>
      <c r="H3271" s="26">
        <v>0.0</v>
      </c>
      <c r="I3271" s="26">
        <v>105.0</v>
      </c>
      <c r="J3271" s="26">
        <v>75.0</v>
      </c>
      <c r="K3271" s="26">
        <v>16.0</v>
      </c>
      <c r="N3271" s="26" t="s">
        <v>704</v>
      </c>
    </row>
    <row r="3272">
      <c r="A3272" s="25">
        <v>43404.744585023145</v>
      </c>
      <c r="B3272" s="26" t="s">
        <v>146</v>
      </c>
      <c r="C3272" s="26" t="s">
        <v>31</v>
      </c>
      <c r="D3272" s="26" t="s">
        <v>31</v>
      </c>
      <c r="E3272" s="26">
        <v>210.0</v>
      </c>
      <c r="F3272" s="26" t="s">
        <v>32</v>
      </c>
      <c r="G3272" s="26">
        <v>2.0</v>
      </c>
      <c r="H3272" s="26">
        <v>1.0</v>
      </c>
      <c r="N3272" s="26" t="s">
        <v>708</v>
      </c>
    </row>
    <row r="3273">
      <c r="A3273" s="25">
        <v>43404.745109027775</v>
      </c>
      <c r="B3273" s="26" t="s">
        <v>2175</v>
      </c>
      <c r="C3273" s="26" t="s">
        <v>37</v>
      </c>
      <c r="D3273" s="26" t="s">
        <v>31</v>
      </c>
      <c r="E3273" s="26">
        <v>256.0</v>
      </c>
      <c r="F3273" s="26" t="s">
        <v>175</v>
      </c>
      <c r="G3273" s="26">
        <v>8.0</v>
      </c>
      <c r="H3273" s="26">
        <v>2.0</v>
      </c>
      <c r="I3273" s="26">
        <v>140.0</v>
      </c>
      <c r="J3273" s="26">
        <v>80.0</v>
      </c>
      <c r="K3273" s="26">
        <v>36.0</v>
      </c>
      <c r="N3273" s="26" t="s">
        <v>685</v>
      </c>
    </row>
    <row r="3274">
      <c r="A3274" s="25">
        <v>43404.74518986111</v>
      </c>
      <c r="B3274" s="26" t="s">
        <v>2176</v>
      </c>
      <c r="C3274" s="26" t="s">
        <v>2177</v>
      </c>
      <c r="D3274" s="26" t="s">
        <v>31</v>
      </c>
      <c r="E3274" s="26">
        <v>130.0</v>
      </c>
      <c r="F3274" s="26" t="s">
        <v>1314</v>
      </c>
      <c r="G3274" s="26">
        <v>3.0</v>
      </c>
      <c r="H3274" s="26">
        <v>1.0</v>
      </c>
      <c r="I3274" s="26">
        <v>70.0</v>
      </c>
      <c r="J3274" s="26">
        <v>60.0</v>
      </c>
      <c r="N3274" s="26" t="s">
        <v>683</v>
      </c>
    </row>
    <row r="3275">
      <c r="A3275" s="25">
        <v>43404.74668515046</v>
      </c>
      <c r="B3275" s="26" t="s">
        <v>64</v>
      </c>
      <c r="C3275" s="26" t="s">
        <v>494</v>
      </c>
      <c r="D3275" s="26" t="s">
        <v>31</v>
      </c>
      <c r="E3275" s="26">
        <v>270.0</v>
      </c>
      <c r="F3275" s="26" t="s">
        <v>236</v>
      </c>
      <c r="G3275" s="26">
        <v>6.0</v>
      </c>
      <c r="H3275" s="26">
        <v>6.0</v>
      </c>
      <c r="N3275" s="26" t="s">
        <v>685</v>
      </c>
    </row>
    <row r="3276">
      <c r="A3276" s="25">
        <v>43404.74803773148</v>
      </c>
      <c r="B3276" s="26" t="s">
        <v>200</v>
      </c>
      <c r="C3276" s="26" t="s">
        <v>69</v>
      </c>
      <c r="D3276" s="26" t="s">
        <v>31</v>
      </c>
      <c r="E3276" s="26">
        <v>281.0</v>
      </c>
      <c r="F3276" s="26" t="s">
        <v>32</v>
      </c>
      <c r="G3276" s="26">
        <v>5.0</v>
      </c>
      <c r="H3276" s="26">
        <v>5.0</v>
      </c>
      <c r="I3276" s="26">
        <v>156.0</v>
      </c>
      <c r="J3276" s="26">
        <v>125.0</v>
      </c>
      <c r="N3276" s="26" t="s">
        <v>704</v>
      </c>
    </row>
    <row r="3277">
      <c r="A3277" s="25">
        <v>43404.74907643518</v>
      </c>
      <c r="B3277" s="26" t="s">
        <v>2178</v>
      </c>
      <c r="C3277" s="26" t="s">
        <v>833</v>
      </c>
      <c r="D3277" s="26" t="s">
        <v>31</v>
      </c>
      <c r="E3277" s="26">
        <v>125.0</v>
      </c>
      <c r="F3277" s="26" t="s">
        <v>175</v>
      </c>
      <c r="G3277" s="26">
        <v>4.0</v>
      </c>
      <c r="H3277" s="26">
        <v>4.0</v>
      </c>
      <c r="I3277" s="26">
        <v>125.0</v>
      </c>
      <c r="N3277" s="26" t="s">
        <v>683</v>
      </c>
    </row>
    <row r="3278">
      <c r="A3278" s="25">
        <v>43404.74925972222</v>
      </c>
      <c r="B3278" s="26" t="s">
        <v>25</v>
      </c>
      <c r="C3278" s="26" t="s">
        <v>462</v>
      </c>
      <c r="D3278" s="26" t="s">
        <v>31</v>
      </c>
      <c r="E3278" s="26">
        <v>275.0</v>
      </c>
      <c r="F3278" s="26" t="s">
        <v>1275</v>
      </c>
      <c r="G3278" s="26">
        <v>8.0</v>
      </c>
      <c r="H3278" s="26">
        <v>0.8</v>
      </c>
      <c r="I3278" s="26">
        <v>170.0</v>
      </c>
      <c r="J3278" s="26">
        <v>100.0</v>
      </c>
      <c r="K3278" s="26">
        <v>10.0</v>
      </c>
      <c r="N3278" s="26" t="s">
        <v>708</v>
      </c>
    </row>
    <row r="3279">
      <c r="A3279" s="25">
        <v>43404.75153009259</v>
      </c>
      <c r="B3279" s="26" t="s">
        <v>40</v>
      </c>
      <c r="C3279" s="26">
        <v>65.0</v>
      </c>
      <c r="D3279" s="26" t="s">
        <v>31</v>
      </c>
      <c r="E3279" s="26">
        <v>315.0</v>
      </c>
      <c r="F3279" s="26" t="s">
        <v>75</v>
      </c>
      <c r="G3279" s="26">
        <v>24.0</v>
      </c>
      <c r="H3279" s="26">
        <v>21.0</v>
      </c>
      <c r="I3279" s="26">
        <v>203.0</v>
      </c>
      <c r="J3279" s="26">
        <v>67.0</v>
      </c>
      <c r="K3279" s="26">
        <v>45.0</v>
      </c>
      <c r="N3279" s="26" t="s">
        <v>2179</v>
      </c>
    </row>
    <row r="3280">
      <c r="A3280" s="25">
        <v>43404.753098298606</v>
      </c>
      <c r="B3280" s="26" t="s">
        <v>852</v>
      </c>
      <c r="C3280" s="26" t="s">
        <v>2180</v>
      </c>
      <c r="D3280" s="26" t="s">
        <v>31</v>
      </c>
      <c r="E3280" s="26">
        <v>125.0</v>
      </c>
      <c r="F3280" s="26" t="s">
        <v>320</v>
      </c>
      <c r="G3280" s="26">
        <v>3.0</v>
      </c>
      <c r="H3280" s="26">
        <v>1.0</v>
      </c>
      <c r="I3280" s="26">
        <v>100.0</v>
      </c>
      <c r="K3280" s="26">
        <v>10.0</v>
      </c>
      <c r="N3280" s="26" t="s">
        <v>685</v>
      </c>
    </row>
    <row r="3281">
      <c r="A3281" s="25">
        <v>43404.75314958333</v>
      </c>
      <c r="B3281" s="26" t="s">
        <v>33</v>
      </c>
      <c r="C3281" s="26" t="s">
        <v>73</v>
      </c>
      <c r="D3281" s="26" t="s">
        <v>31</v>
      </c>
      <c r="E3281" s="26">
        <v>145.0</v>
      </c>
      <c r="F3281" s="26" t="s">
        <v>35</v>
      </c>
      <c r="G3281" s="26">
        <v>3.0</v>
      </c>
      <c r="H3281" s="26">
        <v>0.0</v>
      </c>
      <c r="I3281" s="26">
        <v>125.0</v>
      </c>
      <c r="J3281" s="26">
        <v>15.0</v>
      </c>
      <c r="K3281" s="26">
        <v>15.0</v>
      </c>
      <c r="N3281" s="26" t="s">
        <v>704</v>
      </c>
    </row>
    <row r="3282">
      <c r="A3282" s="25">
        <v>43404.756914328704</v>
      </c>
      <c r="B3282" s="26" t="s">
        <v>319</v>
      </c>
      <c r="C3282" s="26">
        <v>8.0</v>
      </c>
      <c r="D3282" s="26" t="s">
        <v>41</v>
      </c>
      <c r="E3282" s="26">
        <v>22.0</v>
      </c>
      <c r="F3282" s="26" t="s">
        <v>2181</v>
      </c>
      <c r="G3282" s="26">
        <v>10.0</v>
      </c>
      <c r="H3282" s="26">
        <v>8.0</v>
      </c>
      <c r="I3282" s="26">
        <v>20.0</v>
      </c>
      <c r="K3282" s="26">
        <v>2.0</v>
      </c>
      <c r="N3282" s="26" t="s">
        <v>683</v>
      </c>
    </row>
    <row r="3283">
      <c r="A3283" s="25">
        <v>43404.75896283565</v>
      </c>
      <c r="B3283" s="26" t="s">
        <v>80</v>
      </c>
      <c r="C3283" s="26" t="s">
        <v>1062</v>
      </c>
      <c r="D3283" s="26" t="s">
        <v>31</v>
      </c>
      <c r="E3283" s="26">
        <v>190.0</v>
      </c>
      <c r="F3283" s="26" t="s">
        <v>2182</v>
      </c>
      <c r="G3283" s="26">
        <v>2.0</v>
      </c>
      <c r="H3283" s="26">
        <v>0.0</v>
      </c>
      <c r="I3283" s="26">
        <v>125.0</v>
      </c>
      <c r="J3283" s="26">
        <v>37.0</v>
      </c>
      <c r="K3283" s="26">
        <v>28.0</v>
      </c>
      <c r="N3283" s="26" t="s">
        <v>685</v>
      </c>
    </row>
    <row r="3284">
      <c r="A3284" s="25">
        <v>43404.75927497685</v>
      </c>
      <c r="B3284" s="26" t="s">
        <v>80</v>
      </c>
      <c r="C3284" s="26" t="s">
        <v>26</v>
      </c>
      <c r="D3284" s="26" t="s">
        <v>1066</v>
      </c>
      <c r="E3284" s="26">
        <v>134.0</v>
      </c>
      <c r="F3284" s="26" t="s">
        <v>51</v>
      </c>
      <c r="G3284" s="26">
        <v>1.0</v>
      </c>
      <c r="H3284" s="26">
        <v>1.0</v>
      </c>
      <c r="I3284" s="26">
        <v>100.0</v>
      </c>
      <c r="J3284" s="26">
        <v>19.0</v>
      </c>
      <c r="K3284" s="26">
        <v>15.0</v>
      </c>
      <c r="N3284" s="26" t="s">
        <v>751</v>
      </c>
    </row>
    <row r="3285">
      <c r="A3285" s="25">
        <v>43404.760472106485</v>
      </c>
      <c r="B3285" s="26" t="s">
        <v>33</v>
      </c>
      <c r="C3285" s="26" t="s">
        <v>43</v>
      </c>
      <c r="D3285" s="26" t="s">
        <v>31</v>
      </c>
      <c r="E3285" s="26">
        <v>187.0</v>
      </c>
      <c r="F3285" s="26" t="s">
        <v>63</v>
      </c>
      <c r="G3285" s="26">
        <v>6.0</v>
      </c>
      <c r="H3285" s="26">
        <v>1.0</v>
      </c>
      <c r="I3285" s="26">
        <v>148.0</v>
      </c>
      <c r="J3285" s="26">
        <v>5.0</v>
      </c>
      <c r="K3285" s="26">
        <v>34.0</v>
      </c>
      <c r="N3285" s="26" t="s">
        <v>704</v>
      </c>
    </row>
    <row r="3286">
      <c r="A3286" s="25">
        <v>43404.76192821759</v>
      </c>
      <c r="B3286" s="26" t="s">
        <v>1371</v>
      </c>
      <c r="C3286" s="26" t="s">
        <v>386</v>
      </c>
      <c r="D3286" s="26" t="s">
        <v>31</v>
      </c>
      <c r="E3286" s="26">
        <v>244.0</v>
      </c>
      <c r="F3286" s="26" t="s">
        <v>2183</v>
      </c>
      <c r="G3286" s="26">
        <v>29.0</v>
      </c>
      <c r="H3286" s="26">
        <v>4.0</v>
      </c>
      <c r="I3286" s="26">
        <v>174.0</v>
      </c>
      <c r="J3286" s="26">
        <v>30.0</v>
      </c>
      <c r="K3286" s="26">
        <v>40.0</v>
      </c>
      <c r="N3286" s="26" t="s">
        <v>691</v>
      </c>
    </row>
    <row r="3287">
      <c r="A3287" s="25">
        <v>43404.76208670139</v>
      </c>
      <c r="B3287" s="26" t="s">
        <v>2184</v>
      </c>
      <c r="C3287" s="26" t="s">
        <v>31</v>
      </c>
      <c r="D3287" s="26" t="s">
        <v>31</v>
      </c>
      <c r="E3287" s="26">
        <v>95.0</v>
      </c>
      <c r="F3287" s="26" t="s">
        <v>837</v>
      </c>
      <c r="G3287" s="26">
        <v>5.0</v>
      </c>
      <c r="H3287" s="26">
        <v>2.0</v>
      </c>
      <c r="J3287" s="26">
        <v>8000.0</v>
      </c>
      <c r="N3287" s="26" t="s">
        <v>683</v>
      </c>
    </row>
    <row r="3288">
      <c r="A3288" s="25">
        <v>43404.76367806713</v>
      </c>
      <c r="B3288" s="26" t="s">
        <v>48</v>
      </c>
      <c r="C3288" s="26" t="s">
        <v>49</v>
      </c>
      <c r="D3288" s="26" t="s">
        <v>31</v>
      </c>
      <c r="E3288" s="26">
        <v>251.0</v>
      </c>
      <c r="F3288" s="26" t="s">
        <v>50</v>
      </c>
      <c r="G3288" s="26">
        <v>5.0</v>
      </c>
      <c r="H3288" s="26">
        <v>0.0</v>
      </c>
      <c r="I3288" s="26">
        <v>160.0</v>
      </c>
      <c r="J3288" s="26">
        <v>75.0</v>
      </c>
      <c r="K3288" s="26">
        <v>16.0</v>
      </c>
      <c r="N3288" s="26" t="s">
        <v>699</v>
      </c>
    </row>
    <row r="3289">
      <c r="A3289" s="25">
        <v>43404.764404201385</v>
      </c>
      <c r="B3289" s="26" t="s">
        <v>154</v>
      </c>
      <c r="C3289" s="26" t="s">
        <v>421</v>
      </c>
      <c r="D3289" s="26" t="s">
        <v>31</v>
      </c>
      <c r="E3289" s="26">
        <v>220.0</v>
      </c>
      <c r="F3289" s="26" t="s">
        <v>2185</v>
      </c>
      <c r="G3289" s="26">
        <v>25.0</v>
      </c>
      <c r="H3289" s="26">
        <v>2.0</v>
      </c>
      <c r="I3289" s="26">
        <v>163.0</v>
      </c>
      <c r="J3289" s="26">
        <v>32.0</v>
      </c>
      <c r="K3289" s="26">
        <v>25.0</v>
      </c>
      <c r="L3289" s="26" t="s">
        <v>2186</v>
      </c>
      <c r="N3289" s="26" t="s">
        <v>685</v>
      </c>
    </row>
    <row r="3290">
      <c r="A3290" s="25">
        <v>43404.76509380787</v>
      </c>
      <c r="B3290" s="26" t="s">
        <v>80</v>
      </c>
      <c r="C3290" s="26" t="s">
        <v>73</v>
      </c>
      <c r="D3290" s="26" t="s">
        <v>31</v>
      </c>
      <c r="E3290" s="26">
        <v>229.0</v>
      </c>
      <c r="F3290" s="26" t="s">
        <v>94</v>
      </c>
      <c r="G3290" s="26">
        <v>1.0</v>
      </c>
      <c r="H3290" s="26">
        <v>1.0</v>
      </c>
      <c r="I3290" s="26">
        <v>136.0</v>
      </c>
      <c r="J3290" s="26">
        <v>63.0</v>
      </c>
      <c r="K3290" s="26">
        <v>30.0</v>
      </c>
      <c r="N3290" s="26" t="s">
        <v>685</v>
      </c>
    </row>
    <row r="3291">
      <c r="A3291" s="25">
        <v>43404.76513429398</v>
      </c>
      <c r="B3291" s="26" t="s">
        <v>256</v>
      </c>
      <c r="C3291" s="26" t="s">
        <v>191</v>
      </c>
      <c r="D3291" s="26" t="s">
        <v>31</v>
      </c>
      <c r="E3291" s="26">
        <v>240.0</v>
      </c>
      <c r="F3291" s="26" t="s">
        <v>58</v>
      </c>
      <c r="G3291" s="26">
        <v>2.0</v>
      </c>
      <c r="H3291" s="26">
        <v>2.0</v>
      </c>
      <c r="I3291" s="26">
        <v>136.0</v>
      </c>
      <c r="J3291" s="26">
        <v>100.0</v>
      </c>
      <c r="K3291" s="26">
        <v>4.0</v>
      </c>
      <c r="N3291" s="26" t="s">
        <v>685</v>
      </c>
    </row>
    <row r="3292">
      <c r="A3292" s="25">
        <v>43404.76564267361</v>
      </c>
      <c r="B3292" s="26" t="s">
        <v>25</v>
      </c>
      <c r="C3292" s="26" t="s">
        <v>1098</v>
      </c>
      <c r="D3292" s="26" t="s">
        <v>31</v>
      </c>
      <c r="E3292" s="26">
        <v>550.0</v>
      </c>
      <c r="F3292" s="26" t="s">
        <v>1275</v>
      </c>
      <c r="G3292" s="26">
        <v>15.0</v>
      </c>
      <c r="H3292" s="26">
        <v>3.0</v>
      </c>
      <c r="N3292" s="26" t="s">
        <v>685</v>
      </c>
    </row>
    <row r="3293">
      <c r="A3293" s="25">
        <v>43404.76587207176</v>
      </c>
      <c r="B3293" s="26" t="s">
        <v>268</v>
      </c>
      <c r="C3293" s="26" t="s">
        <v>1800</v>
      </c>
      <c r="D3293" s="26" t="s">
        <v>31</v>
      </c>
      <c r="E3293" s="26">
        <v>182.0</v>
      </c>
      <c r="F3293" s="26" t="s">
        <v>2187</v>
      </c>
      <c r="G3293" s="26">
        <v>12.0</v>
      </c>
      <c r="H3293" s="26">
        <v>9.0</v>
      </c>
      <c r="I3293" s="26">
        <v>125.0</v>
      </c>
      <c r="J3293" s="26">
        <v>32.0</v>
      </c>
      <c r="K3293" s="26">
        <v>25.0</v>
      </c>
      <c r="N3293" s="26" t="s">
        <v>715</v>
      </c>
    </row>
    <row r="3294">
      <c r="A3294" s="25">
        <v>43404.76640876157</v>
      </c>
      <c r="B3294" s="26" t="s">
        <v>33</v>
      </c>
      <c r="C3294" s="26" t="s">
        <v>43</v>
      </c>
      <c r="D3294" s="26" t="s">
        <v>31</v>
      </c>
      <c r="E3294" s="26">
        <v>199.0</v>
      </c>
      <c r="F3294" s="26" t="s">
        <v>35</v>
      </c>
      <c r="G3294" s="26">
        <v>8.0</v>
      </c>
      <c r="H3294" s="26">
        <v>3.5</v>
      </c>
      <c r="I3294" s="26">
        <v>132.0</v>
      </c>
      <c r="N3294" s="26" t="s">
        <v>685</v>
      </c>
    </row>
    <row r="3295">
      <c r="A3295" s="25">
        <v>43404.76737266204</v>
      </c>
      <c r="B3295" s="26" t="s">
        <v>33</v>
      </c>
      <c r="C3295" s="26" t="s">
        <v>73</v>
      </c>
      <c r="D3295" s="26" t="s">
        <v>31</v>
      </c>
      <c r="E3295" s="26">
        <v>195.0</v>
      </c>
      <c r="F3295" s="26" t="s">
        <v>236</v>
      </c>
      <c r="G3295" s="26">
        <v>2.0</v>
      </c>
      <c r="H3295" s="26">
        <v>1.0</v>
      </c>
      <c r="I3295" s="26">
        <v>135.0</v>
      </c>
      <c r="J3295" s="26">
        <v>50.0</v>
      </c>
      <c r="K3295" s="26">
        <v>10.0</v>
      </c>
      <c r="N3295" s="26" t="s">
        <v>691</v>
      </c>
    </row>
    <row r="3296">
      <c r="A3296" s="25">
        <v>43404.76771231482</v>
      </c>
      <c r="B3296" s="26" t="s">
        <v>48</v>
      </c>
      <c r="C3296" s="26" t="s">
        <v>69</v>
      </c>
      <c r="D3296" s="26" t="s">
        <v>31</v>
      </c>
      <c r="E3296" s="26">
        <v>220.0</v>
      </c>
      <c r="F3296" s="26" t="s">
        <v>63</v>
      </c>
      <c r="G3296" s="26">
        <v>0.0</v>
      </c>
      <c r="H3296" s="26">
        <v>0.0</v>
      </c>
      <c r="I3296" s="26">
        <v>115.0</v>
      </c>
      <c r="J3296" s="26">
        <v>55.0</v>
      </c>
      <c r="K3296" s="26">
        <v>50.0</v>
      </c>
      <c r="N3296" s="26" t="s">
        <v>2188</v>
      </c>
    </row>
    <row r="3297">
      <c r="A3297" s="25">
        <v>43404.768330833336</v>
      </c>
      <c r="B3297" s="26" t="s">
        <v>256</v>
      </c>
      <c r="C3297" s="26" t="s">
        <v>184</v>
      </c>
      <c r="D3297" s="26" t="s">
        <v>31</v>
      </c>
      <c r="E3297" s="26">
        <v>407.0</v>
      </c>
      <c r="F3297" s="26" t="s">
        <v>63</v>
      </c>
      <c r="G3297" s="26">
        <v>7.0</v>
      </c>
      <c r="H3297" s="26">
        <v>2.0</v>
      </c>
      <c r="I3297" s="26">
        <v>193.0</v>
      </c>
      <c r="J3297" s="26">
        <v>185.0</v>
      </c>
      <c r="K3297" s="26">
        <v>29.0</v>
      </c>
      <c r="N3297" s="26" t="s">
        <v>683</v>
      </c>
    </row>
    <row r="3298">
      <c r="A3298" s="25">
        <v>43404.769404375</v>
      </c>
      <c r="B3298" s="26" t="s">
        <v>48</v>
      </c>
      <c r="C3298" s="26" t="s">
        <v>166</v>
      </c>
      <c r="D3298" s="26" t="s">
        <v>31</v>
      </c>
      <c r="E3298" s="26">
        <v>360.0</v>
      </c>
      <c r="F3298" s="26" t="s">
        <v>35</v>
      </c>
      <c r="G3298" s="26">
        <v>10.0</v>
      </c>
      <c r="H3298" s="26">
        <v>2.0</v>
      </c>
      <c r="I3298" s="26">
        <v>180.0</v>
      </c>
      <c r="J3298" s="26">
        <v>150.0</v>
      </c>
      <c r="K3298" s="26">
        <v>30.0</v>
      </c>
      <c r="N3298" s="26" t="s">
        <v>685</v>
      </c>
    </row>
    <row r="3299">
      <c r="A3299" s="25">
        <v>43404.772400173606</v>
      </c>
      <c r="B3299" s="26" t="s">
        <v>319</v>
      </c>
      <c r="C3299" s="26" t="s">
        <v>881</v>
      </c>
      <c r="D3299" s="26" t="s">
        <v>31</v>
      </c>
      <c r="E3299" s="26">
        <v>250.0</v>
      </c>
      <c r="F3299" s="26" t="s">
        <v>94</v>
      </c>
      <c r="G3299" s="26">
        <v>35.0</v>
      </c>
      <c r="H3299" s="26">
        <v>25.0</v>
      </c>
      <c r="N3299" s="26" t="s">
        <v>691</v>
      </c>
    </row>
    <row r="3300">
      <c r="A3300" s="25">
        <v>43404.77362142361</v>
      </c>
      <c r="B3300" s="26" t="s">
        <v>2189</v>
      </c>
      <c r="C3300" s="26">
        <v>1.0</v>
      </c>
      <c r="D3300" s="26" t="s">
        <v>31</v>
      </c>
      <c r="E3300" s="26">
        <v>165.0</v>
      </c>
      <c r="F3300" s="26" t="s">
        <v>1075</v>
      </c>
      <c r="G3300" s="26">
        <v>3.0</v>
      </c>
      <c r="H3300" s="26">
        <v>2.0</v>
      </c>
      <c r="I3300" s="26">
        <v>140000.0</v>
      </c>
      <c r="J3300" s="26">
        <v>25000.0</v>
      </c>
      <c r="N3300" s="26" t="s">
        <v>683</v>
      </c>
    </row>
    <row r="3301">
      <c r="A3301" s="25">
        <v>43404.774559224534</v>
      </c>
      <c r="B3301" s="26" t="s">
        <v>40</v>
      </c>
      <c r="C3301" s="26">
        <v>59.0</v>
      </c>
      <c r="D3301" s="26" t="s">
        <v>31</v>
      </c>
      <c r="E3301" s="26">
        <v>189.0</v>
      </c>
      <c r="F3301" s="26" t="s">
        <v>86</v>
      </c>
      <c r="G3301" s="26">
        <v>1.0</v>
      </c>
      <c r="H3301" s="26">
        <v>1.0</v>
      </c>
      <c r="I3301" s="26">
        <v>109.0</v>
      </c>
      <c r="J3301" s="26">
        <v>34.0</v>
      </c>
      <c r="K3301" s="26">
        <v>46.0</v>
      </c>
      <c r="N3301" s="26" t="s">
        <v>691</v>
      </c>
    </row>
    <row r="3302">
      <c r="A3302" s="25">
        <v>43404.77512021991</v>
      </c>
      <c r="B3302" s="26" t="s">
        <v>2190</v>
      </c>
      <c r="C3302" s="26" t="s">
        <v>34</v>
      </c>
      <c r="D3302" s="26" t="s">
        <v>31</v>
      </c>
      <c r="E3302" s="26">
        <v>134.0</v>
      </c>
      <c r="F3302" s="26" t="s">
        <v>2191</v>
      </c>
      <c r="G3302" s="26">
        <v>10.0</v>
      </c>
      <c r="H3302" s="26">
        <v>4.0</v>
      </c>
      <c r="I3302" s="26">
        <v>120.0</v>
      </c>
      <c r="K3302" s="26">
        <v>14.0</v>
      </c>
      <c r="L3302" s="26" t="s">
        <v>2192</v>
      </c>
      <c r="N3302" s="26" t="s">
        <v>685</v>
      </c>
    </row>
    <row r="3303">
      <c r="A3303" s="25">
        <v>43404.77755600694</v>
      </c>
      <c r="B3303" s="26" t="s">
        <v>80</v>
      </c>
      <c r="C3303" s="26" t="s">
        <v>43</v>
      </c>
      <c r="D3303" s="26" t="s">
        <v>31</v>
      </c>
      <c r="E3303" s="26">
        <v>245.0</v>
      </c>
      <c r="F3303" s="26" t="s">
        <v>51</v>
      </c>
      <c r="G3303" s="26">
        <v>6.0</v>
      </c>
      <c r="H3303" s="26">
        <v>4.0</v>
      </c>
      <c r="N3303" s="26" t="s">
        <v>699</v>
      </c>
    </row>
    <row r="3304">
      <c r="A3304" s="25">
        <v>43404.77755834491</v>
      </c>
      <c r="B3304" s="26" t="s">
        <v>2193</v>
      </c>
      <c r="C3304" s="26" t="s">
        <v>2005</v>
      </c>
      <c r="D3304" s="26" t="s">
        <v>31</v>
      </c>
      <c r="E3304" s="26">
        <v>135.0</v>
      </c>
      <c r="F3304" s="26" t="s">
        <v>2194</v>
      </c>
      <c r="G3304" s="26">
        <v>10.0</v>
      </c>
      <c r="H3304" s="26">
        <v>3.0</v>
      </c>
      <c r="N3304" s="26" t="s">
        <v>691</v>
      </c>
    </row>
    <row r="3305">
      <c r="A3305" s="25">
        <v>43404.77909358796</v>
      </c>
      <c r="B3305" s="26" t="s">
        <v>48</v>
      </c>
      <c r="C3305" s="26" t="s">
        <v>806</v>
      </c>
      <c r="D3305" s="26" t="s">
        <v>41</v>
      </c>
      <c r="E3305" s="26">
        <v>950.0</v>
      </c>
      <c r="F3305" s="26" t="s">
        <v>94</v>
      </c>
      <c r="G3305" s="26">
        <v>12.0</v>
      </c>
      <c r="H3305" s="26">
        <v>1.0</v>
      </c>
      <c r="N3305" s="26" t="s">
        <v>691</v>
      </c>
    </row>
    <row r="3306">
      <c r="A3306" s="25">
        <v>43404.782928298606</v>
      </c>
      <c r="B3306" s="26" t="s">
        <v>2195</v>
      </c>
      <c r="C3306" s="26" t="s">
        <v>2196</v>
      </c>
      <c r="D3306" s="26" t="s">
        <v>31</v>
      </c>
      <c r="E3306" s="26">
        <v>106.0</v>
      </c>
      <c r="F3306" s="26" t="s">
        <v>2197</v>
      </c>
      <c r="G3306" s="26">
        <v>1.0</v>
      </c>
      <c r="H3306" s="26">
        <v>1.0</v>
      </c>
      <c r="N3306" s="26" t="s">
        <v>683</v>
      </c>
    </row>
    <row r="3307">
      <c r="A3307" s="25">
        <v>43404.783020856485</v>
      </c>
      <c r="B3307" s="26" t="s">
        <v>40</v>
      </c>
      <c r="C3307" s="26">
        <v>61.0</v>
      </c>
      <c r="D3307" s="26" t="s">
        <v>27</v>
      </c>
      <c r="E3307" s="26">
        <v>218.0</v>
      </c>
      <c r="F3307" s="26" t="s">
        <v>35</v>
      </c>
      <c r="G3307" s="26">
        <v>2.0</v>
      </c>
      <c r="H3307" s="26">
        <v>2.0</v>
      </c>
      <c r="I3307" s="26">
        <v>130.0</v>
      </c>
      <c r="J3307" s="26">
        <v>68.0</v>
      </c>
      <c r="K3307" s="26">
        <v>20.0</v>
      </c>
      <c r="N3307" s="26" t="s">
        <v>685</v>
      </c>
    </row>
    <row r="3308">
      <c r="A3308" s="25">
        <v>43404.7844778125</v>
      </c>
      <c r="B3308" s="26" t="s">
        <v>80</v>
      </c>
      <c r="C3308" s="26" t="s">
        <v>430</v>
      </c>
      <c r="D3308" s="26" t="s">
        <v>31</v>
      </c>
      <c r="E3308" s="26">
        <v>210.0</v>
      </c>
      <c r="F3308" s="26" t="s">
        <v>2198</v>
      </c>
      <c r="G3308" s="26">
        <v>4.0</v>
      </c>
      <c r="H3308" s="26">
        <v>2.0</v>
      </c>
      <c r="I3308" s="26">
        <v>124.0</v>
      </c>
      <c r="J3308" s="26">
        <v>63.0</v>
      </c>
      <c r="K3308" s="26">
        <v>20.0</v>
      </c>
      <c r="N3308" s="26" t="s">
        <v>691</v>
      </c>
    </row>
    <row r="3309">
      <c r="A3309" s="25">
        <v>43404.786710370376</v>
      </c>
      <c r="B3309" s="26" t="s">
        <v>80</v>
      </c>
      <c r="C3309" s="26" t="s">
        <v>176</v>
      </c>
      <c r="D3309" s="26" t="s">
        <v>31</v>
      </c>
      <c r="E3309" s="26">
        <v>330.0</v>
      </c>
      <c r="F3309" s="26" t="s">
        <v>32</v>
      </c>
      <c r="G3309" s="26">
        <v>5.0</v>
      </c>
      <c r="H3309" s="26">
        <v>5.0</v>
      </c>
      <c r="I3309" s="26">
        <v>164.0</v>
      </c>
      <c r="J3309" s="26">
        <v>134.0</v>
      </c>
      <c r="K3309" s="26">
        <v>35.0</v>
      </c>
      <c r="N3309" s="26" t="s">
        <v>704</v>
      </c>
    </row>
    <row r="3310">
      <c r="A3310" s="25">
        <v>43404.787698182874</v>
      </c>
      <c r="B3310" s="26" t="s">
        <v>36</v>
      </c>
      <c r="C3310" s="26" t="s">
        <v>96</v>
      </c>
      <c r="D3310" s="26" t="s">
        <v>31</v>
      </c>
      <c r="E3310" s="26">
        <v>410.0</v>
      </c>
      <c r="F3310" s="26" t="s">
        <v>35</v>
      </c>
      <c r="G3310" s="26">
        <v>8.0</v>
      </c>
      <c r="H3310" s="26">
        <v>4.0</v>
      </c>
      <c r="I3310" s="26">
        <v>172.0</v>
      </c>
      <c r="J3310" s="26">
        <v>218.0</v>
      </c>
      <c r="K3310" s="26">
        <v>20.0</v>
      </c>
      <c r="N3310" s="26" t="s">
        <v>757</v>
      </c>
    </row>
    <row r="3311">
      <c r="A3311" s="25">
        <v>43404.788328229166</v>
      </c>
      <c r="B3311" s="26" t="s">
        <v>80</v>
      </c>
      <c r="C3311" s="26" t="s">
        <v>43</v>
      </c>
      <c r="D3311" s="26" t="s">
        <v>31</v>
      </c>
      <c r="E3311" s="26">
        <v>340.0</v>
      </c>
      <c r="F3311" s="26" t="s">
        <v>161</v>
      </c>
      <c r="G3311" s="26">
        <v>10.0</v>
      </c>
      <c r="H3311" s="26">
        <v>4.0</v>
      </c>
      <c r="I3311" s="26">
        <v>180.0</v>
      </c>
      <c r="J3311" s="26">
        <v>125.0</v>
      </c>
      <c r="K3311" s="26">
        <v>35.0</v>
      </c>
      <c r="N3311" s="26" t="s">
        <v>683</v>
      </c>
    </row>
    <row r="3312">
      <c r="A3312" s="25">
        <v>43404.790521863426</v>
      </c>
      <c r="B3312" s="26" t="s">
        <v>80</v>
      </c>
      <c r="C3312" s="26" t="s">
        <v>1062</v>
      </c>
      <c r="D3312" s="26" t="s">
        <v>31</v>
      </c>
      <c r="E3312" s="26">
        <v>223.0</v>
      </c>
      <c r="F3312" s="26" t="s">
        <v>247</v>
      </c>
      <c r="G3312" s="26">
        <v>2.0</v>
      </c>
      <c r="H3312" s="26">
        <v>2.0</v>
      </c>
      <c r="I3312" s="26">
        <v>132.0</v>
      </c>
      <c r="J3312" s="26">
        <v>24.0</v>
      </c>
      <c r="K3312" s="26">
        <v>67.0</v>
      </c>
      <c r="N3312" s="26" t="s">
        <v>691</v>
      </c>
    </row>
    <row r="3313">
      <c r="A3313" s="25">
        <v>43404.790844953706</v>
      </c>
      <c r="B3313" s="26" t="s">
        <v>45</v>
      </c>
      <c r="C3313" s="26" t="s">
        <v>116</v>
      </c>
      <c r="D3313" s="26" t="s">
        <v>31</v>
      </c>
      <c r="E3313" s="26">
        <v>450.0</v>
      </c>
      <c r="F3313" s="26" t="s">
        <v>104</v>
      </c>
      <c r="G3313" s="26">
        <v>4.0</v>
      </c>
      <c r="H3313" s="26">
        <v>4.0</v>
      </c>
      <c r="I3313" s="26">
        <v>170.0</v>
      </c>
      <c r="J3313" s="26">
        <v>240.0</v>
      </c>
      <c r="K3313" s="26">
        <v>40.0</v>
      </c>
      <c r="N3313" s="26" t="s">
        <v>704</v>
      </c>
    </row>
    <row r="3314">
      <c r="A3314" s="25">
        <v>43404.79155234953</v>
      </c>
      <c r="B3314" s="26" t="s">
        <v>268</v>
      </c>
      <c r="C3314" s="26" t="s">
        <v>442</v>
      </c>
      <c r="D3314" s="26" t="s">
        <v>31</v>
      </c>
      <c r="E3314" s="26">
        <v>83.0</v>
      </c>
      <c r="F3314" s="26" t="s">
        <v>161</v>
      </c>
      <c r="G3314" s="26">
        <v>2.0</v>
      </c>
      <c r="H3314" s="26">
        <v>1.0</v>
      </c>
      <c r="I3314" s="26">
        <v>75.0</v>
      </c>
      <c r="K3314" s="26">
        <v>8.0</v>
      </c>
      <c r="N3314" s="26" t="s">
        <v>704</v>
      </c>
    </row>
    <row r="3315">
      <c r="A3315" s="25">
        <v>43404.79257372685</v>
      </c>
      <c r="B3315" s="26" t="s">
        <v>80</v>
      </c>
      <c r="C3315" s="26" t="s">
        <v>62</v>
      </c>
      <c r="D3315" s="26" t="s">
        <v>1599</v>
      </c>
      <c r="E3315" s="26">
        <v>230.0</v>
      </c>
      <c r="F3315" s="26" t="s">
        <v>2199</v>
      </c>
      <c r="G3315" s="26">
        <v>20.0</v>
      </c>
      <c r="H3315" s="26">
        <v>1.0</v>
      </c>
      <c r="I3315" s="26">
        <v>125.0</v>
      </c>
      <c r="J3315" s="26">
        <v>45.0</v>
      </c>
      <c r="K3315" s="26">
        <v>60.0</v>
      </c>
      <c r="N3315" s="26" t="s">
        <v>2200</v>
      </c>
    </row>
    <row r="3316">
      <c r="A3316" s="25">
        <v>43404.79285104167</v>
      </c>
      <c r="B3316" s="26" t="s">
        <v>80</v>
      </c>
      <c r="C3316" s="26" t="s">
        <v>179</v>
      </c>
      <c r="D3316" s="26" t="s">
        <v>31</v>
      </c>
      <c r="E3316" s="26">
        <v>166.0</v>
      </c>
      <c r="F3316" s="26" t="s">
        <v>307</v>
      </c>
      <c r="G3316" s="26">
        <v>2.0</v>
      </c>
      <c r="H3316" s="26">
        <v>0.0</v>
      </c>
      <c r="I3316" s="26">
        <v>110.0</v>
      </c>
      <c r="J3316" s="26">
        <v>39.0</v>
      </c>
      <c r="K3316" s="26">
        <v>17.0</v>
      </c>
      <c r="N3316" s="26" t="s">
        <v>696</v>
      </c>
    </row>
    <row r="3317">
      <c r="A3317" s="25">
        <v>43404.79388002315</v>
      </c>
      <c r="B3317" s="26" t="s">
        <v>45</v>
      </c>
      <c r="C3317" s="26" t="s">
        <v>116</v>
      </c>
      <c r="D3317" s="26" t="s">
        <v>31</v>
      </c>
      <c r="E3317" s="26">
        <v>305.0</v>
      </c>
      <c r="F3317" s="26" t="s">
        <v>2201</v>
      </c>
      <c r="G3317" s="26">
        <v>12.0</v>
      </c>
      <c r="H3317" s="26">
        <v>4.0</v>
      </c>
      <c r="I3317" s="26">
        <v>175.0</v>
      </c>
      <c r="J3317" s="26">
        <v>110.0</v>
      </c>
      <c r="K3317" s="26">
        <v>20.0</v>
      </c>
      <c r="N3317" s="26" t="s">
        <v>685</v>
      </c>
    </row>
    <row r="3318">
      <c r="A3318" s="25">
        <v>43404.794596921296</v>
      </c>
      <c r="B3318" s="26" t="s">
        <v>548</v>
      </c>
      <c r="C3318" s="26">
        <v>7.0</v>
      </c>
      <c r="D3318" s="26" t="s">
        <v>41</v>
      </c>
      <c r="E3318" s="26">
        <v>185.0</v>
      </c>
      <c r="F3318" s="26" t="s">
        <v>2202</v>
      </c>
      <c r="G3318" s="26">
        <v>18.0</v>
      </c>
      <c r="H3318" s="26">
        <v>3.0</v>
      </c>
      <c r="I3318" s="26">
        <v>171.0</v>
      </c>
      <c r="N3318" s="26" t="s">
        <v>683</v>
      </c>
    </row>
    <row r="3319">
      <c r="A3319" s="25">
        <v>43404.796647546296</v>
      </c>
      <c r="B3319" s="26" t="s">
        <v>33</v>
      </c>
      <c r="C3319" s="26" t="s">
        <v>62</v>
      </c>
      <c r="D3319" s="26" t="s">
        <v>27</v>
      </c>
      <c r="E3319" s="26">
        <v>400.0</v>
      </c>
      <c r="F3319" s="26" t="s">
        <v>63</v>
      </c>
      <c r="G3319" s="26">
        <v>15.0</v>
      </c>
      <c r="H3319" s="26">
        <v>3.0</v>
      </c>
      <c r="N3319" s="26" t="s">
        <v>691</v>
      </c>
    </row>
    <row r="3320">
      <c r="A3320" s="25">
        <v>43404.79726849537</v>
      </c>
      <c r="B3320" s="26" t="s">
        <v>2203</v>
      </c>
      <c r="C3320" s="26" t="s">
        <v>37</v>
      </c>
      <c r="D3320" s="26" t="s">
        <v>31</v>
      </c>
      <c r="E3320" s="26">
        <v>245.0</v>
      </c>
      <c r="F3320" s="26" t="s">
        <v>453</v>
      </c>
      <c r="G3320" s="26">
        <v>10.0</v>
      </c>
      <c r="H3320" s="26">
        <v>5.0</v>
      </c>
      <c r="I3320" s="26">
        <v>215.0</v>
      </c>
      <c r="K3320" s="26">
        <v>30.0</v>
      </c>
      <c r="N3320" s="26" t="s">
        <v>715</v>
      </c>
    </row>
    <row r="3321">
      <c r="A3321" s="25">
        <v>43404.799815833336</v>
      </c>
      <c r="B3321" s="26" t="s">
        <v>2204</v>
      </c>
      <c r="C3321" s="26" t="s">
        <v>125</v>
      </c>
      <c r="D3321" s="26" t="s">
        <v>31</v>
      </c>
      <c r="E3321" s="26">
        <v>125.0</v>
      </c>
      <c r="F3321" s="26" t="s">
        <v>518</v>
      </c>
      <c r="G3321" s="26">
        <v>9.0</v>
      </c>
      <c r="H3321" s="26">
        <v>2.0</v>
      </c>
      <c r="N3321" s="26" t="s">
        <v>708</v>
      </c>
    </row>
    <row r="3322">
      <c r="A3322" s="25">
        <v>43404.800667083335</v>
      </c>
      <c r="B3322" s="26" t="s">
        <v>80</v>
      </c>
      <c r="C3322" s="26" t="s">
        <v>430</v>
      </c>
      <c r="D3322" s="26" t="s">
        <v>1218</v>
      </c>
      <c r="E3322" s="26">
        <v>205.0</v>
      </c>
      <c r="F3322" s="26" t="s">
        <v>134</v>
      </c>
      <c r="G3322" s="26">
        <v>3.0</v>
      </c>
      <c r="H3322" s="26">
        <v>2.0</v>
      </c>
      <c r="I3322" s="26">
        <v>133.0</v>
      </c>
      <c r="J3322" s="26">
        <v>60.0</v>
      </c>
      <c r="K3322" s="26">
        <v>15.0</v>
      </c>
      <c r="N3322" s="26" t="s">
        <v>757</v>
      </c>
    </row>
    <row r="3323">
      <c r="A3323" s="25">
        <v>43404.80074715278</v>
      </c>
      <c r="B3323" s="26" t="s">
        <v>2205</v>
      </c>
      <c r="C3323" s="26" t="s">
        <v>369</v>
      </c>
      <c r="D3323" s="26" t="s">
        <v>31</v>
      </c>
      <c r="E3323" s="26">
        <v>100.0</v>
      </c>
      <c r="F3323" s="26" t="s">
        <v>1742</v>
      </c>
      <c r="G3323" s="26">
        <v>3.0</v>
      </c>
      <c r="H3323" s="26">
        <v>1.0</v>
      </c>
      <c r="N3323" s="26" t="s">
        <v>708</v>
      </c>
    </row>
    <row r="3324">
      <c r="A3324" s="25">
        <v>43404.80138535879</v>
      </c>
      <c r="B3324" s="26" t="s">
        <v>268</v>
      </c>
      <c r="C3324" s="26" t="s">
        <v>366</v>
      </c>
      <c r="D3324" s="26" t="s">
        <v>31</v>
      </c>
      <c r="E3324" s="26">
        <v>230.0</v>
      </c>
      <c r="F3324" s="26" t="s">
        <v>272</v>
      </c>
      <c r="G3324" s="26">
        <v>10.0</v>
      </c>
      <c r="H3324" s="26">
        <v>2.0</v>
      </c>
      <c r="I3324" s="26">
        <v>180.0</v>
      </c>
      <c r="J3324" s="26">
        <v>20.0</v>
      </c>
      <c r="K3324" s="26">
        <v>30.0</v>
      </c>
      <c r="N3324" s="26" t="s">
        <v>704</v>
      </c>
    </row>
    <row r="3325">
      <c r="A3325" s="25">
        <v>43404.80229784722</v>
      </c>
      <c r="B3325" s="26" t="s">
        <v>2206</v>
      </c>
      <c r="C3325" s="26" t="s">
        <v>541</v>
      </c>
      <c r="D3325" s="26" t="s">
        <v>31</v>
      </c>
      <c r="E3325" s="26">
        <v>160.0</v>
      </c>
      <c r="F3325" s="26" t="s">
        <v>1835</v>
      </c>
      <c r="G3325" s="26">
        <v>8.0</v>
      </c>
      <c r="H3325" s="26">
        <v>2.0</v>
      </c>
      <c r="I3325" s="26">
        <v>135000.0</v>
      </c>
      <c r="K3325" s="26">
        <v>25000.0</v>
      </c>
      <c r="N3325" s="26" t="s">
        <v>708</v>
      </c>
    </row>
    <row r="3326">
      <c r="A3326" s="25">
        <v>43404.804703726855</v>
      </c>
      <c r="B3326" s="26" t="s">
        <v>95</v>
      </c>
      <c r="C3326" s="26" t="s">
        <v>1629</v>
      </c>
      <c r="D3326" s="26" t="s">
        <v>41</v>
      </c>
      <c r="E3326" s="26">
        <v>420.0</v>
      </c>
      <c r="F3326" s="26" t="s">
        <v>97</v>
      </c>
      <c r="G3326" s="26">
        <v>6.0</v>
      </c>
      <c r="H3326" s="26">
        <v>2.5</v>
      </c>
      <c r="I3326" s="26">
        <v>400000.0</v>
      </c>
      <c r="J3326" s="26">
        <v>20000.0</v>
      </c>
      <c r="N3326" s="26" t="s">
        <v>683</v>
      </c>
    </row>
    <row r="3327">
      <c r="A3327" s="25">
        <v>43404.80506047454</v>
      </c>
      <c r="B3327" s="26" t="s">
        <v>48</v>
      </c>
      <c r="C3327" s="26" t="s">
        <v>166</v>
      </c>
      <c r="D3327" s="26" t="s">
        <v>31</v>
      </c>
      <c r="E3327" s="26">
        <v>295.0</v>
      </c>
      <c r="F3327" s="26" t="s">
        <v>50</v>
      </c>
      <c r="G3327" s="26">
        <v>7.0</v>
      </c>
      <c r="H3327" s="26">
        <v>1.0</v>
      </c>
      <c r="I3327" s="26">
        <v>170.0</v>
      </c>
      <c r="J3327" s="26">
        <v>100.0</v>
      </c>
      <c r="K3327" s="26">
        <v>25.0</v>
      </c>
      <c r="N3327" s="26" t="s">
        <v>687</v>
      </c>
    </row>
    <row r="3328">
      <c r="A3328" s="25">
        <v>43404.80540414352</v>
      </c>
      <c r="B3328" s="26" t="s">
        <v>371</v>
      </c>
      <c r="C3328" s="26" t="s">
        <v>716</v>
      </c>
      <c r="D3328" s="26" t="s">
        <v>31</v>
      </c>
      <c r="E3328" s="26">
        <v>100.0</v>
      </c>
      <c r="F3328" s="26" t="s">
        <v>459</v>
      </c>
      <c r="G3328" s="26">
        <v>1.0</v>
      </c>
      <c r="H3328" s="26">
        <v>1.0</v>
      </c>
      <c r="I3328" s="26">
        <v>100.0</v>
      </c>
      <c r="N3328" s="26" t="s">
        <v>751</v>
      </c>
    </row>
    <row r="3329">
      <c r="A3329" s="25">
        <v>43404.80795094908</v>
      </c>
      <c r="B3329" s="26" t="s">
        <v>80</v>
      </c>
      <c r="C3329" s="26" t="s">
        <v>73</v>
      </c>
      <c r="D3329" s="26" t="s">
        <v>31</v>
      </c>
      <c r="E3329" s="26">
        <v>311.0</v>
      </c>
      <c r="F3329" s="26" t="s">
        <v>35</v>
      </c>
      <c r="G3329" s="26">
        <v>11.0</v>
      </c>
      <c r="H3329" s="26">
        <v>3.0</v>
      </c>
      <c r="I3329" s="26">
        <v>152.0</v>
      </c>
      <c r="J3329" s="26">
        <v>128.0</v>
      </c>
      <c r="K3329" s="26">
        <v>30.0</v>
      </c>
      <c r="N3329" s="26" t="s">
        <v>699</v>
      </c>
    </row>
    <row r="3330">
      <c r="A3330" s="25">
        <v>43404.808036435184</v>
      </c>
      <c r="B3330" s="26" t="s">
        <v>2207</v>
      </c>
      <c r="C3330" s="26" t="s">
        <v>26</v>
      </c>
      <c r="D3330" s="26" t="s">
        <v>31</v>
      </c>
      <c r="E3330" s="26">
        <v>91.0</v>
      </c>
      <c r="F3330" s="26" t="s">
        <v>2208</v>
      </c>
      <c r="G3330" s="26">
        <v>15.0</v>
      </c>
      <c r="H3330" s="26">
        <v>4.0</v>
      </c>
      <c r="I3330" s="26">
        <v>75.0</v>
      </c>
      <c r="K3330" s="26">
        <v>16.0</v>
      </c>
      <c r="N3330" s="26" t="s">
        <v>685</v>
      </c>
    </row>
    <row r="3331">
      <c r="A3331" s="25">
        <v>43404.8085077662</v>
      </c>
      <c r="B3331" s="26" t="s">
        <v>157</v>
      </c>
      <c r="C3331" s="26" t="s">
        <v>1978</v>
      </c>
      <c r="D3331" s="26" t="s">
        <v>31</v>
      </c>
      <c r="E3331" s="26">
        <v>176.0</v>
      </c>
      <c r="F3331" s="26" t="s">
        <v>745</v>
      </c>
      <c r="G3331" s="26">
        <v>16.0</v>
      </c>
      <c r="H3331" s="26">
        <v>10.0</v>
      </c>
      <c r="I3331" s="26">
        <v>140.0</v>
      </c>
      <c r="J3331" s="26">
        <v>18.0</v>
      </c>
      <c r="K3331" s="26">
        <v>18.0</v>
      </c>
      <c r="N3331" s="26" t="s">
        <v>683</v>
      </c>
    </row>
    <row r="3332">
      <c r="A3332" s="25">
        <v>43404.80908961805</v>
      </c>
      <c r="B3332" s="26" t="s">
        <v>48</v>
      </c>
      <c r="C3332" s="26" t="s">
        <v>486</v>
      </c>
      <c r="D3332" s="26" t="s">
        <v>711</v>
      </c>
      <c r="E3332" s="26">
        <v>385.0</v>
      </c>
      <c r="F3332" s="26" t="s">
        <v>50</v>
      </c>
      <c r="G3332" s="26">
        <v>6.0</v>
      </c>
      <c r="H3332" s="26">
        <v>3.0</v>
      </c>
      <c r="I3332" s="26">
        <v>205.0</v>
      </c>
      <c r="J3332" s="26">
        <v>135.0</v>
      </c>
      <c r="K3332" s="26">
        <v>50.0</v>
      </c>
      <c r="N3332" s="26" t="s">
        <v>2151</v>
      </c>
    </row>
    <row r="3333">
      <c r="A3333" s="25">
        <v>43404.80923302083</v>
      </c>
      <c r="B3333" s="26" t="s">
        <v>1610</v>
      </c>
      <c r="C3333" s="26" t="s">
        <v>2209</v>
      </c>
      <c r="D3333" s="26" t="s">
        <v>31</v>
      </c>
      <c r="E3333" s="26">
        <v>200.0</v>
      </c>
      <c r="F3333" s="26" t="s">
        <v>51</v>
      </c>
      <c r="G3333" s="26">
        <v>2.0</v>
      </c>
      <c r="H3333" s="26">
        <v>2.0</v>
      </c>
      <c r="N3333" s="26" t="s">
        <v>683</v>
      </c>
    </row>
    <row r="3334">
      <c r="A3334" s="25">
        <v>43404.81235606482</v>
      </c>
      <c r="B3334" s="26" t="s">
        <v>1769</v>
      </c>
      <c r="C3334" s="26" t="s">
        <v>2210</v>
      </c>
      <c r="D3334" s="26" t="s">
        <v>41</v>
      </c>
      <c r="E3334" s="26">
        <v>141.0</v>
      </c>
      <c r="F3334" s="26" t="s">
        <v>432</v>
      </c>
      <c r="G3334" s="26">
        <v>6.0</v>
      </c>
      <c r="H3334" s="26">
        <v>3.5</v>
      </c>
      <c r="I3334" s="26">
        <v>144.0</v>
      </c>
      <c r="J3334" s="26">
        <v>100.0</v>
      </c>
      <c r="N3334" s="26" t="s">
        <v>704</v>
      </c>
    </row>
    <row r="3335">
      <c r="A3335" s="25">
        <v>43404.81262626157</v>
      </c>
      <c r="B3335" s="26" t="s">
        <v>2211</v>
      </c>
      <c r="C3335" s="26" t="s">
        <v>125</v>
      </c>
      <c r="D3335" s="26" t="s">
        <v>27</v>
      </c>
      <c r="E3335" s="26">
        <v>111.0</v>
      </c>
      <c r="F3335" s="26" t="s">
        <v>2212</v>
      </c>
      <c r="G3335" s="26">
        <v>2.0</v>
      </c>
      <c r="H3335" s="26">
        <v>3.0</v>
      </c>
      <c r="N3335" s="26" t="s">
        <v>696</v>
      </c>
    </row>
    <row r="3336">
      <c r="A3336" s="25">
        <v>43404.814512557874</v>
      </c>
      <c r="B3336" s="26" t="s">
        <v>48</v>
      </c>
      <c r="C3336" s="26" t="s">
        <v>46</v>
      </c>
      <c r="D3336" s="26" t="s">
        <v>41</v>
      </c>
      <c r="E3336" s="26">
        <v>447.0</v>
      </c>
      <c r="F3336" s="26" t="s">
        <v>94</v>
      </c>
      <c r="G3336" s="26">
        <v>10.0</v>
      </c>
      <c r="H3336" s="26">
        <v>3.0</v>
      </c>
      <c r="I3336" s="26">
        <v>206.0</v>
      </c>
      <c r="J3336" s="26">
        <v>200.0</v>
      </c>
      <c r="K3336" s="26">
        <v>41.0</v>
      </c>
      <c r="N3336" s="26" t="s">
        <v>751</v>
      </c>
    </row>
    <row r="3337">
      <c r="A3337" s="25">
        <v>43404.81628237269</v>
      </c>
      <c r="B3337" s="26" t="s">
        <v>80</v>
      </c>
      <c r="C3337" s="26" t="s">
        <v>179</v>
      </c>
      <c r="D3337" s="26" t="s">
        <v>31</v>
      </c>
      <c r="E3337" s="26">
        <v>206.0</v>
      </c>
      <c r="F3337" s="26" t="s">
        <v>51</v>
      </c>
      <c r="G3337" s="26">
        <v>4.0</v>
      </c>
      <c r="H3337" s="26">
        <v>1.0</v>
      </c>
      <c r="I3337" s="26">
        <v>140.0</v>
      </c>
      <c r="J3337" s="26">
        <v>45.0</v>
      </c>
      <c r="K3337" s="26">
        <v>21.0</v>
      </c>
      <c r="N3337" s="26" t="s">
        <v>704</v>
      </c>
    </row>
    <row r="3338">
      <c r="A3338" s="25">
        <v>43404.81660605324</v>
      </c>
      <c r="B3338" s="26" t="s">
        <v>45</v>
      </c>
      <c r="C3338" s="26" t="s">
        <v>116</v>
      </c>
      <c r="D3338" s="26" t="s">
        <v>31</v>
      </c>
      <c r="E3338" s="26">
        <v>345.0</v>
      </c>
      <c r="F3338" s="26" t="s">
        <v>104</v>
      </c>
      <c r="G3338" s="26">
        <v>4.0</v>
      </c>
      <c r="H3338" s="26">
        <v>0.0</v>
      </c>
      <c r="I3338" s="26">
        <v>192.0</v>
      </c>
      <c r="J3338" s="26">
        <v>130.0</v>
      </c>
      <c r="K3338" s="26">
        <v>23.0</v>
      </c>
      <c r="N3338" s="26" t="s">
        <v>708</v>
      </c>
    </row>
    <row r="3339">
      <c r="A3339" s="25">
        <v>43404.816984895835</v>
      </c>
      <c r="B3339" s="26" t="s">
        <v>25</v>
      </c>
      <c r="C3339" s="26" t="s">
        <v>1098</v>
      </c>
      <c r="D3339" s="26" t="s">
        <v>31</v>
      </c>
      <c r="E3339" s="26">
        <v>200.0</v>
      </c>
      <c r="F3339" s="26" t="s">
        <v>2208</v>
      </c>
      <c r="G3339" s="26">
        <v>21.0</v>
      </c>
      <c r="H3339" s="26">
        <v>15.0</v>
      </c>
      <c r="N3339" s="26" t="s">
        <v>708</v>
      </c>
    </row>
    <row r="3340">
      <c r="A3340" s="25">
        <v>43404.82128885417</v>
      </c>
      <c r="B3340" s="26" t="s">
        <v>45</v>
      </c>
      <c r="C3340" s="26" t="s">
        <v>116</v>
      </c>
      <c r="D3340" s="26" t="s">
        <v>31</v>
      </c>
      <c r="E3340" s="26">
        <v>349.0</v>
      </c>
      <c r="F3340" s="26" t="s">
        <v>104</v>
      </c>
      <c r="G3340" s="26">
        <v>8.0</v>
      </c>
      <c r="H3340" s="26">
        <v>5.0</v>
      </c>
      <c r="I3340" s="26">
        <v>183.0</v>
      </c>
      <c r="J3340" s="26">
        <v>140.0</v>
      </c>
      <c r="K3340" s="26">
        <v>26.0</v>
      </c>
      <c r="N3340" s="26" t="s">
        <v>685</v>
      </c>
    </row>
    <row r="3341">
      <c r="A3341" s="25">
        <v>43404.821314155095</v>
      </c>
      <c r="B3341" s="26" t="s">
        <v>40</v>
      </c>
      <c r="C3341" s="26">
        <v>66.0</v>
      </c>
      <c r="D3341" s="26" t="s">
        <v>41</v>
      </c>
      <c r="E3341" s="26">
        <v>455.0</v>
      </c>
      <c r="F3341" s="26" t="s">
        <v>35</v>
      </c>
      <c r="G3341" s="26">
        <v>7.0</v>
      </c>
      <c r="H3341" s="26">
        <v>7.0</v>
      </c>
      <c r="I3341" s="26">
        <v>230.0</v>
      </c>
      <c r="J3341" s="26">
        <v>150.0</v>
      </c>
      <c r="K3341" s="26">
        <v>75.0</v>
      </c>
      <c r="N3341" s="26" t="s">
        <v>691</v>
      </c>
    </row>
    <row r="3342">
      <c r="A3342" s="25">
        <v>43404.82187817129</v>
      </c>
      <c r="B3342" s="26" t="s">
        <v>40</v>
      </c>
      <c r="C3342" s="26">
        <v>65.0</v>
      </c>
      <c r="D3342" s="26" t="s">
        <v>41</v>
      </c>
      <c r="E3342" s="26">
        <v>260.0</v>
      </c>
      <c r="F3342" s="26" t="s">
        <v>75</v>
      </c>
      <c r="G3342" s="26">
        <v>10.0</v>
      </c>
      <c r="H3342" s="26">
        <v>7.0</v>
      </c>
      <c r="I3342" s="26">
        <v>180.0</v>
      </c>
      <c r="J3342" s="26">
        <v>40.0</v>
      </c>
      <c r="K3342" s="26">
        <v>40.0</v>
      </c>
      <c r="N3342" s="26" t="s">
        <v>696</v>
      </c>
    </row>
    <row r="3343">
      <c r="A3343" s="25">
        <v>43404.82214956019</v>
      </c>
      <c r="B3343" s="26" t="s">
        <v>350</v>
      </c>
      <c r="C3343" s="26" t="s">
        <v>1119</v>
      </c>
      <c r="D3343" s="26" t="s">
        <v>31</v>
      </c>
      <c r="E3343" s="26">
        <v>115.0</v>
      </c>
      <c r="F3343" s="26" t="s">
        <v>569</v>
      </c>
      <c r="G3343" s="26">
        <v>1.0</v>
      </c>
      <c r="H3343" s="26">
        <v>1.0</v>
      </c>
      <c r="I3343" s="26">
        <v>108.0</v>
      </c>
      <c r="K3343" s="26">
        <v>7.0</v>
      </c>
      <c r="N3343" s="26" t="s">
        <v>683</v>
      </c>
    </row>
    <row r="3344">
      <c r="A3344" s="25">
        <v>43404.82340436343</v>
      </c>
      <c r="B3344" s="26" t="s">
        <v>80</v>
      </c>
      <c r="C3344" s="26" t="s">
        <v>628</v>
      </c>
      <c r="D3344" s="26" t="s">
        <v>31</v>
      </c>
      <c r="E3344" s="26">
        <v>480.0</v>
      </c>
      <c r="F3344" s="26" t="s">
        <v>178</v>
      </c>
      <c r="G3344" s="26">
        <v>7.0</v>
      </c>
      <c r="H3344" s="26">
        <v>4.0</v>
      </c>
      <c r="N3344" s="26" t="s">
        <v>687</v>
      </c>
    </row>
    <row r="3345">
      <c r="A3345" s="25">
        <v>43404.828150347224</v>
      </c>
      <c r="B3345" s="26" t="s">
        <v>45</v>
      </c>
      <c r="C3345" s="26" t="s">
        <v>26</v>
      </c>
      <c r="D3345" s="26" t="s">
        <v>31</v>
      </c>
      <c r="E3345" s="26">
        <v>258.0</v>
      </c>
      <c r="F3345" s="26" t="s">
        <v>104</v>
      </c>
      <c r="G3345" s="26">
        <v>8.0</v>
      </c>
      <c r="H3345" s="26">
        <v>1.0</v>
      </c>
      <c r="I3345" s="26">
        <v>147.0</v>
      </c>
      <c r="J3345" s="26">
        <v>95.0</v>
      </c>
      <c r="K3345" s="26">
        <v>16.0</v>
      </c>
      <c r="N3345" s="26" t="s">
        <v>691</v>
      </c>
    </row>
    <row r="3346">
      <c r="A3346" s="25">
        <v>43404.828150347224</v>
      </c>
      <c r="B3346" s="26" t="s">
        <v>45</v>
      </c>
      <c r="C3346" s="26" t="s">
        <v>26</v>
      </c>
      <c r="D3346" s="26" t="s">
        <v>31</v>
      </c>
      <c r="E3346" s="26">
        <v>258.0</v>
      </c>
      <c r="F3346" s="26" t="s">
        <v>104</v>
      </c>
      <c r="G3346" s="26">
        <v>8.0</v>
      </c>
      <c r="H3346" s="26">
        <v>1.0</v>
      </c>
      <c r="I3346" s="26">
        <v>147.0</v>
      </c>
      <c r="J3346" s="26">
        <v>95.0</v>
      </c>
      <c r="K3346" s="26">
        <v>16.0</v>
      </c>
      <c r="N3346" s="26" t="s">
        <v>691</v>
      </c>
    </row>
    <row r="3347">
      <c r="A3347" s="25">
        <v>43404.83116402778</v>
      </c>
      <c r="B3347" s="26" t="s">
        <v>80</v>
      </c>
      <c r="C3347" s="26" t="s">
        <v>43</v>
      </c>
      <c r="D3347" s="26" t="s">
        <v>31</v>
      </c>
      <c r="E3347" s="26">
        <v>360.0</v>
      </c>
      <c r="F3347" s="26" t="s">
        <v>178</v>
      </c>
      <c r="G3347" s="26">
        <v>8.0</v>
      </c>
      <c r="H3347" s="26">
        <v>3.0</v>
      </c>
      <c r="I3347" s="26">
        <v>185.0</v>
      </c>
      <c r="J3347" s="26">
        <v>135.0</v>
      </c>
      <c r="K3347" s="26">
        <v>40.0</v>
      </c>
      <c r="N3347" s="26" t="s">
        <v>691</v>
      </c>
    </row>
    <row r="3348">
      <c r="A3348" s="25">
        <v>43404.83149298611</v>
      </c>
      <c r="B3348" s="26" t="s">
        <v>33</v>
      </c>
      <c r="C3348" s="26" t="s">
        <v>275</v>
      </c>
      <c r="D3348" s="26" t="s">
        <v>31</v>
      </c>
      <c r="E3348" s="26">
        <v>145.0</v>
      </c>
      <c r="F3348" s="26" t="s">
        <v>63</v>
      </c>
      <c r="G3348" s="26">
        <v>0.0</v>
      </c>
      <c r="H3348" s="26">
        <v>0.0</v>
      </c>
      <c r="I3348" s="26">
        <v>106.0</v>
      </c>
      <c r="J3348" s="26">
        <v>3.0</v>
      </c>
      <c r="K3348" s="26">
        <v>35.0</v>
      </c>
      <c r="N3348" s="26" t="s">
        <v>704</v>
      </c>
    </row>
    <row r="3349">
      <c r="A3349" s="25">
        <v>43404.831675208334</v>
      </c>
      <c r="B3349" s="26" t="s">
        <v>1489</v>
      </c>
      <c r="C3349" s="26">
        <v>603.0</v>
      </c>
      <c r="D3349" s="26" t="s">
        <v>711</v>
      </c>
      <c r="E3349" s="26">
        <v>150.0</v>
      </c>
      <c r="F3349" s="26" t="s">
        <v>2213</v>
      </c>
      <c r="G3349" s="26">
        <v>5.0</v>
      </c>
      <c r="H3349" s="26">
        <v>5.0</v>
      </c>
      <c r="I3349" s="26">
        <v>135.0</v>
      </c>
      <c r="K3349" s="26">
        <v>25.0</v>
      </c>
      <c r="N3349" s="26" t="s">
        <v>691</v>
      </c>
    </row>
    <row r="3350">
      <c r="A3350" s="25">
        <v>43404.8317016088</v>
      </c>
      <c r="B3350" s="26" t="s">
        <v>2214</v>
      </c>
      <c r="C3350" s="26" t="s">
        <v>1578</v>
      </c>
      <c r="D3350" s="26" t="s">
        <v>41</v>
      </c>
      <c r="E3350" s="26">
        <v>340.0</v>
      </c>
      <c r="F3350" s="26" t="s">
        <v>354</v>
      </c>
      <c r="G3350" s="26">
        <v>12.0</v>
      </c>
      <c r="H3350" s="26">
        <v>5.0</v>
      </c>
      <c r="I3350" s="26">
        <v>238.0</v>
      </c>
      <c r="J3350" s="26">
        <v>44.0</v>
      </c>
      <c r="K3350" s="26">
        <v>60.0</v>
      </c>
      <c r="N3350" s="26" t="s">
        <v>708</v>
      </c>
    </row>
    <row r="3351">
      <c r="A3351" s="25">
        <v>43404.831799155094</v>
      </c>
      <c r="B3351" s="26" t="s">
        <v>2215</v>
      </c>
      <c r="C3351" s="26" t="s">
        <v>2216</v>
      </c>
      <c r="D3351" s="26" t="s">
        <v>31</v>
      </c>
      <c r="E3351" s="26">
        <v>100.0</v>
      </c>
      <c r="F3351" s="26" t="s">
        <v>2217</v>
      </c>
      <c r="G3351" s="26">
        <v>12.0</v>
      </c>
      <c r="H3351" s="26">
        <v>4.0</v>
      </c>
      <c r="I3351" s="26">
        <v>65.0</v>
      </c>
      <c r="J3351" s="26">
        <v>35.0</v>
      </c>
      <c r="N3351" s="26" t="s">
        <v>685</v>
      </c>
    </row>
    <row r="3352">
      <c r="A3352" s="25">
        <v>43404.83204758102</v>
      </c>
      <c r="B3352" s="26" t="s">
        <v>2218</v>
      </c>
      <c r="C3352" s="26" t="s">
        <v>610</v>
      </c>
      <c r="D3352" s="26" t="s">
        <v>31</v>
      </c>
      <c r="E3352" s="26">
        <v>115.0</v>
      </c>
      <c r="F3352" s="26" t="s">
        <v>2197</v>
      </c>
      <c r="G3352" s="26">
        <v>3.0</v>
      </c>
      <c r="H3352" s="26">
        <v>3.0</v>
      </c>
      <c r="I3352" s="26">
        <v>115.0</v>
      </c>
      <c r="N3352" s="26" t="s">
        <v>685</v>
      </c>
    </row>
    <row r="3353">
      <c r="A3353" s="25">
        <v>43404.83604711806</v>
      </c>
      <c r="B3353" s="26" t="s">
        <v>45</v>
      </c>
      <c r="C3353" s="26" t="s">
        <v>102</v>
      </c>
      <c r="D3353" s="26" t="s">
        <v>31</v>
      </c>
      <c r="E3353" s="26">
        <v>183.0</v>
      </c>
      <c r="F3353" s="26" t="s">
        <v>92</v>
      </c>
      <c r="G3353" s="26">
        <v>1.0</v>
      </c>
      <c r="H3353" s="26">
        <v>1.0</v>
      </c>
      <c r="I3353" s="26">
        <v>130.0</v>
      </c>
      <c r="J3353" s="26">
        <v>33.0</v>
      </c>
      <c r="K3353" s="26">
        <v>20.0</v>
      </c>
      <c r="N3353" s="26" t="s">
        <v>866</v>
      </c>
    </row>
    <row r="3354">
      <c r="A3354" s="25">
        <v>43404.83803054398</v>
      </c>
      <c r="B3354" s="26" t="s">
        <v>48</v>
      </c>
      <c r="C3354" s="26" t="s">
        <v>113</v>
      </c>
      <c r="D3354" s="26" t="s">
        <v>711</v>
      </c>
      <c r="E3354" s="26">
        <v>280.0</v>
      </c>
      <c r="F3354" s="26" t="s">
        <v>58</v>
      </c>
      <c r="G3354" s="26">
        <v>3.0</v>
      </c>
      <c r="H3354" s="26">
        <v>0.0</v>
      </c>
      <c r="I3354" s="26">
        <v>185.0</v>
      </c>
      <c r="J3354" s="26">
        <v>67.0</v>
      </c>
      <c r="K3354" s="26">
        <v>28.0</v>
      </c>
      <c r="N3354" s="26" t="s">
        <v>2219</v>
      </c>
    </row>
    <row r="3355">
      <c r="A3355" s="25">
        <v>43404.839108622684</v>
      </c>
      <c r="B3355" s="26" t="s">
        <v>268</v>
      </c>
      <c r="C3355" s="26" t="s">
        <v>424</v>
      </c>
      <c r="D3355" s="26" t="s">
        <v>31</v>
      </c>
      <c r="E3355" s="26">
        <v>155.0</v>
      </c>
      <c r="F3355" s="26" t="s">
        <v>272</v>
      </c>
      <c r="G3355" s="26">
        <v>4.0</v>
      </c>
      <c r="H3355" s="26">
        <v>4.0</v>
      </c>
      <c r="I3355" s="26">
        <v>122.0</v>
      </c>
      <c r="K3355" s="26">
        <v>30.0</v>
      </c>
      <c r="N3355" s="26" t="s">
        <v>715</v>
      </c>
    </row>
    <row r="3356">
      <c r="A3356" s="25">
        <v>43404.84015866898</v>
      </c>
      <c r="B3356" s="26" t="s">
        <v>33</v>
      </c>
      <c r="C3356" s="26" t="s">
        <v>62</v>
      </c>
      <c r="D3356" s="26" t="s">
        <v>31</v>
      </c>
      <c r="E3356" s="26">
        <v>305.0</v>
      </c>
      <c r="F3356" s="26" t="s">
        <v>35</v>
      </c>
      <c r="G3356" s="26">
        <v>6.0</v>
      </c>
      <c r="H3356" s="26">
        <v>6.0</v>
      </c>
      <c r="I3356" s="26">
        <v>155.0</v>
      </c>
      <c r="J3356" s="26">
        <v>150.0</v>
      </c>
      <c r="N3356" s="26" t="s">
        <v>691</v>
      </c>
    </row>
    <row r="3357">
      <c r="A3357" s="25">
        <v>43404.8410930324</v>
      </c>
      <c r="B3357" s="26" t="s">
        <v>48</v>
      </c>
      <c r="C3357" s="26" t="s">
        <v>166</v>
      </c>
      <c r="D3357" s="26" t="s">
        <v>31</v>
      </c>
      <c r="E3357" s="26">
        <v>369.0</v>
      </c>
      <c r="F3357" s="26" t="s">
        <v>35</v>
      </c>
      <c r="G3357" s="26">
        <v>6.0</v>
      </c>
      <c r="H3357" s="26">
        <v>0.0</v>
      </c>
      <c r="I3357" s="26">
        <v>190.0</v>
      </c>
      <c r="J3357" s="26">
        <v>150.0</v>
      </c>
      <c r="K3357" s="26">
        <v>29.0</v>
      </c>
      <c r="N3357" s="26" t="s">
        <v>691</v>
      </c>
    </row>
    <row r="3358">
      <c r="A3358" s="25">
        <v>43404.84201399305</v>
      </c>
      <c r="B3358" s="26" t="s">
        <v>350</v>
      </c>
      <c r="C3358" s="26" t="s">
        <v>1114</v>
      </c>
      <c r="D3358" s="26" t="s">
        <v>31</v>
      </c>
      <c r="E3358" s="26">
        <v>136.0</v>
      </c>
      <c r="F3358" s="26" t="s">
        <v>485</v>
      </c>
      <c r="G3358" s="26">
        <v>6.0</v>
      </c>
      <c r="H3358" s="26">
        <v>4.0</v>
      </c>
      <c r="I3358" s="26">
        <v>136.0</v>
      </c>
      <c r="K3358" s="26">
        <v>17.0</v>
      </c>
      <c r="N3358" s="26" t="s">
        <v>691</v>
      </c>
    </row>
    <row r="3359">
      <c r="A3359" s="25">
        <v>43404.842519467595</v>
      </c>
      <c r="B3359" s="26" t="s">
        <v>2220</v>
      </c>
      <c r="C3359" s="26" t="s">
        <v>1960</v>
      </c>
      <c r="D3359" s="26" t="s">
        <v>31</v>
      </c>
      <c r="E3359" s="26">
        <v>95.0</v>
      </c>
      <c r="F3359" s="26" t="s">
        <v>2221</v>
      </c>
      <c r="G3359" s="26">
        <v>5.0</v>
      </c>
      <c r="H3359" s="26">
        <v>1.0</v>
      </c>
      <c r="I3359" s="26">
        <v>95.0</v>
      </c>
      <c r="N3359" s="26" t="s">
        <v>683</v>
      </c>
    </row>
    <row r="3360">
      <c r="A3360" s="25">
        <v>43404.84290949074</v>
      </c>
      <c r="B3360" s="26" t="s">
        <v>80</v>
      </c>
      <c r="C3360" s="26" t="s">
        <v>62</v>
      </c>
      <c r="D3360" s="26" t="s">
        <v>2222</v>
      </c>
      <c r="E3360" s="26">
        <v>504.0</v>
      </c>
      <c r="F3360" s="26" t="s">
        <v>134</v>
      </c>
      <c r="G3360" s="26">
        <v>9.0</v>
      </c>
      <c r="H3360" s="26">
        <v>7.0</v>
      </c>
      <c r="I3360" s="26">
        <v>204.0</v>
      </c>
      <c r="J3360" s="26">
        <v>260.0</v>
      </c>
      <c r="K3360" s="26">
        <v>40.0</v>
      </c>
      <c r="N3360" s="26" t="s">
        <v>2223</v>
      </c>
    </row>
    <row r="3361">
      <c r="A3361" s="25">
        <v>43404.84394585648</v>
      </c>
      <c r="B3361" s="26" t="s">
        <v>2224</v>
      </c>
      <c r="C3361" s="26" t="s">
        <v>37</v>
      </c>
      <c r="D3361" s="26" t="s">
        <v>31</v>
      </c>
      <c r="E3361" s="26">
        <v>66.0</v>
      </c>
      <c r="F3361" s="26" t="s">
        <v>2225</v>
      </c>
      <c r="G3361" s="26">
        <v>20.0</v>
      </c>
      <c r="H3361" s="26">
        <v>20.0</v>
      </c>
      <c r="I3361" s="26">
        <v>66.0</v>
      </c>
      <c r="L3361" s="26" t="s">
        <v>2226</v>
      </c>
      <c r="N3361" s="26" t="s">
        <v>715</v>
      </c>
    </row>
    <row r="3362">
      <c r="A3362" s="25">
        <v>43404.84522501157</v>
      </c>
      <c r="B3362" s="26" t="s">
        <v>813</v>
      </c>
      <c r="C3362" s="26" t="s">
        <v>2227</v>
      </c>
      <c r="D3362" s="26" t="s">
        <v>27</v>
      </c>
      <c r="E3362" s="26">
        <v>292.0</v>
      </c>
      <c r="F3362" s="26" t="s">
        <v>2228</v>
      </c>
      <c r="G3362" s="26">
        <v>12.0</v>
      </c>
      <c r="H3362" s="26">
        <v>1.0</v>
      </c>
      <c r="N3362" s="26" t="s">
        <v>2229</v>
      </c>
    </row>
    <row r="3363">
      <c r="A3363" s="25">
        <v>43404.84707467593</v>
      </c>
      <c r="B3363" s="26" t="s">
        <v>40</v>
      </c>
      <c r="C3363" s="26">
        <v>67.0</v>
      </c>
      <c r="D3363" s="26" t="s">
        <v>31</v>
      </c>
      <c r="E3363" s="26">
        <v>500.0</v>
      </c>
      <c r="F3363" s="26" t="s">
        <v>2230</v>
      </c>
      <c r="G3363" s="26">
        <v>14.0</v>
      </c>
      <c r="H3363" s="26">
        <v>14.0</v>
      </c>
      <c r="I3363" s="26">
        <v>220.0</v>
      </c>
      <c r="J3363" s="26">
        <v>200.0</v>
      </c>
      <c r="K3363" s="26">
        <v>80.0</v>
      </c>
      <c r="N3363" s="26" t="s">
        <v>704</v>
      </c>
    </row>
    <row r="3364">
      <c r="A3364" s="25">
        <v>43404.8486628588</v>
      </c>
      <c r="B3364" s="26" t="s">
        <v>48</v>
      </c>
      <c r="C3364" s="26" t="s">
        <v>69</v>
      </c>
      <c r="D3364" s="26" t="s">
        <v>31</v>
      </c>
      <c r="E3364" s="26">
        <v>163.0</v>
      </c>
      <c r="F3364" s="26" t="s">
        <v>35</v>
      </c>
      <c r="G3364" s="26">
        <v>0.0</v>
      </c>
      <c r="H3364" s="26">
        <v>0.0</v>
      </c>
      <c r="I3364" s="26">
        <v>115.0</v>
      </c>
      <c r="J3364" s="26">
        <v>37.0</v>
      </c>
      <c r="K3364" s="26">
        <v>11.0</v>
      </c>
      <c r="N3364" s="26" t="s">
        <v>751</v>
      </c>
    </row>
    <row r="3365">
      <c r="A3365" s="25">
        <v>43404.85080587963</v>
      </c>
      <c r="B3365" s="26" t="s">
        <v>263</v>
      </c>
      <c r="C3365" s="26" t="s">
        <v>1317</v>
      </c>
      <c r="D3365" s="26" t="s">
        <v>31</v>
      </c>
      <c r="E3365" s="26">
        <v>200.0</v>
      </c>
      <c r="F3365" s="26" t="s">
        <v>63</v>
      </c>
      <c r="G3365" s="26">
        <v>0.0</v>
      </c>
      <c r="H3365" s="26">
        <v>0.0</v>
      </c>
      <c r="I3365" s="26">
        <v>110.0</v>
      </c>
      <c r="J3365" s="26">
        <v>80.0</v>
      </c>
      <c r="K3365" s="26">
        <v>11.0</v>
      </c>
      <c r="N3365" s="26" t="s">
        <v>683</v>
      </c>
    </row>
    <row r="3366">
      <c r="A3366" s="25">
        <v>43404.85224523148</v>
      </c>
      <c r="B3366" s="26" t="s">
        <v>142</v>
      </c>
      <c r="C3366" s="26" t="s">
        <v>353</v>
      </c>
      <c r="D3366" s="26" t="s">
        <v>27</v>
      </c>
      <c r="E3366" s="26">
        <v>174.0</v>
      </c>
      <c r="F3366" s="26" t="s">
        <v>320</v>
      </c>
      <c r="G3366" s="26">
        <v>2.0</v>
      </c>
      <c r="H3366" s="26">
        <v>1.0</v>
      </c>
      <c r="I3366" s="26">
        <v>125.0</v>
      </c>
      <c r="J3366" s="26">
        <v>31.0</v>
      </c>
      <c r="K3366" s="26">
        <v>18.0</v>
      </c>
      <c r="N3366" s="26" t="s">
        <v>704</v>
      </c>
    </row>
    <row r="3367">
      <c r="A3367" s="25">
        <v>43404.853204479165</v>
      </c>
      <c r="B3367" s="26" t="s">
        <v>80</v>
      </c>
      <c r="C3367" s="26" t="s">
        <v>62</v>
      </c>
      <c r="D3367" s="26" t="s">
        <v>41</v>
      </c>
      <c r="E3367" s="26">
        <v>460.0</v>
      </c>
      <c r="F3367" s="26" t="s">
        <v>2231</v>
      </c>
      <c r="G3367" s="26">
        <v>20.0</v>
      </c>
      <c r="H3367" s="26">
        <v>1.0</v>
      </c>
      <c r="I3367" s="26">
        <v>200.0</v>
      </c>
      <c r="J3367" s="26">
        <v>220.0</v>
      </c>
      <c r="K3367" s="26">
        <v>40.0</v>
      </c>
      <c r="N3367" s="26" t="s">
        <v>683</v>
      </c>
    </row>
    <row r="3368">
      <c r="A3368" s="25">
        <v>43404.854530717595</v>
      </c>
      <c r="B3368" s="26" t="s">
        <v>40</v>
      </c>
      <c r="C3368" s="26">
        <v>62.0</v>
      </c>
      <c r="D3368" s="26" t="s">
        <v>711</v>
      </c>
      <c r="E3368" s="26">
        <v>180.0</v>
      </c>
      <c r="F3368" s="26" t="s">
        <v>75</v>
      </c>
      <c r="G3368" s="26">
        <v>2.0</v>
      </c>
      <c r="H3368" s="26">
        <v>2.0</v>
      </c>
      <c r="I3368" s="26">
        <v>136.0</v>
      </c>
      <c r="J3368" s="26">
        <v>24.0</v>
      </c>
      <c r="K3368" s="26">
        <v>20.0</v>
      </c>
      <c r="N3368" s="26" t="s">
        <v>691</v>
      </c>
    </row>
    <row r="3369">
      <c r="A3369" s="25">
        <v>43404.858245069445</v>
      </c>
      <c r="B3369" s="26" t="s">
        <v>80</v>
      </c>
      <c r="C3369" s="26" t="s">
        <v>93</v>
      </c>
      <c r="D3369" s="26" t="s">
        <v>31</v>
      </c>
      <c r="E3369" s="26">
        <v>500.0</v>
      </c>
      <c r="F3369" s="26" t="s">
        <v>32</v>
      </c>
      <c r="G3369" s="26">
        <v>5.0</v>
      </c>
      <c r="H3369" s="26">
        <v>5.0</v>
      </c>
      <c r="I3369" s="26">
        <v>220.0</v>
      </c>
      <c r="J3369" s="26">
        <v>214.0</v>
      </c>
      <c r="K3369" s="26">
        <v>66.0</v>
      </c>
      <c r="N3369" s="26" t="s">
        <v>751</v>
      </c>
    </row>
    <row r="3370">
      <c r="A3370" s="25">
        <v>43404.861654085646</v>
      </c>
      <c r="B3370" s="26" t="s">
        <v>40</v>
      </c>
      <c r="C3370" s="26">
        <v>64.0</v>
      </c>
      <c r="D3370" s="26" t="s">
        <v>2232</v>
      </c>
      <c r="E3370" s="26">
        <v>308.0</v>
      </c>
      <c r="F3370" s="26" t="s">
        <v>35</v>
      </c>
      <c r="G3370" s="26">
        <v>12.0</v>
      </c>
      <c r="H3370" s="26">
        <v>4.0</v>
      </c>
      <c r="N3370" s="26" t="s">
        <v>685</v>
      </c>
    </row>
    <row r="3371">
      <c r="A3371" s="25">
        <v>43404.8635403125</v>
      </c>
      <c r="B3371" s="26" t="s">
        <v>95</v>
      </c>
      <c r="C3371" s="26" t="s">
        <v>96</v>
      </c>
      <c r="D3371" s="26" t="s">
        <v>31</v>
      </c>
      <c r="E3371" s="26">
        <v>350.0</v>
      </c>
      <c r="F3371" s="26" t="s">
        <v>97</v>
      </c>
      <c r="G3371" s="26">
        <v>6.0</v>
      </c>
      <c r="H3371" s="26">
        <v>0.4</v>
      </c>
      <c r="N3371" s="26" t="s">
        <v>685</v>
      </c>
    </row>
    <row r="3372">
      <c r="A3372" s="25">
        <v>43404.865996458335</v>
      </c>
      <c r="B3372" s="26" t="s">
        <v>2233</v>
      </c>
      <c r="C3372" s="26" t="s">
        <v>37</v>
      </c>
      <c r="D3372" s="26" t="s">
        <v>31</v>
      </c>
      <c r="E3372" s="26">
        <v>82.0</v>
      </c>
      <c r="F3372" s="26" t="s">
        <v>2234</v>
      </c>
      <c r="G3372" s="26">
        <v>10.0</v>
      </c>
      <c r="H3372" s="26">
        <v>3.0</v>
      </c>
      <c r="N3372" s="26" t="s">
        <v>704</v>
      </c>
    </row>
    <row r="3373">
      <c r="A3373" s="25">
        <v>43404.86772797453</v>
      </c>
      <c r="B3373" s="26" t="s">
        <v>2235</v>
      </c>
      <c r="C3373" s="26" t="s">
        <v>610</v>
      </c>
      <c r="D3373" s="26" t="s">
        <v>31</v>
      </c>
      <c r="E3373" s="26">
        <v>171.0</v>
      </c>
      <c r="F3373" s="26" t="s">
        <v>94</v>
      </c>
      <c r="G3373" s="26">
        <v>3.0</v>
      </c>
      <c r="H3373" s="26">
        <v>0.0</v>
      </c>
      <c r="I3373" s="26">
        <v>136.0</v>
      </c>
      <c r="J3373" s="26">
        <v>22.0</v>
      </c>
      <c r="K3373" s="26">
        <v>13.0</v>
      </c>
      <c r="N3373" s="26" t="s">
        <v>683</v>
      </c>
    </row>
    <row r="3374">
      <c r="A3374" s="25">
        <v>43404.86997748843</v>
      </c>
      <c r="B3374" s="26" t="s">
        <v>2236</v>
      </c>
      <c r="C3374" s="26" t="s">
        <v>353</v>
      </c>
      <c r="D3374" s="26" t="s">
        <v>31</v>
      </c>
      <c r="E3374" s="26">
        <v>130.0</v>
      </c>
      <c r="F3374" s="26" t="s">
        <v>32</v>
      </c>
      <c r="G3374" s="26">
        <v>3.0</v>
      </c>
      <c r="H3374" s="26">
        <v>3.0</v>
      </c>
      <c r="N3374" s="26" t="s">
        <v>704</v>
      </c>
    </row>
    <row r="3375">
      <c r="A3375" s="25">
        <v>43404.87047489583</v>
      </c>
      <c r="B3375" s="26" t="s">
        <v>2237</v>
      </c>
      <c r="C3375" s="26" t="s">
        <v>26</v>
      </c>
      <c r="D3375" s="26" t="s">
        <v>31</v>
      </c>
      <c r="E3375" s="26">
        <v>415.0</v>
      </c>
      <c r="F3375" s="26" t="s">
        <v>32</v>
      </c>
      <c r="G3375" s="26">
        <v>9.0</v>
      </c>
      <c r="H3375" s="26">
        <v>2.0</v>
      </c>
      <c r="I3375" s="26">
        <v>180.0</v>
      </c>
      <c r="J3375" s="26">
        <v>225.0</v>
      </c>
      <c r="K3375" s="26">
        <v>10.0</v>
      </c>
      <c r="N3375" s="26" t="s">
        <v>704</v>
      </c>
    </row>
    <row r="3376">
      <c r="A3376" s="25">
        <v>43404.872045358796</v>
      </c>
      <c r="B3376" s="26" t="s">
        <v>880</v>
      </c>
      <c r="C3376" s="26" t="s">
        <v>113</v>
      </c>
      <c r="D3376" s="26" t="s">
        <v>31</v>
      </c>
      <c r="E3376" s="26">
        <v>450.0</v>
      </c>
      <c r="F3376" s="26" t="s">
        <v>58</v>
      </c>
      <c r="G3376" s="26">
        <v>13.0</v>
      </c>
      <c r="H3376" s="26">
        <v>7.0</v>
      </c>
      <c r="I3376" s="26">
        <v>210.0</v>
      </c>
      <c r="J3376" s="26">
        <v>230.0</v>
      </c>
      <c r="K3376" s="26">
        <v>10.0</v>
      </c>
      <c r="N3376" s="26" t="s">
        <v>685</v>
      </c>
    </row>
    <row r="3377">
      <c r="A3377" s="25">
        <v>43404.872860104166</v>
      </c>
      <c r="B3377" s="26" t="s">
        <v>2238</v>
      </c>
      <c r="C3377" s="26" t="s">
        <v>1307</v>
      </c>
      <c r="D3377" s="26" t="s">
        <v>2239</v>
      </c>
      <c r="E3377" s="26">
        <v>365.0</v>
      </c>
      <c r="F3377" s="26" t="s">
        <v>1696</v>
      </c>
      <c r="G3377" s="26">
        <v>20.0</v>
      </c>
      <c r="H3377" s="26">
        <v>15.0</v>
      </c>
      <c r="N3377" s="26" t="s">
        <v>683</v>
      </c>
    </row>
    <row r="3378">
      <c r="A3378" s="25">
        <v>43404.87352606481</v>
      </c>
      <c r="B3378" s="26" t="s">
        <v>80</v>
      </c>
      <c r="C3378" s="26" t="s">
        <v>628</v>
      </c>
      <c r="D3378" s="26" t="s">
        <v>31</v>
      </c>
      <c r="E3378" s="26">
        <v>650.0</v>
      </c>
      <c r="F3378" s="26" t="s">
        <v>2240</v>
      </c>
      <c r="G3378" s="26">
        <v>11.0</v>
      </c>
      <c r="H3378" s="26">
        <v>11.0</v>
      </c>
      <c r="N3378" s="26" t="s">
        <v>685</v>
      </c>
    </row>
    <row r="3379">
      <c r="A3379" s="25">
        <v>43404.873983171296</v>
      </c>
      <c r="B3379" s="26" t="s">
        <v>2241</v>
      </c>
      <c r="C3379" s="26" t="s">
        <v>1395</v>
      </c>
      <c r="D3379" s="26" t="s">
        <v>31</v>
      </c>
      <c r="E3379" s="26">
        <v>130.0</v>
      </c>
      <c r="F3379" s="26" t="s">
        <v>2242</v>
      </c>
      <c r="G3379" s="26">
        <v>4.0</v>
      </c>
      <c r="H3379" s="26">
        <v>1.0</v>
      </c>
      <c r="N3379" s="26" t="s">
        <v>683</v>
      </c>
    </row>
    <row r="3380">
      <c r="A3380" s="25">
        <v>43404.87717695602</v>
      </c>
      <c r="B3380" s="26" t="s">
        <v>880</v>
      </c>
      <c r="C3380" s="26" t="s">
        <v>78</v>
      </c>
      <c r="D3380" s="26" t="s">
        <v>31</v>
      </c>
      <c r="E3380" s="26">
        <v>325.0</v>
      </c>
      <c r="F3380" s="26" t="s">
        <v>175</v>
      </c>
      <c r="G3380" s="26">
        <v>15.0</v>
      </c>
      <c r="H3380" s="26">
        <v>3.0</v>
      </c>
      <c r="I3380" s="26">
        <v>200.0</v>
      </c>
      <c r="J3380" s="26">
        <v>100.0</v>
      </c>
      <c r="K3380" s="26">
        <v>25.0</v>
      </c>
      <c r="N3380" s="26" t="s">
        <v>685</v>
      </c>
    </row>
    <row r="3381">
      <c r="A3381" s="25">
        <v>43404.88001518519</v>
      </c>
      <c r="B3381" s="26" t="s">
        <v>557</v>
      </c>
      <c r="C3381" s="26" t="s">
        <v>558</v>
      </c>
      <c r="D3381" s="26" t="s">
        <v>31</v>
      </c>
      <c r="E3381" s="26">
        <v>150.0</v>
      </c>
      <c r="F3381" s="26" t="s">
        <v>549</v>
      </c>
      <c r="G3381" s="26">
        <v>7.0</v>
      </c>
      <c r="H3381" s="26">
        <v>4.0</v>
      </c>
      <c r="I3381" s="26">
        <v>118.0</v>
      </c>
      <c r="J3381" s="26">
        <v>20.0</v>
      </c>
      <c r="K3381" s="26">
        <v>12.0</v>
      </c>
      <c r="N3381" s="26" t="s">
        <v>685</v>
      </c>
    </row>
    <row r="3382">
      <c r="A3382" s="25">
        <v>43404.88077826389</v>
      </c>
      <c r="B3382" s="26" t="s">
        <v>119</v>
      </c>
      <c r="C3382" s="26" t="s">
        <v>494</v>
      </c>
      <c r="D3382" s="26" t="s">
        <v>31</v>
      </c>
      <c r="E3382" s="26">
        <v>200.0</v>
      </c>
      <c r="F3382" s="26" t="s">
        <v>32</v>
      </c>
      <c r="G3382" s="26">
        <v>7.0</v>
      </c>
      <c r="H3382" s="26">
        <v>2.0</v>
      </c>
      <c r="I3382" s="26">
        <v>146.0</v>
      </c>
      <c r="J3382" s="26">
        <v>32.0</v>
      </c>
      <c r="K3382" s="26">
        <v>22.0</v>
      </c>
      <c r="N3382" s="26" t="s">
        <v>683</v>
      </c>
    </row>
    <row r="3383">
      <c r="A3383" s="25">
        <v>43404.88340571759</v>
      </c>
      <c r="B3383" s="26" t="s">
        <v>371</v>
      </c>
      <c r="C3383" s="26" t="s">
        <v>1248</v>
      </c>
      <c r="D3383" s="26" t="s">
        <v>31</v>
      </c>
      <c r="E3383" s="26">
        <v>250.0</v>
      </c>
      <c r="F3383" s="26" t="s">
        <v>2243</v>
      </c>
      <c r="G3383" s="26">
        <v>11.0</v>
      </c>
      <c r="H3383" s="26">
        <v>8.0</v>
      </c>
      <c r="N3383" s="26" t="s">
        <v>691</v>
      </c>
    </row>
    <row r="3384">
      <c r="A3384" s="25">
        <v>43404.88505135417</v>
      </c>
      <c r="B3384" s="26" t="s">
        <v>33</v>
      </c>
      <c r="C3384" s="26" t="s">
        <v>43</v>
      </c>
      <c r="D3384" s="26" t="s">
        <v>31</v>
      </c>
      <c r="E3384" s="26">
        <v>212.0</v>
      </c>
      <c r="F3384" s="26" t="s">
        <v>178</v>
      </c>
      <c r="G3384" s="26">
        <v>5.0</v>
      </c>
      <c r="H3384" s="26">
        <v>5.0</v>
      </c>
      <c r="I3384" s="26">
        <v>125.0</v>
      </c>
      <c r="J3384" s="26">
        <v>86.0</v>
      </c>
      <c r="N3384" s="26" t="s">
        <v>691</v>
      </c>
    </row>
    <row r="3385">
      <c r="A3385" s="25">
        <v>43404.88719461806</v>
      </c>
      <c r="B3385" s="26" t="s">
        <v>371</v>
      </c>
      <c r="C3385" s="26" t="s">
        <v>1248</v>
      </c>
      <c r="D3385" s="26" t="s">
        <v>41</v>
      </c>
      <c r="E3385" s="26">
        <v>200.0</v>
      </c>
      <c r="F3385" s="26" t="s">
        <v>459</v>
      </c>
      <c r="G3385" s="26">
        <v>15.0</v>
      </c>
      <c r="H3385" s="26">
        <v>10.0</v>
      </c>
      <c r="I3385" s="26">
        <v>165.0</v>
      </c>
      <c r="J3385" s="26">
        <v>17.0</v>
      </c>
      <c r="K3385" s="26">
        <v>18.0</v>
      </c>
      <c r="N3385" s="26" t="s">
        <v>715</v>
      </c>
    </row>
    <row r="3386">
      <c r="A3386" s="25">
        <v>43404.88914134259</v>
      </c>
      <c r="B3386" s="26" t="s">
        <v>2244</v>
      </c>
      <c r="C3386" s="26" t="s">
        <v>191</v>
      </c>
      <c r="D3386" s="26" t="s">
        <v>711</v>
      </c>
      <c r="E3386" s="26">
        <v>160.0</v>
      </c>
      <c r="F3386" s="26" t="s">
        <v>94</v>
      </c>
      <c r="G3386" s="26">
        <v>4.0</v>
      </c>
      <c r="H3386" s="26">
        <v>1.0</v>
      </c>
      <c r="I3386" s="26">
        <v>150.0</v>
      </c>
      <c r="K3386" s="26">
        <v>5.0</v>
      </c>
      <c r="N3386" s="26" t="s">
        <v>691</v>
      </c>
    </row>
    <row r="3387">
      <c r="A3387" s="25">
        <v>43404.89176841435</v>
      </c>
      <c r="B3387" s="26" t="s">
        <v>33</v>
      </c>
      <c r="C3387" s="26" t="s">
        <v>73</v>
      </c>
      <c r="D3387" s="26" t="s">
        <v>711</v>
      </c>
      <c r="E3387" s="26">
        <v>125.0</v>
      </c>
      <c r="F3387" s="26" t="s">
        <v>35</v>
      </c>
      <c r="G3387" s="26">
        <v>1.0</v>
      </c>
      <c r="H3387" s="26">
        <v>1.0</v>
      </c>
      <c r="I3387" s="26">
        <v>105.0</v>
      </c>
      <c r="J3387" s="26">
        <v>4.0</v>
      </c>
      <c r="K3387" s="26">
        <v>15.0</v>
      </c>
      <c r="N3387" s="26" t="s">
        <v>691</v>
      </c>
    </row>
    <row r="3388">
      <c r="A3388" s="25">
        <v>43404.89282706019</v>
      </c>
      <c r="B3388" s="26" t="s">
        <v>548</v>
      </c>
      <c r="C3388" s="26" t="s">
        <v>96</v>
      </c>
      <c r="D3388" s="26" t="s">
        <v>31</v>
      </c>
      <c r="E3388" s="26">
        <v>115.0</v>
      </c>
      <c r="F3388" s="26" t="s">
        <v>485</v>
      </c>
      <c r="G3388" s="26">
        <v>4.0</v>
      </c>
      <c r="H3388" s="26">
        <v>1.0</v>
      </c>
      <c r="I3388" s="26">
        <v>102.0</v>
      </c>
      <c r="J3388" s="26">
        <v>3.0</v>
      </c>
      <c r="K3388" s="26">
        <v>10.0</v>
      </c>
      <c r="N3388" s="26" t="s">
        <v>687</v>
      </c>
    </row>
    <row r="3389">
      <c r="A3389" s="25">
        <v>43404.89527664352</v>
      </c>
      <c r="B3389" s="26" t="s">
        <v>350</v>
      </c>
      <c r="C3389" s="26" t="s">
        <v>496</v>
      </c>
      <c r="D3389" s="26" t="s">
        <v>41</v>
      </c>
      <c r="E3389" s="26">
        <v>240.0</v>
      </c>
      <c r="F3389" s="26" t="s">
        <v>32</v>
      </c>
      <c r="G3389" s="26">
        <v>12.0</v>
      </c>
      <c r="H3389" s="26">
        <v>3.0</v>
      </c>
      <c r="N3389" s="26" t="s">
        <v>704</v>
      </c>
    </row>
    <row r="3390">
      <c r="A3390" s="25">
        <v>43404.89681994213</v>
      </c>
      <c r="B3390" s="26" t="s">
        <v>36</v>
      </c>
      <c r="C3390" s="26" t="s">
        <v>610</v>
      </c>
      <c r="D3390" s="26" t="s">
        <v>31</v>
      </c>
      <c r="E3390" s="26">
        <v>265.0</v>
      </c>
      <c r="F3390" s="26" t="s">
        <v>58</v>
      </c>
      <c r="G3390" s="26">
        <v>4.0</v>
      </c>
      <c r="H3390" s="26">
        <v>3.0</v>
      </c>
      <c r="I3390" s="26">
        <v>150.0</v>
      </c>
      <c r="J3390" s="26">
        <v>100.0</v>
      </c>
      <c r="K3390" s="26">
        <v>15.0</v>
      </c>
      <c r="N3390" s="26" t="s">
        <v>696</v>
      </c>
    </row>
    <row r="3391">
      <c r="A3391" s="25">
        <v>43404.89873539352</v>
      </c>
      <c r="B3391" s="26" t="s">
        <v>33</v>
      </c>
      <c r="C3391" s="26" t="s">
        <v>76</v>
      </c>
      <c r="D3391" s="26" t="s">
        <v>31</v>
      </c>
      <c r="E3391" s="26">
        <v>226.0</v>
      </c>
      <c r="F3391" s="26" t="s">
        <v>35</v>
      </c>
      <c r="G3391" s="26">
        <v>2.0</v>
      </c>
      <c r="H3391" s="26">
        <v>0.0</v>
      </c>
      <c r="I3391" s="26">
        <v>150.0</v>
      </c>
      <c r="J3391" s="26">
        <v>26.0</v>
      </c>
      <c r="K3391" s="26">
        <v>50.0</v>
      </c>
      <c r="N3391" s="26" t="s">
        <v>704</v>
      </c>
    </row>
    <row r="3392">
      <c r="A3392" s="25">
        <v>43404.90346295139</v>
      </c>
      <c r="B3392" s="26" t="s">
        <v>1636</v>
      </c>
      <c r="C3392" s="26" t="s">
        <v>1636</v>
      </c>
      <c r="D3392" s="26" t="s">
        <v>2245</v>
      </c>
      <c r="E3392" s="26">
        <v>100.0</v>
      </c>
      <c r="F3392" s="26" t="s">
        <v>32</v>
      </c>
      <c r="G3392" s="26">
        <v>4.0</v>
      </c>
      <c r="H3392" s="26">
        <v>3.0</v>
      </c>
      <c r="I3392" s="26">
        <v>100000.0</v>
      </c>
      <c r="N3392" s="26" t="s">
        <v>2246</v>
      </c>
    </row>
    <row r="3393">
      <c r="A3393" s="25">
        <v>43404.90416747685</v>
      </c>
      <c r="B3393" s="26" t="s">
        <v>80</v>
      </c>
      <c r="C3393" s="26" t="s">
        <v>2247</v>
      </c>
      <c r="D3393" s="26" t="s">
        <v>31</v>
      </c>
      <c r="E3393" s="26">
        <v>450.0</v>
      </c>
      <c r="F3393" s="26" t="s">
        <v>199</v>
      </c>
      <c r="G3393" s="26">
        <v>10.0</v>
      </c>
      <c r="H3393" s="26">
        <v>6.0</v>
      </c>
      <c r="I3393" s="26">
        <v>205.0</v>
      </c>
      <c r="J3393" s="26">
        <v>200.0</v>
      </c>
      <c r="K3393" s="26">
        <v>45.0</v>
      </c>
      <c r="N3393" s="26" t="s">
        <v>699</v>
      </c>
    </row>
    <row r="3394">
      <c r="A3394" s="25">
        <v>43404.90562931713</v>
      </c>
      <c r="B3394" s="26" t="s">
        <v>80</v>
      </c>
      <c r="C3394" s="26" t="s">
        <v>43</v>
      </c>
      <c r="D3394" s="26" t="s">
        <v>31</v>
      </c>
      <c r="E3394" s="26">
        <v>330.0</v>
      </c>
      <c r="F3394" s="26" t="s">
        <v>94</v>
      </c>
      <c r="G3394" s="26">
        <v>7.0</v>
      </c>
      <c r="H3394" s="26">
        <v>3.0</v>
      </c>
      <c r="I3394" s="26">
        <v>166.0</v>
      </c>
      <c r="J3394" s="26">
        <v>130.0</v>
      </c>
      <c r="K3394" s="26">
        <v>34.0</v>
      </c>
      <c r="N3394" s="26" t="s">
        <v>728</v>
      </c>
    </row>
    <row r="3395">
      <c r="A3395" s="25">
        <v>43404.90781069444</v>
      </c>
      <c r="B3395" s="26" t="s">
        <v>48</v>
      </c>
      <c r="C3395" s="26" t="s">
        <v>70</v>
      </c>
      <c r="D3395" s="26" t="s">
        <v>31</v>
      </c>
      <c r="E3395" s="26">
        <v>800.0</v>
      </c>
      <c r="F3395" s="26" t="s">
        <v>35</v>
      </c>
      <c r="G3395" s="26">
        <v>15.0</v>
      </c>
      <c r="H3395" s="26">
        <v>5.0</v>
      </c>
      <c r="I3395" s="26">
        <v>220.0</v>
      </c>
      <c r="J3395" s="26">
        <v>550.0</v>
      </c>
      <c r="K3395" s="26">
        <v>30.0</v>
      </c>
      <c r="N3395" s="26" t="s">
        <v>751</v>
      </c>
    </row>
    <row r="3396">
      <c r="A3396" s="25">
        <v>43404.90856253472</v>
      </c>
      <c r="B3396" s="26" t="s">
        <v>40</v>
      </c>
      <c r="C3396" s="26">
        <v>59.0</v>
      </c>
      <c r="D3396" s="26" t="s">
        <v>31</v>
      </c>
      <c r="E3396" s="26">
        <v>199.0</v>
      </c>
      <c r="F3396" s="26" t="s">
        <v>35</v>
      </c>
      <c r="G3396" s="26">
        <v>0.0</v>
      </c>
      <c r="H3396" s="26">
        <v>0.0</v>
      </c>
      <c r="I3396" s="26">
        <v>116.0</v>
      </c>
      <c r="J3396" s="26">
        <v>33.0</v>
      </c>
      <c r="K3396" s="26">
        <v>50.0</v>
      </c>
      <c r="N3396" s="26" t="s">
        <v>685</v>
      </c>
    </row>
    <row r="3397">
      <c r="A3397" s="25">
        <v>43404.90865884259</v>
      </c>
      <c r="B3397" s="26" t="s">
        <v>80</v>
      </c>
      <c r="C3397" s="26" t="s">
        <v>43</v>
      </c>
      <c r="D3397" s="26" t="s">
        <v>31</v>
      </c>
      <c r="E3397" s="26">
        <v>460.0</v>
      </c>
      <c r="F3397" s="26" t="s">
        <v>94</v>
      </c>
      <c r="G3397" s="26">
        <v>7.0</v>
      </c>
      <c r="H3397" s="26">
        <v>5.0</v>
      </c>
      <c r="N3397" s="26" t="s">
        <v>699</v>
      </c>
    </row>
    <row r="3398">
      <c r="A3398" s="25">
        <v>43404.90950460648</v>
      </c>
      <c r="B3398" s="26" t="s">
        <v>80</v>
      </c>
      <c r="C3398" s="26" t="s">
        <v>179</v>
      </c>
      <c r="D3398" s="26" t="s">
        <v>31</v>
      </c>
      <c r="E3398" s="26">
        <v>208.0</v>
      </c>
      <c r="F3398" s="26" t="s">
        <v>199</v>
      </c>
      <c r="G3398" s="26">
        <v>2.0</v>
      </c>
      <c r="H3398" s="26">
        <v>2.0</v>
      </c>
      <c r="I3398" s="26">
        <v>123.0</v>
      </c>
      <c r="J3398" s="26">
        <v>67.0</v>
      </c>
      <c r="K3398" s="26">
        <v>18.0</v>
      </c>
      <c r="N3398" s="26" t="s">
        <v>683</v>
      </c>
    </row>
    <row r="3399">
      <c r="A3399" s="25">
        <v>43404.9122115625</v>
      </c>
      <c r="B3399" s="26" t="s">
        <v>80</v>
      </c>
      <c r="C3399" s="26" t="s">
        <v>62</v>
      </c>
      <c r="D3399" s="26" t="s">
        <v>31</v>
      </c>
      <c r="E3399" s="26">
        <v>525.0</v>
      </c>
      <c r="F3399" s="26" t="s">
        <v>1013</v>
      </c>
      <c r="G3399" s="26">
        <v>6.0</v>
      </c>
      <c r="H3399" s="26">
        <v>6.0</v>
      </c>
      <c r="I3399" s="26">
        <v>208.0</v>
      </c>
      <c r="J3399" s="26">
        <v>66.0</v>
      </c>
      <c r="K3399" s="26">
        <v>250.0</v>
      </c>
      <c r="N3399" s="26" t="s">
        <v>691</v>
      </c>
    </row>
    <row r="3400">
      <c r="A3400" s="25">
        <v>43404.914071990745</v>
      </c>
      <c r="B3400" s="26" t="s">
        <v>350</v>
      </c>
      <c r="C3400" s="26" t="s">
        <v>2158</v>
      </c>
      <c r="D3400" s="26" t="s">
        <v>31</v>
      </c>
      <c r="E3400" s="26">
        <v>200.0</v>
      </c>
      <c r="F3400" s="26" t="s">
        <v>32</v>
      </c>
      <c r="G3400" s="26">
        <v>8.0</v>
      </c>
      <c r="H3400" s="26">
        <v>2.0</v>
      </c>
      <c r="N3400" s="26" t="s">
        <v>685</v>
      </c>
    </row>
    <row r="3401">
      <c r="A3401" s="25">
        <v>43404.91533299768</v>
      </c>
      <c r="B3401" s="26" t="s">
        <v>2248</v>
      </c>
      <c r="C3401" s="26" t="s">
        <v>103</v>
      </c>
      <c r="D3401" s="26" t="s">
        <v>31</v>
      </c>
      <c r="E3401" s="26">
        <v>120.0</v>
      </c>
      <c r="F3401" s="26" t="s">
        <v>1624</v>
      </c>
      <c r="G3401" s="26">
        <v>10.0</v>
      </c>
      <c r="H3401" s="26">
        <v>2.0</v>
      </c>
      <c r="I3401" s="26">
        <v>120.0</v>
      </c>
      <c r="N3401" s="26" t="s">
        <v>683</v>
      </c>
    </row>
    <row r="3402">
      <c r="A3402" s="25">
        <v>43404.91574148148</v>
      </c>
      <c r="B3402" s="26" t="s">
        <v>33</v>
      </c>
      <c r="C3402" s="26" t="s">
        <v>62</v>
      </c>
      <c r="D3402" s="26" t="s">
        <v>713</v>
      </c>
      <c r="E3402" s="26">
        <v>240.0</v>
      </c>
      <c r="F3402" s="26" t="s">
        <v>338</v>
      </c>
      <c r="G3402" s="26">
        <v>20.0</v>
      </c>
      <c r="H3402" s="26">
        <v>3.0</v>
      </c>
      <c r="I3402" s="26">
        <v>160.0</v>
      </c>
      <c r="J3402" s="26">
        <v>80.0</v>
      </c>
      <c r="N3402" s="26" t="s">
        <v>683</v>
      </c>
    </row>
    <row r="3403">
      <c r="A3403" s="25">
        <v>43404.916805347224</v>
      </c>
      <c r="B3403" s="26" t="s">
        <v>119</v>
      </c>
      <c r="C3403" s="26" t="s">
        <v>504</v>
      </c>
      <c r="D3403" s="26" t="s">
        <v>27</v>
      </c>
      <c r="E3403" s="26">
        <v>238.0</v>
      </c>
      <c r="F3403" s="26" t="s">
        <v>32</v>
      </c>
      <c r="G3403" s="26">
        <v>7.0</v>
      </c>
      <c r="H3403" s="26">
        <v>1.0</v>
      </c>
      <c r="I3403" s="26">
        <v>185.0</v>
      </c>
      <c r="J3403" s="26">
        <v>25.0</v>
      </c>
      <c r="K3403" s="26">
        <v>28.0</v>
      </c>
      <c r="N3403" s="26" t="s">
        <v>683</v>
      </c>
    </row>
    <row r="3404">
      <c r="A3404" s="25">
        <v>43404.91942664352</v>
      </c>
      <c r="B3404" s="26" t="s">
        <v>80</v>
      </c>
      <c r="C3404" s="26" t="s">
        <v>430</v>
      </c>
      <c r="D3404" s="26" t="s">
        <v>31</v>
      </c>
      <c r="E3404" s="26">
        <v>175.0</v>
      </c>
      <c r="F3404" s="26" t="s">
        <v>134</v>
      </c>
      <c r="G3404" s="26">
        <v>6.0</v>
      </c>
      <c r="H3404" s="26">
        <v>1.0</v>
      </c>
      <c r="I3404" s="26">
        <v>135.0</v>
      </c>
      <c r="J3404" s="26">
        <v>20.0</v>
      </c>
      <c r="K3404" s="26">
        <v>20.0</v>
      </c>
      <c r="N3404" s="26" t="s">
        <v>708</v>
      </c>
    </row>
    <row r="3405">
      <c r="A3405" s="25">
        <v>43404.92059533564</v>
      </c>
      <c r="B3405" s="26" t="s">
        <v>33</v>
      </c>
      <c r="C3405" s="26" t="s">
        <v>62</v>
      </c>
      <c r="D3405" s="26" t="s">
        <v>31</v>
      </c>
      <c r="E3405" s="26">
        <v>280.0</v>
      </c>
      <c r="F3405" s="26" t="s">
        <v>35</v>
      </c>
      <c r="G3405" s="26">
        <v>9.0</v>
      </c>
      <c r="H3405" s="26">
        <v>5.0</v>
      </c>
      <c r="N3405" s="26" t="s">
        <v>685</v>
      </c>
    </row>
    <row r="3406">
      <c r="A3406" s="25">
        <v>43404.92078247685</v>
      </c>
      <c r="B3406" s="26" t="s">
        <v>2249</v>
      </c>
      <c r="C3406" s="26" t="s">
        <v>441</v>
      </c>
      <c r="D3406" s="26" t="s">
        <v>711</v>
      </c>
      <c r="E3406" s="26">
        <v>190.0</v>
      </c>
      <c r="F3406" s="26" t="s">
        <v>58</v>
      </c>
      <c r="G3406" s="26">
        <v>2.0</v>
      </c>
      <c r="H3406" s="26">
        <v>2.0</v>
      </c>
      <c r="N3406" s="26" t="s">
        <v>1363</v>
      </c>
    </row>
    <row r="3407">
      <c r="A3407" s="25">
        <v>43404.9211112037</v>
      </c>
      <c r="B3407" s="26" t="s">
        <v>33</v>
      </c>
      <c r="C3407" s="26" t="s">
        <v>43</v>
      </c>
      <c r="D3407" s="26" t="s">
        <v>31</v>
      </c>
      <c r="E3407" s="26">
        <v>250.0</v>
      </c>
      <c r="F3407" s="26" t="s">
        <v>35</v>
      </c>
      <c r="G3407" s="26">
        <v>20.0</v>
      </c>
      <c r="H3407" s="26">
        <v>2.0</v>
      </c>
      <c r="I3407" s="26">
        <v>150.0</v>
      </c>
      <c r="J3407" s="26">
        <v>100.0</v>
      </c>
      <c r="N3407" s="26" t="s">
        <v>685</v>
      </c>
    </row>
    <row r="3408">
      <c r="A3408" s="25">
        <v>43404.92243361111</v>
      </c>
      <c r="B3408" s="26" t="s">
        <v>256</v>
      </c>
      <c r="C3408" s="26" t="s">
        <v>78</v>
      </c>
      <c r="D3408" s="26" t="s">
        <v>31</v>
      </c>
      <c r="E3408" s="26">
        <v>360.0</v>
      </c>
      <c r="F3408" s="26" t="s">
        <v>32</v>
      </c>
      <c r="G3408" s="26">
        <v>3.0</v>
      </c>
      <c r="H3408" s="26">
        <v>2.0</v>
      </c>
      <c r="I3408" s="26">
        <v>165.0</v>
      </c>
      <c r="J3408" s="26">
        <v>170.0</v>
      </c>
      <c r="K3408" s="26">
        <v>25.0</v>
      </c>
      <c r="N3408" s="26" t="s">
        <v>685</v>
      </c>
    </row>
    <row r="3409">
      <c r="A3409" s="25">
        <v>43404.92259158565</v>
      </c>
      <c r="B3409" s="26" t="s">
        <v>2250</v>
      </c>
      <c r="C3409" s="26" t="s">
        <v>2251</v>
      </c>
      <c r="D3409" s="26" t="s">
        <v>713</v>
      </c>
      <c r="E3409" s="26">
        <v>117.0</v>
      </c>
      <c r="F3409" s="26" t="s">
        <v>2252</v>
      </c>
      <c r="G3409" s="26">
        <v>18.0</v>
      </c>
      <c r="H3409" s="26">
        <v>6.0</v>
      </c>
      <c r="N3409" s="26" t="s">
        <v>757</v>
      </c>
    </row>
    <row r="3410">
      <c r="A3410" s="25">
        <v>43404.92423909722</v>
      </c>
      <c r="B3410" s="26" t="s">
        <v>33</v>
      </c>
      <c r="C3410" s="26" t="s">
        <v>73</v>
      </c>
      <c r="D3410" s="26" t="s">
        <v>31</v>
      </c>
      <c r="E3410" s="26">
        <v>128.0</v>
      </c>
      <c r="F3410" s="26" t="s">
        <v>35</v>
      </c>
      <c r="G3410" s="26">
        <v>1.0</v>
      </c>
      <c r="H3410" s="26">
        <v>1.0</v>
      </c>
      <c r="N3410" s="26" t="s">
        <v>683</v>
      </c>
    </row>
    <row r="3411">
      <c r="A3411" s="25">
        <v>43404.92681517361</v>
      </c>
      <c r="B3411" s="26" t="s">
        <v>80</v>
      </c>
      <c r="C3411" s="26" t="s">
        <v>73</v>
      </c>
      <c r="D3411" s="26" t="s">
        <v>31</v>
      </c>
      <c r="E3411" s="26">
        <v>180.0</v>
      </c>
      <c r="F3411" s="26" t="s">
        <v>35</v>
      </c>
      <c r="G3411" s="26">
        <v>8.0</v>
      </c>
      <c r="H3411" s="26">
        <v>6.0</v>
      </c>
      <c r="N3411" s="26" t="s">
        <v>757</v>
      </c>
    </row>
    <row r="3412">
      <c r="A3412" s="25">
        <v>43404.928791620376</v>
      </c>
      <c r="B3412" s="26" t="s">
        <v>2253</v>
      </c>
      <c r="C3412" s="26" t="s">
        <v>853</v>
      </c>
      <c r="D3412" s="26" t="s">
        <v>31</v>
      </c>
      <c r="E3412" s="26">
        <v>99.0</v>
      </c>
      <c r="F3412" s="26" t="s">
        <v>710</v>
      </c>
      <c r="G3412" s="26">
        <v>3.0</v>
      </c>
      <c r="H3412" s="26">
        <v>3.0</v>
      </c>
      <c r="I3412" s="26">
        <v>90000.0</v>
      </c>
      <c r="K3412" s="26">
        <v>9000.0</v>
      </c>
      <c r="N3412" s="26" t="s">
        <v>696</v>
      </c>
    </row>
    <row r="3413">
      <c r="A3413" s="25">
        <v>43404.9295355787</v>
      </c>
      <c r="B3413" s="26" t="s">
        <v>124</v>
      </c>
      <c r="C3413" s="26" t="s">
        <v>737</v>
      </c>
      <c r="D3413" s="26" t="s">
        <v>31</v>
      </c>
      <c r="E3413" s="26">
        <v>250.0</v>
      </c>
      <c r="F3413" s="26" t="s">
        <v>459</v>
      </c>
      <c r="G3413" s="26">
        <v>10.0</v>
      </c>
      <c r="H3413" s="26">
        <v>2.0</v>
      </c>
      <c r="I3413" s="26">
        <v>156.0</v>
      </c>
      <c r="J3413" s="26">
        <v>70.0</v>
      </c>
      <c r="K3413" s="26">
        <v>30.0</v>
      </c>
      <c r="N3413" s="26" t="s">
        <v>683</v>
      </c>
    </row>
    <row r="3414">
      <c r="A3414" s="25">
        <v>43404.93024444445</v>
      </c>
      <c r="B3414" s="26" t="s">
        <v>256</v>
      </c>
      <c r="C3414" s="26" t="s">
        <v>78</v>
      </c>
      <c r="D3414" s="26" t="s">
        <v>31</v>
      </c>
      <c r="E3414" s="26">
        <v>520.0</v>
      </c>
      <c r="F3414" s="26" t="s">
        <v>32</v>
      </c>
      <c r="G3414" s="26">
        <v>3.0</v>
      </c>
      <c r="H3414" s="26">
        <v>3.0</v>
      </c>
      <c r="I3414" s="26">
        <v>190.0</v>
      </c>
      <c r="J3414" s="26">
        <v>295.0</v>
      </c>
      <c r="K3414" s="26">
        <v>35.0</v>
      </c>
      <c r="N3414" s="26" t="s">
        <v>685</v>
      </c>
    </row>
    <row r="3415">
      <c r="A3415" s="25">
        <v>43404.93436501158</v>
      </c>
      <c r="B3415" s="26" t="s">
        <v>33</v>
      </c>
      <c r="C3415" s="26" t="s">
        <v>62</v>
      </c>
      <c r="D3415" s="26" t="s">
        <v>31</v>
      </c>
      <c r="E3415" s="26">
        <v>210.0</v>
      </c>
      <c r="F3415" s="26" t="s">
        <v>338</v>
      </c>
      <c r="G3415" s="26">
        <v>12.0</v>
      </c>
      <c r="H3415" s="26">
        <v>5.0</v>
      </c>
      <c r="N3415" s="26" t="s">
        <v>685</v>
      </c>
    </row>
    <row r="3416">
      <c r="A3416" s="25">
        <v>43404.93828633102</v>
      </c>
      <c r="B3416" s="26" t="s">
        <v>122</v>
      </c>
      <c r="C3416" s="26" t="s">
        <v>70</v>
      </c>
      <c r="D3416" s="26" t="s">
        <v>31</v>
      </c>
      <c r="E3416" s="26">
        <v>625.0</v>
      </c>
      <c r="F3416" s="26" t="s">
        <v>58</v>
      </c>
      <c r="G3416" s="26">
        <v>5.0</v>
      </c>
      <c r="H3416" s="26">
        <v>1.0</v>
      </c>
      <c r="I3416" s="26">
        <v>200.0</v>
      </c>
      <c r="J3416" s="26">
        <v>400.0</v>
      </c>
      <c r="K3416" s="26">
        <v>25.0</v>
      </c>
      <c r="N3416" s="26" t="s">
        <v>691</v>
      </c>
    </row>
    <row r="3417">
      <c r="A3417" s="25">
        <v>43404.93979237269</v>
      </c>
      <c r="B3417" s="26" t="s">
        <v>80</v>
      </c>
      <c r="C3417" s="26" t="s">
        <v>43</v>
      </c>
      <c r="D3417" s="26" t="s">
        <v>31</v>
      </c>
      <c r="E3417" s="26">
        <v>450.0</v>
      </c>
      <c r="F3417" s="26" t="s">
        <v>32</v>
      </c>
      <c r="G3417" s="26">
        <v>10.0</v>
      </c>
      <c r="H3417" s="26">
        <v>1.0</v>
      </c>
      <c r="I3417" s="26">
        <v>200.0</v>
      </c>
      <c r="J3417" s="26">
        <v>220.0</v>
      </c>
      <c r="K3417" s="26">
        <v>30.0</v>
      </c>
      <c r="N3417" s="26" t="s">
        <v>726</v>
      </c>
    </row>
    <row r="3418">
      <c r="A3418" s="25">
        <v>43404.94018017361</v>
      </c>
      <c r="B3418" s="26" t="s">
        <v>33</v>
      </c>
      <c r="C3418" s="26" t="s">
        <v>275</v>
      </c>
      <c r="D3418" s="26" t="s">
        <v>31</v>
      </c>
      <c r="E3418" s="26">
        <v>156.0</v>
      </c>
      <c r="F3418" s="26" t="s">
        <v>35</v>
      </c>
      <c r="G3418" s="26">
        <v>1.0</v>
      </c>
      <c r="H3418" s="26">
        <v>1.0</v>
      </c>
      <c r="I3418" s="26">
        <v>109.0</v>
      </c>
      <c r="J3418" s="26">
        <v>21.0</v>
      </c>
      <c r="K3418" s="26">
        <v>26.0</v>
      </c>
      <c r="N3418" s="26" t="s">
        <v>704</v>
      </c>
    </row>
    <row r="3419">
      <c r="A3419" s="25">
        <v>43404.94403270833</v>
      </c>
      <c r="B3419" s="26" t="s">
        <v>2254</v>
      </c>
      <c r="C3419" s="26" t="s">
        <v>253</v>
      </c>
      <c r="D3419" s="26" t="s">
        <v>31</v>
      </c>
      <c r="E3419" s="26">
        <v>132.0</v>
      </c>
      <c r="F3419" s="26" t="s">
        <v>679</v>
      </c>
      <c r="G3419" s="26">
        <v>3.0</v>
      </c>
      <c r="H3419" s="26">
        <v>3.0</v>
      </c>
      <c r="N3419" s="26" t="s">
        <v>715</v>
      </c>
    </row>
    <row r="3420">
      <c r="A3420" s="25">
        <v>43404.946992453704</v>
      </c>
      <c r="B3420" s="26" t="s">
        <v>2255</v>
      </c>
      <c r="C3420" s="26" t="s">
        <v>37</v>
      </c>
      <c r="D3420" s="26" t="s">
        <v>31</v>
      </c>
      <c r="E3420" s="26">
        <v>210.0</v>
      </c>
      <c r="F3420" s="26" t="s">
        <v>134</v>
      </c>
      <c r="G3420" s="26">
        <v>11.0</v>
      </c>
      <c r="H3420" s="26">
        <v>1.0</v>
      </c>
      <c r="I3420" s="26">
        <v>165.0</v>
      </c>
      <c r="J3420" s="26">
        <v>10.0</v>
      </c>
      <c r="K3420" s="26">
        <v>35.0</v>
      </c>
      <c r="N3420" s="26" t="s">
        <v>704</v>
      </c>
    </row>
    <row r="3421">
      <c r="A3421" s="25">
        <v>43404.947898935185</v>
      </c>
      <c r="B3421" s="26" t="s">
        <v>2256</v>
      </c>
      <c r="C3421" s="26" t="s">
        <v>2005</v>
      </c>
      <c r="D3421" s="26" t="s">
        <v>31</v>
      </c>
      <c r="E3421" s="26">
        <v>145.0</v>
      </c>
      <c r="F3421" s="26" t="s">
        <v>32</v>
      </c>
      <c r="G3421" s="26">
        <v>10.0</v>
      </c>
      <c r="H3421" s="26">
        <v>1.0</v>
      </c>
      <c r="I3421" s="26">
        <v>145.0</v>
      </c>
      <c r="N3421" s="26" t="s">
        <v>708</v>
      </c>
    </row>
    <row r="3422">
      <c r="A3422" s="25">
        <v>43404.94932550926</v>
      </c>
      <c r="B3422" s="26" t="s">
        <v>80</v>
      </c>
      <c r="C3422" s="26" t="s">
        <v>62</v>
      </c>
      <c r="D3422" s="26" t="s">
        <v>31</v>
      </c>
      <c r="E3422" s="26">
        <v>494.0</v>
      </c>
      <c r="F3422" s="26" t="s">
        <v>32</v>
      </c>
      <c r="G3422" s="26">
        <v>15.0</v>
      </c>
      <c r="H3422" s="26">
        <v>7.0</v>
      </c>
      <c r="I3422" s="26">
        <v>209.0</v>
      </c>
      <c r="J3422" s="26">
        <v>235.0</v>
      </c>
      <c r="K3422" s="26">
        <v>50.0</v>
      </c>
      <c r="N3422" s="26" t="s">
        <v>685</v>
      </c>
    </row>
    <row r="3423">
      <c r="A3423" s="25">
        <v>43404.9502115625</v>
      </c>
      <c r="B3423" s="26" t="s">
        <v>36</v>
      </c>
      <c r="C3423" s="26" t="s">
        <v>2257</v>
      </c>
      <c r="D3423" s="26" t="s">
        <v>41</v>
      </c>
      <c r="E3423" s="26">
        <v>520.0</v>
      </c>
      <c r="F3423" s="26" t="s">
        <v>32</v>
      </c>
      <c r="G3423" s="26">
        <v>14.0</v>
      </c>
      <c r="H3423" s="26">
        <v>4.0</v>
      </c>
      <c r="I3423" s="26">
        <v>200.0</v>
      </c>
      <c r="J3423" s="26">
        <v>280.0</v>
      </c>
      <c r="K3423" s="26">
        <v>40.0</v>
      </c>
      <c r="N3423" s="26" t="s">
        <v>685</v>
      </c>
    </row>
    <row r="3424">
      <c r="A3424" s="25">
        <v>43404.95135534722</v>
      </c>
      <c r="B3424" s="26" t="s">
        <v>80</v>
      </c>
      <c r="C3424" s="26" t="s">
        <v>73</v>
      </c>
      <c r="D3424" s="26" t="s">
        <v>27</v>
      </c>
      <c r="E3424" s="26">
        <v>275.0</v>
      </c>
      <c r="F3424" s="26" t="s">
        <v>51</v>
      </c>
      <c r="G3424" s="26">
        <v>6.0</v>
      </c>
      <c r="H3424" s="26">
        <v>1.0</v>
      </c>
      <c r="I3424" s="26">
        <v>152.0</v>
      </c>
      <c r="J3424" s="26">
        <v>100.0</v>
      </c>
      <c r="K3424" s="26">
        <v>23.0</v>
      </c>
      <c r="N3424" s="26" t="s">
        <v>683</v>
      </c>
    </row>
    <row r="3425">
      <c r="A3425" s="25">
        <v>43404.952135590276</v>
      </c>
      <c r="B3425" s="26" t="s">
        <v>40</v>
      </c>
      <c r="C3425" s="26">
        <v>66.0</v>
      </c>
      <c r="D3425" s="26" t="s">
        <v>41</v>
      </c>
      <c r="E3425" s="26">
        <v>345.0</v>
      </c>
      <c r="F3425" s="26" t="s">
        <v>75</v>
      </c>
      <c r="G3425" s="26">
        <v>15.0</v>
      </c>
      <c r="H3425" s="26">
        <v>12.0</v>
      </c>
      <c r="I3425" s="26">
        <v>220.0</v>
      </c>
      <c r="J3425" s="26">
        <v>75.0</v>
      </c>
      <c r="K3425" s="26">
        <v>50.0</v>
      </c>
      <c r="N3425" s="26" t="s">
        <v>685</v>
      </c>
    </row>
    <row r="3426">
      <c r="A3426" s="25">
        <v>43404.95266988426</v>
      </c>
      <c r="B3426" s="26" t="s">
        <v>371</v>
      </c>
      <c r="C3426" s="26" t="s">
        <v>372</v>
      </c>
      <c r="D3426" s="26" t="s">
        <v>2258</v>
      </c>
      <c r="E3426" s="26">
        <v>160.0</v>
      </c>
      <c r="F3426" s="26" t="s">
        <v>2259</v>
      </c>
      <c r="G3426" s="26">
        <v>12.0</v>
      </c>
      <c r="H3426" s="26">
        <v>6.0</v>
      </c>
      <c r="I3426" s="26">
        <v>138.0</v>
      </c>
      <c r="J3426" s="26">
        <v>7.0</v>
      </c>
      <c r="K3426" s="26">
        <v>15.0</v>
      </c>
      <c r="N3426" s="26" t="s">
        <v>1245</v>
      </c>
    </row>
    <row r="3427">
      <c r="A3427" s="25">
        <v>43404.9529522338</v>
      </c>
      <c r="B3427" s="26" t="s">
        <v>80</v>
      </c>
      <c r="C3427" s="26" t="s">
        <v>73</v>
      </c>
      <c r="D3427" s="26" t="s">
        <v>31</v>
      </c>
      <c r="E3427" s="26">
        <v>250.0</v>
      </c>
      <c r="F3427" s="26" t="s">
        <v>134</v>
      </c>
      <c r="G3427" s="26">
        <v>2.0</v>
      </c>
      <c r="H3427" s="26">
        <v>2.0</v>
      </c>
      <c r="I3427" s="26">
        <v>153.0</v>
      </c>
      <c r="J3427" s="26">
        <v>97.0</v>
      </c>
      <c r="K3427" s="26">
        <v>10.0</v>
      </c>
      <c r="N3427" s="26" t="s">
        <v>757</v>
      </c>
    </row>
    <row r="3428">
      <c r="A3428" s="25">
        <v>43404.95476313657</v>
      </c>
      <c r="B3428" s="26" t="s">
        <v>188</v>
      </c>
      <c r="C3428" s="26" t="s">
        <v>43</v>
      </c>
      <c r="D3428" s="26" t="s">
        <v>31</v>
      </c>
      <c r="E3428" s="26">
        <v>650.0</v>
      </c>
      <c r="F3428" s="26" t="s">
        <v>94</v>
      </c>
      <c r="G3428" s="26">
        <v>8.0</v>
      </c>
      <c r="H3428" s="26">
        <v>2.0</v>
      </c>
      <c r="I3428" s="26">
        <v>230.0</v>
      </c>
      <c r="J3428" s="26">
        <v>400.0</v>
      </c>
      <c r="K3428" s="26">
        <v>20.0</v>
      </c>
      <c r="N3428" s="26" t="s">
        <v>751</v>
      </c>
    </row>
    <row r="3429">
      <c r="A3429" s="25">
        <v>43404.956740891204</v>
      </c>
      <c r="B3429" s="26" t="s">
        <v>80</v>
      </c>
      <c r="C3429" s="26" t="s">
        <v>43</v>
      </c>
      <c r="D3429" s="26" t="s">
        <v>31</v>
      </c>
      <c r="E3429" s="26">
        <v>310.0</v>
      </c>
      <c r="F3429" s="26" t="s">
        <v>51</v>
      </c>
      <c r="G3429" s="26">
        <v>5.0</v>
      </c>
      <c r="H3429" s="26">
        <v>6.0</v>
      </c>
      <c r="I3429" s="26">
        <v>170.0</v>
      </c>
      <c r="J3429" s="26">
        <v>100.0</v>
      </c>
      <c r="K3429" s="26">
        <v>33.0</v>
      </c>
      <c r="N3429" s="26" t="s">
        <v>685</v>
      </c>
    </row>
    <row r="3430">
      <c r="A3430" s="25">
        <v>43404.9610516088</v>
      </c>
      <c r="B3430" s="26" t="s">
        <v>548</v>
      </c>
      <c r="C3430" s="26">
        <v>9.0</v>
      </c>
      <c r="D3430" s="26" t="s">
        <v>1474</v>
      </c>
      <c r="E3430" s="26">
        <v>62.0</v>
      </c>
      <c r="F3430" s="26" t="s">
        <v>2260</v>
      </c>
      <c r="G3430" s="26">
        <v>5.0</v>
      </c>
      <c r="H3430" s="26">
        <v>0.0</v>
      </c>
      <c r="N3430" s="26" t="s">
        <v>2261</v>
      </c>
    </row>
    <row r="3431">
      <c r="A3431" s="25">
        <v>43404.96645934028</v>
      </c>
      <c r="B3431" s="26" t="s">
        <v>80</v>
      </c>
      <c r="C3431" s="26" t="s">
        <v>26</v>
      </c>
      <c r="D3431" s="26" t="s">
        <v>31</v>
      </c>
      <c r="E3431" s="26">
        <v>140.0</v>
      </c>
      <c r="F3431" s="26" t="s">
        <v>432</v>
      </c>
      <c r="G3431" s="26">
        <v>3.0</v>
      </c>
      <c r="H3431" s="26">
        <v>1.0</v>
      </c>
      <c r="I3431" s="26">
        <v>110.0</v>
      </c>
      <c r="J3431" s="26">
        <v>15.0</v>
      </c>
      <c r="K3431" s="26">
        <v>15.0</v>
      </c>
      <c r="N3431" s="26" t="s">
        <v>683</v>
      </c>
    </row>
    <row r="3432">
      <c r="A3432" s="25">
        <v>43404.96686375</v>
      </c>
      <c r="B3432" s="26" t="s">
        <v>2262</v>
      </c>
      <c r="C3432" s="26" t="s">
        <v>125</v>
      </c>
      <c r="D3432" s="26" t="s">
        <v>31</v>
      </c>
      <c r="E3432" s="26">
        <v>225.0</v>
      </c>
      <c r="F3432" s="26" t="s">
        <v>2263</v>
      </c>
      <c r="G3432" s="26">
        <v>15.0</v>
      </c>
      <c r="H3432" s="26">
        <v>3.0</v>
      </c>
      <c r="I3432" s="26">
        <v>155.0</v>
      </c>
      <c r="K3432" s="26">
        <v>70.0</v>
      </c>
      <c r="N3432" s="26" t="s">
        <v>1363</v>
      </c>
    </row>
    <row r="3433">
      <c r="A3433" s="25">
        <v>43404.968214305554</v>
      </c>
      <c r="B3433" s="26" t="s">
        <v>80</v>
      </c>
      <c r="C3433" s="26" t="s">
        <v>43</v>
      </c>
      <c r="D3433" s="26" t="s">
        <v>31</v>
      </c>
      <c r="E3433" s="26">
        <v>250.0</v>
      </c>
      <c r="F3433" s="26" t="s">
        <v>199</v>
      </c>
      <c r="G3433" s="26">
        <v>2.0</v>
      </c>
      <c r="H3433" s="26">
        <v>1.0</v>
      </c>
      <c r="I3433" s="26">
        <v>200.0</v>
      </c>
      <c r="J3433" s="26">
        <v>50.0</v>
      </c>
      <c r="K3433" s="26">
        <v>1.0</v>
      </c>
      <c r="N3433" s="26" t="s">
        <v>691</v>
      </c>
    </row>
    <row r="3434">
      <c r="A3434" s="25">
        <v>43404.96835009259</v>
      </c>
      <c r="B3434" s="26" t="s">
        <v>80</v>
      </c>
      <c r="C3434" s="26" t="s">
        <v>26</v>
      </c>
      <c r="D3434" s="26" t="s">
        <v>31</v>
      </c>
      <c r="E3434" s="26">
        <v>195.0</v>
      </c>
      <c r="F3434" s="26" t="s">
        <v>199</v>
      </c>
      <c r="G3434" s="26">
        <v>2.0</v>
      </c>
      <c r="H3434" s="26">
        <v>1.0</v>
      </c>
      <c r="I3434" s="26">
        <v>140.0</v>
      </c>
      <c r="J3434" s="26">
        <v>35.0</v>
      </c>
      <c r="K3434" s="26">
        <v>20.0</v>
      </c>
      <c r="N3434" s="26" t="s">
        <v>691</v>
      </c>
    </row>
    <row r="3435">
      <c r="A3435" s="25">
        <v>43404.97013636574</v>
      </c>
      <c r="B3435" s="26" t="s">
        <v>426</v>
      </c>
      <c r="C3435" s="26" t="s">
        <v>2264</v>
      </c>
      <c r="D3435" s="26" t="s">
        <v>711</v>
      </c>
      <c r="E3435" s="26">
        <v>500.0</v>
      </c>
      <c r="F3435" s="26" t="s">
        <v>2265</v>
      </c>
      <c r="G3435" s="26">
        <v>11.0</v>
      </c>
      <c r="H3435" s="26">
        <v>11.0</v>
      </c>
      <c r="I3435" s="26">
        <v>200.0</v>
      </c>
      <c r="J3435" s="26">
        <v>100.0</v>
      </c>
      <c r="K3435" s="26">
        <v>200.0</v>
      </c>
      <c r="N3435" s="26" t="s">
        <v>1786</v>
      </c>
    </row>
    <row r="3436">
      <c r="A3436" s="25">
        <v>43404.97265186343</v>
      </c>
      <c r="B3436" s="26" t="s">
        <v>45</v>
      </c>
      <c r="C3436" s="26" t="s">
        <v>116</v>
      </c>
      <c r="D3436" s="26" t="s">
        <v>31</v>
      </c>
      <c r="E3436" s="26">
        <v>377.0</v>
      </c>
      <c r="F3436" s="26" t="s">
        <v>104</v>
      </c>
      <c r="G3436" s="26">
        <v>6.0</v>
      </c>
      <c r="H3436" s="26">
        <v>6.0</v>
      </c>
      <c r="I3436" s="26">
        <v>190.0</v>
      </c>
      <c r="J3436" s="26">
        <v>177.0</v>
      </c>
      <c r="K3436" s="26">
        <v>10.0</v>
      </c>
      <c r="N3436" s="26" t="s">
        <v>699</v>
      </c>
    </row>
    <row r="3437">
      <c r="A3437" s="25">
        <v>43404.972795231486</v>
      </c>
      <c r="B3437" s="26" t="s">
        <v>48</v>
      </c>
      <c r="C3437" s="26" t="s">
        <v>69</v>
      </c>
      <c r="D3437" s="26" t="s">
        <v>31</v>
      </c>
      <c r="E3437" s="26">
        <v>110.0</v>
      </c>
      <c r="F3437" s="26" t="s">
        <v>35</v>
      </c>
      <c r="G3437" s="26">
        <v>0.0</v>
      </c>
      <c r="H3437" s="26">
        <v>0.0</v>
      </c>
      <c r="N3437" s="26" t="s">
        <v>685</v>
      </c>
    </row>
    <row r="3438">
      <c r="A3438" s="25">
        <v>43404.972888854165</v>
      </c>
      <c r="B3438" s="26" t="s">
        <v>1079</v>
      </c>
      <c r="C3438" s="26" t="s">
        <v>37</v>
      </c>
      <c r="D3438" s="26" t="s">
        <v>31</v>
      </c>
      <c r="E3438" s="26">
        <v>160.0</v>
      </c>
      <c r="F3438" s="26" t="s">
        <v>32</v>
      </c>
      <c r="G3438" s="26">
        <v>10.0</v>
      </c>
      <c r="H3438" s="26">
        <v>1.0</v>
      </c>
      <c r="N3438" s="26" t="s">
        <v>685</v>
      </c>
    </row>
    <row r="3439">
      <c r="A3439" s="25">
        <v>43404.97340565972</v>
      </c>
      <c r="B3439" s="26" t="s">
        <v>48</v>
      </c>
      <c r="C3439" s="26" t="s">
        <v>69</v>
      </c>
      <c r="D3439" s="26" t="s">
        <v>31</v>
      </c>
      <c r="E3439" s="26">
        <v>110.0</v>
      </c>
      <c r="F3439" s="26" t="s">
        <v>35</v>
      </c>
      <c r="G3439" s="26">
        <v>0.0</v>
      </c>
      <c r="H3439" s="26">
        <v>0.0</v>
      </c>
      <c r="N3439" s="26" t="s">
        <v>685</v>
      </c>
    </row>
    <row r="3440">
      <c r="A3440" s="25">
        <v>43404.975684571764</v>
      </c>
      <c r="B3440" s="26" t="s">
        <v>387</v>
      </c>
      <c r="C3440" s="26" t="s">
        <v>541</v>
      </c>
      <c r="D3440" s="26" t="s">
        <v>31</v>
      </c>
      <c r="E3440" s="26">
        <v>178.0</v>
      </c>
      <c r="F3440" s="26" t="s">
        <v>1178</v>
      </c>
      <c r="G3440" s="26">
        <v>8.0</v>
      </c>
      <c r="H3440" s="26">
        <v>2.0</v>
      </c>
      <c r="I3440" s="26">
        <v>145.0</v>
      </c>
      <c r="J3440" s="26">
        <v>30.0</v>
      </c>
      <c r="K3440" s="26">
        <v>3.0</v>
      </c>
      <c r="N3440" s="26" t="s">
        <v>683</v>
      </c>
    </row>
    <row r="3441">
      <c r="A3441" s="25">
        <v>43404.97714105324</v>
      </c>
      <c r="B3441" s="26" t="s">
        <v>258</v>
      </c>
      <c r="C3441" s="26" t="s">
        <v>2247</v>
      </c>
      <c r="D3441" s="26" t="s">
        <v>31</v>
      </c>
      <c r="E3441" s="26">
        <v>550.0</v>
      </c>
      <c r="F3441" s="26" t="s">
        <v>32</v>
      </c>
      <c r="G3441" s="26">
        <v>12.0</v>
      </c>
      <c r="H3441" s="26">
        <v>8.0</v>
      </c>
      <c r="N3441" s="26" t="s">
        <v>685</v>
      </c>
    </row>
    <row r="3442">
      <c r="A3442" s="25">
        <v>43404.98358140046</v>
      </c>
      <c r="B3442" s="26" t="s">
        <v>33</v>
      </c>
      <c r="C3442" s="26" t="s">
        <v>34</v>
      </c>
      <c r="D3442" s="26" t="s">
        <v>31</v>
      </c>
      <c r="E3442" s="26">
        <v>450.0</v>
      </c>
      <c r="F3442" s="26" t="s">
        <v>1624</v>
      </c>
      <c r="G3442" s="26">
        <v>35.0</v>
      </c>
      <c r="H3442" s="26">
        <v>3.0</v>
      </c>
      <c r="N3442" s="26" t="s">
        <v>708</v>
      </c>
    </row>
    <row r="3443">
      <c r="A3443" s="25">
        <v>43404.991081099535</v>
      </c>
      <c r="B3443" s="26" t="s">
        <v>80</v>
      </c>
      <c r="C3443" s="26" t="s">
        <v>73</v>
      </c>
      <c r="D3443" s="26" t="s">
        <v>31</v>
      </c>
      <c r="E3443" s="26">
        <v>300.0</v>
      </c>
      <c r="F3443" s="26" t="s">
        <v>51</v>
      </c>
      <c r="G3443" s="26">
        <v>4.0</v>
      </c>
      <c r="H3443" s="26">
        <v>0.0</v>
      </c>
      <c r="I3443" s="26">
        <v>140.0</v>
      </c>
      <c r="J3443" s="26">
        <v>125.0</v>
      </c>
      <c r="K3443" s="26">
        <v>35.0</v>
      </c>
      <c r="N3443" s="26" t="s">
        <v>691</v>
      </c>
    </row>
    <row r="3444">
      <c r="A3444" s="25">
        <v>43404.99160100694</v>
      </c>
      <c r="B3444" s="26" t="s">
        <v>80</v>
      </c>
      <c r="C3444" s="26" t="s">
        <v>43</v>
      </c>
      <c r="D3444" s="26" t="s">
        <v>31</v>
      </c>
      <c r="E3444" s="26">
        <v>268.0</v>
      </c>
      <c r="F3444" s="26" t="s">
        <v>51</v>
      </c>
      <c r="G3444" s="26">
        <v>7.0</v>
      </c>
      <c r="H3444" s="26">
        <v>0.0</v>
      </c>
      <c r="I3444" s="26">
        <v>180.0</v>
      </c>
      <c r="J3444" s="26">
        <v>68.0</v>
      </c>
      <c r="K3444" s="26">
        <v>20.0</v>
      </c>
      <c r="N3444" s="26" t="s">
        <v>685</v>
      </c>
    </row>
    <row r="3445">
      <c r="A3445" s="25">
        <v>43404.99687822917</v>
      </c>
      <c r="B3445" s="26" t="s">
        <v>48</v>
      </c>
      <c r="C3445" s="26" t="s">
        <v>49</v>
      </c>
      <c r="D3445" s="26" t="s">
        <v>31</v>
      </c>
      <c r="E3445" s="26">
        <v>240.0</v>
      </c>
      <c r="F3445" s="26" t="s">
        <v>35</v>
      </c>
      <c r="G3445" s="26">
        <v>8.0</v>
      </c>
      <c r="H3445" s="26">
        <v>1.0</v>
      </c>
      <c r="N3445" s="26" t="s">
        <v>691</v>
      </c>
    </row>
    <row r="3446">
      <c r="A3446" s="25">
        <v>43404.999436087965</v>
      </c>
      <c r="B3446" s="26" t="s">
        <v>40</v>
      </c>
      <c r="C3446" s="26" t="s">
        <v>824</v>
      </c>
      <c r="D3446" s="26" t="s">
        <v>31</v>
      </c>
      <c r="E3446" s="26">
        <v>167.0</v>
      </c>
      <c r="F3446" s="26" t="s">
        <v>86</v>
      </c>
      <c r="G3446" s="26">
        <v>2.0</v>
      </c>
      <c r="H3446" s="26">
        <v>0.0</v>
      </c>
      <c r="I3446" s="26">
        <v>108.0</v>
      </c>
      <c r="J3446" s="26">
        <v>24.0</v>
      </c>
      <c r="K3446" s="26">
        <v>35.0</v>
      </c>
      <c r="N3446" s="26" t="s">
        <v>691</v>
      </c>
    </row>
    <row r="3447">
      <c r="A3447" s="25">
        <v>43405.00117888889</v>
      </c>
      <c r="B3447" s="26" t="s">
        <v>80</v>
      </c>
      <c r="C3447" s="26" t="s">
        <v>26</v>
      </c>
      <c r="D3447" s="26" t="s">
        <v>31</v>
      </c>
      <c r="E3447" s="26">
        <v>221.0</v>
      </c>
      <c r="F3447" s="26" t="s">
        <v>199</v>
      </c>
      <c r="G3447" s="26">
        <v>1.0</v>
      </c>
      <c r="H3447" s="26">
        <v>1.0</v>
      </c>
      <c r="I3447" s="26">
        <v>120.0</v>
      </c>
      <c r="J3447" s="26">
        <v>80.0</v>
      </c>
      <c r="K3447" s="26">
        <v>21.0</v>
      </c>
      <c r="N3447" s="26" t="s">
        <v>691</v>
      </c>
    </row>
    <row r="3448">
      <c r="A3448" s="25">
        <v>43405.00359849537</v>
      </c>
      <c r="B3448" s="26" t="s">
        <v>2266</v>
      </c>
      <c r="C3448" s="26" t="s">
        <v>43</v>
      </c>
      <c r="D3448" s="26" t="s">
        <v>41</v>
      </c>
      <c r="E3448" s="26">
        <v>262.0</v>
      </c>
      <c r="F3448" s="26" t="s">
        <v>134</v>
      </c>
      <c r="G3448" s="26">
        <v>14.0</v>
      </c>
      <c r="H3448" s="26">
        <v>7.0</v>
      </c>
      <c r="I3448" s="26">
        <v>168.0</v>
      </c>
      <c r="J3448" s="26">
        <v>60.0</v>
      </c>
      <c r="K3448" s="26">
        <v>34.0</v>
      </c>
      <c r="N3448" s="26" t="s">
        <v>708</v>
      </c>
    </row>
    <row r="3449">
      <c r="A3449" s="25">
        <v>43405.007177141204</v>
      </c>
      <c r="B3449" s="26" t="s">
        <v>170</v>
      </c>
      <c r="C3449" s="26" t="s">
        <v>902</v>
      </c>
      <c r="D3449" s="26" t="s">
        <v>2267</v>
      </c>
      <c r="E3449" s="26">
        <v>100.0</v>
      </c>
      <c r="F3449" s="26" t="s">
        <v>478</v>
      </c>
      <c r="G3449" s="26">
        <v>0.0</v>
      </c>
      <c r="H3449" s="26">
        <v>0.0</v>
      </c>
      <c r="N3449" s="26" t="s">
        <v>2268</v>
      </c>
    </row>
    <row r="3450">
      <c r="A3450" s="25">
        <v>43405.00762238426</v>
      </c>
      <c r="B3450" s="26" t="s">
        <v>2269</v>
      </c>
      <c r="C3450" s="26" t="s">
        <v>43</v>
      </c>
      <c r="D3450" s="26" t="s">
        <v>31</v>
      </c>
      <c r="E3450" s="26">
        <v>95.0</v>
      </c>
      <c r="F3450" s="26" t="s">
        <v>2270</v>
      </c>
      <c r="G3450" s="26">
        <v>10.0</v>
      </c>
      <c r="H3450" s="26">
        <v>5.0</v>
      </c>
      <c r="N3450" s="26" t="s">
        <v>683</v>
      </c>
    </row>
    <row r="3451">
      <c r="A3451" s="25">
        <v>43405.01269552083</v>
      </c>
      <c r="B3451" s="26" t="s">
        <v>80</v>
      </c>
      <c r="C3451" s="26" t="s">
        <v>62</v>
      </c>
      <c r="D3451" s="26" t="s">
        <v>31</v>
      </c>
      <c r="E3451" s="26">
        <v>341.0</v>
      </c>
      <c r="F3451" s="26" t="s">
        <v>51</v>
      </c>
      <c r="G3451" s="26">
        <v>7.0</v>
      </c>
      <c r="H3451" s="26">
        <v>7.0</v>
      </c>
      <c r="I3451" s="26">
        <v>193.0</v>
      </c>
      <c r="J3451" s="26">
        <v>113.0</v>
      </c>
      <c r="K3451" s="26">
        <v>36.0</v>
      </c>
      <c r="N3451" s="26" t="s">
        <v>691</v>
      </c>
    </row>
    <row r="3452">
      <c r="A3452" s="25">
        <v>43405.01491975694</v>
      </c>
      <c r="B3452" s="26" t="s">
        <v>33</v>
      </c>
      <c r="C3452" s="26" t="s">
        <v>43</v>
      </c>
      <c r="D3452" s="26" t="s">
        <v>31</v>
      </c>
      <c r="E3452" s="26">
        <v>51.0</v>
      </c>
      <c r="F3452" s="26" t="s">
        <v>1688</v>
      </c>
      <c r="G3452" s="26">
        <v>4.0</v>
      </c>
      <c r="H3452" s="26">
        <v>1.0</v>
      </c>
      <c r="N3452" s="26" t="s">
        <v>704</v>
      </c>
    </row>
    <row r="3453">
      <c r="A3453" s="25">
        <v>43405.01929909722</v>
      </c>
      <c r="B3453" s="26" t="s">
        <v>1744</v>
      </c>
      <c r="C3453" s="26" t="s">
        <v>749</v>
      </c>
      <c r="D3453" s="26" t="s">
        <v>31</v>
      </c>
      <c r="E3453" s="26">
        <v>154.0</v>
      </c>
      <c r="F3453" s="26" t="s">
        <v>51</v>
      </c>
      <c r="G3453" s="26">
        <v>8.0</v>
      </c>
      <c r="H3453" s="26">
        <v>2.0</v>
      </c>
      <c r="I3453" s="26">
        <v>135.0</v>
      </c>
      <c r="J3453" s="26">
        <v>10.0</v>
      </c>
      <c r="K3453" s="26">
        <v>9.0</v>
      </c>
      <c r="N3453" s="26" t="s">
        <v>685</v>
      </c>
    </row>
    <row r="3454">
      <c r="A3454" s="25">
        <v>43405.02420271991</v>
      </c>
      <c r="B3454" s="26" t="s">
        <v>80</v>
      </c>
      <c r="C3454" s="26" t="s">
        <v>73</v>
      </c>
      <c r="D3454" s="26" t="s">
        <v>31</v>
      </c>
      <c r="E3454" s="26">
        <v>380.0</v>
      </c>
      <c r="F3454" s="26" t="s">
        <v>51</v>
      </c>
      <c r="G3454" s="26">
        <v>4.0</v>
      </c>
      <c r="H3454" s="26">
        <v>1.5</v>
      </c>
      <c r="I3454" s="26">
        <v>170.0</v>
      </c>
      <c r="J3454" s="26">
        <v>180.0</v>
      </c>
      <c r="K3454" s="26">
        <v>30.0</v>
      </c>
      <c r="N3454" s="26" t="s">
        <v>691</v>
      </c>
    </row>
    <row r="3455">
      <c r="A3455" s="25">
        <v>43405.02748135416</v>
      </c>
      <c r="B3455" s="26" t="s">
        <v>2271</v>
      </c>
      <c r="C3455" s="26" t="s">
        <v>2272</v>
      </c>
      <c r="D3455" s="26" t="s">
        <v>31</v>
      </c>
      <c r="E3455" s="26">
        <v>60.0</v>
      </c>
      <c r="F3455" s="26" t="s">
        <v>654</v>
      </c>
      <c r="G3455" s="26">
        <v>3.0</v>
      </c>
      <c r="H3455" s="26">
        <v>0.5</v>
      </c>
      <c r="I3455" s="26">
        <v>56.0</v>
      </c>
      <c r="J3455" s="26">
        <v>2.0</v>
      </c>
      <c r="K3455" s="26">
        <v>2.0</v>
      </c>
      <c r="N3455" s="26" t="s">
        <v>685</v>
      </c>
    </row>
    <row r="3456">
      <c r="A3456" s="25">
        <v>43405.02808949074</v>
      </c>
      <c r="B3456" s="26" t="s">
        <v>48</v>
      </c>
      <c r="C3456" s="26" t="s">
        <v>49</v>
      </c>
      <c r="D3456" s="26" t="s">
        <v>31</v>
      </c>
      <c r="E3456" s="26">
        <v>220.0</v>
      </c>
      <c r="F3456" s="26" t="s">
        <v>654</v>
      </c>
      <c r="G3456" s="26">
        <v>7.0</v>
      </c>
      <c r="H3456" s="26">
        <v>0.0</v>
      </c>
      <c r="I3456" s="26">
        <v>103.0</v>
      </c>
      <c r="J3456" s="26">
        <v>50.0</v>
      </c>
      <c r="K3456" s="26">
        <v>65.0</v>
      </c>
      <c r="N3456" s="26" t="s">
        <v>704</v>
      </c>
    </row>
    <row r="3457">
      <c r="A3457" s="25">
        <v>43405.031293321765</v>
      </c>
      <c r="B3457" s="26" t="s">
        <v>45</v>
      </c>
      <c r="C3457" s="26" t="s">
        <v>102</v>
      </c>
      <c r="D3457" s="26" t="s">
        <v>27</v>
      </c>
      <c r="E3457" s="26">
        <v>280.0</v>
      </c>
      <c r="F3457" s="26" t="s">
        <v>32</v>
      </c>
      <c r="G3457" s="26">
        <v>12.0</v>
      </c>
      <c r="H3457" s="26">
        <v>5.0</v>
      </c>
      <c r="I3457" s="26">
        <v>165.0</v>
      </c>
      <c r="J3457" s="26">
        <v>100.0</v>
      </c>
      <c r="K3457" s="26">
        <v>15.0</v>
      </c>
      <c r="N3457" s="26" t="s">
        <v>699</v>
      </c>
    </row>
    <row r="3458">
      <c r="A3458" s="25">
        <v>43405.03624622685</v>
      </c>
      <c r="B3458" s="26" t="s">
        <v>2273</v>
      </c>
      <c r="C3458" s="26" t="s">
        <v>2274</v>
      </c>
      <c r="D3458" s="26" t="s">
        <v>31</v>
      </c>
      <c r="E3458" s="26">
        <v>75.0</v>
      </c>
      <c r="F3458" s="26" t="s">
        <v>1773</v>
      </c>
      <c r="G3458" s="26">
        <v>10.0</v>
      </c>
      <c r="H3458" s="26">
        <v>6.0</v>
      </c>
      <c r="I3458" s="26">
        <v>53.0</v>
      </c>
      <c r="J3458" s="26">
        <v>15.0</v>
      </c>
      <c r="K3458" s="26">
        <v>7.0</v>
      </c>
      <c r="N3458" s="26" t="s">
        <v>685</v>
      </c>
    </row>
    <row r="3459">
      <c r="A3459" s="25">
        <v>43405.036724363425</v>
      </c>
      <c r="B3459" s="26" t="s">
        <v>45</v>
      </c>
      <c r="C3459" s="26" t="s">
        <v>102</v>
      </c>
      <c r="D3459" s="26" t="s">
        <v>31</v>
      </c>
      <c r="E3459" s="26">
        <v>209.0</v>
      </c>
      <c r="F3459" s="26" t="s">
        <v>104</v>
      </c>
      <c r="G3459" s="26">
        <v>2.0</v>
      </c>
      <c r="H3459" s="26">
        <v>2.5</v>
      </c>
      <c r="I3459" s="26">
        <v>130.0</v>
      </c>
      <c r="J3459" s="26">
        <v>70.0</v>
      </c>
      <c r="K3459" s="26">
        <v>9.0</v>
      </c>
      <c r="N3459" s="26" t="s">
        <v>699</v>
      </c>
    </row>
    <row r="3460">
      <c r="A3460" s="25">
        <v>43405.04122644676</v>
      </c>
      <c r="B3460" s="26" t="s">
        <v>36</v>
      </c>
      <c r="C3460" s="26" t="s">
        <v>73</v>
      </c>
      <c r="D3460" s="26" t="s">
        <v>31</v>
      </c>
      <c r="E3460" s="26">
        <v>205.0</v>
      </c>
      <c r="F3460" s="26" t="s">
        <v>58</v>
      </c>
      <c r="G3460" s="26">
        <v>2.0</v>
      </c>
      <c r="H3460" s="26">
        <v>0.0</v>
      </c>
      <c r="I3460" s="26">
        <v>143.0</v>
      </c>
      <c r="J3460" s="26">
        <v>50.0</v>
      </c>
      <c r="K3460" s="26">
        <v>12.0</v>
      </c>
      <c r="N3460" s="26" t="s">
        <v>696</v>
      </c>
    </row>
    <row r="3461">
      <c r="A3461" s="25">
        <v>43405.0449375</v>
      </c>
      <c r="B3461" s="26" t="s">
        <v>45</v>
      </c>
      <c r="C3461" s="26" t="s">
        <v>149</v>
      </c>
      <c r="D3461" s="26" t="s">
        <v>31</v>
      </c>
      <c r="E3461" s="26">
        <v>370.0</v>
      </c>
      <c r="F3461" s="26" t="s">
        <v>104</v>
      </c>
      <c r="G3461" s="26">
        <v>15.0</v>
      </c>
      <c r="H3461" s="26">
        <v>5.0</v>
      </c>
      <c r="I3461" s="26">
        <v>180.0</v>
      </c>
      <c r="J3461" s="26">
        <v>160.0</v>
      </c>
      <c r="K3461" s="26">
        <v>30.0</v>
      </c>
      <c r="N3461" s="26" t="s">
        <v>696</v>
      </c>
    </row>
    <row r="3462">
      <c r="A3462" s="25">
        <v>43405.04597160879</v>
      </c>
      <c r="B3462" s="26" t="s">
        <v>80</v>
      </c>
      <c r="C3462" s="26" t="s">
        <v>2275</v>
      </c>
      <c r="D3462" s="26" t="s">
        <v>31</v>
      </c>
      <c r="E3462" s="26">
        <v>990.0</v>
      </c>
      <c r="F3462" s="26" t="s">
        <v>571</v>
      </c>
      <c r="G3462" s="26">
        <v>20.0</v>
      </c>
      <c r="H3462" s="26">
        <v>15.0</v>
      </c>
      <c r="I3462" s="26">
        <v>650.0</v>
      </c>
      <c r="J3462" s="26">
        <v>250.0</v>
      </c>
      <c r="K3462" s="26">
        <v>90.0</v>
      </c>
      <c r="N3462" s="26" t="s">
        <v>691</v>
      </c>
    </row>
    <row r="3463">
      <c r="A3463" s="25">
        <v>43405.052805590276</v>
      </c>
      <c r="B3463" s="26" t="s">
        <v>48</v>
      </c>
      <c r="C3463" s="26" t="s">
        <v>69</v>
      </c>
      <c r="D3463" s="26" t="s">
        <v>31</v>
      </c>
      <c r="E3463" s="26">
        <v>176.0</v>
      </c>
      <c r="F3463" s="26" t="s">
        <v>415</v>
      </c>
      <c r="G3463" s="26">
        <v>0.0</v>
      </c>
      <c r="H3463" s="26">
        <v>0.0</v>
      </c>
      <c r="I3463" s="26">
        <v>110.0</v>
      </c>
      <c r="J3463" s="26">
        <v>55.0</v>
      </c>
      <c r="K3463" s="26">
        <v>11.0</v>
      </c>
      <c r="N3463" s="26" t="s">
        <v>751</v>
      </c>
    </row>
    <row r="3464">
      <c r="A3464" s="25">
        <v>43405.053731990745</v>
      </c>
      <c r="B3464" s="26" t="s">
        <v>2276</v>
      </c>
      <c r="C3464" s="26" t="s">
        <v>2277</v>
      </c>
      <c r="D3464" s="26" t="s">
        <v>1236</v>
      </c>
      <c r="E3464" s="26">
        <v>94.0</v>
      </c>
      <c r="F3464" s="26" t="s">
        <v>1014</v>
      </c>
      <c r="G3464" s="26">
        <v>4.0</v>
      </c>
      <c r="H3464" s="26">
        <v>4.0</v>
      </c>
      <c r="N3464" s="26" t="s">
        <v>2278</v>
      </c>
    </row>
    <row r="3465">
      <c r="A3465" s="25">
        <v>43405.05440408565</v>
      </c>
      <c r="B3465" s="26" t="s">
        <v>48</v>
      </c>
      <c r="C3465" s="26" t="s">
        <v>49</v>
      </c>
      <c r="D3465" s="26" t="s">
        <v>31</v>
      </c>
      <c r="E3465" s="26">
        <v>108.0</v>
      </c>
      <c r="F3465" s="26" t="s">
        <v>2265</v>
      </c>
      <c r="G3465" s="26">
        <v>6.0</v>
      </c>
      <c r="H3465" s="26">
        <v>1.0</v>
      </c>
      <c r="N3465" s="26" t="s">
        <v>683</v>
      </c>
    </row>
    <row r="3466">
      <c r="A3466" s="25">
        <v>43405.06206729167</v>
      </c>
      <c r="B3466" s="26" t="s">
        <v>2279</v>
      </c>
      <c r="C3466" s="26" t="s">
        <v>369</v>
      </c>
      <c r="D3466" s="26" t="s">
        <v>31</v>
      </c>
      <c r="E3466" s="26">
        <v>176.0</v>
      </c>
      <c r="F3466" s="26" t="s">
        <v>161</v>
      </c>
      <c r="G3466" s="26">
        <v>40.0</v>
      </c>
      <c r="H3466" s="26">
        <v>11.0</v>
      </c>
      <c r="I3466" s="26">
        <v>176.0</v>
      </c>
      <c r="N3466" s="26" t="s">
        <v>683</v>
      </c>
    </row>
    <row r="3467">
      <c r="A3467" s="25">
        <v>43405.07012949074</v>
      </c>
      <c r="B3467" s="26" t="s">
        <v>80</v>
      </c>
      <c r="C3467" s="26" t="s">
        <v>26</v>
      </c>
      <c r="D3467" s="26" t="s">
        <v>811</v>
      </c>
      <c r="E3467" s="26">
        <v>159.0</v>
      </c>
      <c r="F3467" s="26" t="s">
        <v>63</v>
      </c>
      <c r="G3467" s="26">
        <v>0.0</v>
      </c>
      <c r="H3467" s="26">
        <v>0.0</v>
      </c>
      <c r="I3467" s="26">
        <v>108.0</v>
      </c>
      <c r="J3467" s="26">
        <v>35.0</v>
      </c>
      <c r="K3467" s="26">
        <v>16.0</v>
      </c>
      <c r="N3467" s="26" t="s">
        <v>708</v>
      </c>
    </row>
    <row r="3468">
      <c r="A3468" s="25">
        <v>43405.08646752315</v>
      </c>
      <c r="B3468" s="26" t="s">
        <v>33</v>
      </c>
      <c r="C3468" s="26" t="s">
        <v>43</v>
      </c>
      <c r="D3468" s="26" t="s">
        <v>713</v>
      </c>
      <c r="E3468" s="26">
        <v>200.0</v>
      </c>
      <c r="F3468" s="26" t="s">
        <v>1144</v>
      </c>
      <c r="G3468" s="26">
        <v>2.0</v>
      </c>
      <c r="H3468" s="26">
        <v>0.5</v>
      </c>
      <c r="I3468" s="26">
        <v>135.0</v>
      </c>
      <c r="J3468" s="26">
        <v>10.0</v>
      </c>
      <c r="K3468" s="26">
        <v>55.0</v>
      </c>
      <c r="N3468" s="26" t="s">
        <v>687</v>
      </c>
    </row>
    <row r="3469">
      <c r="A3469" s="25">
        <v>43405.088771932875</v>
      </c>
      <c r="B3469" s="26" t="s">
        <v>2280</v>
      </c>
      <c r="C3469" s="26" t="s">
        <v>174</v>
      </c>
      <c r="D3469" s="26" t="s">
        <v>713</v>
      </c>
      <c r="E3469" s="26">
        <v>100.0</v>
      </c>
      <c r="F3469" s="26" t="s">
        <v>2281</v>
      </c>
      <c r="G3469" s="26">
        <v>5.0</v>
      </c>
      <c r="H3469" s="26">
        <v>2.0</v>
      </c>
      <c r="I3469" s="26">
        <v>100.0</v>
      </c>
      <c r="L3469" s="26" t="s">
        <v>2282</v>
      </c>
      <c r="N3469" s="26" t="s">
        <v>683</v>
      </c>
    </row>
    <row r="3470">
      <c r="A3470" s="25">
        <v>43405.09496311343</v>
      </c>
      <c r="B3470" s="26" t="s">
        <v>40</v>
      </c>
      <c r="C3470" s="26">
        <v>60.0</v>
      </c>
      <c r="D3470" s="26" t="s">
        <v>31</v>
      </c>
      <c r="E3470" s="26">
        <v>135.0</v>
      </c>
      <c r="F3470" s="26" t="s">
        <v>134</v>
      </c>
      <c r="G3470" s="26">
        <v>2.0</v>
      </c>
      <c r="H3470" s="26">
        <v>1.0</v>
      </c>
      <c r="N3470" s="26" t="s">
        <v>685</v>
      </c>
    </row>
    <row r="3471">
      <c r="A3471" s="25">
        <v>43405.09709001158</v>
      </c>
      <c r="B3471" s="26" t="s">
        <v>463</v>
      </c>
      <c r="C3471" s="26" t="s">
        <v>184</v>
      </c>
      <c r="D3471" s="26" t="s">
        <v>31</v>
      </c>
      <c r="E3471" s="26">
        <v>40.0</v>
      </c>
      <c r="F3471" s="26" t="s">
        <v>1602</v>
      </c>
      <c r="G3471" s="26">
        <v>6.0</v>
      </c>
      <c r="H3471" s="26">
        <v>4.0</v>
      </c>
      <c r="N3471" s="26" t="s">
        <v>2283</v>
      </c>
    </row>
    <row r="3472">
      <c r="A3472" s="25">
        <v>43405.10303628472</v>
      </c>
      <c r="B3472" s="26" t="s">
        <v>33</v>
      </c>
      <c r="C3472" s="26" t="s">
        <v>43</v>
      </c>
      <c r="D3472" s="26" t="s">
        <v>31</v>
      </c>
      <c r="E3472" s="26">
        <v>109.0</v>
      </c>
      <c r="F3472" s="26" t="s">
        <v>2284</v>
      </c>
      <c r="G3472" s="26">
        <v>5.0</v>
      </c>
      <c r="H3472" s="26">
        <v>1.0</v>
      </c>
      <c r="N3472" s="26" t="s">
        <v>685</v>
      </c>
    </row>
    <row r="3473">
      <c r="A3473" s="25">
        <v>43405.10771214121</v>
      </c>
      <c r="B3473" s="26" t="s">
        <v>2285</v>
      </c>
      <c r="C3473" s="26" t="s">
        <v>37</v>
      </c>
      <c r="D3473" s="26" t="s">
        <v>41</v>
      </c>
      <c r="E3473" s="26">
        <v>92.0</v>
      </c>
      <c r="F3473" s="26" t="s">
        <v>1624</v>
      </c>
      <c r="G3473" s="26">
        <v>15.0</v>
      </c>
      <c r="H3473" s="26">
        <v>13.0</v>
      </c>
      <c r="I3473" s="26">
        <v>80000.0</v>
      </c>
      <c r="K3473" s="26">
        <v>5000.0</v>
      </c>
      <c r="N3473" s="26" t="s">
        <v>704</v>
      </c>
    </row>
    <row r="3474">
      <c r="A3474" s="25">
        <v>43405.112715069445</v>
      </c>
      <c r="B3474" s="26" t="s">
        <v>523</v>
      </c>
      <c r="C3474" s="26" t="s">
        <v>37</v>
      </c>
      <c r="D3474" s="26" t="s">
        <v>41</v>
      </c>
      <c r="E3474" s="26">
        <v>360.0</v>
      </c>
      <c r="F3474" s="26" t="s">
        <v>94</v>
      </c>
      <c r="G3474" s="26">
        <v>4.0</v>
      </c>
      <c r="H3474" s="26">
        <v>4.0</v>
      </c>
      <c r="I3474" s="26">
        <v>275.0</v>
      </c>
      <c r="K3474" s="26">
        <v>85.0</v>
      </c>
      <c r="N3474" s="26" t="s">
        <v>691</v>
      </c>
    </row>
    <row r="3475">
      <c r="A3475" s="25">
        <v>43405.11602351852</v>
      </c>
      <c r="B3475" s="26" t="s">
        <v>2098</v>
      </c>
      <c r="C3475" s="26" t="s">
        <v>353</v>
      </c>
      <c r="D3475" s="26" t="s">
        <v>1474</v>
      </c>
      <c r="E3475" s="26">
        <v>117.0</v>
      </c>
      <c r="F3475" s="26" t="s">
        <v>1203</v>
      </c>
      <c r="G3475" s="26">
        <v>10.0</v>
      </c>
      <c r="H3475" s="26">
        <v>1.0</v>
      </c>
      <c r="I3475" s="26">
        <v>107.0</v>
      </c>
      <c r="K3475" s="26">
        <v>10.0</v>
      </c>
      <c r="N3475" s="26" t="s">
        <v>708</v>
      </c>
    </row>
    <row r="3476">
      <c r="A3476" s="25">
        <v>43405.12719403935</v>
      </c>
      <c r="B3476" s="26" t="s">
        <v>40</v>
      </c>
      <c r="C3476" s="26">
        <v>61.0</v>
      </c>
      <c r="D3476" s="26" t="s">
        <v>31</v>
      </c>
      <c r="E3476" s="26">
        <v>29.0</v>
      </c>
      <c r="F3476" s="26" t="s">
        <v>198</v>
      </c>
      <c r="G3476" s="26">
        <v>5.0</v>
      </c>
      <c r="H3476" s="26">
        <v>1.0</v>
      </c>
      <c r="N3476" s="26" t="s">
        <v>696</v>
      </c>
    </row>
    <row r="3477">
      <c r="A3477" s="25">
        <v>43405.12791274306</v>
      </c>
      <c r="B3477" s="26" t="s">
        <v>2286</v>
      </c>
      <c r="C3477" s="26" t="s">
        <v>2287</v>
      </c>
      <c r="D3477" s="26" t="s">
        <v>31</v>
      </c>
      <c r="E3477" s="26">
        <v>65.0</v>
      </c>
      <c r="F3477" s="26" t="s">
        <v>2288</v>
      </c>
      <c r="G3477" s="26">
        <v>3.0</v>
      </c>
      <c r="H3477" s="26">
        <v>2.0</v>
      </c>
      <c r="N3477" s="26" t="s">
        <v>704</v>
      </c>
    </row>
    <row r="3478">
      <c r="A3478" s="25">
        <v>43405.15532114584</v>
      </c>
      <c r="B3478" s="26" t="s">
        <v>80</v>
      </c>
      <c r="C3478" s="26" t="s">
        <v>26</v>
      </c>
      <c r="D3478" s="26" t="s">
        <v>31</v>
      </c>
      <c r="E3478" s="26">
        <v>160.0</v>
      </c>
      <c r="F3478" s="26" t="s">
        <v>178</v>
      </c>
      <c r="G3478" s="26">
        <v>3.0</v>
      </c>
      <c r="H3478" s="26">
        <v>0.0</v>
      </c>
      <c r="I3478" s="26">
        <v>113.0</v>
      </c>
      <c r="J3478" s="26">
        <v>30.0</v>
      </c>
      <c r="K3478" s="26">
        <v>17.0</v>
      </c>
      <c r="N3478" s="26" t="s">
        <v>715</v>
      </c>
    </row>
    <row r="3479">
      <c r="A3479" s="25">
        <v>43405.1742159375</v>
      </c>
      <c r="B3479" s="26" t="s">
        <v>173</v>
      </c>
      <c r="C3479" s="26" t="s">
        <v>2289</v>
      </c>
      <c r="D3479" s="26" t="s">
        <v>31</v>
      </c>
      <c r="E3479" s="26">
        <v>125.0</v>
      </c>
      <c r="F3479" s="26" t="s">
        <v>403</v>
      </c>
      <c r="G3479" s="26">
        <v>0.0</v>
      </c>
      <c r="H3479" s="26">
        <v>0.0</v>
      </c>
      <c r="N3479" s="26" t="s">
        <v>683</v>
      </c>
    </row>
    <row r="3480">
      <c r="A3480" s="25">
        <v>43405.17688752315</v>
      </c>
      <c r="B3480" s="26" t="s">
        <v>2290</v>
      </c>
      <c r="C3480" s="26" t="s">
        <v>26</v>
      </c>
      <c r="D3480" s="26" t="s">
        <v>31</v>
      </c>
      <c r="E3480" s="26">
        <v>53.0</v>
      </c>
      <c r="F3480" s="26" t="s">
        <v>1505</v>
      </c>
      <c r="G3480" s="26">
        <v>1.0</v>
      </c>
      <c r="H3480" s="26">
        <v>1.0</v>
      </c>
      <c r="I3480" s="26">
        <v>53.0</v>
      </c>
      <c r="N3480" s="26" t="s">
        <v>704</v>
      </c>
    </row>
    <row r="3481">
      <c r="A3481" s="25">
        <v>43405.18702806713</v>
      </c>
      <c r="B3481" s="27" t="s">
        <v>700</v>
      </c>
      <c r="C3481" s="26" t="s">
        <v>1422</v>
      </c>
      <c r="D3481" s="26" t="s">
        <v>31</v>
      </c>
      <c r="E3481" s="26">
        <v>90.0</v>
      </c>
      <c r="F3481" s="26" t="s">
        <v>1886</v>
      </c>
      <c r="G3481" s="26">
        <v>5.0</v>
      </c>
      <c r="H3481" s="26">
        <v>2.0</v>
      </c>
      <c r="I3481" s="26">
        <v>75.0</v>
      </c>
      <c r="K3481" s="26">
        <v>15.0</v>
      </c>
      <c r="N3481" s="26" t="s">
        <v>751</v>
      </c>
    </row>
    <row r="3482">
      <c r="A3482" s="25">
        <v>43405.19008959491</v>
      </c>
      <c r="B3482" s="26" t="s">
        <v>119</v>
      </c>
      <c r="C3482" s="26" t="s">
        <v>1767</v>
      </c>
      <c r="D3482" s="26" t="s">
        <v>31</v>
      </c>
      <c r="E3482" s="26">
        <v>300.0</v>
      </c>
      <c r="F3482" s="26" t="s">
        <v>32</v>
      </c>
      <c r="G3482" s="26">
        <v>10.0</v>
      </c>
      <c r="H3482" s="26">
        <v>2.0</v>
      </c>
      <c r="N3482" s="26" t="s">
        <v>691</v>
      </c>
    </row>
    <row r="3483">
      <c r="A3483" s="25">
        <v>43405.19152740741</v>
      </c>
      <c r="B3483" s="26" t="s">
        <v>45</v>
      </c>
      <c r="C3483" s="26" t="s">
        <v>102</v>
      </c>
      <c r="D3483" s="26" t="s">
        <v>31</v>
      </c>
      <c r="E3483" s="26">
        <v>235.0</v>
      </c>
      <c r="F3483" s="26" t="s">
        <v>92</v>
      </c>
      <c r="G3483" s="26">
        <v>2.0</v>
      </c>
      <c r="H3483" s="26">
        <v>2.0</v>
      </c>
      <c r="I3483" s="26">
        <v>136.0</v>
      </c>
      <c r="J3483" s="26">
        <v>85.0</v>
      </c>
      <c r="K3483" s="26">
        <v>14.0</v>
      </c>
      <c r="N3483" s="26" t="s">
        <v>704</v>
      </c>
    </row>
    <row r="3484">
      <c r="A3484" s="25">
        <v>43405.19155703703</v>
      </c>
      <c r="B3484" s="26" t="s">
        <v>813</v>
      </c>
      <c r="C3484" s="26" t="s">
        <v>1525</v>
      </c>
      <c r="D3484" s="26" t="s">
        <v>31</v>
      </c>
      <c r="E3484" s="26">
        <v>321.0</v>
      </c>
      <c r="F3484" s="26" t="s">
        <v>51</v>
      </c>
      <c r="G3484" s="26">
        <v>12.0</v>
      </c>
      <c r="H3484" s="26">
        <v>1.0</v>
      </c>
      <c r="I3484" s="26">
        <v>209.0</v>
      </c>
      <c r="J3484" s="26">
        <v>81.0</v>
      </c>
      <c r="K3484" s="26">
        <v>31.0</v>
      </c>
      <c r="N3484" s="26" t="s">
        <v>757</v>
      </c>
    </row>
    <row r="3485">
      <c r="A3485" s="25">
        <v>43405.19318362269</v>
      </c>
      <c r="B3485" s="26" t="s">
        <v>80</v>
      </c>
      <c r="C3485" s="26" t="s">
        <v>2291</v>
      </c>
      <c r="D3485" s="26" t="s">
        <v>27</v>
      </c>
      <c r="E3485" s="26">
        <v>171.0</v>
      </c>
      <c r="F3485" s="26" t="s">
        <v>2292</v>
      </c>
      <c r="G3485" s="26">
        <v>2.0</v>
      </c>
      <c r="H3485" s="26">
        <v>1.0</v>
      </c>
      <c r="I3485" s="26">
        <v>128.0</v>
      </c>
      <c r="J3485" s="26">
        <v>23.0</v>
      </c>
      <c r="K3485" s="26">
        <v>20.0</v>
      </c>
      <c r="N3485" s="26" t="s">
        <v>696</v>
      </c>
    </row>
    <row r="3486">
      <c r="A3486" s="25">
        <v>43405.19486150463</v>
      </c>
      <c r="B3486" s="26" t="s">
        <v>2293</v>
      </c>
      <c r="C3486" s="26" t="s">
        <v>37</v>
      </c>
      <c r="D3486" s="26" t="s">
        <v>31</v>
      </c>
      <c r="E3486" s="26">
        <v>116.0</v>
      </c>
      <c r="F3486" s="26" t="s">
        <v>2294</v>
      </c>
      <c r="G3486" s="26">
        <v>6.0</v>
      </c>
      <c r="H3486" s="26">
        <v>2.0</v>
      </c>
      <c r="N3486" s="26" t="s">
        <v>685</v>
      </c>
    </row>
    <row r="3487">
      <c r="A3487" s="25">
        <v>43405.197821724534</v>
      </c>
      <c r="B3487" s="26" t="s">
        <v>80</v>
      </c>
      <c r="C3487" s="26" t="s">
        <v>749</v>
      </c>
      <c r="D3487" s="26" t="s">
        <v>31</v>
      </c>
      <c r="E3487" s="26">
        <v>295.0</v>
      </c>
      <c r="F3487" s="26" t="s">
        <v>178</v>
      </c>
      <c r="G3487" s="26">
        <v>7.0</v>
      </c>
      <c r="H3487" s="26">
        <v>5.0</v>
      </c>
      <c r="I3487" s="26">
        <v>165.0</v>
      </c>
      <c r="J3487" s="26">
        <v>100.0</v>
      </c>
      <c r="K3487" s="26">
        <v>30.0</v>
      </c>
      <c r="N3487" s="26" t="s">
        <v>715</v>
      </c>
    </row>
    <row r="3488">
      <c r="A3488" s="25">
        <v>43405.202145625</v>
      </c>
      <c r="B3488" s="26" t="s">
        <v>319</v>
      </c>
      <c r="C3488" s="26">
        <v>8.0</v>
      </c>
      <c r="D3488" s="26" t="s">
        <v>31</v>
      </c>
      <c r="E3488" s="26">
        <v>113.0</v>
      </c>
      <c r="F3488" s="26" t="s">
        <v>837</v>
      </c>
      <c r="G3488" s="26">
        <v>6.0</v>
      </c>
      <c r="H3488" s="26">
        <v>3.0</v>
      </c>
      <c r="I3488" s="26">
        <v>113.0</v>
      </c>
      <c r="K3488" s="26">
        <v>1.0</v>
      </c>
      <c r="L3488" s="26" t="s">
        <v>2295</v>
      </c>
      <c r="N3488" s="26" t="s">
        <v>2296</v>
      </c>
    </row>
    <row r="3489">
      <c r="A3489" s="25">
        <v>43405.20374244213</v>
      </c>
      <c r="B3489" s="26" t="s">
        <v>548</v>
      </c>
      <c r="C3489" s="26" t="s">
        <v>1745</v>
      </c>
      <c r="D3489" s="26" t="s">
        <v>31</v>
      </c>
      <c r="E3489" s="26">
        <v>75.0</v>
      </c>
      <c r="F3489" s="26" t="s">
        <v>2297</v>
      </c>
      <c r="G3489" s="26">
        <v>2.0</v>
      </c>
      <c r="H3489" s="26">
        <v>0.5</v>
      </c>
      <c r="I3489" s="26">
        <v>75.0</v>
      </c>
      <c r="N3489" s="26" t="s">
        <v>704</v>
      </c>
    </row>
    <row r="3490">
      <c r="A3490" s="25">
        <v>43405.21478497685</v>
      </c>
      <c r="B3490" s="26" t="s">
        <v>2298</v>
      </c>
      <c r="C3490" s="26" t="s">
        <v>427</v>
      </c>
      <c r="D3490" s="26" t="s">
        <v>2299</v>
      </c>
      <c r="E3490" s="26">
        <v>72.0</v>
      </c>
      <c r="F3490" s="26" t="s">
        <v>2300</v>
      </c>
      <c r="G3490" s="26">
        <v>7.0</v>
      </c>
      <c r="H3490" s="26">
        <v>1.5</v>
      </c>
      <c r="N3490" s="26" t="s">
        <v>757</v>
      </c>
    </row>
    <row r="3491">
      <c r="A3491" s="25">
        <v>43405.21691326389</v>
      </c>
      <c r="B3491" s="26" t="s">
        <v>40</v>
      </c>
      <c r="C3491" s="26">
        <v>63.0</v>
      </c>
      <c r="D3491" s="26" t="s">
        <v>31</v>
      </c>
      <c r="E3491" s="26">
        <v>82.0</v>
      </c>
      <c r="F3491" s="26" t="s">
        <v>2301</v>
      </c>
      <c r="G3491" s="26">
        <v>20.0</v>
      </c>
      <c r="H3491" s="26">
        <v>3.0</v>
      </c>
      <c r="I3491" s="26">
        <v>70.0</v>
      </c>
      <c r="J3491" s="26">
        <v>6.0</v>
      </c>
      <c r="K3491" s="26">
        <v>6.0</v>
      </c>
      <c r="N3491" s="26" t="s">
        <v>728</v>
      </c>
    </row>
    <row r="3492">
      <c r="A3492" s="25">
        <v>43405.22263841435</v>
      </c>
      <c r="B3492" s="26" t="s">
        <v>40</v>
      </c>
      <c r="C3492" s="26">
        <v>65.0</v>
      </c>
      <c r="D3492" s="26" t="s">
        <v>713</v>
      </c>
      <c r="E3492" s="26">
        <v>320.0</v>
      </c>
      <c r="F3492" s="26" t="s">
        <v>2302</v>
      </c>
      <c r="G3492" s="26">
        <v>16.0</v>
      </c>
      <c r="H3492" s="26">
        <v>3.0</v>
      </c>
      <c r="I3492" s="26">
        <v>204.0</v>
      </c>
      <c r="J3492" s="26">
        <v>56.0</v>
      </c>
      <c r="K3492" s="26">
        <v>60.0</v>
      </c>
      <c r="N3492" s="26" t="s">
        <v>1252</v>
      </c>
    </row>
    <row r="3493">
      <c r="A3493" s="25">
        <v>43405.22375201389</v>
      </c>
      <c r="B3493" s="26" t="s">
        <v>2303</v>
      </c>
      <c r="C3493" s="26" t="s">
        <v>166</v>
      </c>
      <c r="D3493" s="26" t="s">
        <v>31</v>
      </c>
      <c r="E3493" s="26">
        <v>400.0</v>
      </c>
      <c r="F3493" s="26" t="s">
        <v>2304</v>
      </c>
      <c r="G3493" s="26">
        <v>8.0</v>
      </c>
      <c r="H3493" s="26">
        <v>2.0</v>
      </c>
      <c r="I3493" s="26">
        <v>200.0</v>
      </c>
      <c r="J3493" s="26">
        <v>200.0</v>
      </c>
      <c r="N3493" s="26" t="s">
        <v>683</v>
      </c>
    </row>
    <row r="3494">
      <c r="A3494" s="25">
        <v>43405.23865653935</v>
      </c>
      <c r="B3494" s="26" t="s">
        <v>426</v>
      </c>
      <c r="C3494" s="26" t="s">
        <v>427</v>
      </c>
      <c r="D3494" s="26" t="s">
        <v>31</v>
      </c>
      <c r="E3494" s="26">
        <v>38.0</v>
      </c>
      <c r="F3494" s="26" t="s">
        <v>1688</v>
      </c>
      <c r="G3494" s="26">
        <v>5.0</v>
      </c>
      <c r="H3494" s="26">
        <v>1.0</v>
      </c>
      <c r="I3494" s="26">
        <v>34000.0</v>
      </c>
      <c r="K3494" s="26">
        <v>4200.0</v>
      </c>
      <c r="L3494" s="26" t="s">
        <v>2305</v>
      </c>
      <c r="N3494" s="26" t="s">
        <v>683</v>
      </c>
    </row>
    <row r="3495">
      <c r="A3495" s="25">
        <v>43405.24483241898</v>
      </c>
      <c r="B3495" s="26" t="s">
        <v>350</v>
      </c>
      <c r="C3495" s="26" t="s">
        <v>1114</v>
      </c>
      <c r="D3495" s="26" t="s">
        <v>31</v>
      </c>
      <c r="E3495" s="26">
        <v>86.0</v>
      </c>
      <c r="F3495" s="26" t="s">
        <v>1855</v>
      </c>
      <c r="G3495" s="26">
        <v>10.0</v>
      </c>
      <c r="H3495" s="26">
        <v>3.5</v>
      </c>
      <c r="I3495" s="26">
        <v>75.0</v>
      </c>
      <c r="J3495" s="26">
        <v>2.0</v>
      </c>
      <c r="K3495" s="26">
        <v>9.0</v>
      </c>
      <c r="N3495" s="26" t="s">
        <v>708</v>
      </c>
    </row>
    <row r="3496">
      <c r="A3496" s="25">
        <v>43405.246802685186</v>
      </c>
      <c r="B3496" s="26" t="s">
        <v>234</v>
      </c>
      <c r="C3496" s="26" t="s">
        <v>218</v>
      </c>
      <c r="D3496" s="26" t="s">
        <v>1422</v>
      </c>
      <c r="E3496" s="26">
        <v>25.0</v>
      </c>
      <c r="F3496" s="26" t="s">
        <v>1688</v>
      </c>
      <c r="G3496" s="26">
        <v>7.0</v>
      </c>
      <c r="H3496" s="26">
        <v>7.0</v>
      </c>
      <c r="I3496" s="26">
        <v>22.0</v>
      </c>
      <c r="J3496" s="26">
        <v>1.0</v>
      </c>
      <c r="K3496" s="26">
        <v>2.0</v>
      </c>
      <c r="N3496" s="26" t="s">
        <v>683</v>
      </c>
    </row>
    <row r="3497">
      <c r="A3497" s="25">
        <v>43405.24687884259</v>
      </c>
      <c r="B3497" s="26" t="s">
        <v>536</v>
      </c>
      <c r="C3497" s="26" t="s">
        <v>2306</v>
      </c>
      <c r="D3497" s="26" t="s">
        <v>31</v>
      </c>
      <c r="E3497" s="26">
        <v>140.0</v>
      </c>
      <c r="F3497" s="26" t="s">
        <v>571</v>
      </c>
      <c r="G3497" s="26">
        <v>9.0</v>
      </c>
      <c r="H3497" s="26">
        <v>4.0</v>
      </c>
      <c r="N3497" s="26" t="s">
        <v>683</v>
      </c>
    </row>
    <row r="3498">
      <c r="A3498" s="25">
        <v>43405.25211976852</v>
      </c>
      <c r="B3498" s="26" t="s">
        <v>80</v>
      </c>
      <c r="C3498" s="26" t="s">
        <v>43</v>
      </c>
      <c r="D3498" s="26" t="s">
        <v>31</v>
      </c>
      <c r="E3498" s="26">
        <v>362.0</v>
      </c>
      <c r="F3498" s="26" t="s">
        <v>178</v>
      </c>
      <c r="G3498" s="26">
        <v>9.0</v>
      </c>
      <c r="H3498" s="26">
        <v>7.0</v>
      </c>
      <c r="I3498" s="26">
        <v>168.0</v>
      </c>
      <c r="J3498" s="26">
        <v>159.0</v>
      </c>
      <c r="K3498" s="26">
        <v>35.0</v>
      </c>
      <c r="N3498" s="26" t="s">
        <v>683</v>
      </c>
    </row>
    <row r="3499">
      <c r="A3499" s="25">
        <v>43405.255174687496</v>
      </c>
      <c r="B3499" s="26" t="s">
        <v>157</v>
      </c>
      <c r="C3499" s="26" t="s">
        <v>1174</v>
      </c>
      <c r="D3499" s="26" t="s">
        <v>31</v>
      </c>
      <c r="E3499" s="26">
        <v>167.0</v>
      </c>
      <c r="F3499" s="26" t="s">
        <v>210</v>
      </c>
      <c r="G3499" s="26">
        <v>6.0</v>
      </c>
      <c r="H3499" s="26">
        <v>0.0</v>
      </c>
      <c r="I3499" s="26">
        <v>155.0</v>
      </c>
      <c r="K3499" s="26">
        <v>12.0</v>
      </c>
      <c r="N3499" s="26" t="s">
        <v>685</v>
      </c>
    </row>
    <row r="3500">
      <c r="A3500" s="25">
        <v>43405.26246376157</v>
      </c>
      <c r="B3500" s="26" t="s">
        <v>119</v>
      </c>
      <c r="C3500" s="26" t="s">
        <v>494</v>
      </c>
      <c r="D3500" s="26" t="s">
        <v>31</v>
      </c>
      <c r="E3500" s="26">
        <v>140.0</v>
      </c>
      <c r="F3500" s="26" t="s">
        <v>1835</v>
      </c>
      <c r="G3500" s="26">
        <v>6.0</v>
      </c>
      <c r="H3500" s="26">
        <v>3.0</v>
      </c>
      <c r="I3500" s="26">
        <v>120.0</v>
      </c>
      <c r="J3500" s="26">
        <v>5.0</v>
      </c>
      <c r="K3500" s="26">
        <v>18.0</v>
      </c>
      <c r="N3500" s="26" t="s">
        <v>696</v>
      </c>
    </row>
    <row r="3501">
      <c r="A3501" s="25">
        <v>43405.27772351852</v>
      </c>
      <c r="B3501" s="26" t="s">
        <v>2190</v>
      </c>
      <c r="C3501" s="26" t="s">
        <v>152</v>
      </c>
      <c r="D3501" s="26" t="s">
        <v>41</v>
      </c>
      <c r="E3501" s="26">
        <v>170.0</v>
      </c>
      <c r="F3501" s="26" t="s">
        <v>725</v>
      </c>
      <c r="G3501" s="26">
        <v>18.0</v>
      </c>
      <c r="H3501" s="26">
        <v>5.0</v>
      </c>
      <c r="I3501" s="26">
        <v>145.0</v>
      </c>
      <c r="K3501" s="26">
        <v>25.0</v>
      </c>
      <c r="N3501" s="26" t="s">
        <v>685</v>
      </c>
    </row>
    <row r="3502">
      <c r="A3502" s="25">
        <v>43405.28370516204</v>
      </c>
      <c r="B3502" s="26" t="s">
        <v>350</v>
      </c>
      <c r="C3502" s="26" t="s">
        <v>351</v>
      </c>
      <c r="D3502" s="26" t="s">
        <v>31</v>
      </c>
      <c r="E3502" s="26">
        <v>110.0</v>
      </c>
      <c r="F3502" s="26" t="s">
        <v>1074</v>
      </c>
      <c r="G3502" s="26">
        <v>2.0</v>
      </c>
      <c r="H3502" s="26">
        <v>2.0</v>
      </c>
      <c r="N3502" s="26" t="s">
        <v>857</v>
      </c>
    </row>
    <row r="3503">
      <c r="A3503" s="25">
        <v>43405.29185548611</v>
      </c>
      <c r="B3503" s="26" t="s">
        <v>33</v>
      </c>
      <c r="C3503" s="26" t="s">
        <v>76</v>
      </c>
      <c r="D3503" s="26" t="s">
        <v>31</v>
      </c>
      <c r="E3503" s="26">
        <v>480.0</v>
      </c>
      <c r="F3503" s="26" t="s">
        <v>94</v>
      </c>
      <c r="G3503" s="26">
        <v>6.0</v>
      </c>
      <c r="H3503" s="26">
        <v>1.0</v>
      </c>
      <c r="I3503" s="26">
        <v>150.0</v>
      </c>
      <c r="J3503" s="26">
        <v>300.0</v>
      </c>
      <c r="K3503" s="26">
        <v>30.0</v>
      </c>
      <c r="N3503" s="26" t="s">
        <v>691</v>
      </c>
    </row>
    <row r="3504">
      <c r="A3504" s="25">
        <v>43405.29721912037</v>
      </c>
      <c r="B3504" s="26" t="s">
        <v>268</v>
      </c>
      <c r="C3504" s="26" t="s">
        <v>606</v>
      </c>
      <c r="D3504" s="26" t="s">
        <v>31</v>
      </c>
      <c r="E3504" s="26">
        <v>102.0</v>
      </c>
      <c r="F3504" s="26" t="s">
        <v>2307</v>
      </c>
      <c r="G3504" s="26">
        <v>17.0</v>
      </c>
      <c r="H3504" s="26">
        <v>2.0</v>
      </c>
      <c r="I3504" s="26">
        <v>91.0</v>
      </c>
      <c r="K3504" s="26">
        <v>11.0</v>
      </c>
      <c r="N3504" s="26" t="s">
        <v>704</v>
      </c>
    </row>
    <row r="3505">
      <c r="A3505" s="25">
        <v>43405.302190625</v>
      </c>
      <c r="B3505" s="26" t="s">
        <v>45</v>
      </c>
      <c r="C3505" s="26" t="s">
        <v>102</v>
      </c>
      <c r="D3505" s="26" t="s">
        <v>31</v>
      </c>
      <c r="E3505" s="26">
        <v>260.0</v>
      </c>
      <c r="F3505" s="26" t="s">
        <v>32</v>
      </c>
      <c r="G3505" s="26">
        <v>4.0</v>
      </c>
      <c r="H3505" s="26">
        <v>1.0</v>
      </c>
      <c r="I3505" s="26">
        <v>155.0</v>
      </c>
      <c r="J3505" s="26">
        <v>85.0</v>
      </c>
      <c r="K3505" s="26">
        <v>20.0</v>
      </c>
      <c r="N3505" s="26" t="s">
        <v>685</v>
      </c>
    </row>
    <row r="3506">
      <c r="A3506" s="25">
        <v>43405.30733689815</v>
      </c>
      <c r="B3506" s="26" t="s">
        <v>33</v>
      </c>
      <c r="C3506" s="26" t="s">
        <v>999</v>
      </c>
      <c r="D3506" s="26" t="s">
        <v>31</v>
      </c>
      <c r="E3506" s="26">
        <v>430.0</v>
      </c>
      <c r="F3506" s="26" t="s">
        <v>35</v>
      </c>
      <c r="G3506" s="26">
        <v>12.0</v>
      </c>
      <c r="H3506" s="26">
        <v>4.0</v>
      </c>
      <c r="I3506" s="26">
        <v>160.0</v>
      </c>
      <c r="J3506" s="26">
        <v>270.0</v>
      </c>
      <c r="N3506" s="26" t="s">
        <v>683</v>
      </c>
    </row>
    <row r="3507">
      <c r="A3507" s="25">
        <v>43405.33383643518</v>
      </c>
      <c r="B3507" s="26" t="s">
        <v>80</v>
      </c>
      <c r="C3507" s="26" t="s">
        <v>26</v>
      </c>
      <c r="D3507" s="26" t="s">
        <v>31</v>
      </c>
      <c r="E3507" s="26">
        <v>205.0</v>
      </c>
      <c r="F3507" s="26" t="s">
        <v>247</v>
      </c>
      <c r="G3507" s="26">
        <v>2.0</v>
      </c>
      <c r="H3507" s="26">
        <v>0.5</v>
      </c>
      <c r="I3507" s="26">
        <v>135000.0</v>
      </c>
      <c r="K3507" s="26">
        <v>20000.0</v>
      </c>
      <c r="N3507" s="26" t="s">
        <v>704</v>
      </c>
    </row>
    <row r="3508">
      <c r="A3508" s="25">
        <v>43405.34941865741</v>
      </c>
      <c r="B3508" s="26" t="s">
        <v>25</v>
      </c>
      <c r="C3508" s="26" t="s">
        <v>1098</v>
      </c>
      <c r="D3508" s="26" t="s">
        <v>27</v>
      </c>
      <c r="E3508" s="26">
        <v>240.0</v>
      </c>
      <c r="F3508" s="26" t="s">
        <v>2308</v>
      </c>
      <c r="G3508" s="26">
        <v>15.0</v>
      </c>
      <c r="H3508" s="26">
        <v>3.0</v>
      </c>
      <c r="N3508" s="26" t="s">
        <v>2309</v>
      </c>
    </row>
    <row r="3509">
      <c r="A3509" s="25">
        <v>43405.3615424537</v>
      </c>
      <c r="B3509" s="26" t="s">
        <v>40</v>
      </c>
      <c r="C3509" s="26">
        <v>67.0</v>
      </c>
      <c r="D3509" s="26" t="s">
        <v>41</v>
      </c>
      <c r="E3509" s="26">
        <v>733.0</v>
      </c>
      <c r="F3509" s="26" t="s">
        <v>32</v>
      </c>
      <c r="G3509" s="26">
        <v>23.0</v>
      </c>
      <c r="H3509" s="26">
        <v>18.0</v>
      </c>
      <c r="I3509" s="26">
        <v>261.0</v>
      </c>
      <c r="J3509" s="26">
        <v>336.0</v>
      </c>
      <c r="K3509" s="26">
        <v>136.0</v>
      </c>
      <c r="N3509" s="26" t="s">
        <v>685</v>
      </c>
    </row>
    <row r="3510">
      <c r="A3510" s="25">
        <v>43405.36324630787</v>
      </c>
      <c r="B3510" s="26" t="s">
        <v>1135</v>
      </c>
      <c r="C3510" s="26" t="s">
        <v>2310</v>
      </c>
      <c r="D3510" s="26" t="s">
        <v>31</v>
      </c>
      <c r="E3510" s="26">
        <v>28.0</v>
      </c>
      <c r="F3510" s="26" t="s">
        <v>2217</v>
      </c>
      <c r="G3510" s="26">
        <v>7.0</v>
      </c>
      <c r="H3510" s="26">
        <v>2.0</v>
      </c>
      <c r="N3510" s="26" t="s">
        <v>685</v>
      </c>
    </row>
    <row r="3511">
      <c r="A3511" s="25">
        <v>43405.38180004629</v>
      </c>
      <c r="B3511" s="26" t="s">
        <v>80</v>
      </c>
      <c r="C3511" s="26" t="s">
        <v>43</v>
      </c>
      <c r="D3511" s="26" t="s">
        <v>31</v>
      </c>
      <c r="E3511" s="26">
        <v>298.0</v>
      </c>
      <c r="F3511" s="26" t="s">
        <v>32</v>
      </c>
      <c r="G3511" s="26">
        <v>6.0</v>
      </c>
      <c r="H3511" s="26">
        <v>4.5</v>
      </c>
      <c r="I3511" s="26">
        <v>170.0</v>
      </c>
      <c r="J3511" s="26">
        <v>90.0</v>
      </c>
      <c r="K3511" s="26">
        <v>38.0</v>
      </c>
      <c r="N3511" s="26" t="s">
        <v>683</v>
      </c>
    </row>
    <row r="3512">
      <c r="A3512" s="25">
        <v>43405.39342958333</v>
      </c>
      <c r="B3512" s="26" t="s">
        <v>40</v>
      </c>
      <c r="C3512" s="26" t="s">
        <v>76</v>
      </c>
      <c r="D3512" s="26" t="s">
        <v>31</v>
      </c>
      <c r="E3512" s="26">
        <v>240.0</v>
      </c>
      <c r="F3512" s="26" t="s">
        <v>75</v>
      </c>
      <c r="G3512" s="26">
        <v>14.0</v>
      </c>
      <c r="H3512" s="26">
        <v>5.0</v>
      </c>
      <c r="I3512" s="26">
        <v>145.0</v>
      </c>
      <c r="J3512" s="26">
        <v>74.0</v>
      </c>
      <c r="K3512" s="26">
        <v>21.0</v>
      </c>
      <c r="N3512" s="26" t="s">
        <v>757</v>
      </c>
    </row>
    <row r="3513">
      <c r="A3513" s="25">
        <v>43405.39688865741</v>
      </c>
      <c r="B3513" s="26" t="s">
        <v>40</v>
      </c>
      <c r="C3513" s="26" t="s">
        <v>76</v>
      </c>
      <c r="D3513" s="26" t="s">
        <v>31</v>
      </c>
      <c r="E3513" s="26">
        <v>240.0</v>
      </c>
      <c r="F3513" s="26" t="s">
        <v>75</v>
      </c>
      <c r="G3513" s="26">
        <v>14.0</v>
      </c>
      <c r="H3513" s="26">
        <v>5.0</v>
      </c>
      <c r="I3513" s="26">
        <v>145.0</v>
      </c>
      <c r="J3513" s="26">
        <v>74.0</v>
      </c>
      <c r="K3513" s="26">
        <v>21.0</v>
      </c>
      <c r="N3513" s="26" t="s">
        <v>757</v>
      </c>
    </row>
    <row r="3514">
      <c r="A3514" s="25">
        <v>43405.4012075</v>
      </c>
      <c r="B3514" s="26" t="s">
        <v>170</v>
      </c>
      <c r="C3514" s="26">
        <v>7.0</v>
      </c>
      <c r="D3514" s="26" t="s">
        <v>41</v>
      </c>
      <c r="E3514" s="26">
        <v>165.0</v>
      </c>
      <c r="F3514" s="26" t="s">
        <v>232</v>
      </c>
      <c r="G3514" s="26">
        <v>7.0</v>
      </c>
      <c r="H3514" s="26">
        <v>5.0</v>
      </c>
      <c r="I3514" s="26">
        <v>125.0</v>
      </c>
      <c r="J3514" s="26">
        <v>20.0</v>
      </c>
      <c r="K3514" s="26">
        <v>20.0</v>
      </c>
      <c r="N3514" s="26" t="s">
        <v>1243</v>
      </c>
    </row>
    <row r="3515">
      <c r="A3515" s="25">
        <v>43405.405588877315</v>
      </c>
      <c r="B3515" s="26" t="s">
        <v>270</v>
      </c>
      <c r="C3515" s="26" t="s">
        <v>1092</v>
      </c>
      <c r="D3515" s="26" t="s">
        <v>41</v>
      </c>
      <c r="E3515" s="26">
        <v>700.0</v>
      </c>
      <c r="F3515" s="26" t="s">
        <v>35</v>
      </c>
      <c r="G3515" s="26">
        <v>10.0</v>
      </c>
      <c r="H3515" s="26">
        <v>7.0</v>
      </c>
      <c r="I3515" s="26">
        <v>230.0</v>
      </c>
      <c r="J3515" s="26">
        <v>400.0</v>
      </c>
      <c r="K3515" s="26">
        <v>70.0</v>
      </c>
      <c r="N3515" s="26" t="s">
        <v>685</v>
      </c>
    </row>
    <row r="3516">
      <c r="A3516" s="25">
        <v>43405.41943879629</v>
      </c>
      <c r="B3516" s="26" t="s">
        <v>33</v>
      </c>
      <c r="C3516" s="26" t="s">
        <v>76</v>
      </c>
      <c r="D3516" s="26" t="s">
        <v>31</v>
      </c>
      <c r="E3516" s="26">
        <v>240.0</v>
      </c>
      <c r="F3516" s="26" t="s">
        <v>63</v>
      </c>
      <c r="G3516" s="26">
        <v>10.0</v>
      </c>
      <c r="H3516" s="26">
        <v>5.0</v>
      </c>
      <c r="I3516" s="26">
        <v>131.0</v>
      </c>
      <c r="J3516" s="26">
        <v>110.0</v>
      </c>
      <c r="N3516" s="26" t="s">
        <v>704</v>
      </c>
    </row>
    <row r="3517">
      <c r="A3517" s="25">
        <v>43405.42182393519</v>
      </c>
      <c r="B3517" s="26" t="s">
        <v>25</v>
      </c>
      <c r="C3517" s="26" t="s">
        <v>2311</v>
      </c>
      <c r="D3517" s="26" t="s">
        <v>31</v>
      </c>
      <c r="E3517" s="26">
        <v>500.0</v>
      </c>
      <c r="F3517" s="26" t="s">
        <v>35</v>
      </c>
      <c r="G3517" s="26">
        <v>15.0</v>
      </c>
      <c r="H3517" s="26">
        <v>3.0</v>
      </c>
      <c r="I3517" s="26">
        <v>230.0</v>
      </c>
      <c r="J3517" s="26">
        <v>270.0</v>
      </c>
      <c r="N3517" s="26" t="s">
        <v>685</v>
      </c>
    </row>
    <row r="3518">
      <c r="A3518" s="25">
        <v>43405.42231260416</v>
      </c>
      <c r="B3518" s="26" t="s">
        <v>25</v>
      </c>
      <c r="C3518" s="26" t="s">
        <v>1098</v>
      </c>
      <c r="D3518" s="26" t="s">
        <v>31</v>
      </c>
      <c r="E3518" s="26">
        <v>425.0</v>
      </c>
      <c r="F3518" s="26" t="s">
        <v>1275</v>
      </c>
      <c r="G3518" s="26">
        <v>15.0</v>
      </c>
      <c r="H3518" s="26">
        <v>3.0</v>
      </c>
      <c r="N3518" s="26" t="s">
        <v>685</v>
      </c>
    </row>
    <row r="3519">
      <c r="A3519" s="25">
        <v>43405.42506877315</v>
      </c>
      <c r="B3519" s="26" t="s">
        <v>40</v>
      </c>
      <c r="C3519" s="26">
        <v>59.0</v>
      </c>
      <c r="D3519" s="26" t="s">
        <v>31</v>
      </c>
      <c r="E3519" s="26">
        <v>150.0</v>
      </c>
      <c r="F3519" s="26" t="s">
        <v>75</v>
      </c>
      <c r="G3519" s="26">
        <v>0.0</v>
      </c>
      <c r="H3519" s="26">
        <v>0.0</v>
      </c>
      <c r="I3519" s="26">
        <v>109.0</v>
      </c>
      <c r="J3519" s="26">
        <v>30.0</v>
      </c>
      <c r="K3519" s="26">
        <v>10.0</v>
      </c>
      <c r="N3519" s="26" t="s">
        <v>757</v>
      </c>
    </row>
    <row r="3520">
      <c r="A3520" s="25">
        <v>43405.42531601852</v>
      </c>
      <c r="B3520" s="26" t="s">
        <v>25</v>
      </c>
      <c r="C3520" s="26" t="s">
        <v>1098</v>
      </c>
      <c r="D3520" s="26" t="s">
        <v>31</v>
      </c>
      <c r="E3520" s="26">
        <v>410.0</v>
      </c>
      <c r="F3520" s="26" t="s">
        <v>1275</v>
      </c>
      <c r="G3520" s="26">
        <v>12.0</v>
      </c>
      <c r="H3520" s="26">
        <v>2.0</v>
      </c>
      <c r="N3520" s="26" t="s">
        <v>685</v>
      </c>
    </row>
    <row r="3521">
      <c r="A3521" s="25">
        <v>43405.42767615741</v>
      </c>
      <c r="B3521" s="26" t="s">
        <v>268</v>
      </c>
      <c r="C3521" s="26" t="s">
        <v>606</v>
      </c>
      <c r="D3521" s="26" t="s">
        <v>31</v>
      </c>
      <c r="E3521" s="26">
        <v>125.0</v>
      </c>
      <c r="F3521" s="26" t="s">
        <v>1507</v>
      </c>
      <c r="G3521" s="26">
        <v>12.0</v>
      </c>
      <c r="H3521" s="26">
        <v>12.0</v>
      </c>
      <c r="N3521" s="26" t="s">
        <v>715</v>
      </c>
    </row>
    <row r="3522">
      <c r="A3522" s="25">
        <v>43405.432438379634</v>
      </c>
      <c r="B3522" s="26" t="s">
        <v>350</v>
      </c>
      <c r="C3522" s="26" t="s">
        <v>427</v>
      </c>
      <c r="D3522" s="26" t="s">
        <v>31</v>
      </c>
      <c r="E3522" s="26">
        <v>102.0</v>
      </c>
      <c r="F3522" s="26" t="s">
        <v>1120</v>
      </c>
      <c r="G3522" s="26">
        <v>0.0</v>
      </c>
      <c r="H3522" s="26">
        <v>0.0</v>
      </c>
      <c r="I3522" s="26">
        <v>90.0</v>
      </c>
      <c r="N3522" s="26" t="s">
        <v>683</v>
      </c>
    </row>
    <row r="3523">
      <c r="A3523" s="25">
        <v>43405.44834135417</v>
      </c>
      <c r="B3523" s="26" t="s">
        <v>25</v>
      </c>
      <c r="C3523" s="26" t="s">
        <v>1092</v>
      </c>
      <c r="D3523" s="26" t="s">
        <v>2312</v>
      </c>
      <c r="E3523" s="26">
        <v>800.0</v>
      </c>
      <c r="F3523" s="26" t="s">
        <v>32</v>
      </c>
      <c r="G3523" s="26">
        <v>20.0</v>
      </c>
      <c r="H3523" s="26">
        <v>2.0</v>
      </c>
      <c r="I3523" s="26">
        <v>280.0</v>
      </c>
      <c r="J3523" s="26">
        <v>500.0</v>
      </c>
      <c r="K3523" s="26">
        <v>20.0</v>
      </c>
      <c r="N3523" s="26" t="s">
        <v>685</v>
      </c>
    </row>
    <row r="3524">
      <c r="A3524" s="25">
        <v>43405.45807204861</v>
      </c>
      <c r="B3524" s="26" t="s">
        <v>2313</v>
      </c>
      <c r="C3524" s="26" t="s">
        <v>427</v>
      </c>
      <c r="D3524" s="26" t="s">
        <v>31</v>
      </c>
      <c r="E3524" s="26">
        <v>55.0</v>
      </c>
      <c r="F3524" s="26" t="s">
        <v>860</v>
      </c>
      <c r="G3524" s="26">
        <v>5.0</v>
      </c>
      <c r="H3524" s="26">
        <v>2.0</v>
      </c>
      <c r="N3524" s="26" t="s">
        <v>751</v>
      </c>
    </row>
    <row r="3525">
      <c r="A3525" s="25">
        <v>43405.45847658565</v>
      </c>
      <c r="B3525" s="26" t="s">
        <v>64</v>
      </c>
      <c r="C3525" s="26" t="s">
        <v>1174</v>
      </c>
      <c r="D3525" s="26" t="s">
        <v>2314</v>
      </c>
      <c r="E3525" s="26">
        <v>932.0</v>
      </c>
      <c r="F3525" s="26" t="s">
        <v>1835</v>
      </c>
      <c r="G3525" s="26">
        <v>21.0</v>
      </c>
      <c r="H3525" s="26">
        <v>10.0</v>
      </c>
      <c r="I3525" s="26">
        <v>288.0</v>
      </c>
      <c r="J3525" s="26">
        <v>500.0</v>
      </c>
      <c r="K3525" s="26">
        <v>144.0</v>
      </c>
      <c r="N3525" s="26" t="s">
        <v>687</v>
      </c>
    </row>
    <row r="3526">
      <c r="A3526" s="25">
        <v>43405.462384074075</v>
      </c>
      <c r="B3526" s="26" t="s">
        <v>319</v>
      </c>
      <c r="C3526" s="26" t="s">
        <v>372</v>
      </c>
      <c r="D3526" s="26" t="s">
        <v>31</v>
      </c>
      <c r="E3526" s="26">
        <v>103.0</v>
      </c>
      <c r="F3526" s="26" t="s">
        <v>2315</v>
      </c>
      <c r="G3526" s="26">
        <v>5.0</v>
      </c>
      <c r="H3526" s="26">
        <v>5.0</v>
      </c>
      <c r="I3526" s="26">
        <v>101.0</v>
      </c>
      <c r="K3526" s="26">
        <v>2.0</v>
      </c>
      <c r="N3526" s="26" t="s">
        <v>683</v>
      </c>
    </row>
    <row r="3527">
      <c r="A3527" s="25">
        <v>43405.463767361114</v>
      </c>
      <c r="B3527" s="26" t="s">
        <v>33</v>
      </c>
      <c r="C3527" s="26" t="s">
        <v>43</v>
      </c>
      <c r="D3527" s="26" t="s">
        <v>31</v>
      </c>
      <c r="E3527" s="26">
        <v>280.0</v>
      </c>
      <c r="F3527" s="26" t="s">
        <v>58</v>
      </c>
      <c r="G3527" s="26">
        <v>2.0</v>
      </c>
      <c r="H3527" s="26">
        <v>2.0</v>
      </c>
      <c r="I3527" s="26">
        <v>142.0</v>
      </c>
      <c r="J3527" s="26">
        <v>118.0</v>
      </c>
      <c r="K3527" s="26">
        <v>20.0</v>
      </c>
      <c r="N3527" s="26" t="s">
        <v>704</v>
      </c>
    </row>
    <row r="3528">
      <c r="A3528" s="25">
        <v>43405.46657671296</v>
      </c>
      <c r="B3528" s="26" t="s">
        <v>105</v>
      </c>
      <c r="C3528" s="26" t="s">
        <v>76</v>
      </c>
      <c r="D3528" s="26" t="s">
        <v>31</v>
      </c>
      <c r="E3528" s="26">
        <v>125.0</v>
      </c>
      <c r="F3528" s="26" t="s">
        <v>86</v>
      </c>
      <c r="G3528" s="26">
        <v>5.0</v>
      </c>
      <c r="H3528" s="26">
        <v>3.0</v>
      </c>
      <c r="I3528" s="26">
        <v>115.0</v>
      </c>
      <c r="K3528" s="26">
        <v>10.0</v>
      </c>
      <c r="N3528" s="26" t="s">
        <v>704</v>
      </c>
    </row>
    <row r="3529">
      <c r="A3529" s="25">
        <v>43405.470523298616</v>
      </c>
      <c r="B3529" s="26" t="s">
        <v>154</v>
      </c>
      <c r="C3529" s="26" t="s">
        <v>676</v>
      </c>
      <c r="D3529" s="26" t="s">
        <v>31</v>
      </c>
      <c r="E3529" s="26">
        <v>450.0</v>
      </c>
      <c r="F3529" s="26" t="s">
        <v>32</v>
      </c>
      <c r="G3529" s="26">
        <v>13.0</v>
      </c>
      <c r="H3529" s="26">
        <v>1.0</v>
      </c>
      <c r="I3529" s="26">
        <v>248.0</v>
      </c>
      <c r="J3529" s="26">
        <v>130.0</v>
      </c>
      <c r="K3529" s="26">
        <v>71.0</v>
      </c>
      <c r="N3529" s="26" t="s">
        <v>685</v>
      </c>
    </row>
    <row r="3530">
      <c r="A3530" s="25">
        <v>43405.47197302083</v>
      </c>
      <c r="B3530" s="26" t="s">
        <v>1489</v>
      </c>
      <c r="C3530" s="26" t="s">
        <v>1348</v>
      </c>
      <c r="D3530" s="26" t="s">
        <v>31</v>
      </c>
      <c r="E3530" s="26">
        <v>200.0</v>
      </c>
      <c r="F3530" s="26" t="s">
        <v>94</v>
      </c>
      <c r="G3530" s="26">
        <v>20.0</v>
      </c>
      <c r="H3530" s="26">
        <v>3.0</v>
      </c>
      <c r="I3530" s="26">
        <v>175000.0</v>
      </c>
      <c r="K3530" s="26">
        <v>25000.0</v>
      </c>
      <c r="N3530" s="26" t="s">
        <v>685</v>
      </c>
    </row>
    <row r="3531">
      <c r="A3531" s="25">
        <v>43405.483070138886</v>
      </c>
      <c r="B3531" s="26" t="s">
        <v>80</v>
      </c>
      <c r="C3531" s="26" t="s">
        <v>26</v>
      </c>
      <c r="D3531" s="26" t="s">
        <v>31</v>
      </c>
      <c r="E3531" s="26">
        <v>203.0</v>
      </c>
      <c r="F3531" s="26" t="s">
        <v>51</v>
      </c>
      <c r="G3531" s="26">
        <v>4.0</v>
      </c>
      <c r="H3531" s="26">
        <v>4.0</v>
      </c>
      <c r="I3531" s="26">
        <v>122.0</v>
      </c>
      <c r="J3531" s="26">
        <v>60.0</v>
      </c>
      <c r="K3531" s="26">
        <v>21.0</v>
      </c>
      <c r="N3531" s="26" t="s">
        <v>751</v>
      </c>
    </row>
    <row r="3532">
      <c r="A3532" s="25">
        <v>43405.48344752315</v>
      </c>
      <c r="B3532" s="26" t="s">
        <v>350</v>
      </c>
      <c r="C3532" s="26" t="s">
        <v>1119</v>
      </c>
      <c r="D3532" s="26" t="s">
        <v>31</v>
      </c>
      <c r="E3532" s="26">
        <v>103.0</v>
      </c>
      <c r="F3532" s="26" t="s">
        <v>2316</v>
      </c>
      <c r="G3532" s="26">
        <v>1.0</v>
      </c>
      <c r="H3532" s="26">
        <v>1.0</v>
      </c>
      <c r="I3532" s="26">
        <v>100.0</v>
      </c>
      <c r="K3532" s="26">
        <v>3.0</v>
      </c>
      <c r="N3532" s="26" t="s">
        <v>704</v>
      </c>
    </row>
    <row r="3533">
      <c r="A3533" s="25">
        <v>43405.48532211805</v>
      </c>
      <c r="B3533" s="26" t="s">
        <v>48</v>
      </c>
      <c r="C3533" s="26" t="s">
        <v>69</v>
      </c>
      <c r="D3533" s="26" t="s">
        <v>31</v>
      </c>
      <c r="E3533" s="26">
        <v>167.0</v>
      </c>
      <c r="F3533" s="26" t="s">
        <v>35</v>
      </c>
      <c r="G3533" s="26">
        <v>0.0</v>
      </c>
      <c r="H3533" s="26">
        <v>0.0</v>
      </c>
      <c r="I3533" s="26">
        <v>110.0</v>
      </c>
      <c r="J3533" s="26">
        <v>40.0</v>
      </c>
      <c r="K3533" s="26">
        <v>17.0</v>
      </c>
      <c r="N3533" s="26" t="s">
        <v>751</v>
      </c>
    </row>
    <row r="3534">
      <c r="A3534" s="25">
        <v>43405.49174384259</v>
      </c>
      <c r="B3534" s="26" t="s">
        <v>2317</v>
      </c>
      <c r="C3534" s="26" t="s">
        <v>806</v>
      </c>
      <c r="D3534" s="26" t="s">
        <v>41</v>
      </c>
      <c r="E3534" s="26">
        <v>92.0</v>
      </c>
      <c r="F3534" s="26" t="s">
        <v>681</v>
      </c>
      <c r="G3534" s="26">
        <v>11.0</v>
      </c>
      <c r="H3534" s="26">
        <v>8.0</v>
      </c>
      <c r="I3534" s="26">
        <v>83.0</v>
      </c>
      <c r="K3534" s="26">
        <v>9.0</v>
      </c>
      <c r="L3534" s="26" t="s">
        <v>2318</v>
      </c>
      <c r="N3534" s="26" t="s">
        <v>685</v>
      </c>
    </row>
    <row r="3535">
      <c r="A3535" s="25">
        <v>43405.49379298611</v>
      </c>
      <c r="B3535" s="26" t="s">
        <v>157</v>
      </c>
      <c r="C3535" s="26" t="s">
        <v>1175</v>
      </c>
      <c r="D3535" s="26" t="s">
        <v>31</v>
      </c>
      <c r="E3535" s="26">
        <v>203.0</v>
      </c>
      <c r="F3535" s="26" t="s">
        <v>453</v>
      </c>
      <c r="G3535" s="26">
        <v>12.0</v>
      </c>
      <c r="H3535" s="26">
        <v>4.0</v>
      </c>
      <c r="I3535" s="26">
        <v>177.0</v>
      </c>
      <c r="K3535" s="26">
        <v>26.0</v>
      </c>
      <c r="N3535" s="26" t="s">
        <v>715</v>
      </c>
    </row>
    <row r="3536">
      <c r="A3536" s="25">
        <v>43405.49693166667</v>
      </c>
      <c r="B3536" s="26" t="s">
        <v>170</v>
      </c>
      <c r="C3536" s="26" t="s">
        <v>37</v>
      </c>
      <c r="D3536" s="26" t="s">
        <v>31</v>
      </c>
      <c r="E3536" s="26">
        <v>145.0</v>
      </c>
      <c r="F3536" s="26" t="s">
        <v>478</v>
      </c>
      <c r="G3536" s="26">
        <v>9.0</v>
      </c>
      <c r="H3536" s="26">
        <v>6.0</v>
      </c>
      <c r="I3536" s="26">
        <v>120.0</v>
      </c>
      <c r="J3536" s="26">
        <v>10.0</v>
      </c>
      <c r="K3536" s="26">
        <v>20.0</v>
      </c>
      <c r="N3536" s="26" t="s">
        <v>817</v>
      </c>
    </row>
    <row r="3537">
      <c r="A3537" s="25">
        <v>43405.50028681713</v>
      </c>
      <c r="B3537" s="26" t="s">
        <v>2319</v>
      </c>
      <c r="C3537" s="26" t="s">
        <v>43</v>
      </c>
      <c r="D3537" s="26" t="s">
        <v>31</v>
      </c>
      <c r="E3537" s="26">
        <v>150.0</v>
      </c>
      <c r="F3537" s="26" t="s">
        <v>2320</v>
      </c>
      <c r="G3537" s="26">
        <v>10.0</v>
      </c>
      <c r="H3537" s="26">
        <v>5.0</v>
      </c>
      <c r="N3537" s="26" t="s">
        <v>704</v>
      </c>
    </row>
    <row r="3538">
      <c r="A3538" s="25">
        <v>43405.51754055556</v>
      </c>
      <c r="B3538" s="26" t="s">
        <v>45</v>
      </c>
      <c r="C3538" s="26" t="s">
        <v>102</v>
      </c>
      <c r="D3538" s="26" t="s">
        <v>31</v>
      </c>
      <c r="E3538" s="26">
        <v>190.0</v>
      </c>
      <c r="F3538" s="26" t="s">
        <v>104</v>
      </c>
      <c r="G3538" s="26">
        <v>3.0</v>
      </c>
      <c r="H3538" s="26">
        <v>2.0</v>
      </c>
      <c r="I3538" s="26">
        <v>140.0</v>
      </c>
      <c r="J3538" s="26">
        <v>40.0</v>
      </c>
      <c r="K3538" s="26">
        <v>10.0</v>
      </c>
      <c r="N3538" s="26" t="s">
        <v>699</v>
      </c>
    </row>
    <row r="3539">
      <c r="A3539" s="25">
        <v>43405.54584224537</v>
      </c>
      <c r="B3539" s="26" t="s">
        <v>2262</v>
      </c>
      <c r="C3539" s="26" t="s">
        <v>125</v>
      </c>
      <c r="D3539" s="26" t="s">
        <v>31</v>
      </c>
      <c r="E3539" s="26">
        <v>160.0</v>
      </c>
      <c r="F3539" s="26" t="s">
        <v>2321</v>
      </c>
      <c r="G3539" s="26">
        <v>12.0</v>
      </c>
      <c r="H3539" s="26">
        <v>5.0</v>
      </c>
      <c r="I3539" s="26">
        <v>110.0</v>
      </c>
      <c r="K3539" s="26">
        <v>50.0</v>
      </c>
      <c r="N3539" s="26" t="s">
        <v>685</v>
      </c>
    </row>
    <row r="3540">
      <c r="A3540" s="25">
        <v>43405.54651226852</v>
      </c>
      <c r="B3540" s="26" t="s">
        <v>40</v>
      </c>
      <c r="C3540" s="26">
        <v>59.0</v>
      </c>
      <c r="D3540" s="26" t="s">
        <v>31</v>
      </c>
      <c r="E3540" s="26">
        <v>164.0</v>
      </c>
      <c r="F3540" s="26" t="s">
        <v>75</v>
      </c>
      <c r="G3540" s="26">
        <v>3.0</v>
      </c>
      <c r="H3540" s="26">
        <v>0.0</v>
      </c>
      <c r="N3540" s="26" t="s">
        <v>683</v>
      </c>
    </row>
    <row r="3541">
      <c r="A3541" s="25">
        <v>43405.56802849537</v>
      </c>
      <c r="B3541" s="26" t="s">
        <v>80</v>
      </c>
      <c r="C3541" s="26" t="s">
        <v>73</v>
      </c>
      <c r="D3541" s="26" t="s">
        <v>31</v>
      </c>
      <c r="E3541" s="26">
        <v>332.0</v>
      </c>
      <c r="F3541" s="26" t="s">
        <v>745</v>
      </c>
      <c r="G3541" s="26">
        <v>10.0</v>
      </c>
      <c r="H3541" s="26">
        <v>4.0</v>
      </c>
      <c r="I3541" s="26">
        <v>144.0</v>
      </c>
      <c r="J3541" s="26">
        <v>159.0</v>
      </c>
      <c r="K3541" s="26">
        <v>29.0</v>
      </c>
      <c r="N3541" s="26" t="s">
        <v>757</v>
      </c>
    </row>
    <row r="3542">
      <c r="A3542" s="25">
        <v>43405.577264618056</v>
      </c>
      <c r="B3542" s="26" t="s">
        <v>80</v>
      </c>
      <c r="C3542" s="26" t="s">
        <v>26</v>
      </c>
      <c r="D3542" s="26" t="s">
        <v>31</v>
      </c>
      <c r="E3542" s="26">
        <v>240.0</v>
      </c>
      <c r="F3542" s="26" t="s">
        <v>199</v>
      </c>
      <c r="G3542" s="26">
        <v>1.0</v>
      </c>
      <c r="H3542" s="26">
        <v>0.0</v>
      </c>
      <c r="I3542" s="26">
        <v>139.0</v>
      </c>
      <c r="J3542" s="26">
        <v>85.0</v>
      </c>
      <c r="K3542" s="26">
        <v>16.0</v>
      </c>
      <c r="N3542" s="26" t="s">
        <v>1815</v>
      </c>
    </row>
    <row r="3543">
      <c r="A3543" s="25">
        <v>43405.589055000004</v>
      </c>
      <c r="B3543" s="26" t="s">
        <v>80</v>
      </c>
      <c r="C3543" s="26" t="s">
        <v>1879</v>
      </c>
      <c r="D3543" s="26" t="s">
        <v>2322</v>
      </c>
      <c r="E3543" s="26">
        <v>174.0</v>
      </c>
      <c r="F3543" s="26" t="s">
        <v>51</v>
      </c>
      <c r="G3543" s="26">
        <v>10.0</v>
      </c>
      <c r="H3543" s="26">
        <v>3.0</v>
      </c>
      <c r="I3543" s="26">
        <v>123.0</v>
      </c>
      <c r="J3543" s="26">
        <v>31.0</v>
      </c>
      <c r="K3543" s="26">
        <v>20.0</v>
      </c>
      <c r="N3543" s="26" t="s">
        <v>685</v>
      </c>
    </row>
    <row r="3544">
      <c r="A3544" s="25">
        <v>43405.604374745366</v>
      </c>
      <c r="B3544" s="26" t="s">
        <v>268</v>
      </c>
      <c r="C3544" s="26" t="s">
        <v>366</v>
      </c>
      <c r="D3544" s="26" t="s">
        <v>1066</v>
      </c>
      <c r="E3544" s="26">
        <v>205.0</v>
      </c>
      <c r="F3544" s="26" t="s">
        <v>238</v>
      </c>
      <c r="G3544" s="26">
        <v>10.0</v>
      </c>
      <c r="H3544" s="26">
        <v>6.0</v>
      </c>
      <c r="I3544" s="26">
        <v>135.0</v>
      </c>
      <c r="J3544" s="26">
        <v>40.0</v>
      </c>
      <c r="K3544" s="26">
        <v>30.0</v>
      </c>
      <c r="N3544" s="26" t="s">
        <v>2323</v>
      </c>
    </row>
    <row r="3545">
      <c r="A3545" s="25">
        <v>43405.617439803245</v>
      </c>
      <c r="B3545" s="26" t="s">
        <v>2324</v>
      </c>
      <c r="C3545" s="26" t="s">
        <v>2325</v>
      </c>
      <c r="D3545" s="26" t="s">
        <v>31</v>
      </c>
      <c r="E3545" s="26">
        <v>159.0</v>
      </c>
      <c r="F3545" s="26" t="s">
        <v>1895</v>
      </c>
      <c r="G3545" s="26">
        <v>12.0</v>
      </c>
      <c r="H3545" s="26">
        <v>3.5</v>
      </c>
      <c r="N3545" s="26" t="s">
        <v>751</v>
      </c>
    </row>
    <row r="3546">
      <c r="A3546" s="25">
        <v>43405.629088194444</v>
      </c>
      <c r="B3546" s="26" t="s">
        <v>2326</v>
      </c>
      <c r="C3546" s="26" t="s">
        <v>2327</v>
      </c>
      <c r="D3546" s="26" t="s">
        <v>1293</v>
      </c>
      <c r="E3546" s="26">
        <v>111.0</v>
      </c>
      <c r="F3546" s="26" t="s">
        <v>2328</v>
      </c>
      <c r="G3546" s="26">
        <v>10.0</v>
      </c>
      <c r="H3546" s="26">
        <v>1.8</v>
      </c>
      <c r="N3546" s="26" t="s">
        <v>1163</v>
      </c>
    </row>
    <row r="3547">
      <c r="A3547" s="25">
        <v>43405.64166969908</v>
      </c>
      <c r="B3547" s="26" t="s">
        <v>80</v>
      </c>
      <c r="C3547" s="26" t="s">
        <v>26</v>
      </c>
      <c r="D3547" s="26" t="s">
        <v>31</v>
      </c>
      <c r="E3547" s="26">
        <v>163.0</v>
      </c>
      <c r="F3547" s="26" t="s">
        <v>94</v>
      </c>
      <c r="G3547" s="26">
        <v>1.0</v>
      </c>
      <c r="H3547" s="26">
        <v>0.0</v>
      </c>
      <c r="I3547" s="26">
        <v>120.0</v>
      </c>
      <c r="J3547" s="26">
        <v>25.0</v>
      </c>
      <c r="K3547" s="26">
        <v>18.0</v>
      </c>
      <c r="N3547" s="26" t="s">
        <v>699</v>
      </c>
    </row>
    <row r="3548">
      <c r="A3548" s="25">
        <v>43405.64583631944</v>
      </c>
      <c r="B3548" s="26" t="s">
        <v>2329</v>
      </c>
      <c r="C3548" s="26" t="s">
        <v>1474</v>
      </c>
      <c r="D3548" s="26" t="s">
        <v>31</v>
      </c>
      <c r="E3548" s="26">
        <v>80.0</v>
      </c>
      <c r="F3548" s="26" t="s">
        <v>2330</v>
      </c>
      <c r="G3548" s="26">
        <v>1.0</v>
      </c>
      <c r="H3548" s="26">
        <v>1.0</v>
      </c>
      <c r="I3548" s="26">
        <v>80.0</v>
      </c>
      <c r="N3548" s="26" t="s">
        <v>683</v>
      </c>
    </row>
    <row r="3549">
      <c r="A3549" s="25">
        <v>43405.65386011574</v>
      </c>
      <c r="B3549" s="26" t="s">
        <v>2331</v>
      </c>
      <c r="C3549" s="26" t="s">
        <v>143</v>
      </c>
      <c r="D3549" s="26" t="s">
        <v>27</v>
      </c>
      <c r="E3549" s="26">
        <v>300.0</v>
      </c>
      <c r="F3549" s="26" t="s">
        <v>756</v>
      </c>
      <c r="G3549" s="26">
        <v>15.0</v>
      </c>
      <c r="H3549" s="26">
        <v>2.0</v>
      </c>
      <c r="I3549" s="26">
        <v>200.0</v>
      </c>
      <c r="J3549" s="26">
        <v>65.0</v>
      </c>
      <c r="K3549" s="26">
        <v>35.0</v>
      </c>
      <c r="N3549" s="26" t="s">
        <v>1297</v>
      </c>
    </row>
    <row r="3550">
      <c r="A3550" s="25">
        <v>43405.65823277777</v>
      </c>
      <c r="B3550" s="26" t="s">
        <v>25</v>
      </c>
      <c r="C3550" s="26" t="s">
        <v>1953</v>
      </c>
      <c r="D3550" s="26" t="s">
        <v>1963</v>
      </c>
      <c r="E3550" s="26">
        <v>140.0</v>
      </c>
      <c r="F3550" s="26" t="s">
        <v>94</v>
      </c>
      <c r="G3550" s="26">
        <v>6.0</v>
      </c>
      <c r="H3550" s="26">
        <v>2.0</v>
      </c>
      <c r="I3550" s="26">
        <v>140.0</v>
      </c>
      <c r="N3550" s="26" t="s">
        <v>757</v>
      </c>
    </row>
    <row r="3551">
      <c r="A3551" s="25">
        <v>43405.66330755787</v>
      </c>
      <c r="B3551" s="26" t="s">
        <v>40</v>
      </c>
      <c r="C3551" s="26">
        <v>62.0</v>
      </c>
      <c r="D3551" s="26" t="s">
        <v>711</v>
      </c>
      <c r="E3551" s="26">
        <v>180.0</v>
      </c>
      <c r="F3551" s="26" t="s">
        <v>75</v>
      </c>
      <c r="G3551" s="26">
        <v>9.0</v>
      </c>
      <c r="H3551" s="26">
        <v>3.0</v>
      </c>
      <c r="I3551" s="26">
        <v>145.0</v>
      </c>
      <c r="J3551" s="26">
        <v>15.0</v>
      </c>
      <c r="K3551" s="26">
        <v>22.0</v>
      </c>
      <c r="N3551" s="26" t="s">
        <v>691</v>
      </c>
    </row>
    <row r="3552">
      <c r="A3552" s="25">
        <v>43405.66430361111</v>
      </c>
      <c r="B3552" s="26" t="s">
        <v>40</v>
      </c>
      <c r="C3552" s="26">
        <v>62.0</v>
      </c>
      <c r="D3552" s="26" t="s">
        <v>711</v>
      </c>
      <c r="E3552" s="26">
        <v>180.0</v>
      </c>
      <c r="F3552" s="26" t="s">
        <v>75</v>
      </c>
      <c r="G3552" s="26">
        <v>9.0</v>
      </c>
      <c r="H3552" s="26">
        <v>3.0</v>
      </c>
      <c r="I3552" s="26">
        <v>145.0</v>
      </c>
      <c r="J3552" s="26">
        <v>15.0</v>
      </c>
      <c r="K3552" s="26">
        <v>22.0</v>
      </c>
      <c r="N3552" s="26" t="s">
        <v>691</v>
      </c>
    </row>
    <row r="3553">
      <c r="A3553" s="25">
        <v>43405.670126944446</v>
      </c>
      <c r="B3553" s="26" t="s">
        <v>40</v>
      </c>
      <c r="C3553" s="26">
        <v>62.0</v>
      </c>
      <c r="D3553" s="26" t="s">
        <v>31</v>
      </c>
      <c r="E3553" s="26">
        <v>218.0</v>
      </c>
      <c r="F3553" s="26" t="s">
        <v>75</v>
      </c>
      <c r="G3553" s="26">
        <v>5.0</v>
      </c>
      <c r="H3553" s="26">
        <v>3.0</v>
      </c>
      <c r="I3553" s="26">
        <v>139.0</v>
      </c>
      <c r="J3553" s="26">
        <v>60.0</v>
      </c>
      <c r="K3553" s="26">
        <v>19.0</v>
      </c>
      <c r="N3553" s="26" t="s">
        <v>704</v>
      </c>
    </row>
    <row r="3554">
      <c r="A3554" s="25">
        <v>43405.67082787037</v>
      </c>
      <c r="B3554" s="26" t="s">
        <v>80</v>
      </c>
      <c r="C3554" s="26" t="s">
        <v>2332</v>
      </c>
      <c r="D3554" s="26" t="s">
        <v>27</v>
      </c>
      <c r="E3554" s="26">
        <v>210.0</v>
      </c>
      <c r="F3554" s="26" t="s">
        <v>51</v>
      </c>
      <c r="G3554" s="26">
        <v>2.0</v>
      </c>
      <c r="H3554" s="26">
        <v>2.0</v>
      </c>
      <c r="N3554" s="26" t="s">
        <v>691</v>
      </c>
    </row>
    <row r="3555">
      <c r="A3555" s="25">
        <v>43405.68632494213</v>
      </c>
      <c r="B3555" s="26" t="s">
        <v>170</v>
      </c>
      <c r="C3555" s="26" t="s">
        <v>590</v>
      </c>
      <c r="D3555" s="26" t="s">
        <v>31</v>
      </c>
      <c r="E3555" s="26">
        <v>150.0</v>
      </c>
      <c r="F3555" s="26" t="s">
        <v>478</v>
      </c>
      <c r="G3555" s="26">
        <v>9.0</v>
      </c>
      <c r="H3555" s="26">
        <v>8.0</v>
      </c>
      <c r="I3555" s="26">
        <v>123.0</v>
      </c>
      <c r="J3555" s="26">
        <v>13.0</v>
      </c>
      <c r="K3555" s="26">
        <v>14.0</v>
      </c>
      <c r="N3555" s="26" t="s">
        <v>2333</v>
      </c>
    </row>
    <row r="3556">
      <c r="A3556" s="25">
        <v>43405.69125916666</v>
      </c>
      <c r="B3556" s="26" t="s">
        <v>33</v>
      </c>
      <c r="C3556" s="26" t="s">
        <v>76</v>
      </c>
      <c r="D3556" s="26" t="s">
        <v>31</v>
      </c>
      <c r="E3556" s="26">
        <v>218.0</v>
      </c>
      <c r="F3556" s="26" t="s">
        <v>35</v>
      </c>
      <c r="G3556" s="26">
        <v>6.0</v>
      </c>
      <c r="H3556" s="26">
        <v>4.0</v>
      </c>
      <c r="I3556" s="26">
        <v>138.0</v>
      </c>
      <c r="J3556" s="26">
        <v>80.0</v>
      </c>
      <c r="N3556" s="26" t="s">
        <v>683</v>
      </c>
    </row>
    <row r="3557">
      <c r="A3557" s="25">
        <v>43405.71597258102</v>
      </c>
      <c r="B3557" s="26" t="s">
        <v>142</v>
      </c>
      <c r="C3557" s="26" t="s">
        <v>2334</v>
      </c>
      <c r="D3557" s="26" t="s">
        <v>31</v>
      </c>
      <c r="E3557" s="26">
        <v>261.0</v>
      </c>
      <c r="F3557" s="26" t="s">
        <v>94</v>
      </c>
      <c r="G3557" s="26">
        <v>5.0</v>
      </c>
      <c r="H3557" s="26">
        <v>5.0</v>
      </c>
      <c r="I3557" s="26">
        <v>148.0</v>
      </c>
      <c r="J3557" s="26">
        <v>106.0</v>
      </c>
      <c r="K3557" s="26">
        <v>7.0</v>
      </c>
      <c r="N3557" s="26" t="s">
        <v>683</v>
      </c>
    </row>
    <row r="3558">
      <c r="A3558" s="25">
        <v>43405.772295601855</v>
      </c>
      <c r="B3558" s="26" t="s">
        <v>29</v>
      </c>
      <c r="C3558" s="26" t="s">
        <v>69</v>
      </c>
      <c r="D3558" s="26" t="s">
        <v>31</v>
      </c>
      <c r="E3558" s="26">
        <v>125.0</v>
      </c>
      <c r="F3558" s="26" t="s">
        <v>1855</v>
      </c>
      <c r="G3558" s="26">
        <v>4.0</v>
      </c>
      <c r="H3558" s="26">
        <v>0.0</v>
      </c>
      <c r="I3558" s="26">
        <v>95.0</v>
      </c>
      <c r="J3558" s="26">
        <v>15.0</v>
      </c>
      <c r="K3558" s="26">
        <v>15.0</v>
      </c>
      <c r="N3558" s="26" t="s">
        <v>704</v>
      </c>
    </row>
    <row r="3559">
      <c r="A3559" s="25">
        <v>43405.77833806713</v>
      </c>
      <c r="B3559" s="26" t="s">
        <v>80</v>
      </c>
      <c r="C3559" s="26" t="s">
        <v>73</v>
      </c>
      <c r="D3559" s="26" t="s">
        <v>31</v>
      </c>
      <c r="E3559" s="26">
        <v>242.0</v>
      </c>
      <c r="F3559" s="26" t="s">
        <v>35</v>
      </c>
      <c r="G3559" s="26">
        <v>5.0</v>
      </c>
      <c r="H3559" s="26">
        <v>3.0</v>
      </c>
      <c r="I3559" s="26">
        <v>132.0</v>
      </c>
      <c r="J3559" s="26">
        <v>84.0</v>
      </c>
      <c r="K3559" s="26">
        <v>26.0</v>
      </c>
      <c r="N3559" s="26" t="s">
        <v>704</v>
      </c>
    </row>
    <row r="3560">
      <c r="A3560" s="25">
        <v>43405.80458326389</v>
      </c>
      <c r="B3560" s="26" t="s">
        <v>64</v>
      </c>
      <c r="C3560" s="26" t="s">
        <v>1723</v>
      </c>
      <c r="D3560" s="26" t="s">
        <v>31</v>
      </c>
      <c r="E3560" s="26">
        <v>320.0</v>
      </c>
      <c r="F3560" s="26" t="s">
        <v>175</v>
      </c>
      <c r="G3560" s="26">
        <v>10.0</v>
      </c>
      <c r="H3560" s="26">
        <v>5.0</v>
      </c>
      <c r="I3560" s="26">
        <v>210.0</v>
      </c>
      <c r="J3560" s="26">
        <v>60.0</v>
      </c>
      <c r="K3560" s="26">
        <v>50.0</v>
      </c>
      <c r="N3560" s="26" t="s">
        <v>683</v>
      </c>
    </row>
    <row r="3561">
      <c r="A3561" s="25">
        <v>43405.812118726855</v>
      </c>
      <c r="B3561" s="26" t="s">
        <v>48</v>
      </c>
      <c r="C3561" s="26" t="s">
        <v>69</v>
      </c>
      <c r="D3561" s="26" t="s">
        <v>31</v>
      </c>
      <c r="E3561" s="26">
        <v>178.0</v>
      </c>
      <c r="F3561" s="26" t="s">
        <v>50</v>
      </c>
      <c r="G3561" s="26">
        <v>0.0</v>
      </c>
      <c r="H3561" s="26">
        <v>0.0</v>
      </c>
      <c r="I3561" s="26">
        <v>115.0</v>
      </c>
      <c r="J3561" s="26">
        <v>40.0</v>
      </c>
      <c r="K3561" s="26">
        <v>23.0</v>
      </c>
      <c r="L3561" s="26" t="s">
        <v>2335</v>
      </c>
      <c r="N3561" s="26" t="s">
        <v>704</v>
      </c>
    </row>
    <row r="3562">
      <c r="A3562" s="25">
        <v>43405.83146832176</v>
      </c>
      <c r="B3562" s="26" t="s">
        <v>146</v>
      </c>
      <c r="C3562" s="26" t="s">
        <v>716</v>
      </c>
      <c r="D3562" s="26" t="s">
        <v>529</v>
      </c>
      <c r="E3562" s="26">
        <v>168.0</v>
      </c>
      <c r="F3562" s="26" t="s">
        <v>134</v>
      </c>
      <c r="G3562" s="26">
        <v>0.0</v>
      </c>
      <c r="H3562" s="26">
        <v>1.0</v>
      </c>
      <c r="I3562" s="26">
        <v>120.0</v>
      </c>
      <c r="J3562" s="26">
        <v>36.0</v>
      </c>
      <c r="K3562" s="26">
        <v>12.0</v>
      </c>
      <c r="N3562" s="26" t="s">
        <v>708</v>
      </c>
    </row>
    <row r="3563">
      <c r="A3563" s="25">
        <v>43405.87410023148</v>
      </c>
      <c r="B3563" s="26" t="s">
        <v>2336</v>
      </c>
      <c r="C3563" s="26" t="s">
        <v>2337</v>
      </c>
      <c r="D3563" s="26" t="s">
        <v>41</v>
      </c>
      <c r="E3563" s="26">
        <v>260.0</v>
      </c>
      <c r="F3563" s="26" t="s">
        <v>94</v>
      </c>
      <c r="G3563" s="26">
        <v>12.0</v>
      </c>
      <c r="H3563" s="26">
        <v>2.0</v>
      </c>
      <c r="I3563" s="26">
        <v>200.0</v>
      </c>
      <c r="K3563" s="26">
        <v>60.0</v>
      </c>
      <c r="N3563" s="26" t="s">
        <v>685</v>
      </c>
    </row>
    <row r="3564">
      <c r="A3564" s="25">
        <v>43405.904975196754</v>
      </c>
      <c r="B3564" s="26" t="s">
        <v>2171</v>
      </c>
      <c r="C3564" s="26" t="s">
        <v>37</v>
      </c>
      <c r="D3564" s="26" t="s">
        <v>2338</v>
      </c>
      <c r="E3564" s="26">
        <v>200.0</v>
      </c>
      <c r="F3564" s="26" t="s">
        <v>32</v>
      </c>
      <c r="G3564" s="26">
        <v>10.0</v>
      </c>
      <c r="H3564" s="26">
        <v>2.0</v>
      </c>
      <c r="I3564" s="26">
        <v>180.0</v>
      </c>
      <c r="K3564" s="26">
        <v>20.0</v>
      </c>
      <c r="N3564" s="26" t="s">
        <v>2338</v>
      </c>
    </row>
    <row r="3565">
      <c r="A3565" s="25">
        <v>43405.909071898146</v>
      </c>
      <c r="B3565" s="26" t="s">
        <v>170</v>
      </c>
      <c r="C3565" s="26" t="s">
        <v>1326</v>
      </c>
      <c r="D3565" s="26" t="s">
        <v>41</v>
      </c>
      <c r="E3565" s="26">
        <v>185.0</v>
      </c>
      <c r="F3565" s="26" t="s">
        <v>2339</v>
      </c>
      <c r="G3565" s="26">
        <v>10.0</v>
      </c>
      <c r="H3565" s="26">
        <v>2.0</v>
      </c>
      <c r="N3565" s="26" t="s">
        <v>757</v>
      </c>
    </row>
    <row r="3566">
      <c r="A3566" s="25">
        <v>43405.90910413195</v>
      </c>
      <c r="B3566" s="26" t="s">
        <v>170</v>
      </c>
      <c r="C3566" s="26" t="s">
        <v>1326</v>
      </c>
      <c r="D3566" s="26" t="s">
        <v>41</v>
      </c>
      <c r="E3566" s="26">
        <v>185.0</v>
      </c>
      <c r="F3566" s="26" t="s">
        <v>2339</v>
      </c>
      <c r="G3566" s="26">
        <v>10.0</v>
      </c>
      <c r="H3566" s="26">
        <v>2.0</v>
      </c>
      <c r="N3566" s="26" t="s">
        <v>757</v>
      </c>
    </row>
    <row r="3567">
      <c r="A3567" s="25">
        <v>43405.923063090275</v>
      </c>
      <c r="B3567" s="26" t="s">
        <v>268</v>
      </c>
      <c r="C3567" s="26" t="s">
        <v>424</v>
      </c>
      <c r="D3567" s="26" t="s">
        <v>31</v>
      </c>
      <c r="E3567" s="26">
        <v>18.0</v>
      </c>
      <c r="F3567" s="26" t="s">
        <v>1688</v>
      </c>
      <c r="G3567" s="26">
        <v>7.0</v>
      </c>
      <c r="H3567" s="26">
        <v>2.5</v>
      </c>
      <c r="N3567" s="26" t="s">
        <v>683</v>
      </c>
    </row>
    <row r="3568">
      <c r="A3568" s="25">
        <v>43405.925108194446</v>
      </c>
      <c r="B3568" s="26" t="s">
        <v>45</v>
      </c>
      <c r="C3568" s="26" t="s">
        <v>149</v>
      </c>
      <c r="D3568" s="26" t="s">
        <v>31</v>
      </c>
      <c r="E3568" s="26">
        <v>280.0</v>
      </c>
      <c r="F3568" s="26" t="s">
        <v>2340</v>
      </c>
      <c r="G3568" s="26">
        <v>6.0</v>
      </c>
      <c r="H3568" s="26">
        <v>3.0</v>
      </c>
      <c r="I3568" s="26">
        <v>140.0</v>
      </c>
      <c r="J3568" s="26">
        <v>120.0</v>
      </c>
      <c r="K3568" s="26">
        <v>25.0</v>
      </c>
      <c r="N3568" s="26" t="s">
        <v>708</v>
      </c>
    </row>
    <row r="3569">
      <c r="A3569" s="25">
        <v>43405.93128715278</v>
      </c>
      <c r="B3569" s="26" t="s">
        <v>40</v>
      </c>
      <c r="C3569" s="26">
        <v>67.0</v>
      </c>
      <c r="D3569" s="26" t="s">
        <v>31</v>
      </c>
      <c r="E3569" s="26">
        <v>666.0</v>
      </c>
      <c r="F3569" s="26" t="s">
        <v>75</v>
      </c>
      <c r="G3569" s="26">
        <v>28.0</v>
      </c>
      <c r="H3569" s="26">
        <v>26.0</v>
      </c>
      <c r="I3569" s="26">
        <v>213.0</v>
      </c>
      <c r="J3569" s="26">
        <v>397.0</v>
      </c>
      <c r="K3569" s="26">
        <v>56.0</v>
      </c>
      <c r="N3569" s="26" t="s">
        <v>704</v>
      </c>
    </row>
    <row r="3570">
      <c r="A3570" s="25">
        <v>43405.93709489584</v>
      </c>
      <c r="B3570" s="26" t="s">
        <v>80</v>
      </c>
      <c r="C3570" s="26" t="s">
        <v>73</v>
      </c>
      <c r="D3570" s="26" t="s">
        <v>31</v>
      </c>
      <c r="E3570" s="26">
        <v>350.0</v>
      </c>
      <c r="F3570" s="26" t="s">
        <v>199</v>
      </c>
      <c r="G3570" s="26">
        <v>7.0</v>
      </c>
      <c r="H3570" s="26">
        <v>1.0</v>
      </c>
      <c r="I3570" s="26">
        <v>150.0</v>
      </c>
      <c r="J3570" s="26">
        <v>175.0</v>
      </c>
      <c r="K3570" s="26">
        <v>25.0</v>
      </c>
      <c r="N3570" s="26" t="s">
        <v>685</v>
      </c>
    </row>
    <row r="3571">
      <c r="A3571" s="25">
        <v>43405.95959871528</v>
      </c>
      <c r="B3571" s="26" t="s">
        <v>1079</v>
      </c>
      <c r="C3571" s="26" t="s">
        <v>43</v>
      </c>
      <c r="D3571" s="26" t="s">
        <v>31</v>
      </c>
      <c r="E3571" s="26">
        <v>225.0</v>
      </c>
      <c r="F3571" s="26" t="s">
        <v>32</v>
      </c>
      <c r="G3571" s="26">
        <v>5.0</v>
      </c>
      <c r="H3571" s="26">
        <v>3.0</v>
      </c>
      <c r="I3571" s="26">
        <v>200.0</v>
      </c>
      <c r="J3571" s="26">
        <v>25.0</v>
      </c>
      <c r="N3571" s="26" t="s">
        <v>685</v>
      </c>
    </row>
    <row r="3572">
      <c r="A3572" s="25">
        <v>43405.99072693287</v>
      </c>
      <c r="B3572" s="26" t="s">
        <v>2341</v>
      </c>
      <c r="C3572" s="26" t="s">
        <v>2342</v>
      </c>
      <c r="D3572" s="26" t="s">
        <v>2343</v>
      </c>
      <c r="E3572" s="26">
        <v>175.0</v>
      </c>
      <c r="F3572" s="26" t="s">
        <v>459</v>
      </c>
      <c r="G3572" s="26">
        <v>10.0</v>
      </c>
      <c r="H3572" s="26">
        <v>1.0</v>
      </c>
      <c r="N3572" s="26" t="s">
        <v>715</v>
      </c>
    </row>
    <row r="3573">
      <c r="A3573" s="25">
        <v>43405.99559827546</v>
      </c>
      <c r="B3573" s="26" t="s">
        <v>387</v>
      </c>
      <c r="C3573" s="26" t="s">
        <v>455</v>
      </c>
      <c r="D3573" s="26" t="s">
        <v>31</v>
      </c>
      <c r="E3573" s="26">
        <v>210.0</v>
      </c>
      <c r="F3573" s="26" t="s">
        <v>175</v>
      </c>
      <c r="G3573" s="26">
        <v>2.0</v>
      </c>
      <c r="H3573" s="26">
        <v>1.0</v>
      </c>
      <c r="I3573" s="26">
        <v>155.0</v>
      </c>
      <c r="J3573" s="26">
        <v>45.0</v>
      </c>
      <c r="K3573" s="26">
        <v>10.0</v>
      </c>
      <c r="N3573" s="26" t="s">
        <v>708</v>
      </c>
    </row>
    <row r="3574">
      <c r="A3574" s="25">
        <v>43406.07423174768</v>
      </c>
      <c r="B3574" s="26" t="s">
        <v>40</v>
      </c>
      <c r="C3574" s="26">
        <v>59.0</v>
      </c>
      <c r="D3574" s="26" t="s">
        <v>31</v>
      </c>
      <c r="E3574" s="26">
        <v>153.0</v>
      </c>
      <c r="F3574" s="26" t="s">
        <v>2344</v>
      </c>
      <c r="G3574" s="26">
        <v>0.0</v>
      </c>
      <c r="H3574" s="26">
        <v>0.0</v>
      </c>
      <c r="I3574" s="26">
        <v>108.0</v>
      </c>
      <c r="J3574" s="26">
        <v>34.0</v>
      </c>
      <c r="K3574" s="26">
        <v>11.0</v>
      </c>
      <c r="L3574" s="26" t="s">
        <v>2345</v>
      </c>
      <c r="N3574" s="26" t="s">
        <v>691</v>
      </c>
    </row>
    <row r="3575">
      <c r="A3575" s="25">
        <v>43406.0813445949</v>
      </c>
      <c r="B3575" s="26" t="s">
        <v>170</v>
      </c>
      <c r="C3575" s="26" t="s">
        <v>424</v>
      </c>
      <c r="D3575" s="26" t="s">
        <v>31</v>
      </c>
      <c r="E3575" s="26">
        <v>19.0</v>
      </c>
      <c r="F3575" s="26" t="s">
        <v>1688</v>
      </c>
      <c r="G3575" s="26">
        <v>7.0</v>
      </c>
      <c r="H3575" s="26">
        <v>7.0</v>
      </c>
      <c r="N3575" s="26" t="s">
        <v>715</v>
      </c>
    </row>
    <row r="3576">
      <c r="A3576" s="25">
        <v>43406.08792248843</v>
      </c>
      <c r="B3576" s="26" t="s">
        <v>80</v>
      </c>
      <c r="C3576" s="26" t="s">
        <v>43</v>
      </c>
      <c r="D3576" s="26" t="s">
        <v>31</v>
      </c>
      <c r="E3576" s="26">
        <v>355.0</v>
      </c>
      <c r="F3576" s="26" t="s">
        <v>1072</v>
      </c>
      <c r="G3576" s="26">
        <v>8.0</v>
      </c>
      <c r="H3576" s="26">
        <v>7.0</v>
      </c>
      <c r="I3576" s="26">
        <v>175.0</v>
      </c>
      <c r="J3576" s="26">
        <v>150.0</v>
      </c>
      <c r="K3576" s="26">
        <v>30.0</v>
      </c>
      <c r="N3576" s="26" t="s">
        <v>685</v>
      </c>
    </row>
    <row r="3577">
      <c r="A3577" s="25">
        <v>43406.17863934027</v>
      </c>
      <c r="B3577" s="26" t="s">
        <v>2346</v>
      </c>
      <c r="C3577" s="26" t="s">
        <v>37</v>
      </c>
      <c r="D3577" s="26" t="s">
        <v>31</v>
      </c>
      <c r="E3577" s="26">
        <v>65.0</v>
      </c>
      <c r="F3577" s="26" t="s">
        <v>2115</v>
      </c>
      <c r="G3577" s="26">
        <v>3.0</v>
      </c>
      <c r="H3577" s="26">
        <v>3.0</v>
      </c>
      <c r="N3577" s="26" t="s">
        <v>696</v>
      </c>
    </row>
    <row r="3578">
      <c r="A3578" s="25">
        <v>43406.234797349534</v>
      </c>
      <c r="B3578" s="26" t="s">
        <v>1804</v>
      </c>
      <c r="C3578" s="26" t="s">
        <v>37</v>
      </c>
      <c r="D3578" s="26" t="s">
        <v>711</v>
      </c>
      <c r="E3578" s="26">
        <v>115.0</v>
      </c>
      <c r="F3578" s="26" t="s">
        <v>161</v>
      </c>
      <c r="G3578" s="26">
        <v>4.0</v>
      </c>
      <c r="H3578" s="26">
        <v>4.0</v>
      </c>
      <c r="I3578" s="26">
        <v>105.0</v>
      </c>
      <c r="K3578" s="26">
        <v>10.0</v>
      </c>
      <c r="N3578" s="26" t="s">
        <v>683</v>
      </c>
    </row>
    <row r="3579">
      <c r="A3579" s="25">
        <v>43406.258160625</v>
      </c>
      <c r="B3579" s="26" t="s">
        <v>48</v>
      </c>
      <c r="C3579" s="26" t="s">
        <v>166</v>
      </c>
      <c r="D3579" s="26" t="s">
        <v>31</v>
      </c>
      <c r="E3579" s="26">
        <v>280.0</v>
      </c>
      <c r="F3579" s="26" t="s">
        <v>2347</v>
      </c>
      <c r="G3579" s="26">
        <v>3.0</v>
      </c>
      <c r="H3579" s="26">
        <v>3.0</v>
      </c>
      <c r="I3579" s="26">
        <v>138.0</v>
      </c>
      <c r="J3579" s="26">
        <v>115.0</v>
      </c>
      <c r="K3579" s="26">
        <v>28.0</v>
      </c>
      <c r="N3579" s="26" t="s">
        <v>683</v>
      </c>
    </row>
    <row r="3580">
      <c r="A3580" s="25">
        <v>43406.27073991898</v>
      </c>
      <c r="B3580" s="26" t="s">
        <v>77</v>
      </c>
      <c r="C3580" s="26" t="s">
        <v>184</v>
      </c>
      <c r="D3580" s="26" t="s">
        <v>31</v>
      </c>
      <c r="E3580" s="26">
        <v>173.0</v>
      </c>
      <c r="F3580" s="26" t="s">
        <v>47</v>
      </c>
      <c r="G3580" s="26">
        <v>3.0</v>
      </c>
      <c r="H3580" s="26">
        <v>1.0</v>
      </c>
      <c r="I3580" s="26">
        <v>139.0</v>
      </c>
      <c r="J3580" s="26">
        <v>13.0</v>
      </c>
      <c r="K3580" s="26">
        <v>21.0</v>
      </c>
      <c r="N3580" s="26" t="s">
        <v>691</v>
      </c>
    </row>
    <row r="3581">
      <c r="A3581" s="25">
        <v>43406.31968488426</v>
      </c>
      <c r="B3581" s="26" t="s">
        <v>350</v>
      </c>
      <c r="C3581" s="26" t="s">
        <v>2158</v>
      </c>
      <c r="D3581" s="26" t="s">
        <v>1544</v>
      </c>
      <c r="E3581" s="26">
        <v>150.0</v>
      </c>
      <c r="F3581" s="26" t="s">
        <v>2348</v>
      </c>
      <c r="G3581" s="26">
        <v>15.0</v>
      </c>
      <c r="H3581" s="26">
        <v>4.0</v>
      </c>
      <c r="I3581" s="26">
        <v>140.0</v>
      </c>
      <c r="K3581" s="26">
        <v>10000.0</v>
      </c>
      <c r="N3581" s="26" t="s">
        <v>685</v>
      </c>
    </row>
    <row r="3582">
      <c r="A3582" s="25">
        <v>43406.320106875</v>
      </c>
      <c r="B3582" s="26" t="s">
        <v>350</v>
      </c>
      <c r="C3582" s="26" t="s">
        <v>2158</v>
      </c>
      <c r="D3582" s="26" t="s">
        <v>1544</v>
      </c>
      <c r="E3582" s="26">
        <v>150.0</v>
      </c>
      <c r="F3582" s="26" t="s">
        <v>2348</v>
      </c>
      <c r="G3582" s="26">
        <v>15.0</v>
      </c>
      <c r="H3582" s="26">
        <v>4.0</v>
      </c>
      <c r="I3582" s="26">
        <v>140.0</v>
      </c>
      <c r="K3582" s="26">
        <v>10.0</v>
      </c>
      <c r="N3582" s="26" t="s">
        <v>685</v>
      </c>
    </row>
    <row r="3583">
      <c r="A3583" s="25">
        <v>43406.32270472222</v>
      </c>
      <c r="B3583" s="26" t="s">
        <v>80</v>
      </c>
      <c r="C3583" s="26" t="s">
        <v>26</v>
      </c>
      <c r="D3583" s="26" t="s">
        <v>31</v>
      </c>
      <c r="E3583" s="26">
        <v>193.0</v>
      </c>
      <c r="F3583" s="26" t="s">
        <v>134</v>
      </c>
      <c r="G3583" s="26">
        <v>2.0</v>
      </c>
      <c r="H3583" s="26">
        <v>0.0</v>
      </c>
      <c r="I3583" s="26">
        <v>120.0</v>
      </c>
      <c r="J3583" s="26">
        <v>55.0</v>
      </c>
      <c r="K3583" s="26">
        <v>18.0</v>
      </c>
      <c r="N3583" s="26" t="s">
        <v>685</v>
      </c>
    </row>
    <row r="3584">
      <c r="A3584" s="25">
        <v>43406.38615815972</v>
      </c>
      <c r="B3584" s="26" t="s">
        <v>319</v>
      </c>
      <c r="C3584" s="26">
        <v>7.0</v>
      </c>
      <c r="D3584" s="26" t="s">
        <v>31</v>
      </c>
      <c r="E3584" s="26">
        <v>102.0</v>
      </c>
      <c r="F3584" s="26" t="s">
        <v>801</v>
      </c>
      <c r="G3584" s="26">
        <v>5.0</v>
      </c>
      <c r="H3584" s="26">
        <v>3.0</v>
      </c>
      <c r="I3584" s="26">
        <v>102.0</v>
      </c>
      <c r="N3584" s="26" t="s">
        <v>704</v>
      </c>
    </row>
    <row r="3585">
      <c r="A3585" s="25">
        <v>43406.38970854167</v>
      </c>
      <c r="B3585" s="26" t="s">
        <v>139</v>
      </c>
      <c r="C3585" s="26" t="s">
        <v>2349</v>
      </c>
      <c r="D3585" s="26" t="s">
        <v>31</v>
      </c>
      <c r="E3585" s="26">
        <v>122.0</v>
      </c>
      <c r="F3585" s="26" t="s">
        <v>94</v>
      </c>
      <c r="G3585" s="26">
        <v>0.0</v>
      </c>
      <c r="H3585" s="26">
        <v>0.0</v>
      </c>
      <c r="I3585" s="26">
        <v>110.0</v>
      </c>
      <c r="J3585" s="26">
        <v>7.0</v>
      </c>
      <c r="K3585" s="26">
        <v>5.0</v>
      </c>
      <c r="N3585" s="26" t="s">
        <v>699</v>
      </c>
    </row>
    <row r="3586">
      <c r="A3586" s="25">
        <v>43406.39169542824</v>
      </c>
      <c r="B3586" s="26" t="s">
        <v>48</v>
      </c>
      <c r="C3586" s="26" t="s">
        <v>113</v>
      </c>
      <c r="D3586" s="26" t="s">
        <v>2350</v>
      </c>
      <c r="E3586" s="26">
        <v>215.0</v>
      </c>
      <c r="F3586" s="26" t="s">
        <v>50</v>
      </c>
      <c r="G3586" s="26">
        <v>6.0</v>
      </c>
      <c r="H3586" s="26">
        <v>1.0</v>
      </c>
      <c r="I3586" s="26">
        <v>140.0</v>
      </c>
      <c r="J3586" s="26">
        <v>60.0</v>
      </c>
      <c r="K3586" s="26">
        <v>15.0</v>
      </c>
      <c r="N3586" s="26" t="s">
        <v>2122</v>
      </c>
    </row>
    <row r="3587">
      <c r="A3587" s="25">
        <v>43406.395805555556</v>
      </c>
      <c r="B3587" s="26" t="s">
        <v>1160</v>
      </c>
      <c r="C3587" s="26">
        <v>2.0</v>
      </c>
      <c r="D3587" s="26" t="s">
        <v>27</v>
      </c>
      <c r="E3587" s="26">
        <v>170.0</v>
      </c>
      <c r="F3587" s="26" t="s">
        <v>320</v>
      </c>
      <c r="G3587" s="26">
        <v>4.0</v>
      </c>
      <c r="H3587" s="26">
        <v>2.0</v>
      </c>
      <c r="I3587" s="26">
        <v>144.0</v>
      </c>
      <c r="K3587" s="26">
        <v>26.0</v>
      </c>
      <c r="N3587" s="26" t="s">
        <v>683</v>
      </c>
    </row>
    <row r="3588">
      <c r="A3588" s="25">
        <v>43406.39781230324</v>
      </c>
      <c r="B3588" s="26" t="s">
        <v>819</v>
      </c>
      <c r="C3588" s="26" t="s">
        <v>1899</v>
      </c>
      <c r="D3588" s="26" t="s">
        <v>31</v>
      </c>
      <c r="E3588" s="26">
        <v>105.0</v>
      </c>
      <c r="F3588" s="26" t="s">
        <v>35</v>
      </c>
      <c r="G3588" s="26">
        <v>0.0</v>
      </c>
      <c r="H3588" s="26">
        <v>0.0</v>
      </c>
      <c r="I3588" s="26">
        <v>105.0</v>
      </c>
      <c r="J3588" s="26">
        <v>25.0</v>
      </c>
      <c r="N3588" s="26" t="s">
        <v>683</v>
      </c>
    </row>
    <row r="3589">
      <c r="A3589" s="25">
        <v>43406.40295405092</v>
      </c>
      <c r="B3589" s="26" t="s">
        <v>40</v>
      </c>
      <c r="C3589" s="26" t="s">
        <v>2162</v>
      </c>
      <c r="D3589" s="26" t="s">
        <v>31</v>
      </c>
      <c r="E3589" s="26">
        <v>225.0</v>
      </c>
      <c r="F3589" s="26" t="s">
        <v>1074</v>
      </c>
      <c r="G3589" s="26">
        <v>15.0</v>
      </c>
      <c r="H3589" s="26">
        <v>7.0</v>
      </c>
      <c r="I3589" s="26">
        <v>155.0</v>
      </c>
      <c r="J3589" s="26">
        <v>25.0</v>
      </c>
      <c r="K3589" s="26">
        <v>45.0</v>
      </c>
      <c r="N3589" s="26" t="s">
        <v>683</v>
      </c>
    </row>
    <row r="3590">
      <c r="A3590" s="25">
        <v>43406.416079166665</v>
      </c>
      <c r="B3590" s="26" t="s">
        <v>146</v>
      </c>
      <c r="C3590" s="26" t="s">
        <v>737</v>
      </c>
      <c r="D3590" s="26" t="s">
        <v>41</v>
      </c>
      <c r="E3590" s="26">
        <v>510.0</v>
      </c>
      <c r="F3590" s="26" t="s">
        <v>47</v>
      </c>
      <c r="G3590" s="26">
        <v>16.0</v>
      </c>
      <c r="H3590" s="26">
        <v>1.0</v>
      </c>
      <c r="I3590" s="26">
        <v>240.0</v>
      </c>
      <c r="J3590" s="26">
        <v>225.0</v>
      </c>
      <c r="K3590" s="26">
        <v>40.0</v>
      </c>
      <c r="L3590" s="26" t="s">
        <v>2351</v>
      </c>
      <c r="N3590" s="26" t="s">
        <v>685</v>
      </c>
    </row>
    <row r="3591">
      <c r="A3591" s="25">
        <v>43406.41840984953</v>
      </c>
      <c r="B3591" s="26" t="s">
        <v>2352</v>
      </c>
      <c r="C3591" s="26" t="s">
        <v>877</v>
      </c>
      <c r="D3591" s="26" t="s">
        <v>31</v>
      </c>
      <c r="E3591" s="26">
        <v>220.0</v>
      </c>
      <c r="F3591" s="26" t="s">
        <v>1880</v>
      </c>
      <c r="G3591" s="26">
        <v>12.0</v>
      </c>
      <c r="H3591" s="26">
        <v>6.0</v>
      </c>
      <c r="I3591" s="26">
        <v>171.0</v>
      </c>
      <c r="J3591" s="26">
        <v>29.0</v>
      </c>
      <c r="K3591" s="26">
        <v>20.0</v>
      </c>
      <c r="N3591" s="26" t="s">
        <v>715</v>
      </c>
    </row>
    <row r="3592">
      <c r="A3592" s="25">
        <v>43406.429873506946</v>
      </c>
      <c r="B3592" s="26" t="s">
        <v>80</v>
      </c>
      <c r="C3592" s="26">
        <v>3.0</v>
      </c>
      <c r="D3592" s="26" t="s">
        <v>31</v>
      </c>
      <c r="E3592" s="26">
        <v>175.0</v>
      </c>
      <c r="F3592" s="26" t="s">
        <v>51</v>
      </c>
      <c r="G3592" s="26">
        <v>4.0</v>
      </c>
      <c r="H3592" s="26">
        <v>2.0</v>
      </c>
      <c r="N3592" s="26" t="s">
        <v>1261</v>
      </c>
    </row>
    <row r="3593">
      <c r="A3593" s="25">
        <v>43406.441328518515</v>
      </c>
      <c r="B3593" s="26" t="s">
        <v>40</v>
      </c>
      <c r="C3593" s="26">
        <v>61.0</v>
      </c>
      <c r="D3593" s="26" t="s">
        <v>31</v>
      </c>
      <c r="E3593" s="26">
        <v>133.0</v>
      </c>
      <c r="F3593" s="26" t="s">
        <v>35</v>
      </c>
      <c r="G3593" s="26">
        <v>18.0</v>
      </c>
      <c r="H3593" s="26">
        <v>15.0</v>
      </c>
      <c r="N3593" s="26" t="s">
        <v>696</v>
      </c>
    </row>
    <row r="3594">
      <c r="A3594" s="25">
        <v>43406.44994734954</v>
      </c>
      <c r="B3594" s="26" t="s">
        <v>350</v>
      </c>
      <c r="C3594" s="26" t="s">
        <v>351</v>
      </c>
      <c r="D3594" s="26" t="s">
        <v>31</v>
      </c>
      <c r="E3594" s="26">
        <v>125.0</v>
      </c>
      <c r="F3594" s="26" t="s">
        <v>1144</v>
      </c>
      <c r="G3594" s="26">
        <v>1.0</v>
      </c>
      <c r="H3594" s="26">
        <v>1.0</v>
      </c>
      <c r="I3594" s="26">
        <v>114.0</v>
      </c>
      <c r="J3594" s="26">
        <v>2.0</v>
      </c>
      <c r="K3594" s="26">
        <v>9.0</v>
      </c>
      <c r="N3594" s="26" t="s">
        <v>704</v>
      </c>
    </row>
    <row r="3595">
      <c r="A3595" s="25">
        <v>43406.49085221065</v>
      </c>
      <c r="B3595" s="26" t="s">
        <v>2353</v>
      </c>
      <c r="C3595" s="26">
        <v>5.0</v>
      </c>
      <c r="D3595" s="26" t="s">
        <v>2354</v>
      </c>
      <c r="E3595" s="26">
        <v>96.0</v>
      </c>
      <c r="F3595" s="26" t="s">
        <v>2161</v>
      </c>
      <c r="G3595" s="26">
        <v>7.0</v>
      </c>
      <c r="H3595" s="26">
        <v>7.0</v>
      </c>
      <c r="N3595" s="26" t="s">
        <v>708</v>
      </c>
    </row>
    <row r="3596">
      <c r="A3596" s="25">
        <v>43406.50828349537</v>
      </c>
      <c r="B3596" s="27" t="s">
        <v>2355</v>
      </c>
      <c r="C3596" s="26" t="s">
        <v>2356</v>
      </c>
      <c r="D3596" s="26" t="s">
        <v>31</v>
      </c>
      <c r="E3596" s="26">
        <v>112.0</v>
      </c>
      <c r="F3596" s="26" t="s">
        <v>2357</v>
      </c>
      <c r="G3596" s="26">
        <v>0.0</v>
      </c>
      <c r="H3596" s="26">
        <v>0.0</v>
      </c>
      <c r="N3596" s="26" t="s">
        <v>683</v>
      </c>
    </row>
    <row r="3597">
      <c r="A3597" s="25">
        <v>43406.50966660879</v>
      </c>
      <c r="B3597" s="26" t="s">
        <v>40</v>
      </c>
      <c r="C3597" s="26">
        <v>65.0</v>
      </c>
      <c r="D3597" s="26" t="s">
        <v>27</v>
      </c>
      <c r="E3597" s="26">
        <v>296.0</v>
      </c>
      <c r="F3597" s="26" t="s">
        <v>75</v>
      </c>
      <c r="G3597" s="26">
        <v>15.0</v>
      </c>
      <c r="H3597" s="26">
        <v>7.0</v>
      </c>
      <c r="I3597" s="26">
        <v>183.0</v>
      </c>
      <c r="J3597" s="26">
        <v>62.0</v>
      </c>
      <c r="K3597" s="26">
        <v>45.0</v>
      </c>
      <c r="L3597" s="26" t="s">
        <v>2358</v>
      </c>
      <c r="N3597" s="26" t="s">
        <v>2359</v>
      </c>
    </row>
    <row r="3598">
      <c r="A3598" s="25">
        <v>43406.52468623842</v>
      </c>
      <c r="B3598" s="26" t="s">
        <v>40</v>
      </c>
      <c r="C3598" s="26">
        <v>63.0</v>
      </c>
      <c r="D3598" s="26" t="s">
        <v>31</v>
      </c>
      <c r="E3598" s="26">
        <v>150.0</v>
      </c>
      <c r="F3598" s="26" t="s">
        <v>1014</v>
      </c>
      <c r="G3598" s="26">
        <v>13.0</v>
      </c>
      <c r="H3598" s="26">
        <v>0.0</v>
      </c>
      <c r="I3598" s="26">
        <v>120.0</v>
      </c>
      <c r="J3598" s="26">
        <v>12.0</v>
      </c>
      <c r="K3598" s="26">
        <v>18.0</v>
      </c>
      <c r="N3598" s="26" t="s">
        <v>757</v>
      </c>
    </row>
    <row r="3599">
      <c r="A3599" s="25">
        <v>43406.53490270833</v>
      </c>
      <c r="B3599" s="26" t="s">
        <v>33</v>
      </c>
      <c r="C3599" s="26" t="s">
        <v>62</v>
      </c>
      <c r="D3599" s="26" t="s">
        <v>31</v>
      </c>
      <c r="E3599" s="26">
        <v>330.0</v>
      </c>
      <c r="F3599" s="26" t="s">
        <v>360</v>
      </c>
      <c r="G3599" s="26">
        <v>16.0</v>
      </c>
      <c r="H3599" s="26">
        <v>6.0</v>
      </c>
      <c r="N3599" s="26" t="s">
        <v>715</v>
      </c>
    </row>
    <row r="3600">
      <c r="A3600" s="25">
        <v>43406.549334525465</v>
      </c>
      <c r="B3600" s="26" t="s">
        <v>119</v>
      </c>
      <c r="C3600" s="26" t="s">
        <v>484</v>
      </c>
      <c r="D3600" s="26" t="s">
        <v>31</v>
      </c>
      <c r="E3600" s="26">
        <v>151.0</v>
      </c>
      <c r="F3600" s="26" t="s">
        <v>1835</v>
      </c>
      <c r="G3600" s="26">
        <v>7.0</v>
      </c>
      <c r="H3600" s="26">
        <v>5.0</v>
      </c>
      <c r="I3600" s="26">
        <v>115.0</v>
      </c>
      <c r="J3600" s="26">
        <v>25.0</v>
      </c>
      <c r="K3600" s="26">
        <v>11.0</v>
      </c>
      <c r="N3600" s="26" t="s">
        <v>683</v>
      </c>
    </row>
    <row r="3601">
      <c r="A3601" s="25">
        <v>43406.580833368054</v>
      </c>
      <c r="B3601" s="26" t="s">
        <v>268</v>
      </c>
      <c r="C3601" s="26" t="s">
        <v>966</v>
      </c>
      <c r="D3601" s="26" t="s">
        <v>713</v>
      </c>
      <c r="E3601" s="26">
        <v>210.0</v>
      </c>
      <c r="F3601" s="26" t="s">
        <v>2360</v>
      </c>
      <c r="G3601" s="26">
        <v>15.0</v>
      </c>
      <c r="H3601" s="26">
        <v>14.0</v>
      </c>
      <c r="N3601" s="26" t="s">
        <v>715</v>
      </c>
    </row>
    <row r="3602">
      <c r="A3602" s="25">
        <v>43406.622495393516</v>
      </c>
      <c r="B3602" s="26" t="s">
        <v>40</v>
      </c>
      <c r="C3602" s="26">
        <v>62.0</v>
      </c>
      <c r="D3602" s="26" t="s">
        <v>711</v>
      </c>
      <c r="E3602" s="26">
        <v>190.0</v>
      </c>
      <c r="F3602" s="26" t="s">
        <v>75</v>
      </c>
      <c r="G3602" s="26">
        <v>4.0</v>
      </c>
      <c r="H3602" s="26">
        <v>3.0</v>
      </c>
      <c r="I3602" s="26">
        <v>150.0</v>
      </c>
      <c r="J3602" s="26">
        <v>22.0</v>
      </c>
      <c r="K3602" s="26">
        <v>18.0</v>
      </c>
      <c r="N3602" s="26" t="s">
        <v>691</v>
      </c>
    </row>
    <row r="3603">
      <c r="A3603" s="25">
        <v>43406.678688263884</v>
      </c>
      <c r="B3603" s="26" t="s">
        <v>40</v>
      </c>
      <c r="C3603" s="26">
        <v>59.0</v>
      </c>
      <c r="D3603" s="26" t="s">
        <v>27</v>
      </c>
      <c r="E3603" s="26">
        <v>160.0</v>
      </c>
      <c r="F3603" s="26" t="s">
        <v>35</v>
      </c>
      <c r="G3603" s="26">
        <v>0.0</v>
      </c>
      <c r="H3603" s="26">
        <v>0.0</v>
      </c>
      <c r="I3603" s="26">
        <v>108.0</v>
      </c>
      <c r="J3603" s="26">
        <v>30.0</v>
      </c>
      <c r="K3603" s="26">
        <v>22.0</v>
      </c>
      <c r="N3603" s="26" t="s">
        <v>685</v>
      </c>
    </row>
    <row r="3604">
      <c r="A3604" s="25">
        <v>43406.72047303241</v>
      </c>
      <c r="B3604" s="26" t="s">
        <v>33</v>
      </c>
      <c r="C3604" s="26" t="s">
        <v>275</v>
      </c>
      <c r="D3604" s="26" t="s">
        <v>31</v>
      </c>
      <c r="E3604" s="26">
        <v>205.0</v>
      </c>
      <c r="F3604" s="26" t="s">
        <v>35</v>
      </c>
      <c r="G3604" s="26">
        <v>0.0</v>
      </c>
      <c r="H3604" s="26">
        <v>0.0</v>
      </c>
      <c r="I3604" s="26">
        <v>108.0</v>
      </c>
      <c r="J3604" s="26">
        <v>85.0</v>
      </c>
      <c r="K3604" s="26">
        <v>12.0</v>
      </c>
      <c r="L3604" s="26" t="s">
        <v>2361</v>
      </c>
      <c r="N3604" s="26" t="s">
        <v>174</v>
      </c>
    </row>
    <row r="3605">
      <c r="A3605" s="25">
        <v>43406.72151716435</v>
      </c>
      <c r="B3605" s="26" t="s">
        <v>45</v>
      </c>
      <c r="C3605" s="26" t="s">
        <v>2362</v>
      </c>
      <c r="D3605" s="26" t="s">
        <v>31</v>
      </c>
      <c r="E3605" s="26">
        <v>962.0</v>
      </c>
      <c r="F3605" s="26" t="s">
        <v>104</v>
      </c>
      <c r="G3605" s="26">
        <v>2.0</v>
      </c>
      <c r="H3605" s="26">
        <v>2.0</v>
      </c>
      <c r="I3605" s="26">
        <v>412.0</v>
      </c>
      <c r="J3605" s="26">
        <v>500.0</v>
      </c>
      <c r="K3605" s="26">
        <v>50.0</v>
      </c>
      <c r="N3605" s="26" t="s">
        <v>728</v>
      </c>
    </row>
    <row r="3606">
      <c r="A3606" s="25">
        <v>43406.75865099537</v>
      </c>
      <c r="B3606" s="26" t="s">
        <v>33</v>
      </c>
      <c r="C3606" s="26" t="s">
        <v>62</v>
      </c>
      <c r="D3606" s="26" t="s">
        <v>31</v>
      </c>
      <c r="E3606" s="26">
        <v>350.0</v>
      </c>
      <c r="F3606" s="26" t="s">
        <v>63</v>
      </c>
      <c r="G3606" s="26">
        <v>14.0</v>
      </c>
      <c r="H3606" s="26">
        <v>4.0</v>
      </c>
      <c r="N3606" s="26" t="s">
        <v>704</v>
      </c>
    </row>
    <row r="3607">
      <c r="A3607" s="25">
        <v>43406.79399348379</v>
      </c>
      <c r="B3607" s="26" t="s">
        <v>170</v>
      </c>
      <c r="C3607" s="26" t="s">
        <v>424</v>
      </c>
      <c r="D3607" s="26" t="s">
        <v>2363</v>
      </c>
      <c r="E3607" s="26">
        <v>124.0</v>
      </c>
      <c r="F3607" s="26" t="s">
        <v>232</v>
      </c>
      <c r="G3607" s="26">
        <v>4.0</v>
      </c>
      <c r="H3607" s="26">
        <v>4.0</v>
      </c>
      <c r="I3607" s="26">
        <v>114.0</v>
      </c>
      <c r="J3607" s="26">
        <v>5.0</v>
      </c>
      <c r="K3607" s="26">
        <v>5.0</v>
      </c>
      <c r="N3607" s="26" t="s">
        <v>1245</v>
      </c>
    </row>
    <row r="3608">
      <c r="A3608" s="25">
        <v>43406.795758912034</v>
      </c>
      <c r="B3608" s="26" t="s">
        <v>40</v>
      </c>
      <c r="C3608" s="26">
        <v>64.0</v>
      </c>
      <c r="D3608" s="26" t="s">
        <v>31</v>
      </c>
      <c r="E3608" s="26">
        <v>260.0</v>
      </c>
      <c r="F3608" s="26" t="s">
        <v>75</v>
      </c>
      <c r="G3608" s="26">
        <v>4.0</v>
      </c>
      <c r="H3608" s="26">
        <v>2.0</v>
      </c>
      <c r="I3608" s="26">
        <v>170.0</v>
      </c>
      <c r="J3608" s="26">
        <v>60.0</v>
      </c>
      <c r="K3608" s="26">
        <v>30.0</v>
      </c>
      <c r="N3608" s="26" t="s">
        <v>691</v>
      </c>
    </row>
    <row r="3609">
      <c r="A3609" s="25">
        <v>43406.79682268518</v>
      </c>
      <c r="B3609" s="26" t="s">
        <v>538</v>
      </c>
      <c r="C3609" s="26" t="s">
        <v>680</v>
      </c>
      <c r="D3609" s="26" t="s">
        <v>31</v>
      </c>
      <c r="E3609" s="26">
        <v>32.0</v>
      </c>
      <c r="F3609" s="26" t="s">
        <v>681</v>
      </c>
      <c r="G3609" s="26">
        <v>3.0</v>
      </c>
      <c r="H3609" s="26">
        <v>1.0</v>
      </c>
      <c r="I3609" s="26">
        <v>28.0</v>
      </c>
      <c r="K3609" s="26">
        <v>4.0</v>
      </c>
      <c r="N3609" s="26" t="s">
        <v>685</v>
      </c>
    </row>
    <row r="3610">
      <c r="A3610" s="25">
        <v>43406.80838340278</v>
      </c>
      <c r="B3610" s="26" t="s">
        <v>40</v>
      </c>
      <c r="C3610" s="26">
        <v>61.0</v>
      </c>
      <c r="D3610" s="26" t="s">
        <v>31</v>
      </c>
      <c r="E3610" s="26">
        <v>150.0</v>
      </c>
      <c r="F3610" s="26" t="s">
        <v>75</v>
      </c>
      <c r="G3610" s="26">
        <v>4.0</v>
      </c>
      <c r="H3610" s="26">
        <v>1.0</v>
      </c>
      <c r="I3610" s="26">
        <v>132.0</v>
      </c>
      <c r="J3610" s="26">
        <v>12.0</v>
      </c>
      <c r="K3610" s="26">
        <v>6.0</v>
      </c>
      <c r="N3610" s="26" t="s">
        <v>685</v>
      </c>
    </row>
    <row r="3611">
      <c r="A3611" s="25">
        <v>43406.82376409722</v>
      </c>
      <c r="B3611" s="26" t="s">
        <v>40</v>
      </c>
      <c r="C3611" s="26">
        <v>65.0</v>
      </c>
      <c r="D3611" s="26" t="s">
        <v>41</v>
      </c>
      <c r="E3611" s="26">
        <v>270.0</v>
      </c>
      <c r="F3611" s="26" t="s">
        <v>75</v>
      </c>
      <c r="G3611" s="26">
        <v>13.0</v>
      </c>
      <c r="H3611" s="26">
        <v>13.0</v>
      </c>
      <c r="N3611" s="26" t="s">
        <v>704</v>
      </c>
    </row>
    <row r="3612">
      <c r="A3612" s="25">
        <v>43406.85725894676</v>
      </c>
      <c r="B3612" s="26" t="s">
        <v>80</v>
      </c>
      <c r="C3612" s="26" t="s">
        <v>73</v>
      </c>
      <c r="D3612" s="26" t="s">
        <v>31</v>
      </c>
      <c r="E3612" s="26">
        <v>235.0</v>
      </c>
      <c r="F3612" s="26" t="s">
        <v>63</v>
      </c>
      <c r="G3612" s="26">
        <v>5.0</v>
      </c>
      <c r="H3612" s="26">
        <v>3.0</v>
      </c>
      <c r="I3612" s="26">
        <v>126.0</v>
      </c>
      <c r="J3612" s="26">
        <v>72.0</v>
      </c>
      <c r="K3612" s="26">
        <v>37.0</v>
      </c>
      <c r="L3612" s="26" t="s">
        <v>2364</v>
      </c>
      <c r="N3612" s="26" t="s">
        <v>683</v>
      </c>
    </row>
    <row r="3613">
      <c r="A3613" s="25">
        <v>43406.94100266203</v>
      </c>
      <c r="B3613" s="26" t="s">
        <v>33</v>
      </c>
      <c r="C3613" s="26" t="s">
        <v>62</v>
      </c>
      <c r="D3613" s="26" t="s">
        <v>27</v>
      </c>
      <c r="E3613" s="26">
        <v>140.0</v>
      </c>
      <c r="F3613" s="26" t="s">
        <v>94</v>
      </c>
      <c r="G3613" s="26">
        <v>2.0</v>
      </c>
      <c r="H3613" s="26">
        <v>1.5</v>
      </c>
      <c r="N3613" s="26" t="s">
        <v>1043</v>
      </c>
    </row>
    <row r="3614">
      <c r="A3614" s="25">
        <v>43406.95961534722</v>
      </c>
      <c r="B3614" s="26" t="s">
        <v>268</v>
      </c>
      <c r="C3614" s="26" t="s">
        <v>1287</v>
      </c>
      <c r="D3614" s="26" t="s">
        <v>31</v>
      </c>
      <c r="E3614" s="26">
        <v>56.0</v>
      </c>
      <c r="F3614" s="26" t="s">
        <v>1688</v>
      </c>
      <c r="G3614" s="26">
        <v>14.0</v>
      </c>
      <c r="H3614" s="26">
        <v>11.0</v>
      </c>
      <c r="N3614" s="26" t="s">
        <v>683</v>
      </c>
    </row>
    <row r="3615">
      <c r="A3615" s="25">
        <v>43407.07068321759</v>
      </c>
      <c r="B3615" s="26" t="s">
        <v>29</v>
      </c>
      <c r="C3615" s="26" t="s">
        <v>2365</v>
      </c>
      <c r="D3615" s="26" t="s">
        <v>2366</v>
      </c>
      <c r="E3615" s="26">
        <v>85.0</v>
      </c>
      <c r="F3615" s="26" t="s">
        <v>2367</v>
      </c>
      <c r="G3615" s="26">
        <v>3.0</v>
      </c>
      <c r="H3615" s="26">
        <v>3.0</v>
      </c>
      <c r="I3615" s="26">
        <v>70.0</v>
      </c>
      <c r="J3615" s="26">
        <v>15.0</v>
      </c>
      <c r="K3615" s="26">
        <v>7.0</v>
      </c>
      <c r="N3615" s="26" t="s">
        <v>708</v>
      </c>
    </row>
    <row r="3616">
      <c r="A3616" s="25">
        <v>43407.07211018518</v>
      </c>
      <c r="B3616" s="26" t="s">
        <v>29</v>
      </c>
      <c r="C3616" s="26" t="s">
        <v>764</v>
      </c>
      <c r="D3616" s="26" t="s">
        <v>31</v>
      </c>
      <c r="E3616" s="26">
        <v>85.0</v>
      </c>
      <c r="F3616" s="26" t="s">
        <v>2368</v>
      </c>
      <c r="G3616" s="26">
        <v>3.0</v>
      </c>
      <c r="H3616" s="26">
        <v>3.0</v>
      </c>
      <c r="I3616" s="26">
        <v>70.0</v>
      </c>
      <c r="J3616" s="26">
        <v>15.0</v>
      </c>
      <c r="K3616" s="26">
        <v>7.0</v>
      </c>
      <c r="N3616" s="26" t="s">
        <v>708</v>
      </c>
    </row>
    <row r="3617">
      <c r="A3617" s="25">
        <v>43407.17682167824</v>
      </c>
      <c r="B3617" s="26" t="s">
        <v>1609</v>
      </c>
      <c r="C3617" s="26" t="s">
        <v>2369</v>
      </c>
      <c r="D3617" s="26" t="s">
        <v>31</v>
      </c>
      <c r="E3617" s="26">
        <v>99.0</v>
      </c>
      <c r="F3617" s="26" t="s">
        <v>1624</v>
      </c>
      <c r="G3617" s="26">
        <v>3.0</v>
      </c>
      <c r="H3617" s="26">
        <v>0.0</v>
      </c>
      <c r="I3617" s="26">
        <v>78.0</v>
      </c>
      <c r="J3617" s="26">
        <v>10.0</v>
      </c>
      <c r="K3617" s="26">
        <v>11.0</v>
      </c>
      <c r="N3617" s="26" t="s">
        <v>683</v>
      </c>
    </row>
    <row r="3618">
      <c r="A3618" s="25">
        <v>43407.224956516206</v>
      </c>
      <c r="B3618" s="26" t="s">
        <v>33</v>
      </c>
      <c r="C3618" s="26" t="s">
        <v>43</v>
      </c>
      <c r="D3618" s="26" t="s">
        <v>31</v>
      </c>
      <c r="E3618" s="26">
        <v>263.0</v>
      </c>
      <c r="F3618" s="26" t="s">
        <v>35</v>
      </c>
      <c r="G3618" s="26">
        <v>14.0</v>
      </c>
      <c r="H3618" s="26">
        <v>2.75</v>
      </c>
      <c r="I3618" s="26">
        <v>146.0</v>
      </c>
      <c r="N3618" s="26" t="s">
        <v>704</v>
      </c>
    </row>
    <row r="3619">
      <c r="A3619" s="25">
        <v>43407.26307623842</v>
      </c>
      <c r="B3619" s="26" t="s">
        <v>2370</v>
      </c>
      <c r="C3619" s="26" t="s">
        <v>1498</v>
      </c>
      <c r="D3619" s="26" t="s">
        <v>1225</v>
      </c>
      <c r="E3619" s="26">
        <v>200.0</v>
      </c>
      <c r="F3619" s="26" t="s">
        <v>2371</v>
      </c>
      <c r="G3619" s="26">
        <v>10.0</v>
      </c>
      <c r="H3619" s="26">
        <v>4.0</v>
      </c>
      <c r="I3619" s="26">
        <v>200.0</v>
      </c>
      <c r="K3619" s="26">
        <v>10.0</v>
      </c>
      <c r="N3619" s="26" t="s">
        <v>2372</v>
      </c>
    </row>
    <row r="3620">
      <c r="A3620" s="25">
        <v>43407.341276203704</v>
      </c>
      <c r="B3620" s="26" t="s">
        <v>80</v>
      </c>
      <c r="C3620" s="26" t="s">
        <v>43</v>
      </c>
      <c r="D3620" s="26" t="s">
        <v>27</v>
      </c>
      <c r="E3620" s="26">
        <v>140.0</v>
      </c>
      <c r="F3620" s="26" t="s">
        <v>1911</v>
      </c>
      <c r="G3620" s="26">
        <v>10.0</v>
      </c>
      <c r="H3620" s="26">
        <v>2.0</v>
      </c>
      <c r="N3620" s="26" t="s">
        <v>708</v>
      </c>
    </row>
    <row r="3621">
      <c r="A3621" s="25">
        <v>43407.36307024305</v>
      </c>
      <c r="B3621" s="26" t="s">
        <v>45</v>
      </c>
      <c r="C3621" s="26" t="s">
        <v>116</v>
      </c>
      <c r="D3621" s="26" t="s">
        <v>31</v>
      </c>
      <c r="E3621" s="26">
        <v>255.0</v>
      </c>
      <c r="F3621" s="26" t="s">
        <v>134</v>
      </c>
      <c r="G3621" s="26">
        <v>10.0</v>
      </c>
      <c r="H3621" s="26">
        <v>2.0</v>
      </c>
      <c r="I3621" s="26">
        <v>165.0</v>
      </c>
      <c r="J3621" s="26">
        <v>65.0</v>
      </c>
      <c r="K3621" s="26">
        <v>25.0</v>
      </c>
      <c r="N3621" s="26" t="s">
        <v>704</v>
      </c>
    </row>
    <row r="3622">
      <c r="A3622" s="25">
        <v>43407.40113414352</v>
      </c>
      <c r="B3622" s="26" t="s">
        <v>25</v>
      </c>
      <c r="C3622" s="26" t="s">
        <v>462</v>
      </c>
      <c r="D3622" s="26" t="s">
        <v>31</v>
      </c>
      <c r="E3622" s="26">
        <v>99.0</v>
      </c>
      <c r="F3622" s="26" t="s">
        <v>28</v>
      </c>
      <c r="G3622" s="26">
        <v>20.0</v>
      </c>
      <c r="H3622" s="26">
        <v>18.0</v>
      </c>
      <c r="I3622" s="26">
        <v>99.0</v>
      </c>
      <c r="N3622" s="26" t="s">
        <v>2373</v>
      </c>
    </row>
    <row r="3623">
      <c r="A3623" s="25">
        <v>43407.42737042824</v>
      </c>
      <c r="B3623" s="26" t="s">
        <v>33</v>
      </c>
      <c r="C3623" s="26" t="s">
        <v>152</v>
      </c>
      <c r="D3623" s="26" t="s">
        <v>41</v>
      </c>
      <c r="E3623" s="26">
        <v>750.0</v>
      </c>
      <c r="F3623" s="26" t="s">
        <v>63</v>
      </c>
      <c r="G3623" s="26">
        <v>20.0</v>
      </c>
      <c r="H3623" s="26">
        <v>4.0</v>
      </c>
      <c r="N3623" s="26" t="s">
        <v>683</v>
      </c>
    </row>
    <row r="3624">
      <c r="A3624" s="25">
        <v>43407.45955329861</v>
      </c>
      <c r="B3624" s="26" t="s">
        <v>350</v>
      </c>
      <c r="C3624" s="26" t="s">
        <v>351</v>
      </c>
      <c r="D3624" s="26" t="s">
        <v>31</v>
      </c>
      <c r="E3624" s="26">
        <v>115.0</v>
      </c>
      <c r="F3624" s="26" t="s">
        <v>312</v>
      </c>
      <c r="G3624" s="26">
        <v>4.0</v>
      </c>
      <c r="H3624" s="26">
        <v>3.0</v>
      </c>
      <c r="N3624" s="26" t="s">
        <v>683</v>
      </c>
    </row>
    <row r="3625">
      <c r="A3625" s="25">
        <v>43407.46746546296</v>
      </c>
      <c r="B3625" s="26" t="s">
        <v>1079</v>
      </c>
      <c r="C3625" s="26" t="s">
        <v>353</v>
      </c>
      <c r="D3625" s="26" t="s">
        <v>31</v>
      </c>
      <c r="E3625" s="26">
        <v>400.0</v>
      </c>
      <c r="F3625" s="26" t="s">
        <v>32</v>
      </c>
      <c r="G3625" s="26">
        <v>1.0</v>
      </c>
      <c r="H3625" s="26">
        <v>1.0</v>
      </c>
      <c r="N3625" s="26" t="s">
        <v>685</v>
      </c>
    </row>
    <row r="3626">
      <c r="A3626" s="25">
        <v>43407.630416354164</v>
      </c>
      <c r="B3626" s="26" t="s">
        <v>1313</v>
      </c>
      <c r="C3626" s="26" t="s">
        <v>1068</v>
      </c>
      <c r="D3626" s="26" t="s">
        <v>31</v>
      </c>
      <c r="E3626" s="26">
        <v>100.0</v>
      </c>
      <c r="F3626" s="26" t="s">
        <v>2374</v>
      </c>
      <c r="G3626" s="26">
        <v>0.0</v>
      </c>
      <c r="H3626" s="26">
        <v>0.0</v>
      </c>
      <c r="I3626" s="26">
        <v>95.0</v>
      </c>
      <c r="K3626" s="26">
        <v>5.0</v>
      </c>
      <c r="N3626" s="26" t="s">
        <v>174</v>
      </c>
    </row>
    <row r="3627">
      <c r="A3627" s="25">
        <v>43407.65053997685</v>
      </c>
      <c r="B3627" s="26" t="s">
        <v>33</v>
      </c>
      <c r="C3627" s="26" t="s">
        <v>62</v>
      </c>
      <c r="D3627" s="26" t="s">
        <v>31</v>
      </c>
      <c r="E3627" s="26">
        <v>360.0</v>
      </c>
      <c r="F3627" s="26" t="s">
        <v>63</v>
      </c>
      <c r="G3627" s="26">
        <v>10.0</v>
      </c>
      <c r="H3627" s="26">
        <v>1.0</v>
      </c>
      <c r="I3627" s="26">
        <v>160.0</v>
      </c>
      <c r="J3627" s="26">
        <v>160.0</v>
      </c>
      <c r="N3627" s="26" t="s">
        <v>683</v>
      </c>
    </row>
    <row r="3628">
      <c r="A3628" s="25">
        <v>43407.66115518518</v>
      </c>
      <c r="B3628" s="26" t="s">
        <v>123</v>
      </c>
      <c r="C3628" s="26" t="s">
        <v>125</v>
      </c>
      <c r="D3628" s="26" t="s">
        <v>31</v>
      </c>
      <c r="E3628" s="26">
        <v>420.0</v>
      </c>
      <c r="F3628" s="26" t="s">
        <v>47</v>
      </c>
      <c r="G3628" s="26">
        <v>6.0</v>
      </c>
      <c r="H3628" s="26">
        <v>4.0</v>
      </c>
      <c r="I3628" s="26">
        <v>192.0</v>
      </c>
      <c r="J3628" s="26">
        <v>200.0</v>
      </c>
      <c r="K3628" s="26">
        <v>28.0</v>
      </c>
      <c r="N3628" s="26" t="s">
        <v>683</v>
      </c>
    </row>
    <row r="3629">
      <c r="A3629" s="25">
        <v>43407.713890555555</v>
      </c>
      <c r="B3629" s="26" t="s">
        <v>40</v>
      </c>
      <c r="C3629" s="26">
        <v>63.0</v>
      </c>
      <c r="D3629" s="26" t="s">
        <v>711</v>
      </c>
      <c r="E3629" s="26">
        <v>225.0</v>
      </c>
      <c r="F3629" s="26" t="s">
        <v>75</v>
      </c>
      <c r="G3629" s="26">
        <v>2.0</v>
      </c>
      <c r="H3629" s="26">
        <v>1.0</v>
      </c>
      <c r="I3629" s="26">
        <v>155.0</v>
      </c>
      <c r="J3629" s="26">
        <v>55.0</v>
      </c>
      <c r="K3629" s="26">
        <v>15.0</v>
      </c>
      <c r="N3629" s="26" t="s">
        <v>691</v>
      </c>
    </row>
    <row r="3630">
      <c r="A3630" s="25">
        <v>43407.740230208336</v>
      </c>
      <c r="B3630" s="26" t="s">
        <v>270</v>
      </c>
      <c r="C3630" s="26" t="s">
        <v>825</v>
      </c>
      <c r="D3630" s="26" t="s">
        <v>2375</v>
      </c>
      <c r="E3630" s="26">
        <v>447.0</v>
      </c>
      <c r="F3630" s="26" t="s">
        <v>238</v>
      </c>
      <c r="G3630" s="26">
        <v>17.0</v>
      </c>
      <c r="H3630" s="26">
        <v>3.0</v>
      </c>
      <c r="I3630" s="26">
        <v>207.0</v>
      </c>
      <c r="J3630" s="26">
        <v>200.0</v>
      </c>
      <c r="K3630" s="26">
        <v>40.0</v>
      </c>
      <c r="N3630" s="26" t="s">
        <v>685</v>
      </c>
    </row>
    <row r="3631">
      <c r="A3631" s="25">
        <v>43408.06069372685</v>
      </c>
      <c r="B3631" s="26" t="s">
        <v>80</v>
      </c>
      <c r="C3631" s="26" t="s">
        <v>43</v>
      </c>
      <c r="D3631" s="26" t="s">
        <v>2376</v>
      </c>
      <c r="E3631" s="26">
        <v>210.0</v>
      </c>
      <c r="F3631" s="26" t="s">
        <v>1624</v>
      </c>
      <c r="G3631" s="26">
        <v>4.0</v>
      </c>
      <c r="H3631" s="26">
        <v>4.0</v>
      </c>
      <c r="I3631" s="26">
        <v>145.0</v>
      </c>
      <c r="J3631" s="26">
        <v>40.0</v>
      </c>
      <c r="K3631" s="26">
        <v>25.0</v>
      </c>
      <c r="M3631" s="26" t="s">
        <v>449</v>
      </c>
      <c r="N3631" s="26" t="s">
        <v>1712</v>
      </c>
    </row>
    <row r="3632">
      <c r="A3632" s="25">
        <v>43408.2509024537</v>
      </c>
      <c r="B3632" s="26" t="s">
        <v>268</v>
      </c>
      <c r="C3632" s="26" t="s">
        <v>366</v>
      </c>
      <c r="D3632" s="26" t="s">
        <v>2377</v>
      </c>
      <c r="E3632" s="26">
        <v>166.0</v>
      </c>
      <c r="F3632" s="26" t="s">
        <v>44</v>
      </c>
      <c r="G3632" s="26">
        <v>10.0</v>
      </c>
      <c r="H3632" s="26">
        <v>2.0</v>
      </c>
      <c r="I3632" s="26">
        <v>135.0</v>
      </c>
      <c r="J3632" s="26">
        <v>11.0</v>
      </c>
      <c r="K3632" s="26">
        <v>20.0</v>
      </c>
      <c r="M3632" s="26" t="s">
        <v>449</v>
      </c>
      <c r="N3632" s="26" t="s">
        <v>683</v>
      </c>
    </row>
    <row r="3633">
      <c r="A3633" s="25">
        <v>43408.28072796296</v>
      </c>
      <c r="B3633" s="26" t="s">
        <v>33</v>
      </c>
      <c r="C3633" s="26" t="s">
        <v>43</v>
      </c>
      <c r="D3633" s="26" t="s">
        <v>31</v>
      </c>
      <c r="E3633" s="26">
        <v>240.0</v>
      </c>
      <c r="F3633" s="26" t="s">
        <v>35</v>
      </c>
      <c r="G3633" s="26">
        <v>20.0</v>
      </c>
      <c r="H3633" s="26">
        <v>1.0</v>
      </c>
      <c r="I3633" s="26">
        <v>145.0</v>
      </c>
      <c r="J3633" s="26">
        <v>70.0</v>
      </c>
      <c r="K3633" s="26">
        <v>35.0</v>
      </c>
      <c r="M3633" s="26" t="s">
        <v>449</v>
      </c>
      <c r="N3633" s="26" t="s">
        <v>683</v>
      </c>
    </row>
    <row r="3634">
      <c r="A3634" s="25">
        <v>43408.3684037037</v>
      </c>
      <c r="B3634" s="26" t="s">
        <v>33</v>
      </c>
      <c r="C3634" s="26" t="s">
        <v>43</v>
      </c>
      <c r="D3634" s="26" t="s">
        <v>31</v>
      </c>
      <c r="E3634" s="26">
        <v>200.0</v>
      </c>
      <c r="F3634" s="26" t="s">
        <v>35</v>
      </c>
      <c r="G3634" s="26">
        <v>3.0</v>
      </c>
      <c r="H3634" s="26">
        <v>3.0</v>
      </c>
      <c r="I3634" s="26">
        <v>135.0</v>
      </c>
      <c r="K3634" s="26">
        <v>2.0</v>
      </c>
      <c r="M3634" s="26" t="s">
        <v>449</v>
      </c>
      <c r="N3634" s="26" t="s">
        <v>683</v>
      </c>
    </row>
    <row r="3635">
      <c r="A3635" s="25">
        <v>43408.386367812505</v>
      </c>
      <c r="B3635" s="26" t="s">
        <v>80</v>
      </c>
      <c r="C3635" s="26" t="s">
        <v>43</v>
      </c>
      <c r="D3635" s="26" t="s">
        <v>31</v>
      </c>
      <c r="E3635" s="26">
        <v>340.0</v>
      </c>
      <c r="F3635" s="26" t="s">
        <v>51</v>
      </c>
      <c r="G3635" s="26">
        <v>11.0</v>
      </c>
      <c r="H3635" s="26">
        <v>6.0</v>
      </c>
      <c r="I3635" s="26">
        <v>185.0</v>
      </c>
      <c r="J3635" s="26">
        <v>130.0</v>
      </c>
      <c r="K3635" s="26">
        <v>25.0</v>
      </c>
      <c r="M3635" s="26" t="s">
        <v>449</v>
      </c>
      <c r="N3635" s="26" t="s">
        <v>691</v>
      </c>
    </row>
    <row r="3636">
      <c r="A3636" s="25">
        <v>43408.43280763889</v>
      </c>
      <c r="B3636" s="26" t="s">
        <v>36</v>
      </c>
      <c r="C3636" s="26" t="s">
        <v>96</v>
      </c>
      <c r="D3636" s="26" t="s">
        <v>31</v>
      </c>
      <c r="E3636" s="26">
        <v>380.0</v>
      </c>
      <c r="F3636" s="26" t="s">
        <v>32</v>
      </c>
      <c r="G3636" s="26">
        <v>8.0</v>
      </c>
      <c r="H3636" s="26">
        <v>1.0</v>
      </c>
      <c r="I3636" s="26">
        <v>176.0</v>
      </c>
      <c r="J3636" s="26">
        <v>160.0</v>
      </c>
      <c r="K3636" s="26">
        <v>50.0</v>
      </c>
      <c r="M3636" s="26" t="s">
        <v>449</v>
      </c>
      <c r="N3636" s="26" t="s">
        <v>685</v>
      </c>
    </row>
    <row r="3637">
      <c r="A3637" s="25">
        <v>43408.46817393518</v>
      </c>
      <c r="B3637" s="26" t="s">
        <v>819</v>
      </c>
      <c r="C3637" s="26" t="s">
        <v>2378</v>
      </c>
      <c r="D3637" s="26" t="s">
        <v>41</v>
      </c>
      <c r="E3637" s="26">
        <v>260.0</v>
      </c>
      <c r="F3637" s="26" t="s">
        <v>175</v>
      </c>
      <c r="G3637" s="26">
        <v>13.0</v>
      </c>
      <c r="H3637" s="26">
        <v>4.0</v>
      </c>
      <c r="M3637" s="26" t="s">
        <v>449</v>
      </c>
      <c r="N3637" s="26" t="s">
        <v>751</v>
      </c>
    </row>
    <row r="3638">
      <c r="A3638" s="25">
        <v>43408.54383121528</v>
      </c>
      <c r="B3638" s="26" t="s">
        <v>2379</v>
      </c>
      <c r="C3638" s="26" t="s">
        <v>2380</v>
      </c>
      <c r="D3638" s="26" t="s">
        <v>31</v>
      </c>
      <c r="E3638" s="26">
        <v>125.0</v>
      </c>
      <c r="F3638" s="26" t="s">
        <v>35</v>
      </c>
      <c r="G3638" s="26">
        <v>0.0</v>
      </c>
      <c r="H3638" s="26">
        <v>0.0</v>
      </c>
      <c r="I3638" s="26">
        <v>105.0</v>
      </c>
      <c r="J3638" s="26">
        <v>10.0</v>
      </c>
      <c r="K3638" s="26">
        <v>10.0</v>
      </c>
      <c r="M3638" s="26" t="s">
        <v>449</v>
      </c>
      <c r="N3638" s="26" t="s">
        <v>708</v>
      </c>
    </row>
    <row r="3639">
      <c r="A3639" s="25">
        <v>43408.59105204861</v>
      </c>
      <c r="B3639" s="26" t="s">
        <v>371</v>
      </c>
      <c r="C3639" s="26" t="s">
        <v>1248</v>
      </c>
      <c r="D3639" s="26" t="s">
        <v>41</v>
      </c>
      <c r="E3639" s="26">
        <v>235.0</v>
      </c>
      <c r="F3639" s="26" t="s">
        <v>459</v>
      </c>
      <c r="G3639" s="26">
        <v>13.0</v>
      </c>
      <c r="H3639" s="26">
        <v>10.0</v>
      </c>
      <c r="I3639" s="26">
        <v>170.0</v>
      </c>
      <c r="J3639" s="26">
        <v>40.0</v>
      </c>
      <c r="K3639" s="26">
        <v>25.0</v>
      </c>
      <c r="L3639" s="26" t="s">
        <v>2381</v>
      </c>
      <c r="M3639" s="26" t="s">
        <v>449</v>
      </c>
      <c r="N3639" s="26" t="s">
        <v>751</v>
      </c>
    </row>
    <row r="3640">
      <c r="A3640" s="25">
        <v>43408.59139300926</v>
      </c>
      <c r="B3640" s="26" t="s">
        <v>428</v>
      </c>
      <c r="C3640" s="26" t="s">
        <v>2382</v>
      </c>
      <c r="D3640" s="26" t="s">
        <v>1225</v>
      </c>
      <c r="E3640" s="26">
        <v>200.0</v>
      </c>
      <c r="F3640" s="26" t="s">
        <v>32</v>
      </c>
      <c r="G3640" s="26">
        <v>2.0</v>
      </c>
      <c r="H3640" s="26">
        <v>2.0</v>
      </c>
      <c r="I3640" s="26">
        <v>130.0</v>
      </c>
      <c r="J3640" s="26">
        <v>70.0</v>
      </c>
      <c r="M3640" s="26" t="s">
        <v>449</v>
      </c>
      <c r="N3640" s="26" t="s">
        <v>1169</v>
      </c>
    </row>
    <row r="3641">
      <c r="A3641" s="25">
        <v>43408.60019212963</v>
      </c>
      <c r="B3641" s="26" t="s">
        <v>2190</v>
      </c>
      <c r="C3641" s="26" t="s">
        <v>62</v>
      </c>
      <c r="D3641" s="26" t="s">
        <v>31</v>
      </c>
      <c r="E3641" s="26">
        <v>110.0</v>
      </c>
      <c r="F3641" s="26" t="s">
        <v>320</v>
      </c>
      <c r="G3641" s="26">
        <v>5.0</v>
      </c>
      <c r="H3641" s="26">
        <v>2.0</v>
      </c>
      <c r="I3641" s="26">
        <v>100.0</v>
      </c>
      <c r="K3641" s="26">
        <v>10.0</v>
      </c>
      <c r="M3641" s="26" t="s">
        <v>449</v>
      </c>
      <c r="N3641" s="26" t="s">
        <v>683</v>
      </c>
    </row>
    <row r="3642">
      <c r="A3642" s="25">
        <v>43408.62811471065</v>
      </c>
      <c r="B3642" s="26" t="s">
        <v>813</v>
      </c>
      <c r="C3642" s="26" t="s">
        <v>825</v>
      </c>
      <c r="D3642" s="26" t="s">
        <v>31</v>
      </c>
      <c r="E3642" s="26">
        <v>115.0</v>
      </c>
      <c r="F3642" s="26" t="s">
        <v>2243</v>
      </c>
      <c r="G3642" s="26">
        <v>12.0</v>
      </c>
      <c r="H3642" s="26">
        <v>1.0</v>
      </c>
      <c r="M3642" s="26" t="s">
        <v>449</v>
      </c>
      <c r="N3642" s="26" t="s">
        <v>704</v>
      </c>
    </row>
    <row r="3643">
      <c r="A3643" s="25">
        <v>43408.64872494213</v>
      </c>
      <c r="B3643" s="26" t="s">
        <v>2383</v>
      </c>
      <c r="C3643" s="26" t="s">
        <v>37</v>
      </c>
      <c r="D3643" s="26" t="s">
        <v>31</v>
      </c>
      <c r="E3643" s="26">
        <v>150.0</v>
      </c>
      <c r="F3643" s="26" t="s">
        <v>32</v>
      </c>
      <c r="G3643" s="26">
        <v>9.0</v>
      </c>
      <c r="H3643" s="26">
        <v>4.0</v>
      </c>
      <c r="M3643" s="26" t="s">
        <v>449</v>
      </c>
      <c r="N3643" s="26" t="s">
        <v>683</v>
      </c>
    </row>
    <row r="3644">
      <c r="A3644" s="25">
        <v>43408.74490243055</v>
      </c>
      <c r="B3644" s="26" t="s">
        <v>33</v>
      </c>
      <c r="C3644" s="26" t="s">
        <v>76</v>
      </c>
      <c r="D3644" s="26" t="s">
        <v>31</v>
      </c>
      <c r="E3644" s="26">
        <v>205.0</v>
      </c>
      <c r="F3644" s="26" t="s">
        <v>161</v>
      </c>
      <c r="G3644" s="26">
        <v>4.0</v>
      </c>
      <c r="H3644" s="26">
        <v>1.0</v>
      </c>
      <c r="I3644" s="26">
        <v>145.0</v>
      </c>
      <c r="J3644" s="26">
        <v>10.0</v>
      </c>
      <c r="K3644" s="26">
        <v>50.0</v>
      </c>
      <c r="M3644" s="26" t="s">
        <v>449</v>
      </c>
      <c r="N3644" s="26" t="s">
        <v>691</v>
      </c>
    </row>
    <row r="3645">
      <c r="A3645" s="25">
        <v>43408.75052378472</v>
      </c>
      <c r="B3645" s="26" t="s">
        <v>48</v>
      </c>
      <c r="C3645" s="26" t="s">
        <v>166</v>
      </c>
      <c r="D3645" s="26" t="s">
        <v>27</v>
      </c>
      <c r="E3645" s="26">
        <v>300.0</v>
      </c>
      <c r="F3645" s="26" t="s">
        <v>1042</v>
      </c>
      <c r="G3645" s="26">
        <v>7.0</v>
      </c>
      <c r="H3645" s="26">
        <v>0.0</v>
      </c>
      <c r="I3645" s="26">
        <v>190.0</v>
      </c>
      <c r="J3645" s="26">
        <v>80.0</v>
      </c>
      <c r="K3645" s="26">
        <v>30.0</v>
      </c>
      <c r="M3645" s="26" t="s">
        <v>458</v>
      </c>
      <c r="N3645" s="26" t="s">
        <v>174</v>
      </c>
    </row>
    <row r="3646">
      <c r="A3646" s="25">
        <v>43408.75957504629</v>
      </c>
      <c r="B3646" s="26" t="s">
        <v>536</v>
      </c>
      <c r="C3646" s="26" t="s">
        <v>37</v>
      </c>
      <c r="D3646" s="26" t="s">
        <v>31</v>
      </c>
      <c r="E3646" s="26">
        <v>108.0</v>
      </c>
      <c r="F3646" s="26" t="s">
        <v>35</v>
      </c>
      <c r="G3646" s="26">
        <v>5.0</v>
      </c>
      <c r="H3646" s="26">
        <v>5.0</v>
      </c>
      <c r="I3646" s="26">
        <v>108.0</v>
      </c>
      <c r="M3646" s="26" t="s">
        <v>458</v>
      </c>
      <c r="N3646" s="26" t="s">
        <v>683</v>
      </c>
    </row>
    <row r="3647">
      <c r="A3647" s="25">
        <v>43408.790867337964</v>
      </c>
      <c r="B3647" s="26" t="s">
        <v>33</v>
      </c>
      <c r="C3647" s="26" t="s">
        <v>2384</v>
      </c>
      <c r="D3647" s="26" t="s">
        <v>31</v>
      </c>
      <c r="E3647" s="26">
        <v>500.0</v>
      </c>
      <c r="F3647" s="26" t="s">
        <v>2265</v>
      </c>
      <c r="G3647" s="26">
        <v>15.0</v>
      </c>
      <c r="H3647" s="26">
        <v>2.0</v>
      </c>
      <c r="M3647" s="26" t="s">
        <v>449</v>
      </c>
      <c r="N3647" s="26" t="s">
        <v>683</v>
      </c>
    </row>
    <row r="3648">
      <c r="A3648" s="25">
        <v>43408.83014280093</v>
      </c>
      <c r="B3648" s="26" t="s">
        <v>33</v>
      </c>
      <c r="C3648" s="26" t="s">
        <v>34</v>
      </c>
      <c r="D3648" s="26" t="s">
        <v>27</v>
      </c>
      <c r="E3648" s="26">
        <v>259.0</v>
      </c>
      <c r="F3648" s="26" t="s">
        <v>35</v>
      </c>
      <c r="G3648" s="26">
        <v>17.0</v>
      </c>
      <c r="H3648" s="26">
        <v>2.0</v>
      </c>
      <c r="M3648" s="26" t="s">
        <v>449</v>
      </c>
      <c r="N3648" s="26" t="s">
        <v>995</v>
      </c>
    </row>
    <row r="3649">
      <c r="A3649" s="25">
        <v>43408.83608255787</v>
      </c>
      <c r="B3649" s="26" t="s">
        <v>33</v>
      </c>
      <c r="C3649" s="26" t="s">
        <v>73</v>
      </c>
      <c r="D3649" s="26" t="s">
        <v>31</v>
      </c>
      <c r="E3649" s="26">
        <v>161.0</v>
      </c>
      <c r="F3649" s="26" t="s">
        <v>35</v>
      </c>
      <c r="G3649" s="26">
        <v>2.0</v>
      </c>
      <c r="H3649" s="26">
        <v>0.0</v>
      </c>
      <c r="M3649" s="26" t="s">
        <v>449</v>
      </c>
      <c r="N3649" s="26" t="s">
        <v>728</v>
      </c>
    </row>
    <row r="3650">
      <c r="A3650" s="25">
        <v>43408.86278401621</v>
      </c>
      <c r="B3650" s="26" t="s">
        <v>204</v>
      </c>
      <c r="C3650" s="26" t="s">
        <v>73</v>
      </c>
      <c r="D3650" s="26" t="s">
        <v>31</v>
      </c>
      <c r="E3650" s="26">
        <v>270.0</v>
      </c>
      <c r="F3650" s="26" t="s">
        <v>32</v>
      </c>
      <c r="G3650" s="26">
        <v>5.0</v>
      </c>
      <c r="H3650" s="26">
        <v>1.0</v>
      </c>
      <c r="I3650" s="26">
        <v>170.0</v>
      </c>
      <c r="J3650" s="26">
        <v>90.0</v>
      </c>
      <c r="K3650" s="26">
        <v>10.0</v>
      </c>
      <c r="M3650" s="26" t="s">
        <v>449</v>
      </c>
      <c r="N3650" s="26" t="s">
        <v>685</v>
      </c>
    </row>
    <row r="3651">
      <c r="A3651" s="25">
        <v>43408.93713034722</v>
      </c>
      <c r="B3651" s="26" t="s">
        <v>40</v>
      </c>
      <c r="C3651" s="26">
        <v>60.0</v>
      </c>
      <c r="D3651" s="26" t="s">
        <v>31</v>
      </c>
      <c r="E3651" s="26">
        <v>300.0</v>
      </c>
      <c r="F3651" s="26" t="s">
        <v>134</v>
      </c>
      <c r="G3651" s="26">
        <v>3.0</v>
      </c>
      <c r="H3651" s="26">
        <v>3.0</v>
      </c>
      <c r="M3651" s="26" t="s">
        <v>449</v>
      </c>
      <c r="N3651" s="26" t="s">
        <v>751</v>
      </c>
    </row>
    <row r="3652">
      <c r="A3652" s="25">
        <v>43408.954636435185</v>
      </c>
      <c r="B3652" s="26" t="s">
        <v>428</v>
      </c>
      <c r="C3652" s="26" t="s">
        <v>1232</v>
      </c>
      <c r="D3652" s="26" t="s">
        <v>31</v>
      </c>
      <c r="E3652" s="26">
        <v>265.0</v>
      </c>
      <c r="F3652" s="26" t="s">
        <v>58</v>
      </c>
      <c r="G3652" s="26">
        <v>4.0</v>
      </c>
      <c r="H3652" s="26">
        <v>0.0</v>
      </c>
      <c r="I3652" s="26">
        <v>165.0</v>
      </c>
      <c r="J3652" s="26">
        <v>100.0</v>
      </c>
      <c r="N3652" s="26" t="s">
        <v>685</v>
      </c>
    </row>
    <row r="3653">
      <c r="A3653" s="25">
        <v>43409.036154305555</v>
      </c>
      <c r="B3653" s="26" t="s">
        <v>40</v>
      </c>
      <c r="C3653" s="26">
        <v>60.0</v>
      </c>
      <c r="D3653" s="26" t="s">
        <v>31</v>
      </c>
      <c r="E3653" s="26">
        <v>300.0</v>
      </c>
      <c r="F3653" s="26" t="s">
        <v>47</v>
      </c>
      <c r="G3653" s="26">
        <v>3.0</v>
      </c>
      <c r="H3653" s="26">
        <v>3.0</v>
      </c>
      <c r="M3653" s="26" t="s">
        <v>449</v>
      </c>
      <c r="N3653" s="26" t="s">
        <v>691</v>
      </c>
    </row>
    <row r="3654">
      <c r="A3654" s="25">
        <v>43409.03718694445</v>
      </c>
      <c r="B3654" s="26" t="s">
        <v>45</v>
      </c>
      <c r="C3654" s="26" t="s">
        <v>116</v>
      </c>
      <c r="D3654" s="26" t="s">
        <v>31</v>
      </c>
      <c r="E3654" s="26">
        <v>20.0</v>
      </c>
      <c r="F3654" s="26" t="s">
        <v>47</v>
      </c>
      <c r="G3654" s="26">
        <v>3.0</v>
      </c>
      <c r="H3654" s="26">
        <v>3.0</v>
      </c>
      <c r="M3654" s="26" t="s">
        <v>458</v>
      </c>
      <c r="N3654" s="26" t="s">
        <v>699</v>
      </c>
    </row>
    <row r="3655">
      <c r="A3655" s="25">
        <v>43409.097709837966</v>
      </c>
      <c r="B3655" s="26" t="s">
        <v>2385</v>
      </c>
      <c r="C3655" s="26" t="s">
        <v>37</v>
      </c>
      <c r="D3655" s="26" t="s">
        <v>27</v>
      </c>
      <c r="E3655" s="26">
        <v>59.0</v>
      </c>
      <c r="F3655" s="26" t="s">
        <v>1794</v>
      </c>
      <c r="G3655" s="26">
        <v>5.0</v>
      </c>
      <c r="H3655" s="26">
        <v>2.0</v>
      </c>
      <c r="M3655" s="26" t="s">
        <v>449</v>
      </c>
      <c r="N3655" s="26" t="s">
        <v>1792</v>
      </c>
    </row>
    <row r="3656">
      <c r="A3656" s="25">
        <v>43409.12187935185</v>
      </c>
      <c r="B3656" s="26" t="s">
        <v>2386</v>
      </c>
      <c r="C3656" s="26" t="s">
        <v>1405</v>
      </c>
      <c r="D3656" s="26" t="s">
        <v>31</v>
      </c>
      <c r="E3656" s="26">
        <v>22.0</v>
      </c>
      <c r="F3656" s="26" t="s">
        <v>1602</v>
      </c>
      <c r="G3656" s="26">
        <v>10.0</v>
      </c>
      <c r="H3656" s="26">
        <v>7.0</v>
      </c>
      <c r="I3656" s="26">
        <v>20.0</v>
      </c>
      <c r="K3656" s="26">
        <v>2.0</v>
      </c>
      <c r="N3656" s="26" t="s">
        <v>685</v>
      </c>
    </row>
    <row r="3657">
      <c r="A3657" s="25">
        <v>43409.31660346065</v>
      </c>
      <c r="B3657" s="26" t="s">
        <v>2387</v>
      </c>
      <c r="C3657" s="26" t="s">
        <v>1274</v>
      </c>
      <c r="D3657" s="26" t="s">
        <v>2388</v>
      </c>
      <c r="E3657" s="26">
        <v>100.0</v>
      </c>
      <c r="F3657" s="26" t="s">
        <v>2389</v>
      </c>
      <c r="G3657" s="26">
        <v>2.0</v>
      </c>
      <c r="H3657" s="26">
        <v>1.5</v>
      </c>
      <c r="I3657" s="26">
        <v>80.0</v>
      </c>
      <c r="J3657" s="26">
        <v>15.0</v>
      </c>
      <c r="K3657" s="26">
        <v>5.0</v>
      </c>
      <c r="M3657" s="26" t="s">
        <v>449</v>
      </c>
      <c r="N3657" s="26" t="s">
        <v>691</v>
      </c>
    </row>
    <row r="3658">
      <c r="A3658" s="25">
        <v>43409.36961865741</v>
      </c>
      <c r="B3658" s="26" t="s">
        <v>268</v>
      </c>
      <c r="C3658" s="26" t="s">
        <v>424</v>
      </c>
      <c r="D3658" s="26" t="s">
        <v>31</v>
      </c>
      <c r="E3658" s="26">
        <v>130.0</v>
      </c>
      <c r="F3658" s="26" t="s">
        <v>238</v>
      </c>
      <c r="G3658" s="26">
        <v>1.0</v>
      </c>
      <c r="H3658" s="26">
        <v>1.0</v>
      </c>
      <c r="I3658" s="26">
        <v>120.0</v>
      </c>
      <c r="K3658" s="26">
        <v>10.0</v>
      </c>
      <c r="N3658" s="26" t="s">
        <v>715</v>
      </c>
    </row>
    <row r="3659">
      <c r="A3659" s="25">
        <v>43409.412519074074</v>
      </c>
      <c r="B3659" s="26" t="s">
        <v>154</v>
      </c>
      <c r="C3659" s="26" t="s">
        <v>676</v>
      </c>
      <c r="D3659" s="26" t="s">
        <v>31</v>
      </c>
      <c r="E3659" s="26">
        <v>410.0</v>
      </c>
      <c r="F3659" s="26" t="s">
        <v>677</v>
      </c>
      <c r="G3659" s="26">
        <v>16.0</v>
      </c>
      <c r="H3659" s="26">
        <v>0.0</v>
      </c>
      <c r="I3659" s="26">
        <v>240.0</v>
      </c>
      <c r="J3659" s="26">
        <v>110.0</v>
      </c>
      <c r="K3659" s="26">
        <v>60.0</v>
      </c>
      <c r="M3659" s="26" t="s">
        <v>449</v>
      </c>
      <c r="N3659" s="26" t="s">
        <v>683</v>
      </c>
    </row>
    <row r="3660">
      <c r="A3660" s="25">
        <v>43409.41897616898</v>
      </c>
      <c r="B3660" s="26" t="s">
        <v>36</v>
      </c>
      <c r="C3660" s="26" t="s">
        <v>610</v>
      </c>
      <c r="D3660" s="26" t="s">
        <v>31</v>
      </c>
      <c r="E3660" s="26">
        <v>245.0</v>
      </c>
      <c r="F3660" s="26" t="s">
        <v>32</v>
      </c>
      <c r="G3660" s="26">
        <v>0.0</v>
      </c>
      <c r="H3660" s="26">
        <v>2.0</v>
      </c>
      <c r="I3660" s="26">
        <v>148.0</v>
      </c>
      <c r="J3660" s="26">
        <v>83.0</v>
      </c>
      <c r="K3660" s="26">
        <v>14.0</v>
      </c>
      <c r="M3660" s="26" t="s">
        <v>449</v>
      </c>
      <c r="N3660" s="26" t="s">
        <v>691</v>
      </c>
    </row>
    <row r="3661">
      <c r="A3661" s="25">
        <v>43409.47019310185</v>
      </c>
      <c r="B3661" s="26" t="s">
        <v>45</v>
      </c>
      <c r="C3661" s="26" t="s">
        <v>149</v>
      </c>
      <c r="D3661" s="26" t="s">
        <v>1225</v>
      </c>
      <c r="E3661" s="26">
        <v>30.0</v>
      </c>
      <c r="F3661" s="26" t="s">
        <v>104</v>
      </c>
      <c r="G3661" s="26">
        <v>7.0</v>
      </c>
      <c r="H3661" s="26">
        <v>3.0</v>
      </c>
      <c r="M3661" s="26" t="s">
        <v>458</v>
      </c>
      <c r="N3661" s="26" t="s">
        <v>699</v>
      </c>
    </row>
    <row r="3662">
      <c r="A3662" s="25">
        <v>43409.53148306713</v>
      </c>
      <c r="B3662" s="27" t="s">
        <v>2390</v>
      </c>
      <c r="C3662" s="26" t="s">
        <v>37</v>
      </c>
      <c r="D3662" s="26" t="s">
        <v>2391</v>
      </c>
      <c r="E3662" s="26">
        <v>53.0</v>
      </c>
      <c r="F3662" s="26" t="s">
        <v>1651</v>
      </c>
      <c r="G3662" s="26">
        <v>1.0</v>
      </c>
      <c r="H3662" s="26">
        <v>1.0</v>
      </c>
      <c r="I3662" s="26">
        <v>48.0</v>
      </c>
      <c r="K3662" s="26">
        <v>5.0</v>
      </c>
      <c r="M3662" s="26" t="s">
        <v>458</v>
      </c>
      <c r="N3662" s="26" t="s">
        <v>683</v>
      </c>
    </row>
    <row r="3663">
      <c r="A3663" s="25">
        <v>43409.64882785879</v>
      </c>
      <c r="B3663" s="26" t="s">
        <v>40</v>
      </c>
      <c r="C3663" s="26">
        <v>60.0</v>
      </c>
      <c r="D3663" s="26" t="s">
        <v>711</v>
      </c>
      <c r="E3663" s="26">
        <v>145.0</v>
      </c>
      <c r="F3663" s="26" t="s">
        <v>134</v>
      </c>
      <c r="G3663" s="26">
        <v>4.0</v>
      </c>
      <c r="H3663" s="26">
        <v>3.0</v>
      </c>
      <c r="M3663" s="26" t="s">
        <v>449</v>
      </c>
      <c r="N3663" s="26" t="s">
        <v>691</v>
      </c>
    </row>
    <row r="3664">
      <c r="A3664" s="25">
        <v>43409.65139408565</v>
      </c>
      <c r="B3664" s="26" t="s">
        <v>371</v>
      </c>
      <c r="C3664" s="26" t="s">
        <v>1248</v>
      </c>
      <c r="D3664" s="26" t="s">
        <v>2392</v>
      </c>
      <c r="E3664" s="26">
        <v>220.0</v>
      </c>
      <c r="F3664" s="26" t="s">
        <v>459</v>
      </c>
      <c r="G3664" s="26">
        <v>12.0</v>
      </c>
      <c r="H3664" s="26">
        <v>7.0</v>
      </c>
      <c r="I3664" s="26">
        <v>158.0</v>
      </c>
      <c r="J3664" s="26">
        <v>37.0</v>
      </c>
      <c r="K3664" s="26">
        <v>24.0</v>
      </c>
      <c r="M3664" s="26" t="s">
        <v>449</v>
      </c>
      <c r="N3664" s="26" t="s">
        <v>1163</v>
      </c>
    </row>
    <row r="3665">
      <c r="A3665" s="25">
        <v>43409.83015678241</v>
      </c>
      <c r="B3665" s="26" t="s">
        <v>40</v>
      </c>
      <c r="C3665" s="26">
        <v>61.0</v>
      </c>
      <c r="D3665" s="26" t="s">
        <v>31</v>
      </c>
      <c r="E3665" s="26">
        <v>140.0</v>
      </c>
      <c r="F3665" s="26" t="s">
        <v>52</v>
      </c>
      <c r="G3665" s="26">
        <v>3.0</v>
      </c>
      <c r="H3665" s="26">
        <v>3.0</v>
      </c>
      <c r="M3665" s="26" t="s">
        <v>449</v>
      </c>
      <c r="N3665" s="26" t="s">
        <v>683</v>
      </c>
    </row>
    <row r="3666">
      <c r="A3666" s="25">
        <v>43409.863161354166</v>
      </c>
      <c r="B3666" s="26" t="s">
        <v>33</v>
      </c>
      <c r="C3666" s="26" t="s">
        <v>76</v>
      </c>
      <c r="D3666" s="26" t="s">
        <v>31</v>
      </c>
      <c r="E3666" s="26">
        <v>206.0</v>
      </c>
      <c r="F3666" s="26" t="s">
        <v>63</v>
      </c>
      <c r="G3666" s="26">
        <v>4.0</v>
      </c>
      <c r="H3666" s="26">
        <v>0.0</v>
      </c>
      <c r="I3666" s="26">
        <v>140.0</v>
      </c>
      <c r="J3666" s="26">
        <v>31.0</v>
      </c>
      <c r="K3666" s="26">
        <v>26.0</v>
      </c>
      <c r="M3666" s="26" t="s">
        <v>449</v>
      </c>
      <c r="N3666" s="26" t="s">
        <v>685</v>
      </c>
    </row>
    <row r="3667">
      <c r="A3667" s="25">
        <v>43409.87758483796</v>
      </c>
      <c r="B3667" s="26" t="s">
        <v>2393</v>
      </c>
      <c r="C3667" s="26" t="s">
        <v>806</v>
      </c>
      <c r="D3667" s="26" t="s">
        <v>31</v>
      </c>
      <c r="E3667" s="26">
        <v>32.0</v>
      </c>
      <c r="F3667" s="26" t="s">
        <v>1688</v>
      </c>
      <c r="G3667" s="26">
        <v>5.0</v>
      </c>
      <c r="H3667" s="26">
        <v>5.0</v>
      </c>
      <c r="I3667" s="26">
        <v>31.0</v>
      </c>
      <c r="J3667" s="26">
        <v>1.0</v>
      </c>
      <c r="M3667" s="26" t="s">
        <v>449</v>
      </c>
      <c r="N3667" s="26" t="s">
        <v>708</v>
      </c>
    </row>
    <row r="3668">
      <c r="A3668" s="25">
        <v>43409.889050729165</v>
      </c>
      <c r="B3668" s="26" t="s">
        <v>25</v>
      </c>
      <c r="C3668" s="26" t="s">
        <v>1098</v>
      </c>
      <c r="D3668" s="26" t="s">
        <v>31</v>
      </c>
      <c r="E3668" s="26">
        <v>365.0</v>
      </c>
      <c r="F3668" s="26" t="s">
        <v>1275</v>
      </c>
      <c r="G3668" s="26">
        <v>5.0</v>
      </c>
      <c r="H3668" s="26">
        <v>1.0</v>
      </c>
      <c r="I3668" s="26">
        <v>200.0</v>
      </c>
      <c r="J3668" s="26">
        <v>140.0</v>
      </c>
      <c r="K3668" s="26">
        <v>25.0</v>
      </c>
      <c r="M3668" s="26" t="s">
        <v>449</v>
      </c>
      <c r="N3668" s="26" t="s">
        <v>685</v>
      </c>
    </row>
    <row r="3669">
      <c r="A3669" s="25">
        <v>43409.89090989583</v>
      </c>
      <c r="B3669" s="26" t="s">
        <v>387</v>
      </c>
      <c r="C3669" s="26" t="s">
        <v>455</v>
      </c>
      <c r="D3669" s="26" t="s">
        <v>31</v>
      </c>
      <c r="E3669" s="26">
        <v>200.0</v>
      </c>
      <c r="F3669" s="26" t="s">
        <v>175</v>
      </c>
      <c r="G3669" s="26">
        <v>0.0</v>
      </c>
      <c r="H3669" s="26">
        <v>0.0</v>
      </c>
      <c r="I3669" s="26">
        <v>135.0</v>
      </c>
      <c r="J3669" s="26">
        <v>65.0</v>
      </c>
      <c r="M3669" s="26" t="s">
        <v>449</v>
      </c>
      <c r="N3669" s="26" t="s">
        <v>708</v>
      </c>
    </row>
    <row r="3670">
      <c r="A3670" s="25">
        <v>43409.892920625</v>
      </c>
      <c r="B3670" s="26" t="s">
        <v>270</v>
      </c>
      <c r="C3670" s="26" t="s">
        <v>742</v>
      </c>
      <c r="D3670" s="26" t="s">
        <v>31</v>
      </c>
      <c r="E3670" s="26">
        <v>157.0</v>
      </c>
      <c r="F3670" s="26" t="s">
        <v>549</v>
      </c>
      <c r="G3670" s="26">
        <v>3.0</v>
      </c>
      <c r="H3670" s="26">
        <v>0.0</v>
      </c>
      <c r="I3670" s="26">
        <v>120.0</v>
      </c>
      <c r="J3670" s="26">
        <v>25.0</v>
      </c>
      <c r="K3670" s="26">
        <v>12.0</v>
      </c>
      <c r="M3670" s="26" t="s">
        <v>458</v>
      </c>
      <c r="N3670" s="26" t="s">
        <v>685</v>
      </c>
    </row>
    <row r="3671">
      <c r="A3671" s="25">
        <v>43409.90429314815</v>
      </c>
      <c r="B3671" s="26" t="s">
        <v>146</v>
      </c>
      <c r="C3671" s="26" t="s">
        <v>737</v>
      </c>
      <c r="D3671" s="26" t="s">
        <v>31</v>
      </c>
      <c r="E3671" s="26">
        <v>450.0</v>
      </c>
      <c r="F3671" s="26" t="s">
        <v>51</v>
      </c>
      <c r="G3671" s="26">
        <v>7.0</v>
      </c>
      <c r="H3671" s="26">
        <v>3.0</v>
      </c>
      <c r="I3671" s="26">
        <v>200.0</v>
      </c>
      <c r="J3671" s="26">
        <v>230.0</v>
      </c>
      <c r="K3671" s="26">
        <v>20.0</v>
      </c>
      <c r="M3671" s="26" t="s">
        <v>449</v>
      </c>
      <c r="N3671" s="26" t="s">
        <v>685</v>
      </c>
    </row>
    <row r="3672">
      <c r="A3672" s="25">
        <v>43409.915835312495</v>
      </c>
      <c r="B3672" s="26" t="s">
        <v>80</v>
      </c>
      <c r="C3672" s="26" t="s">
        <v>26</v>
      </c>
      <c r="D3672" s="26" t="s">
        <v>31</v>
      </c>
      <c r="E3672" s="26">
        <v>158.0</v>
      </c>
      <c r="F3672" s="26" t="s">
        <v>51</v>
      </c>
      <c r="G3672" s="26">
        <v>0.0</v>
      </c>
      <c r="H3672" s="26">
        <v>0.0</v>
      </c>
      <c r="I3672" s="26">
        <v>116.0</v>
      </c>
      <c r="J3672" s="26">
        <v>25.0</v>
      </c>
      <c r="K3672" s="26">
        <v>17.0</v>
      </c>
      <c r="M3672" s="26" t="s">
        <v>458</v>
      </c>
      <c r="N3672" s="26" t="s">
        <v>704</v>
      </c>
    </row>
    <row r="3673">
      <c r="A3673" s="25">
        <v>43409.934588425924</v>
      </c>
      <c r="B3673" s="26" t="s">
        <v>813</v>
      </c>
      <c r="C3673" s="26" t="s">
        <v>688</v>
      </c>
      <c r="D3673" s="26" t="s">
        <v>41</v>
      </c>
      <c r="E3673" s="26">
        <v>305.0</v>
      </c>
      <c r="F3673" s="26" t="s">
        <v>32</v>
      </c>
      <c r="G3673" s="26">
        <v>10.0</v>
      </c>
      <c r="H3673" s="26">
        <v>6.0</v>
      </c>
      <c r="I3673" s="26">
        <v>180.0</v>
      </c>
      <c r="J3673" s="26">
        <v>100.0</v>
      </c>
      <c r="K3673" s="26">
        <v>26.0</v>
      </c>
      <c r="M3673" s="26" t="s">
        <v>449</v>
      </c>
      <c r="N3673" s="26" t="s">
        <v>696</v>
      </c>
    </row>
    <row r="3674">
      <c r="A3674" s="25">
        <v>43409.98334034722</v>
      </c>
      <c r="B3674" s="26" t="s">
        <v>48</v>
      </c>
      <c r="C3674" s="26" t="s">
        <v>113</v>
      </c>
      <c r="D3674" s="26" t="s">
        <v>2394</v>
      </c>
      <c r="E3674" s="26">
        <v>240.0</v>
      </c>
      <c r="F3674" s="26" t="s">
        <v>50</v>
      </c>
      <c r="G3674" s="26">
        <v>5.0</v>
      </c>
      <c r="H3674" s="26">
        <v>3.0</v>
      </c>
      <c r="I3674" s="26">
        <v>166.0</v>
      </c>
      <c r="J3674" s="26">
        <v>44.0</v>
      </c>
      <c r="K3674" s="26">
        <v>30.0</v>
      </c>
      <c r="M3674" s="26" t="s">
        <v>449</v>
      </c>
      <c r="N3674" s="26" t="s">
        <v>1169</v>
      </c>
    </row>
    <row r="3675">
      <c r="A3675" s="25">
        <v>43410.10549209491</v>
      </c>
      <c r="B3675" s="26" t="s">
        <v>2395</v>
      </c>
      <c r="C3675" s="26" t="s">
        <v>152</v>
      </c>
      <c r="D3675" s="26" t="s">
        <v>2396</v>
      </c>
      <c r="E3675" s="26">
        <v>379.0</v>
      </c>
      <c r="F3675" s="26" t="s">
        <v>1072</v>
      </c>
      <c r="G3675" s="26">
        <v>15.0</v>
      </c>
      <c r="H3675" s="26">
        <v>1.0</v>
      </c>
      <c r="I3675" s="26">
        <v>230.0</v>
      </c>
      <c r="J3675" s="26">
        <v>80.0</v>
      </c>
      <c r="K3675" s="26">
        <v>69.0</v>
      </c>
      <c r="M3675" s="26" t="s">
        <v>458</v>
      </c>
      <c r="N3675" s="26" t="s">
        <v>2397</v>
      </c>
    </row>
    <row r="3676">
      <c r="A3676" s="25">
        <v>43410.174466157405</v>
      </c>
      <c r="B3676" s="26" t="s">
        <v>33</v>
      </c>
      <c r="C3676" s="26" t="s">
        <v>43</v>
      </c>
      <c r="D3676" s="26" t="s">
        <v>31</v>
      </c>
      <c r="E3676" s="26">
        <v>117.0</v>
      </c>
      <c r="F3676" s="26" t="s">
        <v>2398</v>
      </c>
      <c r="G3676" s="26">
        <v>18.0</v>
      </c>
      <c r="H3676" s="26">
        <v>2.0</v>
      </c>
      <c r="M3676" s="26" t="s">
        <v>449</v>
      </c>
      <c r="N3676" s="26" t="s">
        <v>696</v>
      </c>
    </row>
    <row r="3677">
      <c r="A3677" s="25">
        <v>43410.20597768518</v>
      </c>
      <c r="B3677" s="26" t="s">
        <v>234</v>
      </c>
      <c r="C3677" s="26" t="s">
        <v>218</v>
      </c>
      <c r="D3677" s="26" t="s">
        <v>31</v>
      </c>
      <c r="E3677" s="26">
        <v>20.0</v>
      </c>
      <c r="F3677" s="26" t="s">
        <v>1083</v>
      </c>
      <c r="G3677" s="26">
        <v>5.0</v>
      </c>
      <c r="H3677" s="26">
        <v>5.0</v>
      </c>
      <c r="I3677" s="26">
        <v>16.0</v>
      </c>
      <c r="K3677" s="26">
        <v>4.0</v>
      </c>
      <c r="M3677" s="26" t="s">
        <v>449</v>
      </c>
      <c r="N3677" s="26" t="s">
        <v>687</v>
      </c>
    </row>
    <row r="3678">
      <c r="A3678" s="25">
        <v>43410.3014615625</v>
      </c>
      <c r="B3678" s="26" t="s">
        <v>119</v>
      </c>
      <c r="C3678" s="26" t="s">
        <v>897</v>
      </c>
      <c r="D3678" s="26" t="s">
        <v>31</v>
      </c>
      <c r="E3678" s="26">
        <v>315.0</v>
      </c>
      <c r="F3678" s="26" t="s">
        <v>32</v>
      </c>
      <c r="G3678" s="26">
        <v>15.0</v>
      </c>
      <c r="H3678" s="26">
        <v>3.0</v>
      </c>
      <c r="I3678" s="26">
        <v>214.0</v>
      </c>
      <c r="J3678" s="26">
        <v>80.0</v>
      </c>
      <c r="K3678" s="26">
        <v>30.0</v>
      </c>
      <c r="M3678" s="26" t="s">
        <v>449</v>
      </c>
      <c r="N3678" s="26" t="s">
        <v>685</v>
      </c>
    </row>
    <row r="3679">
      <c r="A3679" s="25">
        <v>43410.456590428235</v>
      </c>
      <c r="B3679" s="26" t="s">
        <v>80</v>
      </c>
      <c r="C3679" s="26" t="s">
        <v>73</v>
      </c>
      <c r="D3679" s="26" t="s">
        <v>31</v>
      </c>
      <c r="E3679" s="26">
        <v>193.0</v>
      </c>
      <c r="F3679" s="26" t="s">
        <v>94</v>
      </c>
      <c r="G3679" s="26">
        <v>1.0</v>
      </c>
      <c r="H3679" s="26">
        <v>1.0</v>
      </c>
      <c r="I3679" s="26">
        <v>136.0</v>
      </c>
      <c r="J3679" s="26">
        <v>37.0</v>
      </c>
      <c r="K3679" s="26">
        <v>20.0</v>
      </c>
      <c r="M3679" s="26" t="s">
        <v>449</v>
      </c>
      <c r="N3679" s="26" t="s">
        <v>751</v>
      </c>
    </row>
    <row r="3680">
      <c r="A3680" s="25">
        <v>43410.478612175924</v>
      </c>
      <c r="B3680" s="26" t="s">
        <v>40</v>
      </c>
      <c r="C3680" s="26" t="s">
        <v>2399</v>
      </c>
      <c r="D3680" s="26" t="s">
        <v>27</v>
      </c>
      <c r="E3680" s="26">
        <v>325.0</v>
      </c>
      <c r="F3680" s="26" t="s">
        <v>75</v>
      </c>
      <c r="G3680" s="26">
        <v>20.0</v>
      </c>
      <c r="H3680" s="26">
        <v>15.0</v>
      </c>
      <c r="I3680" s="26">
        <v>210.0</v>
      </c>
      <c r="J3680" s="26">
        <v>75.0</v>
      </c>
      <c r="K3680" s="26">
        <v>40.0</v>
      </c>
      <c r="L3680" s="26" t="s">
        <v>2399</v>
      </c>
      <c r="M3680" s="26" t="s">
        <v>449</v>
      </c>
      <c r="N3680" s="26" t="s">
        <v>2400</v>
      </c>
    </row>
    <row r="3681">
      <c r="A3681" s="25">
        <v>43410.48359871528</v>
      </c>
      <c r="B3681" s="26" t="s">
        <v>387</v>
      </c>
      <c r="C3681" s="26" t="s">
        <v>541</v>
      </c>
      <c r="D3681" s="26" t="s">
        <v>31</v>
      </c>
      <c r="E3681" s="26">
        <v>180.0</v>
      </c>
      <c r="F3681" s="26" t="s">
        <v>1292</v>
      </c>
      <c r="G3681" s="26">
        <v>4.0</v>
      </c>
      <c r="H3681" s="26">
        <v>0.0</v>
      </c>
      <c r="I3681" s="26">
        <v>138.0</v>
      </c>
      <c r="J3681" s="26">
        <v>170.0</v>
      </c>
      <c r="M3681" s="26" t="s">
        <v>449</v>
      </c>
      <c r="N3681" s="26" t="s">
        <v>696</v>
      </c>
    </row>
    <row r="3682">
      <c r="A3682" s="25">
        <v>43410.50053751157</v>
      </c>
      <c r="B3682" s="26" t="s">
        <v>40</v>
      </c>
      <c r="C3682" s="26">
        <v>62.0</v>
      </c>
      <c r="D3682" s="26" t="s">
        <v>31</v>
      </c>
      <c r="E3682" s="26">
        <v>233.0</v>
      </c>
      <c r="F3682" s="26" t="s">
        <v>63</v>
      </c>
      <c r="G3682" s="26">
        <v>3.0</v>
      </c>
      <c r="H3682" s="26">
        <v>4.0</v>
      </c>
      <c r="I3682" s="26">
        <v>147.0</v>
      </c>
      <c r="J3682" s="26">
        <v>63.0</v>
      </c>
      <c r="K3682" s="26">
        <v>23.0</v>
      </c>
      <c r="M3682" s="26" t="s">
        <v>449</v>
      </c>
      <c r="N3682" s="26" t="s">
        <v>683</v>
      </c>
    </row>
    <row r="3683">
      <c r="A3683" s="25">
        <v>43410.530415127316</v>
      </c>
      <c r="B3683" s="26" t="s">
        <v>124</v>
      </c>
      <c r="C3683" s="26">
        <v>2.0</v>
      </c>
      <c r="D3683" s="26" t="s">
        <v>31</v>
      </c>
      <c r="E3683" s="26">
        <v>148.0</v>
      </c>
      <c r="F3683" s="26" t="s">
        <v>79</v>
      </c>
      <c r="G3683" s="26">
        <v>1.0</v>
      </c>
      <c r="H3683" s="26">
        <v>1.0</v>
      </c>
      <c r="I3683" s="26">
        <v>120.0</v>
      </c>
      <c r="J3683" s="26">
        <v>16.0</v>
      </c>
      <c r="K3683" s="26">
        <v>12.0</v>
      </c>
      <c r="M3683" s="26" t="s">
        <v>449</v>
      </c>
      <c r="N3683" s="26" t="s">
        <v>696</v>
      </c>
    </row>
    <row r="3684">
      <c r="A3684" s="25">
        <v>43410.565185011576</v>
      </c>
      <c r="B3684" s="26" t="s">
        <v>40</v>
      </c>
      <c r="C3684" s="26">
        <v>65.0</v>
      </c>
      <c r="D3684" s="26" t="s">
        <v>41</v>
      </c>
      <c r="E3684" s="26">
        <v>308.0</v>
      </c>
      <c r="F3684" s="26" t="s">
        <v>75</v>
      </c>
      <c r="G3684" s="26">
        <v>17.0</v>
      </c>
      <c r="H3684" s="26">
        <v>1.0</v>
      </c>
      <c r="I3684" s="26">
        <v>199.0</v>
      </c>
      <c r="J3684" s="26">
        <v>58.0</v>
      </c>
      <c r="K3684" s="26">
        <v>52.0</v>
      </c>
      <c r="M3684" s="26" t="s">
        <v>449</v>
      </c>
      <c r="N3684" s="26" t="s">
        <v>757</v>
      </c>
    </row>
    <row r="3685">
      <c r="A3685" s="25">
        <v>43410.5687615162</v>
      </c>
      <c r="B3685" s="26" t="s">
        <v>2401</v>
      </c>
      <c r="C3685" s="26" t="s">
        <v>96</v>
      </c>
      <c r="D3685" s="26" t="s">
        <v>31</v>
      </c>
      <c r="E3685" s="26">
        <v>330.0</v>
      </c>
      <c r="F3685" s="26" t="s">
        <v>2402</v>
      </c>
      <c r="G3685" s="26">
        <v>15.0</v>
      </c>
      <c r="H3685" s="26">
        <v>1.5</v>
      </c>
      <c r="I3685" s="26">
        <v>165.0</v>
      </c>
      <c r="J3685" s="26">
        <v>65.0</v>
      </c>
      <c r="K3685" s="26">
        <v>100.0</v>
      </c>
      <c r="M3685" s="26" t="s">
        <v>449</v>
      </c>
      <c r="N3685" s="26" t="s">
        <v>683</v>
      </c>
    </row>
    <row r="3686">
      <c r="A3686" s="25">
        <v>43410.57723638889</v>
      </c>
      <c r="B3686" s="26" t="s">
        <v>80</v>
      </c>
      <c r="C3686" s="26" t="s">
        <v>43</v>
      </c>
      <c r="D3686" s="26" t="s">
        <v>31</v>
      </c>
      <c r="E3686" s="26">
        <v>200.0</v>
      </c>
      <c r="F3686" s="26" t="s">
        <v>51</v>
      </c>
      <c r="G3686" s="26">
        <v>3.0</v>
      </c>
      <c r="H3686" s="26">
        <v>1.0</v>
      </c>
      <c r="M3686" s="26" t="s">
        <v>449</v>
      </c>
      <c r="N3686" s="26" t="s">
        <v>696</v>
      </c>
    </row>
    <row r="3687">
      <c r="A3687" s="25">
        <v>43410.57854615741</v>
      </c>
      <c r="B3687" s="26" t="s">
        <v>48</v>
      </c>
      <c r="C3687" s="26" t="s">
        <v>49</v>
      </c>
      <c r="D3687" s="26" t="s">
        <v>711</v>
      </c>
      <c r="E3687" s="26">
        <v>230.0</v>
      </c>
      <c r="F3687" s="26" t="s">
        <v>415</v>
      </c>
      <c r="G3687" s="26">
        <v>0.0</v>
      </c>
      <c r="H3687" s="26">
        <v>0.0</v>
      </c>
      <c r="M3687" s="26" t="s">
        <v>449</v>
      </c>
      <c r="N3687" s="26" t="s">
        <v>691</v>
      </c>
    </row>
    <row r="3688">
      <c r="A3688" s="25">
        <v>43410.58779546296</v>
      </c>
      <c r="B3688" s="26" t="s">
        <v>36</v>
      </c>
      <c r="C3688" s="26" t="s">
        <v>2403</v>
      </c>
      <c r="D3688" s="26" t="s">
        <v>27</v>
      </c>
      <c r="E3688" s="26">
        <v>175.0</v>
      </c>
      <c r="F3688" s="26" t="s">
        <v>32</v>
      </c>
      <c r="G3688" s="26">
        <v>12.0</v>
      </c>
      <c r="H3688" s="26">
        <v>2.0</v>
      </c>
      <c r="N3688" s="26" t="s">
        <v>685</v>
      </c>
    </row>
    <row r="3689">
      <c r="A3689" s="25">
        <v>43410.58890383102</v>
      </c>
      <c r="B3689" s="26" t="s">
        <v>95</v>
      </c>
      <c r="C3689" s="26" t="s">
        <v>1544</v>
      </c>
      <c r="D3689" s="26" t="s">
        <v>711</v>
      </c>
      <c r="E3689" s="26">
        <v>425.0</v>
      </c>
      <c r="F3689" s="26" t="s">
        <v>97</v>
      </c>
      <c r="G3689" s="26">
        <v>10.0</v>
      </c>
      <c r="H3689" s="26">
        <v>7.0</v>
      </c>
      <c r="N3689" s="26" t="s">
        <v>857</v>
      </c>
    </row>
    <row r="3690">
      <c r="A3690" s="25">
        <v>43410.61250780092</v>
      </c>
      <c r="B3690" s="26" t="s">
        <v>80</v>
      </c>
      <c r="C3690" s="26" t="s">
        <v>26</v>
      </c>
      <c r="D3690" s="26" t="s">
        <v>31</v>
      </c>
      <c r="E3690" s="26">
        <v>163.0</v>
      </c>
      <c r="F3690" s="26" t="s">
        <v>51</v>
      </c>
      <c r="G3690" s="26">
        <v>0.0</v>
      </c>
      <c r="H3690" s="26">
        <v>0.0</v>
      </c>
      <c r="I3690" s="26">
        <v>120.0</v>
      </c>
      <c r="J3690" s="26">
        <v>25.0</v>
      </c>
      <c r="K3690" s="26">
        <v>18.0</v>
      </c>
      <c r="M3690" s="26" t="s">
        <v>449</v>
      </c>
      <c r="N3690" s="26" t="s">
        <v>685</v>
      </c>
    </row>
    <row r="3691">
      <c r="A3691" s="25">
        <v>43410.62534572917</v>
      </c>
      <c r="B3691" s="26" t="s">
        <v>2404</v>
      </c>
      <c r="C3691" s="26" t="s">
        <v>96</v>
      </c>
      <c r="D3691" s="26" t="s">
        <v>31</v>
      </c>
      <c r="E3691" s="26">
        <v>140.0</v>
      </c>
      <c r="F3691" s="26" t="s">
        <v>247</v>
      </c>
      <c r="G3691" s="26">
        <v>5.0</v>
      </c>
      <c r="H3691" s="26">
        <v>4.0</v>
      </c>
      <c r="I3691" s="26">
        <v>140.0</v>
      </c>
      <c r="M3691" s="26" t="s">
        <v>449</v>
      </c>
      <c r="N3691" s="26" t="s">
        <v>683</v>
      </c>
    </row>
    <row r="3692">
      <c r="A3692" s="25">
        <v>43410.68438201389</v>
      </c>
      <c r="B3692" s="26" t="s">
        <v>1658</v>
      </c>
      <c r="C3692" s="26" t="s">
        <v>588</v>
      </c>
      <c r="D3692" s="26" t="s">
        <v>31</v>
      </c>
      <c r="E3692" s="26">
        <v>95.0</v>
      </c>
      <c r="F3692" s="26" t="s">
        <v>2405</v>
      </c>
      <c r="G3692" s="26">
        <v>2.0</v>
      </c>
      <c r="H3692" s="26">
        <v>0.0</v>
      </c>
      <c r="I3692" s="26">
        <v>95.0</v>
      </c>
      <c r="M3692" s="26" t="s">
        <v>449</v>
      </c>
      <c r="N3692" s="26" t="s">
        <v>751</v>
      </c>
    </row>
    <row r="3693">
      <c r="A3693" s="25">
        <v>43410.74091136574</v>
      </c>
      <c r="B3693" s="26" t="s">
        <v>33</v>
      </c>
      <c r="C3693" s="26" t="s">
        <v>73</v>
      </c>
      <c r="D3693" s="26" t="s">
        <v>31</v>
      </c>
      <c r="E3693" s="26">
        <v>156.0</v>
      </c>
      <c r="F3693" s="26" t="s">
        <v>94</v>
      </c>
      <c r="G3693" s="26">
        <v>1.0</v>
      </c>
      <c r="H3693" s="26">
        <v>1.0</v>
      </c>
      <c r="I3693" s="26">
        <v>118.0</v>
      </c>
      <c r="J3693" s="26">
        <v>21.0</v>
      </c>
      <c r="K3693" s="26">
        <v>17.0</v>
      </c>
      <c r="M3693" s="26" t="s">
        <v>449</v>
      </c>
      <c r="N3693" s="26" t="s">
        <v>704</v>
      </c>
    </row>
    <row r="3694">
      <c r="A3694" s="25">
        <v>43410.80078695602</v>
      </c>
      <c r="B3694" s="26" t="s">
        <v>380</v>
      </c>
      <c r="C3694" s="26" t="s">
        <v>825</v>
      </c>
      <c r="D3694" s="26" t="s">
        <v>2406</v>
      </c>
      <c r="E3694" s="26">
        <v>245.0</v>
      </c>
      <c r="F3694" s="26" t="s">
        <v>456</v>
      </c>
      <c r="G3694" s="26">
        <v>15.0</v>
      </c>
      <c r="H3694" s="26">
        <v>5.0</v>
      </c>
      <c r="M3694" s="26" t="s">
        <v>449</v>
      </c>
      <c r="N3694" s="26" t="s">
        <v>2407</v>
      </c>
    </row>
    <row r="3695">
      <c r="A3695" s="25">
        <v>43410.82911494213</v>
      </c>
      <c r="B3695" s="26" t="s">
        <v>2237</v>
      </c>
      <c r="C3695" s="26" t="s">
        <v>353</v>
      </c>
      <c r="D3695" s="26" t="s">
        <v>31</v>
      </c>
      <c r="E3695" s="26">
        <v>135.0</v>
      </c>
      <c r="F3695" s="26" t="s">
        <v>32</v>
      </c>
      <c r="G3695" s="26">
        <v>1.0</v>
      </c>
      <c r="H3695" s="26">
        <v>1.0</v>
      </c>
      <c r="M3695" s="26" t="s">
        <v>449</v>
      </c>
      <c r="N3695" s="26" t="s">
        <v>685</v>
      </c>
    </row>
    <row r="3696">
      <c r="A3696" s="25">
        <v>43410.894645277775</v>
      </c>
      <c r="B3696" s="26" t="s">
        <v>40</v>
      </c>
      <c r="C3696" s="26">
        <v>60.0</v>
      </c>
      <c r="D3696" s="26" t="s">
        <v>31</v>
      </c>
      <c r="E3696" s="26">
        <v>155.0</v>
      </c>
      <c r="F3696" s="26" t="s">
        <v>75</v>
      </c>
      <c r="G3696" s="26">
        <v>1.0</v>
      </c>
      <c r="H3696" s="26">
        <v>1.0</v>
      </c>
      <c r="I3696" s="26">
        <v>119.0</v>
      </c>
      <c r="J3696" s="26">
        <v>24.0</v>
      </c>
      <c r="K3696" s="26">
        <v>12.0</v>
      </c>
      <c r="M3696" s="26" t="s">
        <v>449</v>
      </c>
      <c r="N3696" s="26" t="s">
        <v>704</v>
      </c>
    </row>
    <row r="3697">
      <c r="A3697" s="25">
        <v>43410.90002314815</v>
      </c>
      <c r="B3697" s="26" t="s">
        <v>371</v>
      </c>
      <c r="C3697" s="26" t="s">
        <v>125</v>
      </c>
      <c r="D3697" s="26" t="s">
        <v>31</v>
      </c>
      <c r="E3697" s="26">
        <v>150.0</v>
      </c>
      <c r="F3697" s="26" t="s">
        <v>459</v>
      </c>
      <c r="G3697" s="26">
        <v>12.0</v>
      </c>
      <c r="H3697" s="26">
        <v>12.0</v>
      </c>
      <c r="I3697" s="26">
        <v>130.0</v>
      </c>
      <c r="J3697" s="26">
        <v>10.0</v>
      </c>
      <c r="K3697" s="26">
        <v>10.0</v>
      </c>
      <c r="N3697" s="26" t="s">
        <v>685</v>
      </c>
    </row>
    <row r="3698">
      <c r="A3698" s="25">
        <v>43410.93523390046</v>
      </c>
      <c r="B3698" s="26" t="s">
        <v>407</v>
      </c>
      <c r="C3698" s="26" t="s">
        <v>37</v>
      </c>
      <c r="D3698" s="26" t="s">
        <v>31</v>
      </c>
      <c r="E3698" s="26">
        <v>240.0</v>
      </c>
      <c r="F3698" s="26" t="s">
        <v>28</v>
      </c>
      <c r="G3698" s="26">
        <v>2.0</v>
      </c>
      <c r="H3698" s="26">
        <v>2.0</v>
      </c>
      <c r="I3698" s="26">
        <v>175.0</v>
      </c>
      <c r="J3698" s="26">
        <v>65.0</v>
      </c>
      <c r="M3698" s="26" t="s">
        <v>449</v>
      </c>
      <c r="N3698" s="26" t="s">
        <v>683</v>
      </c>
    </row>
    <row r="3699">
      <c r="A3699" s="25">
        <v>43410.95891199074</v>
      </c>
      <c r="B3699" s="26" t="s">
        <v>319</v>
      </c>
      <c r="C3699" s="26">
        <v>8.0</v>
      </c>
      <c r="D3699" s="26" t="s">
        <v>31</v>
      </c>
      <c r="E3699" s="26">
        <v>50.0</v>
      </c>
      <c r="F3699" s="26" t="s">
        <v>2408</v>
      </c>
      <c r="G3699" s="26">
        <v>7.0</v>
      </c>
      <c r="H3699" s="26">
        <v>7.0</v>
      </c>
      <c r="I3699" s="26">
        <v>42000.0</v>
      </c>
      <c r="K3699" s="26">
        <v>8.0</v>
      </c>
      <c r="M3699" s="26" t="s">
        <v>449</v>
      </c>
      <c r="N3699" s="26" t="s">
        <v>683</v>
      </c>
    </row>
    <row r="3700">
      <c r="A3700" s="25">
        <v>43410.983645810185</v>
      </c>
      <c r="B3700" s="26" t="s">
        <v>40</v>
      </c>
      <c r="C3700" s="26">
        <v>66.0</v>
      </c>
      <c r="D3700" s="26" t="s">
        <v>41</v>
      </c>
      <c r="E3700" s="26">
        <v>400.0</v>
      </c>
      <c r="F3700" s="26" t="s">
        <v>75</v>
      </c>
      <c r="G3700" s="26">
        <v>14.0</v>
      </c>
      <c r="H3700" s="26">
        <v>10.0</v>
      </c>
      <c r="I3700" s="26">
        <v>210.0</v>
      </c>
      <c r="J3700" s="26">
        <v>150.0</v>
      </c>
      <c r="K3700" s="26">
        <v>45.0</v>
      </c>
      <c r="M3700" s="26" t="s">
        <v>449</v>
      </c>
      <c r="N3700" s="26" t="s">
        <v>685</v>
      </c>
    </row>
    <row r="3701">
      <c r="A3701" s="25">
        <v>43410.984122256945</v>
      </c>
      <c r="B3701" s="26" t="s">
        <v>40</v>
      </c>
      <c r="C3701" s="26">
        <v>66.0</v>
      </c>
      <c r="D3701" s="26" t="s">
        <v>41</v>
      </c>
      <c r="E3701" s="26">
        <v>400.0</v>
      </c>
      <c r="F3701" s="26" t="s">
        <v>75</v>
      </c>
      <c r="G3701" s="26">
        <v>14.0</v>
      </c>
      <c r="H3701" s="26">
        <v>10.0</v>
      </c>
      <c r="I3701" s="26">
        <v>210.0</v>
      </c>
      <c r="J3701" s="26">
        <v>150.0</v>
      </c>
      <c r="K3701" s="26">
        <v>45.0</v>
      </c>
      <c r="M3701" s="26" t="s">
        <v>449</v>
      </c>
      <c r="N3701" s="26" t="s">
        <v>685</v>
      </c>
    </row>
    <row r="3702">
      <c r="A3702" s="25">
        <v>43410.994737870365</v>
      </c>
      <c r="B3702" s="26" t="s">
        <v>80</v>
      </c>
      <c r="C3702" s="26" t="s">
        <v>912</v>
      </c>
      <c r="D3702" s="26" t="s">
        <v>31</v>
      </c>
      <c r="E3702" s="26">
        <v>997.0</v>
      </c>
      <c r="F3702" s="26" t="s">
        <v>2409</v>
      </c>
      <c r="G3702" s="26">
        <v>2.0</v>
      </c>
      <c r="H3702" s="26">
        <v>2.0</v>
      </c>
      <c r="M3702" s="26" t="s">
        <v>458</v>
      </c>
      <c r="N3702" s="26" t="s">
        <v>751</v>
      </c>
    </row>
    <row r="3703">
      <c r="A3703" s="25">
        <v>43411.011906898144</v>
      </c>
      <c r="B3703" s="26" t="s">
        <v>371</v>
      </c>
      <c r="C3703" s="26" t="s">
        <v>372</v>
      </c>
      <c r="D3703" s="26" t="s">
        <v>31</v>
      </c>
      <c r="E3703" s="26">
        <v>200.0</v>
      </c>
      <c r="F3703" s="26" t="s">
        <v>459</v>
      </c>
      <c r="G3703" s="26">
        <v>15.0</v>
      </c>
      <c r="H3703" s="26">
        <v>2.0</v>
      </c>
      <c r="I3703" s="26">
        <v>160.0</v>
      </c>
      <c r="J3703" s="26">
        <v>24.0</v>
      </c>
      <c r="K3703" s="26">
        <v>16.0</v>
      </c>
      <c r="M3703" s="26" t="s">
        <v>449</v>
      </c>
      <c r="N3703" s="26" t="s">
        <v>1363</v>
      </c>
    </row>
    <row r="3704">
      <c r="A3704" s="25">
        <v>43411.02446696759</v>
      </c>
      <c r="B3704" s="26" t="s">
        <v>40</v>
      </c>
      <c r="C3704" s="26">
        <v>63.0</v>
      </c>
      <c r="D3704" s="26" t="s">
        <v>31</v>
      </c>
      <c r="E3704" s="26">
        <v>300.0</v>
      </c>
      <c r="F3704" s="26" t="s">
        <v>35</v>
      </c>
      <c r="G3704" s="26">
        <v>10.0</v>
      </c>
      <c r="H3704" s="26">
        <v>8.0</v>
      </c>
      <c r="I3704" s="26">
        <v>151.0</v>
      </c>
      <c r="J3704" s="26">
        <v>99.0</v>
      </c>
      <c r="K3704" s="26">
        <v>50.0</v>
      </c>
      <c r="M3704" s="26" t="s">
        <v>449</v>
      </c>
      <c r="N3704" s="26" t="s">
        <v>704</v>
      </c>
    </row>
    <row r="3705">
      <c r="A3705" s="25">
        <v>43411.2679890162</v>
      </c>
      <c r="B3705" s="26" t="s">
        <v>105</v>
      </c>
      <c r="C3705" s="26" t="s">
        <v>2410</v>
      </c>
      <c r="D3705" s="26" t="s">
        <v>31</v>
      </c>
      <c r="E3705" s="26">
        <v>210.0</v>
      </c>
      <c r="F3705" s="26" t="s">
        <v>86</v>
      </c>
      <c r="G3705" s="26">
        <v>15.0</v>
      </c>
      <c r="H3705" s="26">
        <v>6.0</v>
      </c>
      <c r="I3705" s="26">
        <v>169.0</v>
      </c>
      <c r="J3705" s="26">
        <v>16.0</v>
      </c>
      <c r="K3705" s="26">
        <v>25.0</v>
      </c>
      <c r="L3705" s="26" t="s">
        <v>2411</v>
      </c>
      <c r="M3705" s="26" t="s">
        <v>449</v>
      </c>
      <c r="N3705" s="26" t="s">
        <v>685</v>
      </c>
    </row>
    <row r="3706">
      <c r="A3706" s="25">
        <v>43411.33386711805</v>
      </c>
      <c r="B3706" s="26" t="s">
        <v>2235</v>
      </c>
      <c r="C3706" s="26" t="s">
        <v>117</v>
      </c>
      <c r="D3706" s="26" t="s">
        <v>31</v>
      </c>
      <c r="E3706" s="26">
        <v>137.0</v>
      </c>
      <c r="F3706" s="26" t="s">
        <v>2412</v>
      </c>
      <c r="G3706" s="26">
        <v>7.0</v>
      </c>
      <c r="H3706" s="26">
        <v>1.0</v>
      </c>
      <c r="M3706" s="26" t="s">
        <v>1804</v>
      </c>
      <c r="N3706" s="26" t="s">
        <v>708</v>
      </c>
    </row>
    <row r="3707">
      <c r="A3707" s="25">
        <v>43411.33518797454</v>
      </c>
      <c r="B3707" s="26" t="s">
        <v>286</v>
      </c>
      <c r="C3707" s="26" t="s">
        <v>37</v>
      </c>
      <c r="D3707" s="26" t="s">
        <v>31</v>
      </c>
      <c r="E3707" s="26">
        <v>135.0</v>
      </c>
      <c r="F3707" s="26" t="s">
        <v>134</v>
      </c>
      <c r="G3707" s="26">
        <v>9.0</v>
      </c>
      <c r="H3707" s="26">
        <v>1.0</v>
      </c>
      <c r="M3707" s="26" t="s">
        <v>449</v>
      </c>
      <c r="N3707" s="26" t="s">
        <v>696</v>
      </c>
    </row>
    <row r="3708">
      <c r="A3708" s="25">
        <v>43411.3875796412</v>
      </c>
      <c r="B3708" s="26" t="s">
        <v>40</v>
      </c>
      <c r="C3708" s="26">
        <v>62.0</v>
      </c>
      <c r="D3708" s="26" t="s">
        <v>31</v>
      </c>
      <c r="E3708" s="26">
        <v>170.0</v>
      </c>
      <c r="F3708" s="26" t="s">
        <v>75</v>
      </c>
      <c r="G3708" s="26">
        <v>6.0</v>
      </c>
      <c r="H3708" s="26">
        <v>5.0</v>
      </c>
      <c r="I3708" s="26">
        <v>142.0</v>
      </c>
      <c r="J3708" s="26">
        <v>10.0</v>
      </c>
      <c r="K3708" s="26">
        <v>12.0</v>
      </c>
      <c r="M3708" s="26" t="s">
        <v>449</v>
      </c>
      <c r="N3708" s="26" t="s">
        <v>685</v>
      </c>
    </row>
    <row r="3709">
      <c r="A3709" s="25">
        <v>43411.45869189815</v>
      </c>
      <c r="B3709" s="26" t="s">
        <v>45</v>
      </c>
      <c r="C3709" s="26" t="s">
        <v>102</v>
      </c>
      <c r="D3709" s="26" t="s">
        <v>31</v>
      </c>
      <c r="E3709" s="26">
        <v>186.0</v>
      </c>
      <c r="F3709" s="26" t="s">
        <v>35</v>
      </c>
      <c r="G3709" s="26">
        <v>0.0</v>
      </c>
      <c r="H3709" s="26">
        <v>0.0</v>
      </c>
      <c r="I3709" s="26">
        <v>145.0</v>
      </c>
      <c r="J3709" s="26">
        <v>21.0</v>
      </c>
      <c r="K3709" s="26">
        <v>20.0</v>
      </c>
      <c r="M3709" s="26" t="s">
        <v>449</v>
      </c>
      <c r="N3709" s="26" t="s">
        <v>691</v>
      </c>
    </row>
    <row r="3710">
      <c r="A3710" s="25">
        <v>43411.483682349535</v>
      </c>
      <c r="B3710" s="26" t="s">
        <v>154</v>
      </c>
      <c r="C3710" s="26" t="s">
        <v>143</v>
      </c>
      <c r="D3710" s="26" t="s">
        <v>41</v>
      </c>
      <c r="E3710" s="26">
        <v>467.0</v>
      </c>
      <c r="F3710" s="26" t="s">
        <v>51</v>
      </c>
      <c r="G3710" s="26">
        <v>17.0</v>
      </c>
      <c r="H3710" s="26">
        <v>2.0</v>
      </c>
      <c r="I3710" s="26">
        <v>252.0</v>
      </c>
      <c r="J3710" s="26">
        <v>140.0</v>
      </c>
      <c r="K3710" s="26">
        <v>75.0</v>
      </c>
      <c r="L3710" s="26" t="s">
        <v>2413</v>
      </c>
      <c r="M3710" s="26" t="s">
        <v>449</v>
      </c>
      <c r="N3710" s="26" t="s">
        <v>685</v>
      </c>
    </row>
    <row r="3711">
      <c r="A3711" s="25">
        <v>43411.52358199074</v>
      </c>
      <c r="B3711" s="26" t="s">
        <v>36</v>
      </c>
      <c r="C3711" s="26" t="s">
        <v>96</v>
      </c>
      <c r="D3711" s="26" t="s">
        <v>31</v>
      </c>
      <c r="E3711" s="26">
        <v>392.0</v>
      </c>
      <c r="F3711" s="26" t="s">
        <v>94</v>
      </c>
      <c r="G3711" s="26">
        <v>12.0</v>
      </c>
      <c r="H3711" s="26">
        <v>0.0</v>
      </c>
      <c r="I3711" s="26">
        <v>190.0</v>
      </c>
      <c r="J3711" s="26">
        <v>180.0</v>
      </c>
      <c r="K3711" s="26">
        <v>22.0</v>
      </c>
      <c r="N3711" s="26" t="s">
        <v>685</v>
      </c>
    </row>
    <row r="3712">
      <c r="A3712" s="25">
        <v>43411.54700585648</v>
      </c>
      <c r="B3712" s="26" t="s">
        <v>168</v>
      </c>
      <c r="C3712" s="26">
        <v>64.0</v>
      </c>
      <c r="D3712" s="26" t="s">
        <v>2139</v>
      </c>
      <c r="E3712" s="26">
        <v>230.0</v>
      </c>
      <c r="F3712" s="26" t="s">
        <v>75</v>
      </c>
      <c r="G3712" s="26">
        <v>15.0</v>
      </c>
      <c r="H3712" s="26">
        <v>15.0</v>
      </c>
      <c r="I3712" s="26">
        <v>170.0</v>
      </c>
      <c r="J3712" s="26">
        <v>30.0</v>
      </c>
      <c r="K3712" s="26">
        <v>30.0</v>
      </c>
      <c r="M3712" s="26" t="s">
        <v>458</v>
      </c>
      <c r="N3712" s="26" t="s">
        <v>691</v>
      </c>
    </row>
    <row r="3713">
      <c r="A3713" s="25">
        <v>43411.54995512731</v>
      </c>
      <c r="B3713" s="26" t="s">
        <v>2414</v>
      </c>
      <c r="C3713" s="26" t="s">
        <v>37</v>
      </c>
      <c r="D3713" s="26" t="s">
        <v>31</v>
      </c>
      <c r="E3713" s="26">
        <v>165.0</v>
      </c>
      <c r="F3713" s="26" t="s">
        <v>453</v>
      </c>
      <c r="G3713" s="26">
        <v>10.0</v>
      </c>
      <c r="H3713" s="26">
        <v>3.0</v>
      </c>
      <c r="I3713" s="26">
        <v>150.0</v>
      </c>
      <c r="K3713" s="26">
        <v>15.0</v>
      </c>
      <c r="M3713" s="26" t="s">
        <v>449</v>
      </c>
      <c r="N3713" s="26" t="s">
        <v>683</v>
      </c>
    </row>
    <row r="3714">
      <c r="A3714" s="25">
        <v>43411.56107993056</v>
      </c>
      <c r="B3714" s="26" t="s">
        <v>80</v>
      </c>
      <c r="C3714" s="26" t="s">
        <v>26</v>
      </c>
      <c r="D3714" s="26" t="s">
        <v>31</v>
      </c>
      <c r="E3714" s="26">
        <v>170.0</v>
      </c>
      <c r="F3714" s="26" t="s">
        <v>51</v>
      </c>
      <c r="G3714" s="26">
        <v>0.0</v>
      </c>
      <c r="H3714" s="26">
        <v>0.0</v>
      </c>
      <c r="M3714" s="26" t="s">
        <v>449</v>
      </c>
      <c r="N3714" s="26" t="s">
        <v>691</v>
      </c>
    </row>
    <row r="3715">
      <c r="A3715" s="25">
        <v>43411.568022708336</v>
      </c>
      <c r="B3715" s="26" t="s">
        <v>36</v>
      </c>
      <c r="C3715" s="26" t="s">
        <v>2415</v>
      </c>
      <c r="D3715" s="26" t="s">
        <v>27</v>
      </c>
      <c r="E3715" s="26">
        <v>815.0</v>
      </c>
      <c r="F3715" s="26" t="s">
        <v>32</v>
      </c>
      <c r="G3715" s="26">
        <v>1.0</v>
      </c>
      <c r="H3715" s="26">
        <v>19.0</v>
      </c>
      <c r="I3715" s="26">
        <v>240.0</v>
      </c>
      <c r="J3715" s="26">
        <v>515.0</v>
      </c>
      <c r="K3715" s="26">
        <v>60.0</v>
      </c>
      <c r="M3715" s="26" t="s">
        <v>449</v>
      </c>
      <c r="N3715" s="26" t="s">
        <v>691</v>
      </c>
    </row>
    <row r="3716">
      <c r="A3716" s="25">
        <v>43411.59043847222</v>
      </c>
      <c r="B3716" s="26" t="s">
        <v>2416</v>
      </c>
      <c r="C3716" s="26" t="s">
        <v>103</v>
      </c>
      <c r="D3716" s="26" t="s">
        <v>31</v>
      </c>
      <c r="E3716" s="26">
        <v>100.0</v>
      </c>
      <c r="F3716" s="26" t="s">
        <v>2417</v>
      </c>
      <c r="G3716" s="26">
        <v>10.0</v>
      </c>
      <c r="H3716" s="26">
        <v>4.0</v>
      </c>
      <c r="M3716" s="26" t="s">
        <v>449</v>
      </c>
      <c r="N3716" s="26" t="s">
        <v>683</v>
      </c>
    </row>
    <row r="3717">
      <c r="A3717" s="25">
        <v>43411.62839412037</v>
      </c>
      <c r="B3717" s="26" t="s">
        <v>33</v>
      </c>
      <c r="C3717" s="26" t="s">
        <v>73</v>
      </c>
      <c r="D3717" s="26" t="s">
        <v>31</v>
      </c>
      <c r="E3717" s="26">
        <v>137.0</v>
      </c>
      <c r="F3717" s="26" t="s">
        <v>35</v>
      </c>
      <c r="G3717" s="26">
        <v>0.0</v>
      </c>
      <c r="H3717" s="26">
        <v>0.0</v>
      </c>
      <c r="I3717" s="26">
        <v>108.0</v>
      </c>
      <c r="J3717" s="26">
        <v>18.0</v>
      </c>
      <c r="K3717" s="26">
        <v>11.0</v>
      </c>
      <c r="M3717" s="26" t="s">
        <v>449</v>
      </c>
      <c r="N3717" s="26" t="s">
        <v>683</v>
      </c>
    </row>
    <row r="3718">
      <c r="A3718" s="25">
        <v>43411.62840256945</v>
      </c>
      <c r="B3718" s="26" t="s">
        <v>33</v>
      </c>
      <c r="C3718" s="26" t="s">
        <v>73</v>
      </c>
      <c r="D3718" s="26" t="s">
        <v>31</v>
      </c>
      <c r="E3718" s="26">
        <v>137.0</v>
      </c>
      <c r="F3718" s="26" t="s">
        <v>35</v>
      </c>
      <c r="G3718" s="26">
        <v>0.0</v>
      </c>
      <c r="H3718" s="26">
        <v>0.0</v>
      </c>
      <c r="I3718" s="26">
        <v>108.0</v>
      </c>
      <c r="J3718" s="26">
        <v>18.0</v>
      </c>
      <c r="K3718" s="26">
        <v>11.0</v>
      </c>
      <c r="M3718" s="26" t="s">
        <v>449</v>
      </c>
      <c r="N3718" s="26" t="s">
        <v>683</v>
      </c>
    </row>
    <row r="3719">
      <c r="A3719" s="25">
        <v>43411.79558790509</v>
      </c>
      <c r="B3719" s="26" t="s">
        <v>2262</v>
      </c>
      <c r="C3719" s="26" t="s">
        <v>125</v>
      </c>
      <c r="D3719" s="26" t="s">
        <v>31</v>
      </c>
      <c r="E3719" s="26">
        <v>230.0</v>
      </c>
      <c r="F3719" s="26" t="s">
        <v>1074</v>
      </c>
      <c r="G3719" s="26">
        <v>10.0</v>
      </c>
      <c r="H3719" s="26">
        <v>1.5</v>
      </c>
      <c r="I3719" s="26">
        <v>164.0</v>
      </c>
      <c r="K3719" s="26">
        <v>66.0</v>
      </c>
      <c r="M3719" s="26" t="s">
        <v>449</v>
      </c>
      <c r="N3719" s="26" t="s">
        <v>757</v>
      </c>
    </row>
    <row r="3720">
      <c r="A3720" s="25">
        <v>43411.796451585644</v>
      </c>
      <c r="B3720" s="26" t="s">
        <v>428</v>
      </c>
      <c r="C3720" s="26" t="s">
        <v>1232</v>
      </c>
      <c r="D3720" s="26" t="s">
        <v>31</v>
      </c>
      <c r="E3720" s="26">
        <v>500.0</v>
      </c>
      <c r="F3720" s="26" t="s">
        <v>32</v>
      </c>
      <c r="G3720" s="26">
        <v>10.0</v>
      </c>
      <c r="H3720" s="26">
        <v>3.0</v>
      </c>
      <c r="I3720" s="26">
        <v>157.0</v>
      </c>
      <c r="J3720" s="26">
        <v>343.0</v>
      </c>
      <c r="M3720" s="26" t="s">
        <v>449</v>
      </c>
      <c r="N3720" s="26" t="s">
        <v>757</v>
      </c>
    </row>
    <row r="3721">
      <c r="A3721" s="25">
        <v>43411.802143622685</v>
      </c>
      <c r="B3721" s="26" t="s">
        <v>142</v>
      </c>
      <c r="C3721" s="26" t="s">
        <v>2418</v>
      </c>
      <c r="D3721" s="26" t="s">
        <v>31</v>
      </c>
      <c r="E3721" s="26">
        <v>240.0</v>
      </c>
      <c r="F3721" s="26" t="s">
        <v>238</v>
      </c>
      <c r="G3721" s="26">
        <v>4.0</v>
      </c>
      <c r="H3721" s="26">
        <v>2.0</v>
      </c>
      <c r="I3721" s="26">
        <v>140.0</v>
      </c>
      <c r="J3721" s="26">
        <v>95.0</v>
      </c>
      <c r="K3721" s="26">
        <v>5.0</v>
      </c>
      <c r="M3721" s="26" t="s">
        <v>449</v>
      </c>
      <c r="N3721" s="26" t="s">
        <v>704</v>
      </c>
    </row>
    <row r="3722">
      <c r="A3722" s="25">
        <v>43411.844289768516</v>
      </c>
      <c r="B3722" s="26" t="s">
        <v>2419</v>
      </c>
      <c r="C3722" s="26" t="s">
        <v>78</v>
      </c>
      <c r="D3722" s="26" t="s">
        <v>31</v>
      </c>
      <c r="E3722" s="26">
        <v>192.0</v>
      </c>
      <c r="F3722" s="26" t="s">
        <v>2420</v>
      </c>
      <c r="G3722" s="26">
        <v>8.0</v>
      </c>
      <c r="H3722" s="26">
        <v>1.0</v>
      </c>
      <c r="M3722" s="26" t="s">
        <v>449</v>
      </c>
      <c r="N3722" s="26" t="s">
        <v>704</v>
      </c>
    </row>
    <row r="3723">
      <c r="A3723" s="25">
        <v>43411.84468065972</v>
      </c>
      <c r="B3723" s="26" t="s">
        <v>2421</v>
      </c>
      <c r="C3723" s="26" t="s">
        <v>2422</v>
      </c>
      <c r="D3723" s="26" t="s">
        <v>31</v>
      </c>
      <c r="E3723" s="26">
        <v>119.0</v>
      </c>
      <c r="F3723" s="26" t="s">
        <v>272</v>
      </c>
      <c r="G3723" s="26">
        <v>6.0</v>
      </c>
      <c r="H3723" s="26">
        <v>2.5</v>
      </c>
      <c r="M3723" s="26" t="s">
        <v>458</v>
      </c>
      <c r="N3723" s="26" t="s">
        <v>817</v>
      </c>
    </row>
    <row r="3724">
      <c r="A3724" s="25">
        <v>43411.85694680555</v>
      </c>
      <c r="B3724" s="26" t="s">
        <v>33</v>
      </c>
      <c r="C3724" s="26" t="s">
        <v>34</v>
      </c>
      <c r="D3724" s="26" t="s">
        <v>41</v>
      </c>
      <c r="E3724" s="26">
        <v>500.0</v>
      </c>
      <c r="F3724" s="26" t="s">
        <v>35</v>
      </c>
      <c r="G3724" s="26">
        <v>19.0</v>
      </c>
      <c r="H3724" s="26">
        <v>6.0</v>
      </c>
      <c r="M3724" s="26" t="s">
        <v>449</v>
      </c>
      <c r="N3724" s="26" t="s">
        <v>687</v>
      </c>
    </row>
    <row r="3725">
      <c r="A3725" s="25">
        <v>43411.85743137731</v>
      </c>
      <c r="B3725" s="26" t="s">
        <v>33</v>
      </c>
      <c r="C3725" s="26" t="s">
        <v>34</v>
      </c>
      <c r="D3725" s="26" t="s">
        <v>41</v>
      </c>
      <c r="E3725" s="26">
        <v>500.0</v>
      </c>
      <c r="F3725" s="26" t="s">
        <v>35</v>
      </c>
      <c r="G3725" s="26">
        <v>19.0</v>
      </c>
      <c r="H3725" s="26">
        <v>6.0</v>
      </c>
      <c r="M3725" s="26" t="s">
        <v>449</v>
      </c>
      <c r="N3725" s="26" t="s">
        <v>687</v>
      </c>
    </row>
    <row r="3726">
      <c r="A3726" s="25">
        <v>43411.85979914352</v>
      </c>
      <c r="B3726" s="26" t="s">
        <v>146</v>
      </c>
      <c r="C3726" s="26" t="s">
        <v>96</v>
      </c>
      <c r="D3726" s="26" t="s">
        <v>31</v>
      </c>
      <c r="E3726" s="26">
        <v>290.0</v>
      </c>
      <c r="F3726" s="26" t="s">
        <v>134</v>
      </c>
      <c r="G3726" s="26">
        <v>5.0</v>
      </c>
      <c r="H3726" s="26">
        <v>0.0</v>
      </c>
      <c r="M3726" s="26" t="s">
        <v>449</v>
      </c>
      <c r="N3726" s="26" t="s">
        <v>699</v>
      </c>
    </row>
    <row r="3727">
      <c r="A3727" s="25">
        <v>43411.8734262037</v>
      </c>
      <c r="B3727" s="26" t="s">
        <v>2423</v>
      </c>
      <c r="C3727" s="26" t="s">
        <v>2349</v>
      </c>
      <c r="D3727" s="26" t="s">
        <v>31</v>
      </c>
      <c r="E3727" s="26">
        <v>103.0</v>
      </c>
      <c r="F3727" s="26" t="s">
        <v>459</v>
      </c>
      <c r="G3727" s="26">
        <v>1.0</v>
      </c>
      <c r="H3727" s="26">
        <v>0.5</v>
      </c>
      <c r="I3727" s="26">
        <v>70.0</v>
      </c>
      <c r="J3727" s="26">
        <v>26.0</v>
      </c>
      <c r="K3727" s="26">
        <v>7.0</v>
      </c>
      <c r="N3727" s="26" t="s">
        <v>728</v>
      </c>
    </row>
    <row r="3728">
      <c r="A3728" s="25">
        <v>43411.90788679398</v>
      </c>
      <c r="B3728" s="26" t="s">
        <v>2424</v>
      </c>
      <c r="C3728" s="26">
        <v>7.0</v>
      </c>
      <c r="D3728" s="26" t="s">
        <v>31</v>
      </c>
      <c r="E3728" s="26">
        <v>104.0</v>
      </c>
      <c r="F3728" s="26" t="s">
        <v>320</v>
      </c>
      <c r="G3728" s="26">
        <v>3.0</v>
      </c>
      <c r="H3728" s="26">
        <v>2.0</v>
      </c>
      <c r="M3728" s="26" t="s">
        <v>449</v>
      </c>
      <c r="N3728" s="26" t="s">
        <v>683</v>
      </c>
    </row>
    <row r="3729">
      <c r="A3729" s="25">
        <v>43411.93713736111</v>
      </c>
      <c r="B3729" s="26" t="s">
        <v>80</v>
      </c>
      <c r="C3729" s="26" t="s">
        <v>73</v>
      </c>
      <c r="D3729" s="26" t="s">
        <v>31</v>
      </c>
      <c r="E3729" s="26">
        <v>275.0</v>
      </c>
      <c r="F3729" s="26" t="s">
        <v>35</v>
      </c>
      <c r="G3729" s="26">
        <v>6.0</v>
      </c>
      <c r="H3729" s="26">
        <v>0.0</v>
      </c>
      <c r="I3729" s="26">
        <v>155.0</v>
      </c>
      <c r="J3729" s="26">
        <v>100.0</v>
      </c>
      <c r="K3729" s="26">
        <v>20.0</v>
      </c>
      <c r="M3729" s="26" t="s">
        <v>458</v>
      </c>
      <c r="N3729" s="26" t="s">
        <v>685</v>
      </c>
    </row>
    <row r="3730">
      <c r="A3730" s="25">
        <v>43411.947916122685</v>
      </c>
      <c r="B3730" s="26" t="s">
        <v>33</v>
      </c>
      <c r="C3730" s="26" t="s">
        <v>43</v>
      </c>
      <c r="D3730" s="26" t="s">
        <v>31</v>
      </c>
      <c r="E3730" s="26">
        <v>220.0</v>
      </c>
      <c r="F3730" s="26" t="s">
        <v>35</v>
      </c>
      <c r="G3730" s="26">
        <v>10.0</v>
      </c>
      <c r="H3730" s="26">
        <v>0.0</v>
      </c>
      <c r="I3730" s="26">
        <v>150.0</v>
      </c>
      <c r="J3730" s="26">
        <v>7.0</v>
      </c>
      <c r="K3730" s="26">
        <v>56.0</v>
      </c>
      <c r="M3730" s="26" t="s">
        <v>458</v>
      </c>
      <c r="N3730" s="26" t="s">
        <v>683</v>
      </c>
    </row>
    <row r="3731">
      <c r="A3731" s="25">
        <v>43411.991516423615</v>
      </c>
      <c r="B3731" s="26" t="s">
        <v>29</v>
      </c>
      <c r="C3731" s="26" t="s">
        <v>494</v>
      </c>
      <c r="D3731" s="26" t="s">
        <v>31</v>
      </c>
      <c r="E3731" s="26">
        <v>470.0</v>
      </c>
      <c r="F3731" s="26" t="s">
        <v>238</v>
      </c>
      <c r="G3731" s="26">
        <v>16.0</v>
      </c>
      <c r="H3731" s="26">
        <v>4.0</v>
      </c>
      <c r="I3731" s="26">
        <v>220.0</v>
      </c>
      <c r="J3731" s="26">
        <v>210.0</v>
      </c>
      <c r="K3731" s="26">
        <v>44.0</v>
      </c>
      <c r="M3731" s="26" t="s">
        <v>449</v>
      </c>
      <c r="N3731" s="26" t="s">
        <v>685</v>
      </c>
    </row>
    <row r="3732">
      <c r="A3732" s="25">
        <v>43412.04444025463</v>
      </c>
      <c r="B3732" s="26" t="s">
        <v>33</v>
      </c>
      <c r="C3732" s="26" t="s">
        <v>76</v>
      </c>
      <c r="D3732" s="26" t="s">
        <v>31</v>
      </c>
      <c r="E3732" s="26">
        <v>229.0</v>
      </c>
      <c r="F3732" s="26" t="s">
        <v>35</v>
      </c>
      <c r="G3732" s="26">
        <v>5.0</v>
      </c>
      <c r="H3732" s="26">
        <v>0.0</v>
      </c>
      <c r="I3732" s="26">
        <v>151.0</v>
      </c>
      <c r="J3732" s="26">
        <v>43.0</v>
      </c>
      <c r="K3732" s="26">
        <v>35.0</v>
      </c>
      <c r="M3732" s="26" t="s">
        <v>449</v>
      </c>
      <c r="N3732" s="26" t="s">
        <v>704</v>
      </c>
    </row>
    <row r="3733">
      <c r="A3733" s="25">
        <v>43412.04709961805</v>
      </c>
      <c r="B3733" s="26" t="s">
        <v>36</v>
      </c>
      <c r="C3733" s="26" t="s">
        <v>610</v>
      </c>
      <c r="D3733" s="26" t="s">
        <v>31</v>
      </c>
      <c r="E3733" s="26">
        <v>100.0</v>
      </c>
      <c r="F3733" s="26" t="s">
        <v>761</v>
      </c>
      <c r="G3733" s="26">
        <v>6.0</v>
      </c>
      <c r="H3733" s="26">
        <v>1.0</v>
      </c>
      <c r="I3733" s="26">
        <v>80000.0</v>
      </c>
      <c r="M3733" s="26" t="s">
        <v>449</v>
      </c>
      <c r="N3733" s="26" t="s">
        <v>683</v>
      </c>
    </row>
    <row r="3734">
      <c r="A3734" s="25">
        <v>43412.17918283565</v>
      </c>
      <c r="B3734" s="26" t="s">
        <v>2425</v>
      </c>
      <c r="C3734" s="26" t="s">
        <v>2426</v>
      </c>
      <c r="D3734" s="26" t="s">
        <v>31</v>
      </c>
      <c r="E3734" s="26">
        <v>189.0</v>
      </c>
      <c r="F3734" s="26" t="s">
        <v>491</v>
      </c>
      <c r="G3734" s="26">
        <v>8.0</v>
      </c>
      <c r="H3734" s="26">
        <v>8.0</v>
      </c>
      <c r="I3734" s="26">
        <v>133.0</v>
      </c>
      <c r="J3734" s="26">
        <v>34.0</v>
      </c>
      <c r="K3734" s="26">
        <v>22.0</v>
      </c>
      <c r="M3734" s="26" t="s">
        <v>449</v>
      </c>
      <c r="N3734" s="26" t="s">
        <v>715</v>
      </c>
    </row>
    <row r="3735">
      <c r="A3735" s="25">
        <v>43412.248212280094</v>
      </c>
      <c r="B3735" s="26" t="s">
        <v>33</v>
      </c>
      <c r="C3735" s="26" t="s">
        <v>76</v>
      </c>
      <c r="D3735" s="26" t="s">
        <v>31</v>
      </c>
      <c r="E3735" s="26">
        <v>222.0</v>
      </c>
      <c r="F3735" s="26" t="s">
        <v>35</v>
      </c>
      <c r="G3735" s="26">
        <v>3.0</v>
      </c>
      <c r="H3735" s="26">
        <v>0.0</v>
      </c>
      <c r="I3735" s="26">
        <v>145.0</v>
      </c>
      <c r="J3735" s="26">
        <v>7.0</v>
      </c>
      <c r="K3735" s="26">
        <v>70.0</v>
      </c>
      <c r="M3735" s="26" t="s">
        <v>449</v>
      </c>
      <c r="N3735" s="26" t="s">
        <v>687</v>
      </c>
    </row>
    <row r="3736">
      <c r="A3736" s="25">
        <v>43412.29749671296</v>
      </c>
      <c r="B3736" s="26" t="s">
        <v>40</v>
      </c>
      <c r="C3736" s="26">
        <v>59.0</v>
      </c>
      <c r="D3736" s="26" t="s">
        <v>31</v>
      </c>
      <c r="E3736" s="26">
        <v>190.0</v>
      </c>
      <c r="F3736" s="26" t="s">
        <v>75</v>
      </c>
      <c r="G3736" s="26">
        <v>0.0</v>
      </c>
      <c r="H3736" s="26">
        <v>0.0</v>
      </c>
      <c r="I3736" s="26">
        <v>109.0</v>
      </c>
      <c r="J3736" s="26">
        <v>40.0</v>
      </c>
      <c r="K3736" s="26">
        <v>40.0</v>
      </c>
      <c r="M3736" s="26" t="s">
        <v>449</v>
      </c>
      <c r="N3736" s="26" t="s">
        <v>685</v>
      </c>
    </row>
    <row r="3737">
      <c r="A3737" s="25">
        <v>43412.42882981482</v>
      </c>
      <c r="B3737" s="26" t="s">
        <v>187</v>
      </c>
      <c r="C3737" s="26" t="s">
        <v>26</v>
      </c>
      <c r="D3737" s="26" t="s">
        <v>31</v>
      </c>
      <c r="E3737" s="26">
        <v>226.0</v>
      </c>
      <c r="F3737" s="26" t="s">
        <v>175</v>
      </c>
      <c r="G3737" s="26">
        <v>0.0</v>
      </c>
      <c r="H3737" s="26">
        <v>0.0</v>
      </c>
      <c r="I3737" s="26">
        <v>147.0</v>
      </c>
      <c r="J3737" s="26">
        <v>65.0</v>
      </c>
      <c r="K3737" s="26">
        <v>14.0</v>
      </c>
      <c r="L3737" s="26" t="s">
        <v>2427</v>
      </c>
      <c r="M3737" s="26" t="s">
        <v>449</v>
      </c>
      <c r="N3737" s="26" t="s">
        <v>691</v>
      </c>
    </row>
    <row r="3738">
      <c r="A3738" s="25">
        <v>43412.44040236111</v>
      </c>
      <c r="B3738" s="26" t="s">
        <v>48</v>
      </c>
      <c r="C3738" s="26" t="s">
        <v>70</v>
      </c>
      <c r="D3738" s="26" t="s">
        <v>31</v>
      </c>
      <c r="E3738" s="26">
        <v>563.0</v>
      </c>
      <c r="F3738" s="26" t="s">
        <v>50</v>
      </c>
      <c r="G3738" s="26">
        <v>8.0</v>
      </c>
      <c r="H3738" s="26">
        <v>6.0</v>
      </c>
      <c r="I3738" s="26">
        <v>223.0</v>
      </c>
      <c r="J3738" s="26">
        <v>300.0</v>
      </c>
      <c r="K3738" s="26">
        <v>44.0</v>
      </c>
      <c r="M3738" s="26" t="s">
        <v>449</v>
      </c>
      <c r="N3738" s="26" t="s">
        <v>685</v>
      </c>
    </row>
    <row r="3739">
      <c r="A3739" s="25">
        <v>43412.462322384265</v>
      </c>
      <c r="B3739" s="26" t="s">
        <v>33</v>
      </c>
      <c r="C3739" s="26" t="s">
        <v>34</v>
      </c>
      <c r="D3739" s="26" t="s">
        <v>2428</v>
      </c>
      <c r="E3739" s="26">
        <v>510.0</v>
      </c>
      <c r="F3739" s="26" t="s">
        <v>459</v>
      </c>
      <c r="G3739" s="26">
        <v>20.0</v>
      </c>
      <c r="H3739" s="26">
        <v>2.0</v>
      </c>
      <c r="I3739" s="26">
        <v>160.0</v>
      </c>
      <c r="J3739" s="26">
        <v>100.0</v>
      </c>
      <c r="K3739" s="26">
        <v>250.0</v>
      </c>
      <c r="M3739" s="26" t="s">
        <v>449</v>
      </c>
      <c r="N3739" s="26" t="s">
        <v>757</v>
      </c>
    </row>
    <row r="3740">
      <c r="A3740" s="25">
        <v>43412.46821475694</v>
      </c>
      <c r="B3740" s="26" t="s">
        <v>40</v>
      </c>
      <c r="C3740" s="26">
        <v>66.0</v>
      </c>
      <c r="D3740" s="26" t="s">
        <v>27</v>
      </c>
      <c r="E3740" s="26">
        <v>363.0</v>
      </c>
      <c r="F3740" s="26" t="s">
        <v>134</v>
      </c>
      <c r="G3740" s="26">
        <v>15.0</v>
      </c>
      <c r="H3740" s="26">
        <v>6.0</v>
      </c>
      <c r="I3740" s="26">
        <v>240.0</v>
      </c>
      <c r="J3740" s="26">
        <v>75.0</v>
      </c>
      <c r="K3740" s="26">
        <v>48.0</v>
      </c>
      <c r="M3740" s="26" t="s">
        <v>449</v>
      </c>
      <c r="N3740" s="26" t="s">
        <v>683</v>
      </c>
    </row>
    <row r="3741">
      <c r="A3741" s="25">
        <v>43412.481670486115</v>
      </c>
      <c r="B3741" s="26" t="s">
        <v>33</v>
      </c>
      <c r="C3741" s="26" t="s">
        <v>43</v>
      </c>
      <c r="D3741" s="26" t="s">
        <v>31</v>
      </c>
      <c r="E3741" s="26">
        <v>225.0</v>
      </c>
      <c r="F3741" s="26" t="s">
        <v>35</v>
      </c>
      <c r="G3741" s="26">
        <v>8.0</v>
      </c>
      <c r="H3741" s="26">
        <v>0.0</v>
      </c>
      <c r="I3741" s="26">
        <v>135.0</v>
      </c>
      <c r="M3741" s="26" t="s">
        <v>449</v>
      </c>
      <c r="N3741" s="26" t="s">
        <v>685</v>
      </c>
    </row>
    <row r="3742">
      <c r="A3742" s="25">
        <v>43412.502546296295</v>
      </c>
      <c r="B3742" s="26" t="s">
        <v>139</v>
      </c>
      <c r="C3742" s="26" t="s">
        <v>117</v>
      </c>
      <c r="D3742" s="26" t="s">
        <v>31</v>
      </c>
      <c r="E3742" s="26">
        <v>174.0</v>
      </c>
      <c r="F3742" s="26" t="s">
        <v>134</v>
      </c>
      <c r="G3742" s="26">
        <v>1.0</v>
      </c>
      <c r="H3742" s="26">
        <v>0.0</v>
      </c>
      <c r="I3742" s="26">
        <v>140.0</v>
      </c>
      <c r="J3742" s="26">
        <v>20.0</v>
      </c>
      <c r="K3742" s="26">
        <v>14.0</v>
      </c>
      <c r="L3742" s="26" t="s">
        <v>2429</v>
      </c>
      <c r="M3742" s="26" t="s">
        <v>449</v>
      </c>
      <c r="N3742" s="26" t="s">
        <v>704</v>
      </c>
    </row>
    <row r="3743">
      <c r="A3743" s="25">
        <v>43412.56418336806</v>
      </c>
      <c r="B3743" s="26" t="s">
        <v>2430</v>
      </c>
      <c r="C3743" s="26" t="s">
        <v>43</v>
      </c>
      <c r="D3743" s="26" t="s">
        <v>27</v>
      </c>
      <c r="E3743" s="26">
        <v>245.0</v>
      </c>
      <c r="F3743" s="26" t="s">
        <v>272</v>
      </c>
      <c r="G3743" s="26">
        <v>7.0</v>
      </c>
      <c r="H3743" s="26">
        <v>1.0</v>
      </c>
      <c r="I3743" s="26">
        <v>172.0</v>
      </c>
      <c r="K3743" s="26">
        <v>73.0</v>
      </c>
      <c r="M3743" s="26" t="s">
        <v>449</v>
      </c>
      <c r="N3743" s="26" t="s">
        <v>1163</v>
      </c>
    </row>
    <row r="3744">
      <c r="A3744" s="25">
        <v>43412.56489204861</v>
      </c>
      <c r="B3744" s="26" t="s">
        <v>2431</v>
      </c>
      <c r="C3744" s="26" t="s">
        <v>43</v>
      </c>
      <c r="D3744" s="26" t="s">
        <v>27</v>
      </c>
      <c r="E3744" s="26">
        <v>245.0</v>
      </c>
      <c r="F3744" s="26" t="s">
        <v>238</v>
      </c>
      <c r="G3744" s="26">
        <v>7.0</v>
      </c>
      <c r="H3744" s="26">
        <v>1.0</v>
      </c>
      <c r="I3744" s="26">
        <v>172.0</v>
      </c>
      <c r="K3744" s="26">
        <v>73.0</v>
      </c>
      <c r="M3744" s="26" t="s">
        <v>449</v>
      </c>
      <c r="N3744" s="26" t="s">
        <v>1163</v>
      </c>
    </row>
    <row r="3745">
      <c r="A3745" s="25">
        <v>43412.576493229164</v>
      </c>
      <c r="B3745" s="26" t="s">
        <v>426</v>
      </c>
      <c r="C3745" s="26" t="s">
        <v>588</v>
      </c>
      <c r="D3745" s="26" t="s">
        <v>31</v>
      </c>
      <c r="E3745" s="26">
        <v>110.0</v>
      </c>
      <c r="F3745" s="26" t="s">
        <v>94</v>
      </c>
      <c r="G3745" s="26">
        <v>2.0</v>
      </c>
      <c r="H3745" s="26">
        <v>0.0</v>
      </c>
      <c r="I3745" s="26">
        <v>110.0</v>
      </c>
      <c r="M3745" s="26" t="s">
        <v>449</v>
      </c>
      <c r="N3745" s="26" t="s">
        <v>683</v>
      </c>
    </row>
    <row r="3746">
      <c r="A3746" s="25">
        <v>43412.58988755787</v>
      </c>
      <c r="B3746" s="26" t="s">
        <v>48</v>
      </c>
      <c r="C3746" s="26" t="s">
        <v>166</v>
      </c>
      <c r="D3746" s="26" t="s">
        <v>31</v>
      </c>
      <c r="E3746" s="26">
        <v>307.0</v>
      </c>
      <c r="F3746" s="26" t="s">
        <v>50</v>
      </c>
      <c r="G3746" s="26">
        <v>8.0</v>
      </c>
      <c r="H3746" s="26">
        <v>0.0</v>
      </c>
      <c r="I3746" s="26">
        <v>180.0</v>
      </c>
      <c r="J3746" s="26">
        <v>100.0</v>
      </c>
      <c r="K3746" s="26">
        <v>27.0</v>
      </c>
      <c r="M3746" s="26" t="s">
        <v>449</v>
      </c>
      <c r="N3746" s="26" t="s">
        <v>683</v>
      </c>
    </row>
    <row r="3747">
      <c r="A3747" s="25">
        <v>43412.67926675926</v>
      </c>
      <c r="B3747" s="26" t="s">
        <v>40</v>
      </c>
      <c r="C3747" s="26">
        <v>66.0</v>
      </c>
      <c r="D3747" s="26" t="s">
        <v>2432</v>
      </c>
      <c r="E3747" s="26">
        <v>215.0</v>
      </c>
      <c r="F3747" s="26" t="s">
        <v>35</v>
      </c>
      <c r="G3747" s="26">
        <v>26.0</v>
      </c>
      <c r="H3747" s="26">
        <v>5.0</v>
      </c>
      <c r="J3747" s="26">
        <v>90000.0</v>
      </c>
      <c r="K3747" s="26">
        <v>70000.0</v>
      </c>
      <c r="M3747" s="26" t="s">
        <v>458</v>
      </c>
      <c r="N3747" s="26" t="s">
        <v>1546</v>
      </c>
    </row>
    <row r="3748">
      <c r="A3748" s="25">
        <v>43412.680581990746</v>
      </c>
      <c r="B3748" s="26" t="s">
        <v>40</v>
      </c>
      <c r="C3748" s="26">
        <v>66.0</v>
      </c>
      <c r="D3748" s="26" t="s">
        <v>2432</v>
      </c>
      <c r="E3748" s="26">
        <v>215.0</v>
      </c>
      <c r="F3748" s="26" t="s">
        <v>35</v>
      </c>
      <c r="G3748" s="26">
        <v>26.0</v>
      </c>
      <c r="H3748" s="26">
        <v>5.0</v>
      </c>
      <c r="J3748" s="26">
        <v>90000.0</v>
      </c>
      <c r="K3748" s="26">
        <v>70000.0</v>
      </c>
      <c r="M3748" s="26" t="s">
        <v>458</v>
      </c>
      <c r="N3748" s="26" t="s">
        <v>1546</v>
      </c>
    </row>
    <row r="3749">
      <c r="A3749" s="25">
        <v>43412.683711875</v>
      </c>
      <c r="B3749" s="26" t="s">
        <v>25</v>
      </c>
      <c r="C3749" s="26" t="s">
        <v>486</v>
      </c>
      <c r="D3749" s="26" t="s">
        <v>31</v>
      </c>
      <c r="E3749" s="26">
        <v>810.0</v>
      </c>
      <c r="F3749" s="26" t="s">
        <v>35</v>
      </c>
      <c r="G3749" s="26">
        <v>21.0</v>
      </c>
      <c r="H3749" s="26">
        <v>0.0</v>
      </c>
      <c r="I3749" s="26">
        <v>270.0</v>
      </c>
      <c r="J3749" s="26">
        <v>540.0</v>
      </c>
      <c r="M3749" s="26" t="s">
        <v>449</v>
      </c>
      <c r="N3749" s="26" t="s">
        <v>715</v>
      </c>
    </row>
    <row r="3750">
      <c r="A3750" s="25">
        <v>43412.69610886574</v>
      </c>
      <c r="B3750" s="26" t="s">
        <v>204</v>
      </c>
      <c r="C3750" s="26" t="s">
        <v>43</v>
      </c>
      <c r="D3750" s="26" t="s">
        <v>31</v>
      </c>
      <c r="E3750" s="26">
        <v>375.0</v>
      </c>
      <c r="F3750" s="26" t="s">
        <v>32</v>
      </c>
      <c r="G3750" s="26">
        <v>2.0</v>
      </c>
      <c r="H3750" s="26">
        <v>2.0</v>
      </c>
      <c r="I3750" s="26">
        <v>188.0</v>
      </c>
      <c r="M3750" s="26" t="s">
        <v>449</v>
      </c>
      <c r="N3750" s="26" t="s">
        <v>699</v>
      </c>
    </row>
    <row r="3751">
      <c r="A3751" s="25">
        <v>43412.709980370375</v>
      </c>
      <c r="B3751" s="26" t="s">
        <v>80</v>
      </c>
      <c r="C3751" s="26" t="s">
        <v>26</v>
      </c>
      <c r="D3751" s="26" t="s">
        <v>31</v>
      </c>
      <c r="E3751" s="26">
        <v>193.0</v>
      </c>
      <c r="F3751" s="26" t="s">
        <v>1072</v>
      </c>
      <c r="G3751" s="26">
        <v>1.0</v>
      </c>
      <c r="H3751" s="26">
        <v>0.0</v>
      </c>
      <c r="I3751" s="26">
        <v>120.0</v>
      </c>
      <c r="J3751" s="26">
        <v>55.0</v>
      </c>
      <c r="K3751" s="26">
        <v>18.0</v>
      </c>
      <c r="M3751" s="26" t="s">
        <v>449</v>
      </c>
      <c r="N3751" s="26" t="s">
        <v>691</v>
      </c>
    </row>
    <row r="3752">
      <c r="A3752" s="25">
        <v>43412.716129016204</v>
      </c>
      <c r="B3752" s="26" t="s">
        <v>29</v>
      </c>
      <c r="C3752" s="26" t="s">
        <v>764</v>
      </c>
      <c r="D3752" s="26" t="s">
        <v>31</v>
      </c>
      <c r="E3752" s="26">
        <v>166.0</v>
      </c>
      <c r="F3752" s="26" t="s">
        <v>272</v>
      </c>
      <c r="G3752" s="26">
        <v>5.0</v>
      </c>
      <c r="H3752" s="26">
        <v>3.0</v>
      </c>
      <c r="I3752" s="26">
        <v>140.0</v>
      </c>
      <c r="J3752" s="26">
        <v>20.0</v>
      </c>
      <c r="K3752" s="26">
        <v>6.0</v>
      </c>
      <c r="M3752" s="26" t="s">
        <v>458</v>
      </c>
      <c r="N3752" s="26" t="s">
        <v>704</v>
      </c>
    </row>
    <row r="3753">
      <c r="A3753" s="25">
        <v>43412.76437038195</v>
      </c>
      <c r="B3753" s="26" t="s">
        <v>371</v>
      </c>
      <c r="C3753" s="26" t="s">
        <v>372</v>
      </c>
      <c r="D3753" s="26" t="s">
        <v>31</v>
      </c>
      <c r="E3753" s="26">
        <v>200.0</v>
      </c>
      <c r="F3753" s="26" t="s">
        <v>459</v>
      </c>
      <c r="G3753" s="26">
        <v>8.0</v>
      </c>
      <c r="H3753" s="26">
        <v>6.0</v>
      </c>
      <c r="I3753" s="26">
        <v>150.0</v>
      </c>
      <c r="J3753" s="26">
        <v>35.0</v>
      </c>
      <c r="K3753" s="26">
        <v>15.0</v>
      </c>
      <c r="M3753" s="26" t="s">
        <v>449</v>
      </c>
      <c r="N3753" s="26" t="s">
        <v>1247</v>
      </c>
    </row>
    <row r="3754">
      <c r="A3754" s="25">
        <v>43412.782858125</v>
      </c>
      <c r="B3754" s="26" t="s">
        <v>80</v>
      </c>
      <c r="C3754" s="26" t="s">
        <v>26</v>
      </c>
      <c r="D3754" s="26" t="s">
        <v>31</v>
      </c>
      <c r="E3754" s="26">
        <v>155.0</v>
      </c>
      <c r="F3754" s="26" t="s">
        <v>227</v>
      </c>
      <c r="G3754" s="26">
        <v>0.0</v>
      </c>
      <c r="H3754" s="26">
        <v>0.0</v>
      </c>
      <c r="I3754" s="26">
        <v>108.0</v>
      </c>
      <c r="J3754" s="26">
        <v>30.0</v>
      </c>
      <c r="K3754" s="26">
        <v>17.0</v>
      </c>
      <c r="M3754" s="26" t="s">
        <v>449</v>
      </c>
      <c r="N3754" s="26" t="s">
        <v>704</v>
      </c>
    </row>
    <row r="3755">
      <c r="A3755" s="25">
        <v>43412.79088871527</v>
      </c>
      <c r="B3755" s="26" t="s">
        <v>813</v>
      </c>
      <c r="C3755" s="26" t="s">
        <v>1739</v>
      </c>
      <c r="D3755" s="26" t="s">
        <v>41</v>
      </c>
      <c r="E3755" s="26">
        <v>350.0</v>
      </c>
      <c r="F3755" s="26" t="s">
        <v>1847</v>
      </c>
      <c r="G3755" s="26">
        <v>15.0</v>
      </c>
      <c r="H3755" s="26">
        <v>3.0</v>
      </c>
      <c r="I3755" s="26">
        <v>210.0</v>
      </c>
      <c r="J3755" s="26">
        <v>100.0</v>
      </c>
      <c r="K3755" s="26">
        <v>40.0</v>
      </c>
      <c r="M3755" s="26" t="s">
        <v>449</v>
      </c>
      <c r="N3755" s="26" t="s">
        <v>683</v>
      </c>
    </row>
    <row r="3756">
      <c r="A3756" s="25">
        <v>43412.85959017361</v>
      </c>
      <c r="B3756" s="26" t="s">
        <v>1421</v>
      </c>
      <c r="C3756" s="26">
        <v>2.0</v>
      </c>
      <c r="D3756" s="26" t="s">
        <v>31</v>
      </c>
      <c r="E3756" s="26">
        <v>145.0</v>
      </c>
      <c r="F3756" s="26" t="s">
        <v>1387</v>
      </c>
      <c r="G3756" s="26">
        <v>10.0</v>
      </c>
      <c r="H3756" s="26">
        <v>10.0</v>
      </c>
      <c r="M3756" s="26" t="s">
        <v>458</v>
      </c>
      <c r="N3756" s="26" t="s">
        <v>696</v>
      </c>
    </row>
    <row r="3757">
      <c r="A3757" s="25">
        <v>43412.866092129625</v>
      </c>
      <c r="B3757" s="26" t="s">
        <v>40</v>
      </c>
      <c r="C3757" s="26">
        <v>63.0</v>
      </c>
      <c r="D3757" s="26" t="s">
        <v>713</v>
      </c>
      <c r="E3757" s="26">
        <v>200.0</v>
      </c>
      <c r="F3757" s="26" t="s">
        <v>75</v>
      </c>
      <c r="G3757" s="26">
        <v>19.0</v>
      </c>
      <c r="H3757" s="26">
        <v>0.0</v>
      </c>
      <c r="I3757" s="26">
        <v>150.0</v>
      </c>
      <c r="J3757" s="26">
        <v>5.0</v>
      </c>
      <c r="K3757" s="26">
        <v>45.0</v>
      </c>
      <c r="M3757" s="26" t="s">
        <v>458</v>
      </c>
      <c r="N3757" s="26" t="s">
        <v>2433</v>
      </c>
    </row>
    <row r="3758">
      <c r="A3758" s="25">
        <v>43412.876202534724</v>
      </c>
      <c r="B3758" s="26" t="s">
        <v>40</v>
      </c>
      <c r="C3758" s="26">
        <v>62.0</v>
      </c>
      <c r="D3758" s="26" t="s">
        <v>27</v>
      </c>
      <c r="E3758" s="26">
        <v>168.0</v>
      </c>
      <c r="F3758" s="26" t="s">
        <v>86</v>
      </c>
      <c r="G3758" s="26">
        <v>7.0</v>
      </c>
      <c r="H3758" s="26">
        <v>7.0</v>
      </c>
      <c r="I3758" s="26">
        <v>142.0</v>
      </c>
      <c r="J3758" s="26">
        <v>15.0</v>
      </c>
      <c r="K3758" s="26">
        <v>11.0</v>
      </c>
      <c r="M3758" s="26" t="s">
        <v>458</v>
      </c>
      <c r="N3758" s="26" t="s">
        <v>691</v>
      </c>
    </row>
    <row r="3759">
      <c r="A3759" s="25">
        <v>43412.883341099536</v>
      </c>
      <c r="B3759" s="26" t="s">
        <v>371</v>
      </c>
      <c r="C3759" s="26" t="s">
        <v>2434</v>
      </c>
      <c r="D3759" s="26" t="s">
        <v>1245</v>
      </c>
      <c r="E3759" s="26">
        <v>475.0</v>
      </c>
      <c r="F3759" s="26" t="s">
        <v>459</v>
      </c>
      <c r="G3759" s="26">
        <v>22.0</v>
      </c>
      <c r="H3759" s="26">
        <v>15.0</v>
      </c>
      <c r="I3759" s="26">
        <v>250.0</v>
      </c>
      <c r="J3759" s="26">
        <v>175.0</v>
      </c>
      <c r="K3759" s="26">
        <v>50.0</v>
      </c>
      <c r="M3759" s="26" t="s">
        <v>449</v>
      </c>
      <c r="N3759" s="26" t="s">
        <v>1247</v>
      </c>
    </row>
    <row r="3760">
      <c r="A3760" s="25">
        <v>43412.91174736111</v>
      </c>
      <c r="B3760" s="26" t="s">
        <v>40</v>
      </c>
      <c r="C3760" s="26" t="s">
        <v>2435</v>
      </c>
      <c r="D3760" s="26" t="s">
        <v>2436</v>
      </c>
      <c r="E3760" s="26">
        <v>130.0</v>
      </c>
      <c r="F3760" s="26" t="s">
        <v>2437</v>
      </c>
      <c r="G3760" s="26">
        <v>10.0</v>
      </c>
      <c r="H3760" s="26">
        <v>2.0</v>
      </c>
      <c r="M3760" s="26" t="s">
        <v>449</v>
      </c>
      <c r="N3760" s="26" t="s">
        <v>691</v>
      </c>
    </row>
    <row r="3761">
      <c r="A3761" s="25">
        <v>43412.98343451389</v>
      </c>
      <c r="B3761" s="26" t="s">
        <v>33</v>
      </c>
      <c r="C3761" s="26" t="s">
        <v>1061</v>
      </c>
      <c r="D3761" s="26" t="s">
        <v>41</v>
      </c>
      <c r="E3761" s="26">
        <v>360.0</v>
      </c>
      <c r="F3761" s="26" t="s">
        <v>35</v>
      </c>
      <c r="G3761" s="26">
        <v>15.0</v>
      </c>
      <c r="H3761" s="26">
        <v>2.0</v>
      </c>
      <c r="I3761" s="26">
        <v>160.0</v>
      </c>
      <c r="J3761" s="26">
        <v>200.0</v>
      </c>
      <c r="M3761" s="26" t="s">
        <v>449</v>
      </c>
      <c r="N3761" s="26" t="s">
        <v>708</v>
      </c>
    </row>
    <row r="3762">
      <c r="A3762" s="25">
        <v>43413.08804646991</v>
      </c>
      <c r="B3762" s="26" t="s">
        <v>33</v>
      </c>
      <c r="C3762" s="26" t="s">
        <v>43</v>
      </c>
      <c r="D3762" s="26" t="s">
        <v>31</v>
      </c>
      <c r="E3762" s="26">
        <v>87.0</v>
      </c>
      <c r="F3762" s="26" t="s">
        <v>2438</v>
      </c>
      <c r="G3762" s="26">
        <v>14.0</v>
      </c>
      <c r="H3762" s="26">
        <v>2.0</v>
      </c>
      <c r="I3762" s="26">
        <v>55.0</v>
      </c>
      <c r="J3762" s="26">
        <v>32.0</v>
      </c>
      <c r="M3762" s="26" t="s">
        <v>449</v>
      </c>
      <c r="N3762" s="26" t="s">
        <v>683</v>
      </c>
    </row>
    <row r="3763">
      <c r="A3763" s="25">
        <v>43413.137858842594</v>
      </c>
      <c r="B3763" s="26" t="s">
        <v>154</v>
      </c>
      <c r="C3763" s="26" t="s">
        <v>2439</v>
      </c>
      <c r="D3763" s="26" t="s">
        <v>41</v>
      </c>
      <c r="E3763" s="26">
        <v>402.0</v>
      </c>
      <c r="F3763" s="26" t="s">
        <v>677</v>
      </c>
      <c r="G3763" s="26">
        <v>15.0</v>
      </c>
      <c r="H3763" s="26">
        <v>9.0</v>
      </c>
      <c r="I3763" s="26">
        <v>240.0</v>
      </c>
      <c r="J3763" s="26">
        <v>90.0</v>
      </c>
      <c r="K3763" s="26">
        <v>72.0</v>
      </c>
      <c r="M3763" s="26" t="s">
        <v>449</v>
      </c>
      <c r="N3763" s="26" t="s">
        <v>757</v>
      </c>
    </row>
    <row r="3764">
      <c r="A3764" s="25">
        <v>43413.16255167824</v>
      </c>
      <c r="B3764" s="26" t="s">
        <v>33</v>
      </c>
      <c r="C3764" s="26" t="s">
        <v>62</v>
      </c>
      <c r="D3764" s="26" t="s">
        <v>1914</v>
      </c>
      <c r="E3764" s="26">
        <v>250.0</v>
      </c>
      <c r="F3764" s="26" t="s">
        <v>2440</v>
      </c>
      <c r="G3764" s="26">
        <v>6.0</v>
      </c>
      <c r="H3764" s="26">
        <v>5.0</v>
      </c>
      <c r="L3764" s="26" t="s">
        <v>895</v>
      </c>
      <c r="M3764" s="26" t="s">
        <v>449</v>
      </c>
      <c r="N3764" s="26" t="s">
        <v>2441</v>
      </c>
    </row>
    <row r="3765">
      <c r="A3765" s="25">
        <v>43413.239704189815</v>
      </c>
      <c r="B3765" s="26" t="s">
        <v>33</v>
      </c>
      <c r="C3765" s="26" t="s">
        <v>43</v>
      </c>
      <c r="D3765" s="26" t="s">
        <v>2442</v>
      </c>
      <c r="E3765" s="26">
        <v>40.0</v>
      </c>
      <c r="F3765" s="26" t="s">
        <v>1967</v>
      </c>
      <c r="G3765" s="26">
        <v>5.0</v>
      </c>
      <c r="H3765" s="26">
        <v>1.5</v>
      </c>
      <c r="I3765" s="26">
        <v>33.0</v>
      </c>
      <c r="J3765" s="26">
        <v>7.0</v>
      </c>
      <c r="M3765" s="26" t="s">
        <v>449</v>
      </c>
      <c r="N3765" s="26" t="s">
        <v>715</v>
      </c>
    </row>
    <row r="3766">
      <c r="A3766" s="25">
        <v>43413.253028796295</v>
      </c>
      <c r="B3766" s="26" t="s">
        <v>124</v>
      </c>
      <c r="C3766" s="26" t="s">
        <v>287</v>
      </c>
      <c r="D3766" s="26" t="s">
        <v>1225</v>
      </c>
      <c r="E3766" s="26">
        <v>170.0</v>
      </c>
      <c r="F3766" s="26" t="s">
        <v>459</v>
      </c>
      <c r="G3766" s="26">
        <v>15.0</v>
      </c>
      <c r="H3766" s="26">
        <v>4.0</v>
      </c>
      <c r="I3766" s="26">
        <v>138.0</v>
      </c>
      <c r="J3766" s="26">
        <v>10.0</v>
      </c>
      <c r="K3766" s="26">
        <v>27.0</v>
      </c>
      <c r="M3766" s="26" t="s">
        <v>458</v>
      </c>
      <c r="N3766" s="26" t="s">
        <v>1617</v>
      </c>
    </row>
    <row r="3767">
      <c r="A3767" s="25">
        <v>43413.27007861111</v>
      </c>
      <c r="B3767" s="26" t="s">
        <v>33</v>
      </c>
      <c r="C3767" s="26" t="s">
        <v>34</v>
      </c>
      <c r="D3767" s="26" t="s">
        <v>27</v>
      </c>
      <c r="E3767" s="26">
        <v>500.0</v>
      </c>
      <c r="F3767" s="26" t="s">
        <v>35</v>
      </c>
      <c r="G3767" s="26">
        <v>19.0</v>
      </c>
      <c r="H3767" s="26">
        <v>6.0</v>
      </c>
      <c r="M3767" s="26" t="s">
        <v>449</v>
      </c>
      <c r="N3767" s="26" t="s">
        <v>687</v>
      </c>
    </row>
    <row r="3768">
      <c r="A3768" s="25">
        <v>43413.29591055556</v>
      </c>
      <c r="B3768" s="26" t="s">
        <v>2443</v>
      </c>
      <c r="C3768" s="26" t="s">
        <v>2444</v>
      </c>
      <c r="D3768" s="26" t="s">
        <v>2444</v>
      </c>
      <c r="E3768" s="26">
        <v>400.0</v>
      </c>
      <c r="F3768" s="26" t="s">
        <v>94</v>
      </c>
      <c r="G3768" s="26">
        <v>25.0</v>
      </c>
      <c r="H3768" s="26">
        <v>2.0</v>
      </c>
      <c r="M3768" s="26" t="s">
        <v>449</v>
      </c>
      <c r="N3768" s="26" t="s">
        <v>2445</v>
      </c>
    </row>
    <row r="3769">
      <c r="A3769" s="25">
        <v>43413.321947233795</v>
      </c>
      <c r="B3769" s="26" t="s">
        <v>1603</v>
      </c>
      <c r="C3769" s="26" t="s">
        <v>949</v>
      </c>
      <c r="D3769" s="26" t="s">
        <v>31</v>
      </c>
      <c r="E3769" s="26">
        <v>130.0</v>
      </c>
      <c r="F3769" s="26" t="s">
        <v>32</v>
      </c>
      <c r="G3769" s="26">
        <v>1.0</v>
      </c>
      <c r="H3769" s="26">
        <v>1.0</v>
      </c>
      <c r="I3769" s="26">
        <v>130.0</v>
      </c>
      <c r="M3769" s="26" t="s">
        <v>449</v>
      </c>
      <c r="N3769" s="26" t="s">
        <v>704</v>
      </c>
    </row>
    <row r="3770">
      <c r="A3770" s="25">
        <v>43413.42056466435</v>
      </c>
      <c r="B3770" s="26" t="s">
        <v>790</v>
      </c>
      <c r="C3770" s="26" t="s">
        <v>184</v>
      </c>
      <c r="D3770" s="26" t="s">
        <v>31</v>
      </c>
      <c r="E3770" s="26">
        <v>204.0</v>
      </c>
      <c r="F3770" s="26" t="s">
        <v>35</v>
      </c>
      <c r="G3770" s="26">
        <v>5.0</v>
      </c>
      <c r="H3770" s="26">
        <v>1.0</v>
      </c>
      <c r="I3770" s="26">
        <v>160.0</v>
      </c>
      <c r="J3770" s="26">
        <v>12.0</v>
      </c>
      <c r="K3770" s="26">
        <v>32.0</v>
      </c>
      <c r="L3770" s="26" t="s">
        <v>2446</v>
      </c>
      <c r="M3770" s="26" t="s">
        <v>458</v>
      </c>
      <c r="N3770" s="26" t="s">
        <v>685</v>
      </c>
    </row>
    <row r="3771">
      <c r="A3771" s="25">
        <v>43413.45629340278</v>
      </c>
      <c r="B3771" s="26" t="s">
        <v>371</v>
      </c>
      <c r="C3771" s="26" t="s">
        <v>1248</v>
      </c>
      <c r="D3771" s="26" t="s">
        <v>716</v>
      </c>
      <c r="E3771" s="26">
        <v>240.0</v>
      </c>
      <c r="F3771" s="26" t="s">
        <v>459</v>
      </c>
      <c r="G3771" s="26">
        <v>12.0</v>
      </c>
      <c r="H3771" s="26">
        <v>7.5</v>
      </c>
      <c r="I3771" s="26">
        <v>160.0</v>
      </c>
      <c r="J3771" s="26">
        <v>60.0</v>
      </c>
      <c r="K3771" s="26">
        <v>20.0</v>
      </c>
      <c r="M3771" s="26" t="s">
        <v>449</v>
      </c>
      <c r="N3771" s="26" t="s">
        <v>2447</v>
      </c>
    </row>
    <row r="3772">
      <c r="A3772" s="25">
        <v>43413.507565312495</v>
      </c>
      <c r="B3772" s="26" t="s">
        <v>1489</v>
      </c>
      <c r="C3772" s="26" t="s">
        <v>2448</v>
      </c>
      <c r="D3772" s="26" t="s">
        <v>41</v>
      </c>
      <c r="E3772" s="26">
        <v>750.0</v>
      </c>
      <c r="F3772" s="26" t="s">
        <v>2265</v>
      </c>
      <c r="G3772" s="26">
        <v>23.0</v>
      </c>
      <c r="H3772" s="26">
        <v>2.0</v>
      </c>
      <c r="M3772" s="26" t="s">
        <v>449</v>
      </c>
      <c r="N3772" s="26" t="s">
        <v>683</v>
      </c>
    </row>
    <row r="3773">
      <c r="A3773" s="25">
        <v>43413.51125520833</v>
      </c>
      <c r="B3773" s="26" t="s">
        <v>1489</v>
      </c>
      <c r="C3773" s="26" t="s">
        <v>2104</v>
      </c>
      <c r="D3773" s="26" t="s">
        <v>41</v>
      </c>
      <c r="E3773" s="26">
        <v>250.0</v>
      </c>
      <c r="F3773" s="26" t="s">
        <v>2265</v>
      </c>
      <c r="G3773" s="26">
        <v>20.0</v>
      </c>
      <c r="H3773" s="26">
        <v>1.0</v>
      </c>
      <c r="M3773" s="26" t="s">
        <v>449</v>
      </c>
      <c r="N3773" s="26" t="s">
        <v>683</v>
      </c>
    </row>
    <row r="3774">
      <c r="A3774" s="25">
        <v>43413.512078935186</v>
      </c>
      <c r="B3774" s="26" t="s">
        <v>64</v>
      </c>
      <c r="C3774" s="26" t="s">
        <v>647</v>
      </c>
      <c r="D3774" s="26" t="s">
        <v>31</v>
      </c>
      <c r="E3774" s="26">
        <v>178.0</v>
      </c>
      <c r="F3774" s="26" t="s">
        <v>175</v>
      </c>
      <c r="G3774" s="26">
        <v>4.0</v>
      </c>
      <c r="H3774" s="26">
        <v>2.0</v>
      </c>
      <c r="I3774" s="26">
        <v>130.0</v>
      </c>
      <c r="J3774" s="26">
        <v>30.0</v>
      </c>
      <c r="K3774" s="26">
        <v>18.0</v>
      </c>
      <c r="M3774" s="26" t="s">
        <v>449</v>
      </c>
      <c r="N3774" s="26" t="s">
        <v>685</v>
      </c>
    </row>
    <row r="3775">
      <c r="A3775" s="25">
        <v>43413.51328748843</v>
      </c>
      <c r="B3775" s="26" t="s">
        <v>1658</v>
      </c>
      <c r="C3775" s="26" t="s">
        <v>1659</v>
      </c>
      <c r="D3775" s="26" t="s">
        <v>31</v>
      </c>
      <c r="E3775" s="26">
        <v>65.0</v>
      </c>
      <c r="F3775" s="26" t="s">
        <v>2265</v>
      </c>
      <c r="G3775" s="26">
        <v>10.0</v>
      </c>
      <c r="H3775" s="26">
        <v>10.0</v>
      </c>
      <c r="M3775" s="26" t="s">
        <v>449</v>
      </c>
      <c r="N3775" s="26" t="s">
        <v>696</v>
      </c>
    </row>
    <row r="3776">
      <c r="A3776" s="25">
        <v>43413.60102174769</v>
      </c>
      <c r="B3776" s="26" t="s">
        <v>119</v>
      </c>
      <c r="C3776" s="26" t="s">
        <v>494</v>
      </c>
      <c r="D3776" s="26" t="s">
        <v>31</v>
      </c>
      <c r="E3776" s="26">
        <v>262.0</v>
      </c>
      <c r="F3776" s="26" t="s">
        <v>86</v>
      </c>
      <c r="G3776" s="26">
        <v>8.0</v>
      </c>
      <c r="H3776" s="26">
        <v>2.0</v>
      </c>
      <c r="I3776" s="26">
        <v>177.0</v>
      </c>
      <c r="J3776" s="26">
        <v>60.0</v>
      </c>
      <c r="K3776" s="26">
        <v>25.0</v>
      </c>
      <c r="M3776" s="26" t="s">
        <v>449</v>
      </c>
      <c r="N3776" s="26" t="s">
        <v>757</v>
      </c>
    </row>
    <row r="3777">
      <c r="A3777" s="25">
        <v>43413.60356498843</v>
      </c>
      <c r="B3777" s="26" t="s">
        <v>40</v>
      </c>
      <c r="C3777" s="26">
        <v>60.0</v>
      </c>
      <c r="D3777" s="26" t="s">
        <v>1225</v>
      </c>
      <c r="E3777" s="26">
        <v>120.0</v>
      </c>
      <c r="F3777" s="26" t="s">
        <v>52</v>
      </c>
      <c r="G3777" s="26">
        <v>2.0</v>
      </c>
      <c r="H3777" s="26">
        <v>2.0</v>
      </c>
      <c r="N3777" s="26" t="s">
        <v>2449</v>
      </c>
    </row>
    <row r="3778">
      <c r="A3778" s="25">
        <v>43413.6058066088</v>
      </c>
      <c r="B3778" s="26" t="s">
        <v>33</v>
      </c>
      <c r="C3778" s="26" t="s">
        <v>62</v>
      </c>
      <c r="D3778" s="26" t="s">
        <v>2450</v>
      </c>
      <c r="E3778" s="26">
        <v>160.0</v>
      </c>
      <c r="F3778" s="26" t="s">
        <v>35</v>
      </c>
      <c r="G3778" s="26">
        <v>10.0</v>
      </c>
      <c r="H3778" s="26">
        <v>2.0</v>
      </c>
      <c r="M3778" s="26" t="s">
        <v>449</v>
      </c>
      <c r="N3778" s="26" t="s">
        <v>2451</v>
      </c>
    </row>
    <row r="3779">
      <c r="A3779" s="25">
        <v>43413.61697969907</v>
      </c>
      <c r="B3779" s="26" t="s">
        <v>80</v>
      </c>
      <c r="C3779" s="26" t="s">
        <v>26</v>
      </c>
      <c r="D3779" s="26" t="s">
        <v>31</v>
      </c>
      <c r="E3779" s="26">
        <v>190.0</v>
      </c>
      <c r="F3779" s="26" t="s">
        <v>1072</v>
      </c>
      <c r="G3779" s="26">
        <v>1.0</v>
      </c>
      <c r="H3779" s="26">
        <v>0.0</v>
      </c>
      <c r="I3779" s="26">
        <v>125.0</v>
      </c>
      <c r="J3779" s="26">
        <v>40.0</v>
      </c>
      <c r="M3779" s="26" t="s">
        <v>458</v>
      </c>
      <c r="N3779" s="26" t="s">
        <v>696</v>
      </c>
    </row>
    <row r="3780">
      <c r="A3780" s="25">
        <v>43413.62237855324</v>
      </c>
      <c r="B3780" s="26" t="s">
        <v>80</v>
      </c>
      <c r="C3780" s="26" t="s">
        <v>73</v>
      </c>
      <c r="D3780" s="26" t="s">
        <v>31</v>
      </c>
      <c r="E3780" s="26">
        <v>200.0</v>
      </c>
      <c r="F3780" s="26" t="s">
        <v>51</v>
      </c>
      <c r="G3780" s="26">
        <v>0.0</v>
      </c>
      <c r="H3780" s="26">
        <v>0.0</v>
      </c>
      <c r="I3780" s="26">
        <v>136.0</v>
      </c>
      <c r="J3780" s="26">
        <v>35.0</v>
      </c>
      <c r="K3780" s="26">
        <v>30.0</v>
      </c>
      <c r="M3780" s="26" t="s">
        <v>449</v>
      </c>
      <c r="N3780" s="26" t="s">
        <v>704</v>
      </c>
    </row>
    <row r="3781">
      <c r="A3781" s="25">
        <v>43413.64538685185</v>
      </c>
      <c r="B3781" s="26" t="s">
        <v>268</v>
      </c>
      <c r="C3781" s="26" t="s">
        <v>1064</v>
      </c>
      <c r="D3781" s="26" t="s">
        <v>31</v>
      </c>
      <c r="E3781" s="26">
        <v>308.0</v>
      </c>
      <c r="F3781" s="26" t="s">
        <v>238</v>
      </c>
      <c r="G3781" s="26">
        <v>20.0</v>
      </c>
      <c r="H3781" s="26">
        <v>13.0</v>
      </c>
      <c r="I3781" s="26">
        <v>193.0</v>
      </c>
      <c r="J3781" s="26">
        <v>60.0</v>
      </c>
      <c r="K3781" s="26">
        <v>55.0</v>
      </c>
      <c r="M3781" s="26" t="s">
        <v>449</v>
      </c>
      <c r="N3781" s="26" t="s">
        <v>715</v>
      </c>
    </row>
    <row r="3782">
      <c r="A3782" s="25">
        <v>43413.71508952546</v>
      </c>
      <c r="B3782" s="26" t="s">
        <v>2452</v>
      </c>
      <c r="C3782" s="26" t="s">
        <v>2453</v>
      </c>
      <c r="D3782" s="26" t="s">
        <v>31</v>
      </c>
      <c r="E3782" s="26">
        <v>196.0</v>
      </c>
      <c r="F3782" s="26" t="s">
        <v>989</v>
      </c>
      <c r="G3782" s="26">
        <v>20.0</v>
      </c>
      <c r="H3782" s="26">
        <v>1.0</v>
      </c>
      <c r="I3782" s="26">
        <v>170.0</v>
      </c>
      <c r="K3782" s="26">
        <v>26.0</v>
      </c>
      <c r="M3782" s="26" t="s">
        <v>449</v>
      </c>
      <c r="N3782" s="26" t="s">
        <v>704</v>
      </c>
    </row>
    <row r="3783">
      <c r="A3783" s="25">
        <v>43413.717398796296</v>
      </c>
      <c r="B3783" s="26" t="s">
        <v>33</v>
      </c>
      <c r="C3783" s="26" t="s">
        <v>62</v>
      </c>
      <c r="D3783" s="26" t="s">
        <v>1027</v>
      </c>
      <c r="E3783" s="26">
        <v>230.0</v>
      </c>
      <c r="F3783" s="26" t="s">
        <v>133</v>
      </c>
      <c r="G3783" s="26">
        <v>20.0</v>
      </c>
      <c r="H3783" s="26">
        <v>3.0</v>
      </c>
      <c r="M3783" s="26" t="s">
        <v>458</v>
      </c>
      <c r="N3783" s="26" t="s">
        <v>757</v>
      </c>
    </row>
    <row r="3784">
      <c r="A3784" s="25">
        <v>43413.78812282407</v>
      </c>
      <c r="B3784" s="26" t="s">
        <v>319</v>
      </c>
      <c r="C3784" s="26">
        <v>7.0</v>
      </c>
      <c r="D3784" s="26" t="s">
        <v>1225</v>
      </c>
      <c r="E3784" s="26">
        <v>125.0</v>
      </c>
      <c r="F3784" s="26" t="s">
        <v>32</v>
      </c>
      <c r="G3784" s="26">
        <v>2.0</v>
      </c>
      <c r="H3784" s="26">
        <v>2.0</v>
      </c>
      <c r="N3784" s="26" t="s">
        <v>696</v>
      </c>
    </row>
    <row r="3785">
      <c r="A3785" s="25">
        <v>43413.8226905787</v>
      </c>
      <c r="B3785" s="26" t="s">
        <v>2454</v>
      </c>
      <c r="C3785" s="26" t="s">
        <v>37</v>
      </c>
      <c r="D3785" s="26" t="s">
        <v>31</v>
      </c>
      <c r="E3785" s="26">
        <v>200.0</v>
      </c>
      <c r="F3785" s="26" t="s">
        <v>51</v>
      </c>
      <c r="G3785" s="26">
        <v>4.0</v>
      </c>
      <c r="H3785" s="26">
        <v>2.0</v>
      </c>
      <c r="M3785" s="26" t="s">
        <v>449</v>
      </c>
      <c r="N3785" s="26" t="s">
        <v>683</v>
      </c>
    </row>
    <row r="3786">
      <c r="A3786" s="25">
        <v>43413.849480335644</v>
      </c>
      <c r="B3786" s="26" t="s">
        <v>234</v>
      </c>
      <c r="C3786" s="26" t="s">
        <v>430</v>
      </c>
      <c r="D3786" s="26" t="s">
        <v>713</v>
      </c>
      <c r="E3786" s="26">
        <v>200.0</v>
      </c>
      <c r="F3786" s="26" t="s">
        <v>767</v>
      </c>
      <c r="G3786" s="26">
        <v>15.0</v>
      </c>
      <c r="H3786" s="26">
        <v>5.0</v>
      </c>
      <c r="I3786" s="26">
        <v>140.0</v>
      </c>
      <c r="K3786" s="26">
        <v>30.0</v>
      </c>
      <c r="M3786" s="26" t="s">
        <v>449</v>
      </c>
      <c r="N3786" s="26" t="s">
        <v>691</v>
      </c>
    </row>
    <row r="3787">
      <c r="A3787" s="25">
        <v>43413.87774696759</v>
      </c>
      <c r="B3787" s="26" t="s">
        <v>119</v>
      </c>
      <c r="C3787" s="26" t="s">
        <v>1758</v>
      </c>
      <c r="D3787" s="26" t="s">
        <v>31</v>
      </c>
      <c r="E3787" s="26">
        <v>260.0</v>
      </c>
      <c r="F3787" s="26" t="s">
        <v>35</v>
      </c>
      <c r="G3787" s="26">
        <v>10.0</v>
      </c>
      <c r="H3787" s="26">
        <v>3.0</v>
      </c>
      <c r="I3787" s="26">
        <v>180.0</v>
      </c>
      <c r="J3787" s="26">
        <v>50.0</v>
      </c>
      <c r="K3787" s="26">
        <v>30.0</v>
      </c>
      <c r="M3787" s="26" t="s">
        <v>449</v>
      </c>
      <c r="N3787" s="26" t="s">
        <v>683</v>
      </c>
    </row>
    <row r="3788">
      <c r="A3788" s="25">
        <v>43413.88291503472</v>
      </c>
      <c r="B3788" s="26" t="s">
        <v>119</v>
      </c>
      <c r="C3788" s="26" t="s">
        <v>504</v>
      </c>
      <c r="D3788" s="26" t="s">
        <v>27</v>
      </c>
      <c r="E3788" s="26">
        <v>200.0</v>
      </c>
      <c r="F3788" s="26" t="s">
        <v>32</v>
      </c>
      <c r="G3788" s="26">
        <v>5.0</v>
      </c>
      <c r="H3788" s="26">
        <v>4.0</v>
      </c>
      <c r="N3788" s="26" t="s">
        <v>80</v>
      </c>
    </row>
    <row r="3789">
      <c r="A3789" s="25">
        <v>43413.88459966435</v>
      </c>
      <c r="B3789" s="26" t="s">
        <v>213</v>
      </c>
      <c r="C3789" s="26" t="s">
        <v>2455</v>
      </c>
      <c r="D3789" s="26" t="s">
        <v>31</v>
      </c>
      <c r="E3789" s="26">
        <v>123.0</v>
      </c>
      <c r="F3789" s="26" t="s">
        <v>2456</v>
      </c>
      <c r="G3789" s="26">
        <v>15.0</v>
      </c>
      <c r="H3789" s="26">
        <v>3.0</v>
      </c>
      <c r="M3789" s="26" t="s">
        <v>449</v>
      </c>
      <c r="N3789" s="26" t="s">
        <v>2457</v>
      </c>
    </row>
    <row r="3790">
      <c r="A3790" s="25">
        <v>43413.9214721412</v>
      </c>
      <c r="B3790" s="26" t="s">
        <v>80</v>
      </c>
      <c r="C3790" s="26" t="s">
        <v>73</v>
      </c>
      <c r="D3790" s="26" t="s">
        <v>2458</v>
      </c>
      <c r="E3790" s="26">
        <v>253.0</v>
      </c>
      <c r="F3790" s="26" t="s">
        <v>58</v>
      </c>
      <c r="G3790" s="26">
        <v>3.0</v>
      </c>
      <c r="H3790" s="26">
        <v>3.0</v>
      </c>
      <c r="I3790" s="26">
        <v>143.0</v>
      </c>
      <c r="J3790" s="26">
        <v>82.0</v>
      </c>
      <c r="K3790" s="26">
        <v>28.0</v>
      </c>
      <c r="M3790" s="26" t="s">
        <v>458</v>
      </c>
      <c r="N3790" s="26" t="s">
        <v>696</v>
      </c>
    </row>
    <row r="3791">
      <c r="A3791" s="25">
        <v>43413.932087002315</v>
      </c>
      <c r="B3791" s="26" t="s">
        <v>119</v>
      </c>
      <c r="C3791" s="26" t="s">
        <v>749</v>
      </c>
      <c r="D3791" s="26" t="s">
        <v>31</v>
      </c>
      <c r="E3791" s="26">
        <v>200.0</v>
      </c>
      <c r="F3791" s="26" t="s">
        <v>32</v>
      </c>
      <c r="G3791" s="26">
        <v>8.0</v>
      </c>
      <c r="H3791" s="26">
        <v>4.0</v>
      </c>
      <c r="M3791" s="26" t="s">
        <v>458</v>
      </c>
      <c r="N3791" s="26" t="s">
        <v>683</v>
      </c>
    </row>
    <row r="3792">
      <c r="A3792" s="25">
        <v>43413.93249395833</v>
      </c>
      <c r="B3792" s="26" t="s">
        <v>33</v>
      </c>
      <c r="C3792" s="26" t="s">
        <v>43</v>
      </c>
      <c r="D3792" s="26" t="s">
        <v>31</v>
      </c>
      <c r="E3792" s="26">
        <v>250.0</v>
      </c>
      <c r="F3792" s="26" t="s">
        <v>32</v>
      </c>
      <c r="G3792" s="26">
        <v>3.0</v>
      </c>
      <c r="H3792" s="26">
        <v>4.0</v>
      </c>
      <c r="I3792" s="26">
        <v>150.0</v>
      </c>
      <c r="J3792" s="26">
        <v>100.0</v>
      </c>
      <c r="M3792" s="26" t="s">
        <v>449</v>
      </c>
      <c r="N3792" s="26" t="s">
        <v>708</v>
      </c>
    </row>
    <row r="3793">
      <c r="A3793" s="25">
        <v>43413.95417759259</v>
      </c>
      <c r="B3793" s="26" t="s">
        <v>2459</v>
      </c>
      <c r="C3793" s="26" t="s">
        <v>369</v>
      </c>
      <c r="D3793" s="26" t="s">
        <v>2460</v>
      </c>
      <c r="E3793" s="26">
        <v>162.0</v>
      </c>
      <c r="F3793" s="26" t="s">
        <v>1257</v>
      </c>
      <c r="G3793" s="26">
        <v>20.0</v>
      </c>
      <c r="H3793" s="26">
        <v>4.0</v>
      </c>
      <c r="M3793" s="26" t="s">
        <v>449</v>
      </c>
      <c r="N3793" s="26" t="s">
        <v>2461</v>
      </c>
    </row>
    <row r="3794">
      <c r="A3794" s="25">
        <v>43413.95974585648</v>
      </c>
      <c r="B3794" s="26" t="s">
        <v>40</v>
      </c>
      <c r="C3794" s="26">
        <v>61.0</v>
      </c>
      <c r="D3794" s="26" t="s">
        <v>31</v>
      </c>
      <c r="E3794" s="26">
        <v>170.0</v>
      </c>
      <c r="F3794" s="26" t="s">
        <v>75</v>
      </c>
      <c r="G3794" s="26">
        <v>2.0</v>
      </c>
      <c r="H3794" s="26">
        <v>2.0</v>
      </c>
      <c r="I3794" s="26">
        <v>135.0</v>
      </c>
      <c r="J3794" s="26">
        <v>12.0</v>
      </c>
      <c r="K3794" s="26">
        <v>22.0</v>
      </c>
      <c r="M3794" s="26" t="s">
        <v>449</v>
      </c>
      <c r="N3794" s="26" t="s">
        <v>685</v>
      </c>
    </row>
    <row r="3795">
      <c r="A3795" s="25">
        <v>43413.967751979166</v>
      </c>
      <c r="B3795" s="26" t="s">
        <v>40</v>
      </c>
      <c r="C3795" s="26">
        <v>62.0</v>
      </c>
      <c r="D3795" s="26" t="s">
        <v>31</v>
      </c>
      <c r="E3795" s="26">
        <v>222.0</v>
      </c>
      <c r="F3795" s="26" t="s">
        <v>75</v>
      </c>
      <c r="G3795" s="26">
        <v>7.0</v>
      </c>
      <c r="H3795" s="26">
        <v>4.0</v>
      </c>
      <c r="I3795" s="26">
        <v>153.0</v>
      </c>
      <c r="J3795" s="26">
        <v>53.0</v>
      </c>
      <c r="K3795" s="26">
        <v>16.0</v>
      </c>
      <c r="M3795" s="26" t="s">
        <v>449</v>
      </c>
      <c r="N3795" s="26" t="s">
        <v>685</v>
      </c>
    </row>
    <row r="3796">
      <c r="A3796" s="25">
        <v>43413.967753715275</v>
      </c>
      <c r="B3796" s="26" t="s">
        <v>40</v>
      </c>
      <c r="C3796" s="26">
        <v>62.0</v>
      </c>
      <c r="D3796" s="26" t="s">
        <v>31</v>
      </c>
      <c r="E3796" s="26">
        <v>222.0</v>
      </c>
      <c r="F3796" s="26" t="s">
        <v>75</v>
      </c>
      <c r="G3796" s="26">
        <v>7.0</v>
      </c>
      <c r="H3796" s="26">
        <v>4.0</v>
      </c>
      <c r="I3796" s="26">
        <v>153.0</v>
      </c>
      <c r="J3796" s="26">
        <v>53.0</v>
      </c>
      <c r="K3796" s="26">
        <v>16.0</v>
      </c>
      <c r="M3796" s="26" t="s">
        <v>449</v>
      </c>
      <c r="N3796" s="26" t="s">
        <v>685</v>
      </c>
    </row>
    <row r="3797">
      <c r="A3797" s="25">
        <v>43413.99433075231</v>
      </c>
      <c r="B3797" s="26" t="s">
        <v>387</v>
      </c>
      <c r="C3797" s="26" t="s">
        <v>455</v>
      </c>
      <c r="D3797" s="26" t="s">
        <v>31</v>
      </c>
      <c r="E3797" s="26">
        <v>150.0</v>
      </c>
      <c r="F3797" s="26" t="s">
        <v>175</v>
      </c>
      <c r="G3797" s="26">
        <v>2.0</v>
      </c>
      <c r="H3797" s="26">
        <v>1.0</v>
      </c>
      <c r="I3797" s="26">
        <v>125.0</v>
      </c>
      <c r="J3797" s="26">
        <v>25.0</v>
      </c>
      <c r="M3797" s="26" t="s">
        <v>449</v>
      </c>
      <c r="N3797" s="26" t="s">
        <v>866</v>
      </c>
    </row>
    <row r="3798">
      <c r="A3798" s="25">
        <v>43414.03948939814</v>
      </c>
      <c r="B3798" s="26" t="s">
        <v>64</v>
      </c>
      <c r="C3798" s="26" t="s">
        <v>494</v>
      </c>
      <c r="D3798" s="26" t="s">
        <v>31</v>
      </c>
      <c r="E3798" s="26">
        <v>227.0</v>
      </c>
      <c r="F3798" s="26" t="s">
        <v>32</v>
      </c>
      <c r="G3798" s="26">
        <v>7.0</v>
      </c>
      <c r="H3798" s="26">
        <v>7.0</v>
      </c>
      <c r="I3798" s="26">
        <v>155.0</v>
      </c>
      <c r="J3798" s="26">
        <v>40.0</v>
      </c>
      <c r="K3798" s="26">
        <v>32.0</v>
      </c>
      <c r="M3798" s="26" t="s">
        <v>449</v>
      </c>
      <c r="N3798" s="26" t="s">
        <v>685</v>
      </c>
    </row>
    <row r="3799">
      <c r="A3799" s="25">
        <v>43414.12471621528</v>
      </c>
      <c r="B3799" s="26" t="s">
        <v>380</v>
      </c>
      <c r="C3799" s="26" t="s">
        <v>271</v>
      </c>
      <c r="D3799" s="26" t="s">
        <v>31</v>
      </c>
      <c r="E3799" s="26">
        <v>260.0</v>
      </c>
      <c r="F3799" s="26" t="s">
        <v>2462</v>
      </c>
      <c r="G3799" s="26">
        <v>14.0</v>
      </c>
      <c r="H3799" s="26">
        <v>3.0</v>
      </c>
      <c r="I3799" s="26">
        <v>160.0</v>
      </c>
      <c r="J3799" s="26">
        <v>100.0</v>
      </c>
      <c r="K3799" s="26">
        <v>5.0</v>
      </c>
      <c r="M3799" s="26" t="s">
        <v>449</v>
      </c>
      <c r="N3799" s="26" t="s">
        <v>2463</v>
      </c>
    </row>
    <row r="3800">
      <c r="A3800" s="25">
        <v>43414.35372134259</v>
      </c>
      <c r="B3800" s="26" t="s">
        <v>36</v>
      </c>
      <c r="C3800" s="26">
        <v>6.0</v>
      </c>
      <c r="D3800" s="26" t="s">
        <v>41</v>
      </c>
      <c r="E3800" s="26">
        <v>460.0</v>
      </c>
      <c r="F3800" s="26" t="s">
        <v>2464</v>
      </c>
      <c r="G3800" s="26">
        <v>12.0</v>
      </c>
      <c r="H3800" s="26">
        <v>2.0</v>
      </c>
      <c r="M3800" s="26" t="s">
        <v>449</v>
      </c>
      <c r="N3800" s="26" t="s">
        <v>757</v>
      </c>
    </row>
    <row r="3801">
      <c r="A3801" s="25">
        <v>43414.403073194444</v>
      </c>
      <c r="B3801" s="26" t="s">
        <v>40</v>
      </c>
      <c r="C3801" s="26">
        <v>64.0</v>
      </c>
      <c r="D3801" s="26" t="s">
        <v>27</v>
      </c>
      <c r="E3801" s="26">
        <v>319.0</v>
      </c>
      <c r="F3801" s="26" t="s">
        <v>35</v>
      </c>
      <c r="G3801" s="26">
        <v>15.0</v>
      </c>
      <c r="H3801" s="26">
        <v>6.0</v>
      </c>
      <c r="I3801" s="26">
        <v>185.0</v>
      </c>
      <c r="J3801" s="26">
        <v>89.0</v>
      </c>
      <c r="K3801" s="26">
        <v>45.0</v>
      </c>
      <c r="M3801" s="26" t="s">
        <v>449</v>
      </c>
      <c r="N3801" s="26" t="s">
        <v>691</v>
      </c>
    </row>
    <row r="3802">
      <c r="A3802" s="25">
        <v>43414.427332997686</v>
      </c>
      <c r="B3802" s="26" t="s">
        <v>371</v>
      </c>
      <c r="C3802" s="26" t="s">
        <v>1248</v>
      </c>
      <c r="D3802" s="26" t="s">
        <v>31</v>
      </c>
      <c r="E3802" s="26">
        <v>240.0</v>
      </c>
      <c r="F3802" s="26" t="s">
        <v>459</v>
      </c>
      <c r="G3802" s="26">
        <v>12.0</v>
      </c>
      <c r="H3802" s="26">
        <v>10.0</v>
      </c>
      <c r="I3802" s="26">
        <v>165.0</v>
      </c>
      <c r="J3802" s="26">
        <v>20.0</v>
      </c>
      <c r="K3802" s="26">
        <v>55.0</v>
      </c>
      <c r="M3802" s="26" t="s">
        <v>1804</v>
      </c>
      <c r="N3802" s="26" t="s">
        <v>1247</v>
      </c>
    </row>
    <row r="3803">
      <c r="A3803" s="25">
        <v>43414.428780243055</v>
      </c>
      <c r="B3803" s="26" t="s">
        <v>371</v>
      </c>
      <c r="C3803" s="26" t="s">
        <v>372</v>
      </c>
      <c r="D3803" s="26" t="s">
        <v>31</v>
      </c>
      <c r="E3803" s="26">
        <v>212.0</v>
      </c>
      <c r="F3803" s="26" t="s">
        <v>238</v>
      </c>
      <c r="G3803" s="26">
        <v>7.0</v>
      </c>
      <c r="H3803" s="26">
        <v>6.0</v>
      </c>
      <c r="I3803" s="26">
        <v>155.0</v>
      </c>
      <c r="J3803" s="26">
        <v>17.0</v>
      </c>
      <c r="K3803" s="26">
        <v>40.0</v>
      </c>
      <c r="M3803" s="26" t="s">
        <v>449</v>
      </c>
      <c r="N3803" s="26" t="s">
        <v>1247</v>
      </c>
    </row>
    <row r="3804">
      <c r="A3804" s="25">
        <v>43414.46915631944</v>
      </c>
      <c r="B3804" s="26" t="s">
        <v>380</v>
      </c>
      <c r="C3804" s="26" t="s">
        <v>271</v>
      </c>
      <c r="D3804" s="26" t="s">
        <v>31</v>
      </c>
      <c r="E3804" s="26">
        <v>270.0</v>
      </c>
      <c r="F3804" s="26" t="s">
        <v>456</v>
      </c>
      <c r="G3804" s="26">
        <v>4.0</v>
      </c>
      <c r="H3804" s="26">
        <v>4.0</v>
      </c>
      <c r="I3804" s="26">
        <v>140.0</v>
      </c>
      <c r="J3804" s="26">
        <v>125.0</v>
      </c>
      <c r="K3804" s="26">
        <v>5.0</v>
      </c>
      <c r="M3804" s="26" t="s">
        <v>449</v>
      </c>
      <c r="N3804" s="26" t="s">
        <v>685</v>
      </c>
    </row>
    <row r="3805">
      <c r="A3805" s="25">
        <v>43414.47968131944</v>
      </c>
      <c r="B3805" s="26" t="s">
        <v>146</v>
      </c>
      <c r="C3805" s="26" t="s">
        <v>31</v>
      </c>
      <c r="D3805" s="26" t="s">
        <v>31</v>
      </c>
      <c r="E3805" s="26">
        <v>183.0</v>
      </c>
      <c r="F3805" s="26" t="s">
        <v>134</v>
      </c>
      <c r="G3805" s="26">
        <v>1.0</v>
      </c>
      <c r="H3805" s="26">
        <v>1.0</v>
      </c>
      <c r="N3805" s="26" t="s">
        <v>685</v>
      </c>
    </row>
    <row r="3806">
      <c r="A3806" s="25">
        <v>43414.56372056713</v>
      </c>
      <c r="B3806" s="26" t="s">
        <v>33</v>
      </c>
      <c r="C3806" s="26" t="s">
        <v>43</v>
      </c>
      <c r="D3806" s="26" t="s">
        <v>31</v>
      </c>
      <c r="E3806" s="26">
        <v>248.0</v>
      </c>
      <c r="F3806" s="26" t="s">
        <v>1831</v>
      </c>
      <c r="G3806" s="26">
        <v>10.0</v>
      </c>
      <c r="H3806" s="26">
        <v>2.5</v>
      </c>
      <c r="L3806" s="26" t="s">
        <v>2465</v>
      </c>
      <c r="M3806" s="26" t="s">
        <v>449</v>
      </c>
      <c r="N3806" s="26" t="s">
        <v>685</v>
      </c>
    </row>
    <row r="3807">
      <c r="A3807" s="25">
        <v>43414.62760211805</v>
      </c>
      <c r="B3807" s="26" t="s">
        <v>440</v>
      </c>
      <c r="C3807" s="26" t="s">
        <v>2466</v>
      </c>
      <c r="D3807" s="26" t="s">
        <v>31</v>
      </c>
      <c r="E3807" s="26">
        <v>100.0</v>
      </c>
      <c r="F3807" s="26" t="s">
        <v>63</v>
      </c>
      <c r="G3807" s="26">
        <v>1.0</v>
      </c>
      <c r="H3807" s="26">
        <v>0.0</v>
      </c>
      <c r="I3807" s="26">
        <v>100000.0</v>
      </c>
      <c r="K3807" s="26">
        <v>5.0</v>
      </c>
      <c r="M3807" s="26" t="s">
        <v>449</v>
      </c>
      <c r="N3807" s="26" t="s">
        <v>683</v>
      </c>
    </row>
    <row r="3808">
      <c r="A3808" s="25">
        <v>43414.63157413194</v>
      </c>
      <c r="B3808" s="26" t="s">
        <v>109</v>
      </c>
      <c r="C3808" s="26" t="s">
        <v>2467</v>
      </c>
      <c r="D3808" s="26" t="s">
        <v>31</v>
      </c>
      <c r="E3808" s="26">
        <v>155.0</v>
      </c>
      <c r="F3808" s="26" t="s">
        <v>133</v>
      </c>
      <c r="G3808" s="26">
        <v>0.0</v>
      </c>
      <c r="H3808" s="26">
        <v>0.0</v>
      </c>
      <c r="I3808" s="26">
        <v>115.0</v>
      </c>
      <c r="J3808" s="26">
        <v>30.0</v>
      </c>
      <c r="K3808" s="26">
        <v>10.0</v>
      </c>
      <c r="M3808" s="26" t="s">
        <v>449</v>
      </c>
      <c r="N3808" s="26" t="s">
        <v>704</v>
      </c>
    </row>
    <row r="3809">
      <c r="A3809" s="25">
        <v>43414.6337359375</v>
      </c>
      <c r="B3809" s="26" t="s">
        <v>40</v>
      </c>
      <c r="C3809" s="26">
        <v>66.0</v>
      </c>
      <c r="D3809" s="26" t="s">
        <v>41</v>
      </c>
      <c r="E3809" s="26">
        <v>335.0</v>
      </c>
      <c r="F3809" s="26" t="s">
        <v>75</v>
      </c>
      <c r="G3809" s="26">
        <v>15.0</v>
      </c>
      <c r="H3809" s="26">
        <v>11.0</v>
      </c>
      <c r="I3809" s="26">
        <v>220.0</v>
      </c>
      <c r="J3809" s="26">
        <v>75.0</v>
      </c>
      <c r="K3809" s="26">
        <v>40.0</v>
      </c>
      <c r="M3809" s="26" t="s">
        <v>449</v>
      </c>
      <c r="N3809" s="26" t="s">
        <v>685</v>
      </c>
    </row>
    <row r="3810">
      <c r="A3810" s="25">
        <v>43414.63436167824</v>
      </c>
      <c r="B3810" s="26" t="s">
        <v>40</v>
      </c>
      <c r="C3810" s="26">
        <v>66.0</v>
      </c>
      <c r="D3810" s="26" t="s">
        <v>41</v>
      </c>
      <c r="E3810" s="26">
        <v>335.0</v>
      </c>
      <c r="F3810" s="26" t="s">
        <v>75</v>
      </c>
      <c r="G3810" s="26">
        <v>15.0</v>
      </c>
      <c r="H3810" s="26">
        <v>11.0</v>
      </c>
      <c r="I3810" s="26">
        <v>210.0</v>
      </c>
      <c r="J3810" s="26">
        <v>75.0</v>
      </c>
      <c r="K3810" s="26">
        <v>40.0</v>
      </c>
      <c r="M3810" s="26" t="s">
        <v>449</v>
      </c>
      <c r="N3810" s="26" t="s">
        <v>685</v>
      </c>
    </row>
    <row r="3811">
      <c r="A3811" s="25">
        <v>43414.67410415509</v>
      </c>
      <c r="B3811" s="26" t="s">
        <v>268</v>
      </c>
      <c r="C3811" s="26" t="s">
        <v>606</v>
      </c>
      <c r="D3811" s="26" t="s">
        <v>31</v>
      </c>
      <c r="E3811" s="26">
        <v>200.0</v>
      </c>
      <c r="F3811" s="26" t="s">
        <v>1206</v>
      </c>
      <c r="G3811" s="26">
        <v>5.0</v>
      </c>
      <c r="H3811" s="26">
        <v>3.0</v>
      </c>
      <c r="N3811" s="26" t="s">
        <v>715</v>
      </c>
    </row>
    <row r="3812">
      <c r="A3812" s="25">
        <v>43414.70343893519</v>
      </c>
      <c r="B3812" s="26" t="s">
        <v>80</v>
      </c>
      <c r="C3812" s="26" t="s">
        <v>26</v>
      </c>
      <c r="D3812" s="26" t="s">
        <v>31</v>
      </c>
      <c r="E3812" s="26">
        <v>257.0</v>
      </c>
      <c r="F3812" s="26" t="s">
        <v>58</v>
      </c>
      <c r="G3812" s="26">
        <v>3.0</v>
      </c>
      <c r="H3812" s="26">
        <v>3.0</v>
      </c>
      <c r="I3812" s="26">
        <v>126.0</v>
      </c>
      <c r="J3812" s="26">
        <v>107.0</v>
      </c>
      <c r="K3812" s="26">
        <v>24.0</v>
      </c>
      <c r="L3812" s="26" t="s">
        <v>811</v>
      </c>
      <c r="M3812" s="26" t="s">
        <v>449</v>
      </c>
      <c r="N3812" s="26" t="s">
        <v>685</v>
      </c>
    </row>
    <row r="3813">
      <c r="A3813" s="25">
        <v>43414.712036296296</v>
      </c>
      <c r="B3813" s="26" t="s">
        <v>45</v>
      </c>
      <c r="C3813" s="26" t="s">
        <v>116</v>
      </c>
      <c r="D3813" s="26" t="s">
        <v>31</v>
      </c>
      <c r="E3813" s="26">
        <v>280.0</v>
      </c>
      <c r="F3813" s="26" t="s">
        <v>104</v>
      </c>
      <c r="G3813" s="26">
        <v>10.0</v>
      </c>
      <c r="H3813" s="26">
        <v>1.0</v>
      </c>
      <c r="I3813" s="26">
        <v>170.0</v>
      </c>
      <c r="J3813" s="26">
        <v>90.0</v>
      </c>
      <c r="K3813" s="26">
        <v>20.0</v>
      </c>
      <c r="M3813" s="26" t="s">
        <v>449</v>
      </c>
      <c r="N3813" s="26" t="s">
        <v>691</v>
      </c>
    </row>
    <row r="3814">
      <c r="A3814" s="25">
        <v>43414.7189197338</v>
      </c>
      <c r="B3814" s="26" t="s">
        <v>2468</v>
      </c>
      <c r="C3814" s="26" t="s">
        <v>143</v>
      </c>
      <c r="D3814" s="26" t="s">
        <v>27</v>
      </c>
      <c r="E3814" s="26">
        <v>211.0</v>
      </c>
      <c r="F3814" s="26" t="s">
        <v>32</v>
      </c>
      <c r="G3814" s="26">
        <v>10.0</v>
      </c>
      <c r="H3814" s="26">
        <v>1.0</v>
      </c>
      <c r="I3814" s="26">
        <v>167.0</v>
      </c>
      <c r="J3814" s="26">
        <v>10.0</v>
      </c>
      <c r="K3814" s="26">
        <v>34.0</v>
      </c>
      <c r="M3814" s="26" t="s">
        <v>449</v>
      </c>
      <c r="N3814" s="26" t="s">
        <v>1718</v>
      </c>
    </row>
    <row r="3815">
      <c r="A3815" s="25">
        <v>43414.72115136574</v>
      </c>
      <c r="B3815" s="26" t="s">
        <v>2468</v>
      </c>
      <c r="C3815" s="26" t="s">
        <v>143</v>
      </c>
      <c r="D3815" s="26" t="s">
        <v>27</v>
      </c>
      <c r="E3815" s="26">
        <v>211.0</v>
      </c>
      <c r="F3815" s="26" t="s">
        <v>32</v>
      </c>
      <c r="G3815" s="26">
        <v>10.0</v>
      </c>
      <c r="H3815" s="26">
        <v>1.0</v>
      </c>
      <c r="I3815" s="26">
        <v>167.0</v>
      </c>
      <c r="J3815" s="26">
        <v>10.0</v>
      </c>
      <c r="K3815" s="26">
        <v>34.0</v>
      </c>
      <c r="M3815" s="26" t="s">
        <v>449</v>
      </c>
      <c r="N3815" s="26" t="s">
        <v>1718</v>
      </c>
    </row>
    <row r="3816">
      <c r="A3816" s="25">
        <v>43414.7570572338</v>
      </c>
      <c r="B3816" s="26" t="s">
        <v>2469</v>
      </c>
      <c r="C3816" s="26" t="s">
        <v>37</v>
      </c>
      <c r="D3816" s="26" t="s">
        <v>31</v>
      </c>
      <c r="E3816" s="26">
        <v>170.0</v>
      </c>
      <c r="F3816" s="26" t="s">
        <v>35</v>
      </c>
      <c r="G3816" s="26">
        <v>30.0</v>
      </c>
      <c r="H3816" s="26">
        <v>1.5</v>
      </c>
      <c r="I3816" s="26">
        <v>170.0</v>
      </c>
      <c r="M3816" s="26" t="s">
        <v>449</v>
      </c>
      <c r="N3816" s="26" t="s">
        <v>699</v>
      </c>
    </row>
    <row r="3817">
      <c r="A3817" s="25">
        <v>43414.861288726854</v>
      </c>
      <c r="B3817" s="26" t="s">
        <v>371</v>
      </c>
      <c r="C3817" s="26" t="s">
        <v>716</v>
      </c>
      <c r="D3817" s="26" t="s">
        <v>31</v>
      </c>
      <c r="E3817" s="26">
        <v>115.0</v>
      </c>
      <c r="F3817" s="26" t="s">
        <v>453</v>
      </c>
      <c r="G3817" s="26">
        <v>2.0</v>
      </c>
      <c r="H3817" s="26">
        <v>1.0</v>
      </c>
      <c r="I3817" s="26">
        <v>100.0</v>
      </c>
      <c r="J3817" s="26">
        <v>10.0</v>
      </c>
      <c r="K3817" s="26">
        <v>5.0</v>
      </c>
      <c r="M3817" s="26" t="s">
        <v>449</v>
      </c>
      <c r="N3817" s="26" t="s">
        <v>1247</v>
      </c>
    </row>
    <row r="3818">
      <c r="A3818" s="25">
        <v>43414.8622375</v>
      </c>
      <c r="B3818" s="26" t="s">
        <v>371</v>
      </c>
      <c r="C3818" s="26" t="s">
        <v>372</v>
      </c>
      <c r="D3818" s="26" t="s">
        <v>31</v>
      </c>
      <c r="E3818" s="26">
        <v>210.0</v>
      </c>
      <c r="F3818" s="26" t="s">
        <v>453</v>
      </c>
      <c r="G3818" s="26">
        <v>7.0</v>
      </c>
      <c r="H3818" s="26">
        <v>6.0</v>
      </c>
      <c r="I3818" s="26">
        <v>155.0</v>
      </c>
      <c r="J3818" s="26">
        <v>17.0</v>
      </c>
      <c r="K3818" s="26">
        <v>38.0</v>
      </c>
      <c r="M3818" s="26" t="s">
        <v>449</v>
      </c>
      <c r="N3818" s="26" t="s">
        <v>1245</v>
      </c>
    </row>
    <row r="3819">
      <c r="A3819" s="25">
        <v>43414.909843657406</v>
      </c>
      <c r="B3819" s="26" t="s">
        <v>371</v>
      </c>
      <c r="C3819" s="26" t="s">
        <v>1248</v>
      </c>
      <c r="D3819" s="26" t="s">
        <v>31</v>
      </c>
      <c r="E3819" s="26">
        <v>258.0</v>
      </c>
      <c r="F3819" s="26" t="s">
        <v>453</v>
      </c>
      <c r="G3819" s="26">
        <v>14.0</v>
      </c>
      <c r="H3819" s="26">
        <v>12.0</v>
      </c>
      <c r="I3819" s="26">
        <v>175.0</v>
      </c>
      <c r="J3819" s="26">
        <v>25.0</v>
      </c>
      <c r="K3819" s="26">
        <v>58.0</v>
      </c>
      <c r="M3819" s="26" t="s">
        <v>458</v>
      </c>
      <c r="N3819" s="26" t="s">
        <v>1245</v>
      </c>
    </row>
    <row r="3820">
      <c r="A3820" s="25">
        <v>43414.94529517361</v>
      </c>
      <c r="B3820" s="26" t="s">
        <v>40</v>
      </c>
      <c r="C3820" s="26">
        <v>59.0</v>
      </c>
      <c r="D3820" s="26" t="s">
        <v>31</v>
      </c>
      <c r="E3820" s="26">
        <v>198.0</v>
      </c>
      <c r="F3820" s="26" t="s">
        <v>75</v>
      </c>
      <c r="G3820" s="26">
        <v>2.0</v>
      </c>
      <c r="H3820" s="26">
        <v>0.0</v>
      </c>
      <c r="I3820" s="26">
        <v>108.0</v>
      </c>
      <c r="J3820" s="26">
        <v>70.0</v>
      </c>
      <c r="K3820" s="26">
        <v>20.0</v>
      </c>
      <c r="M3820" s="26" t="s">
        <v>449</v>
      </c>
      <c r="N3820" s="26" t="s">
        <v>708</v>
      </c>
    </row>
    <row r="3821">
      <c r="A3821" s="25">
        <v>43414.96610319444</v>
      </c>
      <c r="B3821" s="26" t="s">
        <v>36</v>
      </c>
      <c r="C3821" s="26" t="s">
        <v>73</v>
      </c>
      <c r="D3821" s="26" t="s">
        <v>31</v>
      </c>
      <c r="E3821" s="26">
        <v>210.0</v>
      </c>
      <c r="F3821" s="26" t="s">
        <v>51</v>
      </c>
      <c r="G3821" s="26">
        <v>2.0</v>
      </c>
      <c r="H3821" s="26">
        <v>2.0</v>
      </c>
      <c r="I3821" s="26">
        <v>130.0</v>
      </c>
      <c r="J3821" s="26">
        <v>67.0</v>
      </c>
      <c r="K3821" s="26">
        <v>13.0</v>
      </c>
      <c r="M3821" s="26" t="s">
        <v>449</v>
      </c>
      <c r="N3821" s="26" t="s">
        <v>685</v>
      </c>
    </row>
    <row r="3822">
      <c r="A3822" s="25">
        <v>43415.071325763885</v>
      </c>
      <c r="B3822" s="26" t="s">
        <v>80</v>
      </c>
      <c r="C3822" s="26" t="s">
        <v>26</v>
      </c>
      <c r="D3822" s="26" t="s">
        <v>31</v>
      </c>
      <c r="E3822" s="26">
        <v>188.0</v>
      </c>
      <c r="F3822" s="26" t="s">
        <v>51</v>
      </c>
      <c r="G3822" s="26">
        <v>0.0</v>
      </c>
      <c r="H3822" s="26">
        <v>0.0</v>
      </c>
      <c r="I3822" s="26">
        <v>120.0</v>
      </c>
      <c r="J3822" s="26">
        <v>50.0</v>
      </c>
      <c r="K3822" s="26">
        <v>18.0</v>
      </c>
      <c r="L3822" s="26" t="s">
        <v>2470</v>
      </c>
      <c r="M3822" s="26" t="s">
        <v>449</v>
      </c>
    </row>
    <row r="3823">
      <c r="A3823" s="25">
        <v>43415.38753107639</v>
      </c>
      <c r="B3823" s="26" t="s">
        <v>33</v>
      </c>
      <c r="C3823" s="26" t="s">
        <v>73</v>
      </c>
      <c r="D3823" s="26" t="s">
        <v>31</v>
      </c>
      <c r="E3823" s="26">
        <v>122.0</v>
      </c>
      <c r="F3823" s="26" t="s">
        <v>44</v>
      </c>
      <c r="G3823" s="26">
        <v>1.0</v>
      </c>
      <c r="H3823" s="26">
        <v>2.0</v>
      </c>
      <c r="I3823" s="26">
        <v>100.0</v>
      </c>
      <c r="J3823" s="26">
        <v>10.0</v>
      </c>
      <c r="K3823" s="26">
        <v>12.0</v>
      </c>
      <c r="M3823" s="26" t="s">
        <v>449</v>
      </c>
      <c r="N3823" s="26" t="s">
        <v>704</v>
      </c>
    </row>
    <row r="3824">
      <c r="A3824" s="25">
        <v>43415.41358758102</v>
      </c>
      <c r="B3824" s="26" t="s">
        <v>40</v>
      </c>
      <c r="C3824" s="26">
        <v>64.0</v>
      </c>
      <c r="D3824" s="26" t="s">
        <v>31</v>
      </c>
      <c r="E3824" s="26">
        <v>275.0</v>
      </c>
      <c r="F3824" s="26" t="s">
        <v>35</v>
      </c>
      <c r="G3824" s="26">
        <v>7.0</v>
      </c>
      <c r="H3824" s="26">
        <v>0.0</v>
      </c>
      <c r="I3824" s="26">
        <v>175.0</v>
      </c>
      <c r="J3824" s="26">
        <v>60.0</v>
      </c>
      <c r="K3824" s="26">
        <v>40.0</v>
      </c>
      <c r="M3824" s="26" t="s">
        <v>449</v>
      </c>
      <c r="N3824" s="26" t="s">
        <v>685</v>
      </c>
    </row>
    <row r="3825">
      <c r="A3825" s="25">
        <v>43415.43193766204</v>
      </c>
      <c r="B3825" s="26" t="s">
        <v>33</v>
      </c>
      <c r="C3825" s="26" t="s">
        <v>1061</v>
      </c>
      <c r="D3825" s="26" t="s">
        <v>41</v>
      </c>
      <c r="E3825" s="26">
        <v>100.0</v>
      </c>
      <c r="F3825" s="26" t="s">
        <v>2471</v>
      </c>
      <c r="G3825" s="26">
        <v>12.0</v>
      </c>
      <c r="H3825" s="26">
        <v>1.0</v>
      </c>
      <c r="M3825" s="26" t="s">
        <v>449</v>
      </c>
      <c r="N3825" s="26" t="s">
        <v>704</v>
      </c>
    </row>
    <row r="3826">
      <c r="A3826" s="25">
        <v>43415.43898471065</v>
      </c>
      <c r="B3826" s="26" t="s">
        <v>1867</v>
      </c>
      <c r="C3826" s="26" t="s">
        <v>2472</v>
      </c>
      <c r="D3826" s="26" t="s">
        <v>31</v>
      </c>
      <c r="E3826" s="26">
        <v>110.0</v>
      </c>
      <c r="F3826" s="26" t="s">
        <v>670</v>
      </c>
      <c r="G3826" s="26">
        <v>2.0</v>
      </c>
      <c r="H3826" s="26">
        <v>1.0</v>
      </c>
      <c r="I3826" s="26">
        <v>100.0</v>
      </c>
      <c r="J3826" s="26">
        <v>5.0</v>
      </c>
      <c r="K3826" s="26">
        <v>5.0</v>
      </c>
      <c r="M3826" s="26" t="s">
        <v>449</v>
      </c>
      <c r="N3826" s="26" t="s">
        <v>708</v>
      </c>
    </row>
    <row r="3827">
      <c r="A3827" s="25">
        <v>43415.50638653935</v>
      </c>
      <c r="B3827" s="26" t="s">
        <v>33</v>
      </c>
      <c r="C3827" s="26" t="s">
        <v>62</v>
      </c>
      <c r="D3827" s="26" t="s">
        <v>713</v>
      </c>
      <c r="E3827" s="26">
        <v>280.0</v>
      </c>
      <c r="F3827" s="26" t="s">
        <v>35</v>
      </c>
      <c r="G3827" s="26">
        <v>13.0</v>
      </c>
      <c r="H3827" s="26">
        <v>2.0</v>
      </c>
      <c r="I3827" s="26">
        <v>158.0</v>
      </c>
      <c r="J3827" s="26">
        <v>67.0</v>
      </c>
      <c r="M3827" s="26" t="s">
        <v>449</v>
      </c>
      <c r="N3827" s="26" t="s">
        <v>2473</v>
      </c>
    </row>
    <row r="3828">
      <c r="A3828" s="25">
        <v>43415.5559740625</v>
      </c>
      <c r="B3828" s="26" t="s">
        <v>2474</v>
      </c>
      <c r="C3828" s="26" t="s">
        <v>2475</v>
      </c>
      <c r="D3828" s="26" t="s">
        <v>713</v>
      </c>
      <c r="E3828" s="26">
        <v>96.0</v>
      </c>
      <c r="F3828" s="26" t="s">
        <v>2476</v>
      </c>
      <c r="G3828" s="26">
        <v>15.0</v>
      </c>
      <c r="H3828" s="26">
        <v>1.0</v>
      </c>
      <c r="I3828" s="26">
        <v>96.0</v>
      </c>
      <c r="M3828" s="26" t="s">
        <v>449</v>
      </c>
      <c r="N3828" s="26" t="s">
        <v>685</v>
      </c>
    </row>
    <row r="3829">
      <c r="A3829" s="25">
        <v>43415.641839918986</v>
      </c>
      <c r="B3829" s="26" t="s">
        <v>1186</v>
      </c>
      <c r="C3829" s="26" t="s">
        <v>73</v>
      </c>
      <c r="D3829" s="26" t="s">
        <v>31</v>
      </c>
      <c r="E3829" s="26">
        <v>320.0</v>
      </c>
      <c r="F3829" s="26" t="s">
        <v>2477</v>
      </c>
      <c r="G3829" s="26">
        <v>6.0</v>
      </c>
      <c r="H3829" s="26">
        <v>3.0</v>
      </c>
      <c r="I3829" s="26">
        <v>145.0</v>
      </c>
      <c r="J3829" s="26">
        <v>150.0</v>
      </c>
      <c r="K3829" s="26">
        <v>25.0</v>
      </c>
      <c r="M3829" s="26" t="s">
        <v>449</v>
      </c>
      <c r="N3829" s="26" t="s">
        <v>685</v>
      </c>
    </row>
    <row r="3830">
      <c r="A3830" s="25">
        <v>43415.65426627315</v>
      </c>
      <c r="B3830" s="26" t="s">
        <v>25</v>
      </c>
      <c r="C3830" s="26" t="s">
        <v>496</v>
      </c>
      <c r="D3830" s="26" t="s">
        <v>41</v>
      </c>
      <c r="E3830" s="26">
        <v>494.0</v>
      </c>
      <c r="F3830" s="26" t="s">
        <v>35</v>
      </c>
      <c r="G3830" s="26">
        <v>10.0</v>
      </c>
      <c r="H3830" s="26">
        <v>1.0</v>
      </c>
      <c r="I3830" s="26">
        <v>220.0</v>
      </c>
      <c r="J3830" s="26">
        <v>230.0</v>
      </c>
      <c r="K3830" s="26">
        <v>44.0</v>
      </c>
      <c r="N3830" s="26" t="s">
        <v>685</v>
      </c>
    </row>
    <row r="3831">
      <c r="A3831" s="25">
        <v>43415.7311037037</v>
      </c>
      <c r="B3831" s="26" t="s">
        <v>319</v>
      </c>
      <c r="C3831" s="26">
        <v>9.0</v>
      </c>
      <c r="D3831" s="26" t="s">
        <v>31</v>
      </c>
      <c r="E3831" s="26">
        <v>300.0</v>
      </c>
      <c r="F3831" s="26" t="s">
        <v>684</v>
      </c>
      <c r="G3831" s="26">
        <v>10.0</v>
      </c>
      <c r="H3831" s="26">
        <v>10.0</v>
      </c>
      <c r="M3831" s="26" t="s">
        <v>449</v>
      </c>
      <c r="N3831" s="26" t="s">
        <v>683</v>
      </c>
    </row>
    <row r="3832">
      <c r="A3832" s="25">
        <v>43415.998680370365</v>
      </c>
      <c r="B3832" s="26" t="s">
        <v>40</v>
      </c>
      <c r="C3832" s="26">
        <v>59.0</v>
      </c>
      <c r="D3832" s="26" t="s">
        <v>31</v>
      </c>
      <c r="E3832" s="26">
        <v>125.0</v>
      </c>
      <c r="F3832" s="26" t="s">
        <v>75</v>
      </c>
      <c r="G3832" s="26">
        <v>3.0</v>
      </c>
      <c r="H3832" s="26">
        <v>1.0</v>
      </c>
      <c r="I3832" s="26">
        <v>118.0</v>
      </c>
      <c r="J3832" s="26">
        <v>3.0</v>
      </c>
      <c r="K3832" s="26">
        <v>4.0</v>
      </c>
      <c r="M3832" s="26" t="s">
        <v>449</v>
      </c>
      <c r="N3832" s="26" t="s">
        <v>685</v>
      </c>
    </row>
    <row r="3833">
      <c r="A3833" s="25">
        <v>43416.27680636574</v>
      </c>
      <c r="B3833" s="26" t="s">
        <v>40</v>
      </c>
      <c r="C3833" s="26">
        <v>63.0</v>
      </c>
      <c r="D3833" s="26" t="s">
        <v>31</v>
      </c>
      <c r="E3833" s="26">
        <v>209.0</v>
      </c>
      <c r="F3833" s="26" t="s">
        <v>86</v>
      </c>
      <c r="G3833" s="26">
        <v>6.0</v>
      </c>
      <c r="H3833" s="26">
        <v>0.0</v>
      </c>
      <c r="I3833" s="26">
        <v>156.0</v>
      </c>
      <c r="J3833" s="26">
        <v>25.0</v>
      </c>
      <c r="N3833" s="26" t="s">
        <v>696</v>
      </c>
    </row>
    <row r="3834">
      <c r="A3834" s="25">
        <v>43416.27680782408</v>
      </c>
      <c r="B3834" s="26" t="s">
        <v>40</v>
      </c>
      <c r="C3834" s="26">
        <v>63.0</v>
      </c>
      <c r="D3834" s="26" t="s">
        <v>31</v>
      </c>
      <c r="E3834" s="26">
        <v>209.0</v>
      </c>
      <c r="F3834" s="26" t="s">
        <v>86</v>
      </c>
      <c r="G3834" s="26">
        <v>6.0</v>
      </c>
      <c r="H3834" s="26">
        <v>0.0</v>
      </c>
      <c r="I3834" s="26">
        <v>156.0</v>
      </c>
      <c r="J3834" s="26">
        <v>25.0</v>
      </c>
      <c r="N3834" s="26" t="s">
        <v>696</v>
      </c>
    </row>
    <row r="3835">
      <c r="A3835" s="25">
        <v>43416.27797681713</v>
      </c>
      <c r="B3835" s="26" t="s">
        <v>40</v>
      </c>
      <c r="C3835" s="26">
        <v>63.0</v>
      </c>
      <c r="D3835" s="26" t="s">
        <v>31</v>
      </c>
      <c r="E3835" s="26">
        <v>221.0</v>
      </c>
      <c r="F3835" s="26" t="s">
        <v>86</v>
      </c>
      <c r="G3835" s="26">
        <v>6.0</v>
      </c>
      <c r="H3835" s="26">
        <v>0.0</v>
      </c>
      <c r="I3835" s="26">
        <v>156.0</v>
      </c>
      <c r="J3835" s="26">
        <v>40.0</v>
      </c>
      <c r="K3835" s="26">
        <v>25.0</v>
      </c>
      <c r="M3835" s="26" t="s">
        <v>449</v>
      </c>
      <c r="N3835" s="26" t="s">
        <v>696</v>
      </c>
    </row>
    <row r="3836">
      <c r="A3836" s="25">
        <v>43416.34187744213</v>
      </c>
      <c r="B3836" s="26" t="s">
        <v>40</v>
      </c>
      <c r="C3836" s="26">
        <v>60.0</v>
      </c>
      <c r="D3836" s="26" t="s">
        <v>31</v>
      </c>
      <c r="E3836" s="26">
        <v>167.0</v>
      </c>
      <c r="F3836" s="26" t="s">
        <v>86</v>
      </c>
      <c r="G3836" s="26">
        <v>2.0</v>
      </c>
      <c r="H3836" s="26">
        <v>0.0</v>
      </c>
      <c r="I3836" s="26">
        <v>116.0</v>
      </c>
      <c r="J3836" s="26">
        <v>32.0</v>
      </c>
      <c r="K3836" s="26">
        <v>18.0</v>
      </c>
      <c r="M3836" s="26" t="s">
        <v>449</v>
      </c>
      <c r="N3836" s="26" t="s">
        <v>685</v>
      </c>
    </row>
    <row r="3837">
      <c r="A3837" s="25">
        <v>43416.533417893515</v>
      </c>
      <c r="B3837" s="26" t="s">
        <v>319</v>
      </c>
      <c r="C3837" s="26" t="s">
        <v>2478</v>
      </c>
      <c r="D3837" s="26" t="s">
        <v>31</v>
      </c>
      <c r="E3837" s="26">
        <v>157.0</v>
      </c>
      <c r="F3837" s="26" t="s">
        <v>320</v>
      </c>
      <c r="G3837" s="26">
        <v>6.0</v>
      </c>
      <c r="H3837" s="26">
        <v>6.0</v>
      </c>
      <c r="I3837" s="26">
        <v>157.0</v>
      </c>
      <c r="M3837" s="26" t="s">
        <v>449</v>
      </c>
      <c r="N3837" s="26" t="s">
        <v>704</v>
      </c>
    </row>
    <row r="3838">
      <c r="A3838" s="25">
        <v>43416.62674892361</v>
      </c>
      <c r="B3838" s="26" t="s">
        <v>33</v>
      </c>
      <c r="C3838" s="26" t="s">
        <v>73</v>
      </c>
      <c r="D3838" s="26" t="s">
        <v>31</v>
      </c>
      <c r="E3838" s="26">
        <v>130.0</v>
      </c>
      <c r="F3838" s="26" t="s">
        <v>1855</v>
      </c>
      <c r="G3838" s="26">
        <v>4.0</v>
      </c>
      <c r="H3838" s="26">
        <v>0.0</v>
      </c>
      <c r="I3838" s="26">
        <v>100.0</v>
      </c>
      <c r="J3838" s="26">
        <v>12.0</v>
      </c>
      <c r="K3838" s="26">
        <v>18.0</v>
      </c>
      <c r="L3838" s="26" t="s">
        <v>2479</v>
      </c>
      <c r="M3838" s="26" t="s">
        <v>449</v>
      </c>
      <c r="N3838" s="26" t="s">
        <v>704</v>
      </c>
    </row>
    <row r="3839">
      <c r="A3839" s="25">
        <v>43416.64962802084</v>
      </c>
      <c r="B3839" s="26" t="s">
        <v>256</v>
      </c>
      <c r="C3839" s="26" t="s">
        <v>89</v>
      </c>
      <c r="D3839" s="26" t="s">
        <v>41</v>
      </c>
      <c r="E3839" s="26">
        <v>500.0</v>
      </c>
      <c r="F3839" s="26" t="s">
        <v>32</v>
      </c>
      <c r="G3839" s="26">
        <v>12.0</v>
      </c>
      <c r="H3839" s="26">
        <v>3.0</v>
      </c>
      <c r="I3839" s="26">
        <v>207.0</v>
      </c>
      <c r="J3839" s="26">
        <v>250.0</v>
      </c>
      <c r="K3839" s="26">
        <v>45.0</v>
      </c>
      <c r="M3839" s="26" t="s">
        <v>449</v>
      </c>
      <c r="N3839" s="26" t="s">
        <v>685</v>
      </c>
    </row>
    <row r="3840">
      <c r="A3840" s="25">
        <v>43416.6574985301</v>
      </c>
      <c r="B3840" s="26" t="s">
        <v>139</v>
      </c>
      <c r="C3840" s="26" t="s">
        <v>113</v>
      </c>
      <c r="D3840" s="26" t="s">
        <v>31</v>
      </c>
      <c r="E3840" s="26">
        <v>225.0</v>
      </c>
      <c r="F3840" s="26" t="s">
        <v>134</v>
      </c>
      <c r="G3840" s="26">
        <v>18.0</v>
      </c>
      <c r="H3840" s="26">
        <v>11.0</v>
      </c>
      <c r="I3840" s="26">
        <v>175.0</v>
      </c>
      <c r="J3840" s="26">
        <v>25.0</v>
      </c>
      <c r="K3840" s="26">
        <v>25.0</v>
      </c>
      <c r="M3840" s="26" t="s">
        <v>449</v>
      </c>
      <c r="N3840" s="26" t="s">
        <v>2480</v>
      </c>
    </row>
    <row r="3841">
      <c r="A3841" s="25">
        <v>43416.67746377314</v>
      </c>
      <c r="B3841" s="26" t="s">
        <v>234</v>
      </c>
      <c r="C3841" s="26" t="s">
        <v>2481</v>
      </c>
      <c r="D3841" s="26" t="s">
        <v>31</v>
      </c>
      <c r="E3841" s="26">
        <v>100.0</v>
      </c>
      <c r="F3841" s="26" t="s">
        <v>236</v>
      </c>
      <c r="G3841" s="26">
        <v>1.0</v>
      </c>
      <c r="H3841" s="26">
        <v>1.0</v>
      </c>
      <c r="I3841" s="26">
        <v>90000.0</v>
      </c>
      <c r="K3841" s="26">
        <v>10.0</v>
      </c>
      <c r="M3841" s="26" t="s">
        <v>449</v>
      </c>
      <c r="N3841" s="26" t="s">
        <v>704</v>
      </c>
    </row>
    <row r="3842">
      <c r="A3842" s="25">
        <v>43416.702400821756</v>
      </c>
      <c r="B3842" s="26" t="s">
        <v>170</v>
      </c>
      <c r="C3842" s="26" t="s">
        <v>590</v>
      </c>
      <c r="D3842" s="26" t="s">
        <v>31</v>
      </c>
      <c r="E3842" s="26">
        <v>165.0</v>
      </c>
      <c r="F3842" s="26" t="s">
        <v>459</v>
      </c>
      <c r="G3842" s="26">
        <v>8.0</v>
      </c>
      <c r="H3842" s="26">
        <v>4.0</v>
      </c>
      <c r="I3842" s="26">
        <v>130.0</v>
      </c>
      <c r="J3842" s="26">
        <v>12.0</v>
      </c>
      <c r="K3842" s="26">
        <v>23.0</v>
      </c>
      <c r="M3842" s="26" t="s">
        <v>449</v>
      </c>
      <c r="N3842" s="26" t="s">
        <v>687</v>
      </c>
    </row>
    <row r="3843">
      <c r="A3843" s="25">
        <v>43416.724875</v>
      </c>
      <c r="B3843" s="26" t="s">
        <v>705</v>
      </c>
      <c r="C3843" s="26">
        <v>13.0</v>
      </c>
      <c r="D3843" s="26" t="s">
        <v>1218</v>
      </c>
      <c r="E3843" s="26">
        <v>216.0</v>
      </c>
      <c r="F3843" s="26" t="s">
        <v>58</v>
      </c>
      <c r="G3843" s="26">
        <v>5.0</v>
      </c>
      <c r="H3843" s="26">
        <v>0.0</v>
      </c>
      <c r="I3843" s="26">
        <v>170.0</v>
      </c>
      <c r="J3843" s="26">
        <v>23.0</v>
      </c>
      <c r="K3843" s="26">
        <v>23.0</v>
      </c>
      <c r="M3843" s="26" t="s">
        <v>449</v>
      </c>
      <c r="N3843" s="26" t="s">
        <v>757</v>
      </c>
    </row>
    <row r="3844">
      <c r="A3844" s="25">
        <v>43416.73658471065</v>
      </c>
      <c r="B3844" s="26" t="s">
        <v>268</v>
      </c>
      <c r="C3844" s="26" t="s">
        <v>366</v>
      </c>
      <c r="D3844" s="26" t="s">
        <v>711</v>
      </c>
      <c r="E3844" s="26">
        <v>200.0</v>
      </c>
      <c r="F3844" s="26" t="s">
        <v>86</v>
      </c>
      <c r="G3844" s="26">
        <v>8.0</v>
      </c>
      <c r="H3844" s="26">
        <v>3.0</v>
      </c>
      <c r="I3844" s="26">
        <v>156.0</v>
      </c>
      <c r="J3844" s="26">
        <v>30.0</v>
      </c>
      <c r="K3844" s="26">
        <v>18.0</v>
      </c>
      <c r="M3844" s="26" t="s">
        <v>458</v>
      </c>
      <c r="N3844" s="26" t="s">
        <v>691</v>
      </c>
    </row>
    <row r="3845">
      <c r="A3845" s="25">
        <v>43416.8182971875</v>
      </c>
      <c r="B3845" s="26" t="s">
        <v>45</v>
      </c>
      <c r="C3845" s="26" t="s">
        <v>149</v>
      </c>
      <c r="D3845" s="26" t="s">
        <v>31</v>
      </c>
      <c r="E3845" s="26">
        <v>280.0</v>
      </c>
      <c r="F3845" s="26" t="s">
        <v>104</v>
      </c>
      <c r="G3845" s="26">
        <v>12.0</v>
      </c>
      <c r="H3845" s="26">
        <v>3.0</v>
      </c>
      <c r="I3845" s="26">
        <v>175.0</v>
      </c>
      <c r="J3845" s="26">
        <v>85.0</v>
      </c>
      <c r="K3845" s="26">
        <v>20.0</v>
      </c>
      <c r="M3845" s="26" t="s">
        <v>449</v>
      </c>
      <c r="N3845" s="26" t="s">
        <v>699</v>
      </c>
    </row>
    <row r="3846">
      <c r="A3846" s="25">
        <v>43416.828311307865</v>
      </c>
      <c r="B3846" s="26" t="s">
        <v>40</v>
      </c>
      <c r="C3846" s="26">
        <v>61.0</v>
      </c>
      <c r="D3846" s="26" t="s">
        <v>31</v>
      </c>
      <c r="E3846" s="26">
        <v>135.0</v>
      </c>
      <c r="F3846" s="26" t="s">
        <v>75</v>
      </c>
      <c r="G3846" s="26">
        <v>3.0</v>
      </c>
      <c r="H3846" s="26">
        <v>3.0</v>
      </c>
      <c r="N3846" s="26" t="s">
        <v>683</v>
      </c>
    </row>
    <row r="3847">
      <c r="A3847" s="25">
        <v>43416.85169556713</v>
      </c>
      <c r="B3847" s="26" t="s">
        <v>40</v>
      </c>
      <c r="C3847" s="26">
        <v>61.0</v>
      </c>
      <c r="D3847" s="26" t="s">
        <v>31</v>
      </c>
      <c r="E3847" s="26">
        <v>143.0</v>
      </c>
      <c r="F3847" s="26" t="s">
        <v>75</v>
      </c>
      <c r="G3847" s="26">
        <v>7.0</v>
      </c>
      <c r="H3847" s="26">
        <v>2.0</v>
      </c>
      <c r="I3847" s="26">
        <v>123.0</v>
      </c>
      <c r="J3847" s="26">
        <v>10.0</v>
      </c>
      <c r="K3847" s="26">
        <v>10.0</v>
      </c>
      <c r="M3847" s="26" t="s">
        <v>449</v>
      </c>
      <c r="N3847" s="26" t="s">
        <v>685</v>
      </c>
    </row>
    <row r="3848">
      <c r="A3848" s="25">
        <v>43416.85898208333</v>
      </c>
      <c r="B3848" s="26" t="s">
        <v>48</v>
      </c>
      <c r="C3848" s="26" t="s">
        <v>69</v>
      </c>
      <c r="D3848" s="26" t="s">
        <v>31</v>
      </c>
      <c r="E3848" s="26">
        <v>180.0</v>
      </c>
      <c r="F3848" s="26" t="s">
        <v>94</v>
      </c>
      <c r="G3848" s="26">
        <v>0.0</v>
      </c>
      <c r="H3848" s="26">
        <v>0.0</v>
      </c>
      <c r="I3848" s="26">
        <v>110.0</v>
      </c>
      <c r="J3848" s="26">
        <v>40.0</v>
      </c>
      <c r="K3848" s="26">
        <v>30.0</v>
      </c>
      <c r="M3848" s="26" t="s">
        <v>449</v>
      </c>
      <c r="N3848" s="26" t="s">
        <v>691</v>
      </c>
    </row>
    <row r="3849">
      <c r="A3849" s="25">
        <v>43416.88296844908</v>
      </c>
      <c r="B3849" s="26" t="s">
        <v>36</v>
      </c>
      <c r="C3849" s="26" t="s">
        <v>96</v>
      </c>
      <c r="D3849" s="26" t="s">
        <v>31</v>
      </c>
      <c r="E3849" s="26">
        <v>274.0</v>
      </c>
      <c r="F3849" s="26" t="s">
        <v>32</v>
      </c>
      <c r="G3849" s="26">
        <v>5.0</v>
      </c>
      <c r="H3849" s="26">
        <v>3.0</v>
      </c>
      <c r="M3849" s="26" t="s">
        <v>449</v>
      </c>
      <c r="N3849" s="26" t="s">
        <v>685</v>
      </c>
    </row>
    <row r="3850">
      <c r="A3850" s="25">
        <v>43416.897911458334</v>
      </c>
      <c r="B3850" s="26" t="s">
        <v>80</v>
      </c>
      <c r="C3850" s="26" t="s">
        <v>43</v>
      </c>
      <c r="D3850" s="26" t="s">
        <v>31</v>
      </c>
      <c r="E3850" s="26">
        <v>400.0</v>
      </c>
      <c r="F3850" s="26" t="s">
        <v>51</v>
      </c>
      <c r="G3850" s="26">
        <v>6.0</v>
      </c>
      <c r="H3850" s="26">
        <v>6.0</v>
      </c>
      <c r="M3850" s="26" t="s">
        <v>1804</v>
      </c>
      <c r="N3850" s="26" t="s">
        <v>685</v>
      </c>
    </row>
    <row r="3851">
      <c r="A3851" s="25">
        <v>43416.902708657406</v>
      </c>
      <c r="B3851" s="26" t="s">
        <v>435</v>
      </c>
      <c r="C3851" s="26" t="s">
        <v>2021</v>
      </c>
      <c r="D3851" s="26" t="s">
        <v>31</v>
      </c>
      <c r="E3851" s="26">
        <v>100.0</v>
      </c>
      <c r="F3851" s="26" t="s">
        <v>436</v>
      </c>
      <c r="G3851" s="26">
        <v>6.0</v>
      </c>
      <c r="H3851" s="26">
        <v>1.0</v>
      </c>
      <c r="I3851" s="26">
        <v>85.0</v>
      </c>
      <c r="K3851" s="26">
        <v>15.0</v>
      </c>
      <c r="M3851" s="26" t="s">
        <v>449</v>
      </c>
      <c r="N3851" s="26" t="s">
        <v>696</v>
      </c>
    </row>
    <row r="3852">
      <c r="A3852" s="25">
        <v>43417.02083476852</v>
      </c>
      <c r="B3852" s="26" t="s">
        <v>1160</v>
      </c>
      <c r="C3852" s="26" t="s">
        <v>2482</v>
      </c>
      <c r="D3852" s="26" t="s">
        <v>41</v>
      </c>
      <c r="E3852" s="26">
        <v>240.0</v>
      </c>
      <c r="F3852" s="26" t="s">
        <v>63</v>
      </c>
      <c r="G3852" s="26">
        <v>9.0</v>
      </c>
      <c r="H3852" s="26">
        <v>2.0</v>
      </c>
      <c r="I3852" s="26">
        <v>180.0</v>
      </c>
      <c r="J3852" s="26">
        <v>25.0</v>
      </c>
      <c r="K3852" s="26">
        <v>35.0</v>
      </c>
      <c r="N3852" s="26" t="s">
        <v>683</v>
      </c>
    </row>
    <row r="3853">
      <c r="A3853" s="25">
        <v>43417.03757673611</v>
      </c>
      <c r="B3853" s="26" t="s">
        <v>1502</v>
      </c>
      <c r="C3853" s="26" t="s">
        <v>818</v>
      </c>
      <c r="D3853" s="26" t="s">
        <v>31</v>
      </c>
      <c r="E3853" s="26">
        <v>140.0</v>
      </c>
      <c r="F3853" s="26" t="s">
        <v>32</v>
      </c>
      <c r="G3853" s="26">
        <v>3.0</v>
      </c>
      <c r="H3853" s="26">
        <v>2.0</v>
      </c>
      <c r="I3853" s="26">
        <v>140.0</v>
      </c>
      <c r="M3853" s="26" t="s">
        <v>458</v>
      </c>
      <c r="N3853" s="26" t="s">
        <v>683</v>
      </c>
    </row>
    <row r="3854">
      <c r="A3854" s="25">
        <v>43417.11263034723</v>
      </c>
      <c r="B3854" s="26" t="s">
        <v>127</v>
      </c>
      <c r="C3854" s="26" t="s">
        <v>62</v>
      </c>
      <c r="D3854" s="26" t="s">
        <v>27</v>
      </c>
      <c r="E3854" s="26">
        <v>140.0</v>
      </c>
      <c r="F3854" s="26" t="s">
        <v>2483</v>
      </c>
      <c r="G3854" s="26">
        <v>10.0</v>
      </c>
      <c r="H3854" s="26">
        <v>5.0</v>
      </c>
      <c r="I3854" s="26">
        <v>120.0</v>
      </c>
      <c r="J3854" s="26">
        <v>20.0</v>
      </c>
      <c r="M3854" s="26" t="s">
        <v>449</v>
      </c>
      <c r="N3854" s="26" t="s">
        <v>683</v>
      </c>
    </row>
    <row r="3855">
      <c r="A3855" s="25">
        <v>43417.39041270834</v>
      </c>
      <c r="B3855" s="26" t="s">
        <v>80</v>
      </c>
      <c r="C3855" s="26" t="s">
        <v>26</v>
      </c>
      <c r="D3855" s="26" t="s">
        <v>31</v>
      </c>
      <c r="E3855" s="26">
        <v>171.0</v>
      </c>
      <c r="F3855" s="26" t="s">
        <v>199</v>
      </c>
      <c r="G3855" s="26">
        <v>0.0</v>
      </c>
      <c r="H3855" s="26">
        <v>0.0</v>
      </c>
      <c r="I3855" s="26">
        <v>125.0</v>
      </c>
      <c r="J3855" s="26">
        <v>28.0</v>
      </c>
      <c r="K3855" s="26">
        <v>19.0</v>
      </c>
      <c r="M3855" s="26" t="s">
        <v>449</v>
      </c>
      <c r="N3855" s="26" t="s">
        <v>685</v>
      </c>
    </row>
    <row r="3856">
      <c r="A3856" s="25">
        <v>43417.437101469906</v>
      </c>
      <c r="B3856" s="26" t="s">
        <v>387</v>
      </c>
      <c r="C3856" s="26" t="s">
        <v>716</v>
      </c>
      <c r="D3856" s="26" t="s">
        <v>31</v>
      </c>
      <c r="E3856" s="26">
        <v>125.0</v>
      </c>
      <c r="F3856" s="26" t="s">
        <v>175</v>
      </c>
      <c r="G3856" s="26">
        <v>2.0</v>
      </c>
      <c r="H3856" s="26">
        <v>0.0</v>
      </c>
      <c r="N3856" s="26" t="s">
        <v>696</v>
      </c>
    </row>
    <row r="3857">
      <c r="A3857" s="25">
        <v>43417.460606493056</v>
      </c>
      <c r="B3857" s="26" t="s">
        <v>80</v>
      </c>
      <c r="C3857" s="26" t="s">
        <v>26</v>
      </c>
      <c r="D3857" s="26" t="s">
        <v>31</v>
      </c>
      <c r="E3857" s="26">
        <v>225.0</v>
      </c>
      <c r="F3857" s="26" t="s">
        <v>51</v>
      </c>
      <c r="G3857" s="26">
        <v>1.0</v>
      </c>
      <c r="H3857" s="26">
        <v>0.0</v>
      </c>
      <c r="I3857" s="26">
        <v>130.0</v>
      </c>
      <c r="J3857" s="26">
        <v>80.0</v>
      </c>
      <c r="K3857" s="26">
        <v>15.0</v>
      </c>
      <c r="M3857" s="26" t="s">
        <v>449</v>
      </c>
      <c r="N3857" s="26" t="s">
        <v>1804</v>
      </c>
    </row>
    <row r="3858">
      <c r="A3858" s="25">
        <v>43417.465591458335</v>
      </c>
      <c r="B3858" s="26" t="s">
        <v>40</v>
      </c>
      <c r="C3858" s="26">
        <v>61.0</v>
      </c>
      <c r="D3858" s="26" t="s">
        <v>31</v>
      </c>
      <c r="E3858" s="26">
        <v>146.0</v>
      </c>
      <c r="F3858" s="26" t="s">
        <v>75</v>
      </c>
      <c r="G3858" s="26">
        <v>7.0</v>
      </c>
      <c r="H3858" s="26">
        <v>2.0</v>
      </c>
      <c r="I3858" s="26">
        <v>123.0</v>
      </c>
      <c r="J3858" s="26">
        <v>10.0</v>
      </c>
      <c r="K3858" s="26">
        <v>13.0</v>
      </c>
      <c r="M3858" s="26" t="s">
        <v>449</v>
      </c>
      <c r="N3858" s="26" t="s">
        <v>685</v>
      </c>
    </row>
    <row r="3859">
      <c r="A3859" s="25">
        <v>43417.46879599537</v>
      </c>
      <c r="B3859" s="26" t="s">
        <v>45</v>
      </c>
      <c r="C3859" s="26" t="s">
        <v>2484</v>
      </c>
      <c r="D3859" s="26" t="s">
        <v>31</v>
      </c>
      <c r="E3859" s="26">
        <v>370.0</v>
      </c>
      <c r="F3859" s="26" t="s">
        <v>63</v>
      </c>
      <c r="G3859" s="26">
        <v>7.0</v>
      </c>
      <c r="H3859" s="26">
        <v>0.0</v>
      </c>
      <c r="I3859" s="26">
        <v>200.0</v>
      </c>
      <c r="J3859" s="26">
        <v>150.0</v>
      </c>
      <c r="K3859" s="26">
        <v>20.0</v>
      </c>
      <c r="M3859" s="26" t="s">
        <v>449</v>
      </c>
      <c r="N3859" s="26" t="s">
        <v>704</v>
      </c>
    </row>
    <row r="3860">
      <c r="A3860" s="25">
        <v>43417.505150509256</v>
      </c>
      <c r="B3860" s="26" t="s">
        <v>2485</v>
      </c>
      <c r="C3860" s="26" t="s">
        <v>2486</v>
      </c>
      <c r="D3860" s="26" t="s">
        <v>711</v>
      </c>
      <c r="E3860" s="26">
        <v>115.0</v>
      </c>
      <c r="F3860" s="26" t="s">
        <v>2487</v>
      </c>
      <c r="G3860" s="26">
        <v>1.0</v>
      </c>
      <c r="H3860" s="26">
        <v>1.0</v>
      </c>
      <c r="I3860" s="26">
        <v>103.0</v>
      </c>
      <c r="J3860" s="26">
        <v>10.0</v>
      </c>
      <c r="K3860" s="26">
        <v>2.0</v>
      </c>
      <c r="M3860" s="26" t="s">
        <v>449</v>
      </c>
      <c r="N3860" s="26" t="s">
        <v>711</v>
      </c>
    </row>
    <row r="3861">
      <c r="A3861" s="25">
        <v>43417.511197789354</v>
      </c>
      <c r="B3861" s="26" t="s">
        <v>371</v>
      </c>
      <c r="C3861" s="26" t="s">
        <v>372</v>
      </c>
      <c r="D3861" s="26" t="s">
        <v>31</v>
      </c>
      <c r="E3861" s="26">
        <v>209.0</v>
      </c>
      <c r="F3861" s="26" t="s">
        <v>453</v>
      </c>
      <c r="G3861" s="26">
        <v>6.0</v>
      </c>
      <c r="H3861" s="26">
        <v>5.0</v>
      </c>
      <c r="I3861" s="26">
        <v>155.0</v>
      </c>
      <c r="J3861" s="26">
        <v>17.0</v>
      </c>
      <c r="K3861" s="26">
        <v>37.0</v>
      </c>
      <c r="M3861" s="26" t="s">
        <v>449</v>
      </c>
      <c r="N3861" s="26" t="s">
        <v>1245</v>
      </c>
    </row>
    <row r="3862">
      <c r="A3862" s="25">
        <v>43417.56570274306</v>
      </c>
      <c r="B3862" s="26" t="s">
        <v>270</v>
      </c>
      <c r="C3862" s="26" t="s">
        <v>1767</v>
      </c>
      <c r="D3862" s="26" t="s">
        <v>31</v>
      </c>
      <c r="E3862" s="26">
        <v>348.0</v>
      </c>
      <c r="F3862" s="26" t="s">
        <v>238</v>
      </c>
      <c r="G3862" s="26">
        <v>17.0</v>
      </c>
      <c r="H3862" s="26">
        <v>1.0</v>
      </c>
      <c r="I3862" s="26">
        <v>206.0</v>
      </c>
      <c r="J3862" s="26">
        <v>100.0</v>
      </c>
      <c r="K3862" s="26">
        <v>42.0</v>
      </c>
      <c r="M3862" s="26" t="s">
        <v>449</v>
      </c>
      <c r="N3862" s="26" t="s">
        <v>685</v>
      </c>
    </row>
    <row r="3863">
      <c r="A3863" s="25">
        <v>43417.63328090278</v>
      </c>
      <c r="B3863" s="26" t="s">
        <v>2488</v>
      </c>
      <c r="C3863" s="26" t="s">
        <v>69</v>
      </c>
      <c r="D3863" s="26" t="s">
        <v>31</v>
      </c>
      <c r="E3863" s="26">
        <v>178.0</v>
      </c>
      <c r="F3863" s="26" t="s">
        <v>161</v>
      </c>
      <c r="G3863" s="26">
        <v>0.0</v>
      </c>
      <c r="H3863" s="26">
        <v>0.0</v>
      </c>
      <c r="I3863" s="26">
        <v>115.0</v>
      </c>
      <c r="J3863" s="26">
        <v>40.0</v>
      </c>
      <c r="K3863" s="26">
        <v>23.0</v>
      </c>
      <c r="N3863" s="26" t="s">
        <v>1181</v>
      </c>
    </row>
    <row r="3864">
      <c r="A3864" s="25">
        <v>43417.636110983796</v>
      </c>
      <c r="B3864" s="26" t="s">
        <v>33</v>
      </c>
      <c r="C3864" s="26" t="s">
        <v>43</v>
      </c>
      <c r="D3864" s="26" t="s">
        <v>1896</v>
      </c>
      <c r="E3864" s="26">
        <v>135.0</v>
      </c>
      <c r="F3864" s="26" t="s">
        <v>133</v>
      </c>
      <c r="G3864" s="26">
        <v>4.0</v>
      </c>
      <c r="H3864" s="26">
        <v>0.0</v>
      </c>
      <c r="I3864" s="26">
        <v>115.0</v>
      </c>
      <c r="K3864" s="26">
        <v>20.0</v>
      </c>
      <c r="M3864" s="26" t="s">
        <v>458</v>
      </c>
      <c r="N3864" s="26" t="s">
        <v>1898</v>
      </c>
    </row>
    <row r="3865">
      <c r="A3865" s="25">
        <v>43417.654796574076</v>
      </c>
      <c r="B3865" s="26" t="s">
        <v>36</v>
      </c>
      <c r="C3865" s="26" t="s">
        <v>1032</v>
      </c>
      <c r="D3865" s="26" t="s">
        <v>31</v>
      </c>
      <c r="E3865" s="26">
        <v>555.0</v>
      </c>
      <c r="F3865" s="26" t="s">
        <v>175</v>
      </c>
      <c r="G3865" s="26">
        <v>12.0</v>
      </c>
      <c r="H3865" s="26">
        <v>1.0</v>
      </c>
      <c r="I3865" s="26">
        <v>205.0</v>
      </c>
      <c r="J3865" s="26">
        <v>200.0</v>
      </c>
      <c r="K3865" s="26">
        <v>150.0</v>
      </c>
      <c r="N3865" s="26" t="s">
        <v>696</v>
      </c>
    </row>
    <row r="3866">
      <c r="A3866" s="25">
        <v>43417.66776820602</v>
      </c>
      <c r="B3866" s="26" t="s">
        <v>48</v>
      </c>
      <c r="C3866" s="26" t="s">
        <v>49</v>
      </c>
      <c r="D3866" s="26" t="s">
        <v>31</v>
      </c>
      <c r="E3866" s="26">
        <v>350.0</v>
      </c>
      <c r="F3866" s="26" t="s">
        <v>32</v>
      </c>
      <c r="G3866" s="26">
        <v>15.0</v>
      </c>
      <c r="H3866" s="26">
        <v>2.0</v>
      </c>
      <c r="I3866" s="26">
        <v>180.0</v>
      </c>
      <c r="J3866" s="26">
        <v>150.0</v>
      </c>
      <c r="K3866" s="26">
        <v>20.0</v>
      </c>
      <c r="M3866" s="26" t="s">
        <v>449</v>
      </c>
      <c r="N3866" s="26" t="s">
        <v>683</v>
      </c>
    </row>
    <row r="3867">
      <c r="A3867" s="25">
        <v>43417.719795509256</v>
      </c>
      <c r="B3867" s="26" t="s">
        <v>40</v>
      </c>
      <c r="C3867" s="26">
        <v>60.0</v>
      </c>
      <c r="D3867" s="26" t="s">
        <v>31</v>
      </c>
      <c r="E3867" s="26">
        <v>285.0</v>
      </c>
      <c r="F3867" s="26" t="s">
        <v>75</v>
      </c>
      <c r="G3867" s="26">
        <v>0.0</v>
      </c>
      <c r="H3867" s="26">
        <v>0.0</v>
      </c>
      <c r="I3867" s="26">
        <v>117.0</v>
      </c>
      <c r="J3867" s="26">
        <v>130.0</v>
      </c>
      <c r="K3867" s="26">
        <v>35.0</v>
      </c>
      <c r="M3867" s="26" t="s">
        <v>449</v>
      </c>
      <c r="N3867" s="26" t="s">
        <v>857</v>
      </c>
    </row>
    <row r="3868">
      <c r="A3868" s="25">
        <v>43417.76757469907</v>
      </c>
      <c r="B3868" s="26" t="s">
        <v>371</v>
      </c>
      <c r="C3868" s="26" t="s">
        <v>1578</v>
      </c>
      <c r="D3868" s="26" t="s">
        <v>1578</v>
      </c>
      <c r="E3868" s="26">
        <v>550.0</v>
      </c>
      <c r="F3868" s="26" t="s">
        <v>459</v>
      </c>
      <c r="G3868" s="26">
        <v>20.0</v>
      </c>
      <c r="H3868" s="26">
        <v>15.0</v>
      </c>
      <c r="I3868" s="26">
        <v>270.0</v>
      </c>
      <c r="J3868" s="26">
        <v>200.0</v>
      </c>
      <c r="K3868" s="26">
        <v>80.0</v>
      </c>
      <c r="M3868" s="26" t="s">
        <v>449</v>
      </c>
      <c r="N3868" s="26" t="s">
        <v>2489</v>
      </c>
    </row>
    <row r="3869">
      <c r="A3869" s="25">
        <v>43417.81588983796</v>
      </c>
      <c r="B3869" s="26" t="s">
        <v>29</v>
      </c>
      <c r="C3869" s="26" t="s">
        <v>1687</v>
      </c>
      <c r="D3869" s="26" t="s">
        <v>31</v>
      </c>
      <c r="E3869" s="26">
        <v>186.0</v>
      </c>
      <c r="F3869" s="26" t="s">
        <v>272</v>
      </c>
      <c r="G3869" s="26">
        <v>5.0</v>
      </c>
      <c r="H3869" s="26">
        <v>2.0</v>
      </c>
      <c r="I3869" s="26">
        <v>138.0</v>
      </c>
      <c r="J3869" s="26">
        <v>35.0</v>
      </c>
      <c r="K3869" s="26">
        <v>13.0</v>
      </c>
      <c r="M3869" s="26" t="s">
        <v>449</v>
      </c>
      <c r="N3869" s="26" t="s">
        <v>696</v>
      </c>
    </row>
    <row r="3870">
      <c r="A3870" s="25">
        <v>43417.842396736116</v>
      </c>
      <c r="B3870" s="26" t="s">
        <v>80</v>
      </c>
      <c r="C3870" s="26" t="s">
        <v>73</v>
      </c>
      <c r="D3870" s="26" t="s">
        <v>31</v>
      </c>
      <c r="E3870" s="26">
        <v>256.0</v>
      </c>
      <c r="F3870" s="26" t="s">
        <v>247</v>
      </c>
      <c r="G3870" s="26">
        <v>5.0</v>
      </c>
      <c r="H3870" s="26">
        <v>3.0</v>
      </c>
      <c r="I3870" s="26">
        <v>143.0</v>
      </c>
      <c r="J3870" s="26">
        <v>88.0</v>
      </c>
      <c r="K3870" s="26">
        <v>25.0</v>
      </c>
      <c r="M3870" s="26" t="s">
        <v>449</v>
      </c>
      <c r="N3870" s="26" t="s">
        <v>685</v>
      </c>
    </row>
    <row r="3871">
      <c r="A3871" s="25">
        <v>43417.85092243056</v>
      </c>
      <c r="B3871" s="26" t="s">
        <v>80</v>
      </c>
      <c r="C3871" s="26" t="s">
        <v>73</v>
      </c>
      <c r="D3871" s="26" t="s">
        <v>31</v>
      </c>
      <c r="E3871" s="26">
        <v>190.0</v>
      </c>
      <c r="F3871" s="26" t="s">
        <v>51</v>
      </c>
      <c r="G3871" s="26">
        <v>2.0</v>
      </c>
      <c r="H3871" s="26">
        <v>2.0</v>
      </c>
      <c r="I3871" s="26">
        <v>136.0</v>
      </c>
      <c r="J3871" s="26">
        <v>33.0</v>
      </c>
      <c r="K3871" s="26">
        <v>20.0</v>
      </c>
      <c r="M3871" s="26" t="s">
        <v>449</v>
      </c>
      <c r="N3871" s="26" t="s">
        <v>2490</v>
      </c>
    </row>
    <row r="3872">
      <c r="A3872" s="25">
        <v>43417.85397591435</v>
      </c>
      <c r="B3872" s="26" t="s">
        <v>80</v>
      </c>
      <c r="C3872" s="26" t="s">
        <v>26</v>
      </c>
      <c r="D3872" s="26" t="s">
        <v>31</v>
      </c>
      <c r="E3872" s="26">
        <v>155.0</v>
      </c>
      <c r="F3872" s="26" t="s">
        <v>2491</v>
      </c>
      <c r="G3872" s="26">
        <v>3.0</v>
      </c>
      <c r="H3872" s="26">
        <v>1.0</v>
      </c>
      <c r="I3872" s="26">
        <v>95.0</v>
      </c>
      <c r="J3872" s="26">
        <v>45.0</v>
      </c>
      <c r="K3872" s="26">
        <v>15.0</v>
      </c>
      <c r="M3872" s="26" t="s">
        <v>449</v>
      </c>
      <c r="N3872" s="26" t="s">
        <v>715</v>
      </c>
    </row>
    <row r="3873">
      <c r="A3873" s="25">
        <v>43417.85521086806</v>
      </c>
      <c r="B3873" s="26" t="s">
        <v>2492</v>
      </c>
      <c r="C3873" s="26" t="s">
        <v>2493</v>
      </c>
      <c r="D3873" s="26" t="s">
        <v>31</v>
      </c>
      <c r="E3873" s="26">
        <v>120.0</v>
      </c>
      <c r="F3873" s="26" t="s">
        <v>32</v>
      </c>
      <c r="G3873" s="26">
        <v>2.0</v>
      </c>
      <c r="H3873" s="26">
        <v>2.0</v>
      </c>
      <c r="N3873" s="26" t="s">
        <v>704</v>
      </c>
    </row>
    <row r="3874">
      <c r="A3874" s="25">
        <v>43417.87523295139</v>
      </c>
      <c r="B3874" s="26" t="s">
        <v>1371</v>
      </c>
      <c r="C3874" s="26" t="s">
        <v>1174</v>
      </c>
      <c r="D3874" s="26" t="s">
        <v>31</v>
      </c>
      <c r="E3874" s="26">
        <v>260.0</v>
      </c>
      <c r="F3874" s="26" t="s">
        <v>753</v>
      </c>
      <c r="G3874" s="26">
        <v>12.0</v>
      </c>
      <c r="H3874" s="26">
        <v>7.0</v>
      </c>
      <c r="I3874" s="26">
        <v>190.0</v>
      </c>
      <c r="J3874" s="26">
        <v>30.0</v>
      </c>
      <c r="K3874" s="26">
        <v>47.0</v>
      </c>
      <c r="M3874" s="26" t="s">
        <v>449</v>
      </c>
      <c r="N3874" s="26" t="s">
        <v>687</v>
      </c>
    </row>
    <row r="3875">
      <c r="A3875" s="25">
        <v>43417.972442743056</v>
      </c>
      <c r="B3875" s="26" t="s">
        <v>45</v>
      </c>
      <c r="C3875" s="26" t="s">
        <v>2362</v>
      </c>
      <c r="D3875" s="26" t="s">
        <v>496</v>
      </c>
      <c r="E3875" s="26">
        <v>717.0</v>
      </c>
      <c r="F3875" s="26" t="s">
        <v>453</v>
      </c>
      <c r="G3875" s="26">
        <v>23.0</v>
      </c>
      <c r="H3875" s="26">
        <v>3.0</v>
      </c>
      <c r="I3875" s="26">
        <v>302.0</v>
      </c>
      <c r="J3875" s="26">
        <v>315.0</v>
      </c>
      <c r="K3875" s="26">
        <v>100.0</v>
      </c>
      <c r="M3875" s="26" t="s">
        <v>449</v>
      </c>
      <c r="N3875" s="26" t="s">
        <v>856</v>
      </c>
    </row>
    <row r="3876">
      <c r="A3876" s="25">
        <v>43417.999490682865</v>
      </c>
      <c r="B3876" s="26" t="s">
        <v>33</v>
      </c>
      <c r="C3876" s="26" t="s">
        <v>275</v>
      </c>
      <c r="D3876" s="26" t="s">
        <v>31</v>
      </c>
      <c r="E3876" s="26">
        <v>130.0</v>
      </c>
      <c r="F3876" s="26" t="s">
        <v>35</v>
      </c>
      <c r="G3876" s="26">
        <v>0.0</v>
      </c>
      <c r="H3876" s="26">
        <v>0.0</v>
      </c>
      <c r="I3876" s="26">
        <v>108.0</v>
      </c>
      <c r="J3876" s="26">
        <v>3.0</v>
      </c>
      <c r="K3876" s="26">
        <v>20.0</v>
      </c>
      <c r="M3876" s="26" t="s">
        <v>449</v>
      </c>
      <c r="N3876" s="26" t="s">
        <v>685</v>
      </c>
    </row>
    <row r="3877">
      <c r="A3877" s="25">
        <v>43418.03133385417</v>
      </c>
      <c r="B3877" s="26" t="s">
        <v>29</v>
      </c>
      <c r="C3877" s="26" t="s">
        <v>764</v>
      </c>
      <c r="D3877" s="26" t="s">
        <v>31</v>
      </c>
      <c r="E3877" s="26">
        <v>140.0</v>
      </c>
      <c r="F3877" s="26" t="s">
        <v>238</v>
      </c>
      <c r="G3877" s="26">
        <v>8.0</v>
      </c>
      <c r="H3877" s="26">
        <v>2.5</v>
      </c>
      <c r="M3877" s="26" t="s">
        <v>449</v>
      </c>
      <c r="N3877" s="26" t="s">
        <v>685</v>
      </c>
    </row>
    <row r="3878">
      <c r="A3878" s="25">
        <v>43418.33228778935</v>
      </c>
      <c r="B3878" s="26" t="s">
        <v>33</v>
      </c>
      <c r="C3878" s="26" t="s">
        <v>1061</v>
      </c>
      <c r="D3878" s="26" t="s">
        <v>41</v>
      </c>
      <c r="E3878" s="26">
        <v>280.0</v>
      </c>
      <c r="F3878" s="26" t="s">
        <v>320</v>
      </c>
      <c r="G3878" s="26">
        <v>16.0</v>
      </c>
      <c r="H3878" s="26">
        <v>2.0</v>
      </c>
      <c r="I3878" s="26">
        <v>158.0</v>
      </c>
      <c r="J3878" s="26">
        <v>120.0</v>
      </c>
      <c r="M3878" s="26" t="s">
        <v>449</v>
      </c>
      <c r="N3878" s="26" t="s">
        <v>685</v>
      </c>
    </row>
    <row r="3879">
      <c r="A3879" s="25">
        <v>43418.37266543982</v>
      </c>
      <c r="B3879" s="26" t="s">
        <v>48</v>
      </c>
      <c r="C3879" s="26" t="s">
        <v>69</v>
      </c>
      <c r="D3879" s="26" t="s">
        <v>31</v>
      </c>
      <c r="E3879" s="26">
        <v>178.0</v>
      </c>
      <c r="F3879" s="26" t="s">
        <v>161</v>
      </c>
      <c r="G3879" s="26">
        <v>0.0</v>
      </c>
      <c r="H3879" s="26">
        <v>0.0</v>
      </c>
      <c r="I3879" s="26">
        <v>115.0</v>
      </c>
      <c r="J3879" s="26">
        <v>40.0</v>
      </c>
      <c r="K3879" s="26">
        <v>23.0</v>
      </c>
      <c r="N3879" s="26" t="s">
        <v>1181</v>
      </c>
    </row>
    <row r="3880">
      <c r="A3880" s="25">
        <v>43418.373252060184</v>
      </c>
      <c r="B3880" s="26" t="s">
        <v>48</v>
      </c>
      <c r="C3880" s="26" t="s">
        <v>69</v>
      </c>
      <c r="D3880" s="26" t="s">
        <v>31</v>
      </c>
      <c r="E3880" s="26">
        <v>178.0</v>
      </c>
      <c r="F3880" s="26" t="s">
        <v>161</v>
      </c>
      <c r="G3880" s="26">
        <v>0.0</v>
      </c>
      <c r="H3880" s="26">
        <v>0.0</v>
      </c>
      <c r="I3880" s="26">
        <v>115.0</v>
      </c>
      <c r="J3880" s="26">
        <v>40.0</v>
      </c>
      <c r="K3880" s="26">
        <v>23.0</v>
      </c>
      <c r="M3880" s="26" t="s">
        <v>449</v>
      </c>
      <c r="N3880" s="26" t="s">
        <v>1181</v>
      </c>
    </row>
    <row r="3881">
      <c r="A3881" s="25">
        <v>43418.38049384259</v>
      </c>
      <c r="B3881" s="26" t="s">
        <v>40</v>
      </c>
      <c r="C3881" s="26">
        <v>62.0</v>
      </c>
      <c r="D3881" s="26" t="s">
        <v>31</v>
      </c>
      <c r="E3881" s="26">
        <v>180.0</v>
      </c>
      <c r="F3881" s="26" t="s">
        <v>75</v>
      </c>
      <c r="G3881" s="26">
        <v>6.0</v>
      </c>
      <c r="H3881" s="26">
        <v>3.0</v>
      </c>
      <c r="N3881" s="26" t="s">
        <v>691</v>
      </c>
    </row>
    <row r="3882">
      <c r="A3882" s="25">
        <v>43418.3930405787</v>
      </c>
      <c r="B3882" s="26" t="s">
        <v>664</v>
      </c>
      <c r="C3882" s="26" t="s">
        <v>2494</v>
      </c>
      <c r="D3882" s="26" t="s">
        <v>31</v>
      </c>
      <c r="E3882" s="26">
        <v>150.0</v>
      </c>
      <c r="F3882" s="26" t="s">
        <v>32</v>
      </c>
      <c r="G3882" s="26">
        <v>1.0</v>
      </c>
      <c r="H3882" s="26">
        <v>1.0</v>
      </c>
      <c r="I3882" s="26">
        <v>115.0</v>
      </c>
      <c r="J3882" s="26">
        <v>15.0</v>
      </c>
      <c r="K3882" s="26">
        <v>20.0</v>
      </c>
      <c r="M3882" s="26" t="s">
        <v>458</v>
      </c>
      <c r="N3882" s="26" t="s">
        <v>683</v>
      </c>
    </row>
    <row r="3883">
      <c r="A3883" s="25">
        <v>43418.40433994213</v>
      </c>
      <c r="B3883" s="26" t="s">
        <v>40</v>
      </c>
      <c r="C3883" s="26">
        <v>65.0</v>
      </c>
      <c r="D3883" s="26" t="s">
        <v>41</v>
      </c>
      <c r="E3883" s="26">
        <v>268.0</v>
      </c>
      <c r="F3883" s="26" t="s">
        <v>75</v>
      </c>
      <c r="G3883" s="26">
        <v>3.0</v>
      </c>
      <c r="H3883" s="26">
        <v>16.0</v>
      </c>
      <c r="M3883" s="26" t="s">
        <v>449</v>
      </c>
      <c r="N3883" s="26" t="s">
        <v>708</v>
      </c>
    </row>
    <row r="3884">
      <c r="A3884" s="25">
        <v>43418.40863556713</v>
      </c>
      <c r="B3884" s="26" t="s">
        <v>270</v>
      </c>
      <c r="C3884" s="26" t="s">
        <v>271</v>
      </c>
      <c r="D3884" s="26" t="s">
        <v>31</v>
      </c>
      <c r="E3884" s="26">
        <v>270.0</v>
      </c>
      <c r="F3884" s="26" t="s">
        <v>756</v>
      </c>
      <c r="G3884" s="26">
        <v>9.0</v>
      </c>
      <c r="H3884" s="26">
        <v>4.0</v>
      </c>
      <c r="I3884" s="26">
        <v>170.0</v>
      </c>
      <c r="J3884" s="26">
        <v>75.0</v>
      </c>
      <c r="K3884" s="26">
        <v>25.0</v>
      </c>
      <c r="M3884" s="26" t="s">
        <v>1804</v>
      </c>
      <c r="N3884" s="26" t="s">
        <v>685</v>
      </c>
    </row>
    <row r="3885">
      <c r="A3885" s="25">
        <v>43418.58508611111</v>
      </c>
      <c r="B3885" s="26" t="s">
        <v>33</v>
      </c>
      <c r="C3885" s="26" t="s">
        <v>34</v>
      </c>
      <c r="D3885" s="26" t="s">
        <v>2495</v>
      </c>
      <c r="E3885" s="26">
        <v>716.0</v>
      </c>
      <c r="F3885" s="26" t="s">
        <v>63</v>
      </c>
      <c r="G3885" s="26">
        <v>17.0</v>
      </c>
      <c r="H3885" s="26">
        <v>5.0</v>
      </c>
      <c r="I3885" s="26">
        <v>160.0</v>
      </c>
      <c r="J3885" s="26">
        <v>205.0</v>
      </c>
      <c r="K3885" s="26">
        <v>350.0</v>
      </c>
      <c r="M3885" s="26" t="s">
        <v>449</v>
      </c>
      <c r="N3885" s="26" t="s">
        <v>685</v>
      </c>
    </row>
    <row r="3886">
      <c r="A3886" s="25">
        <v>43418.63644724537</v>
      </c>
      <c r="B3886" s="26" t="s">
        <v>48</v>
      </c>
      <c r="C3886" s="26" t="s">
        <v>49</v>
      </c>
      <c r="D3886" s="26" t="s">
        <v>31</v>
      </c>
      <c r="E3886" s="26">
        <v>280.0</v>
      </c>
      <c r="F3886" s="26" t="s">
        <v>50</v>
      </c>
      <c r="G3886" s="26">
        <v>3.0</v>
      </c>
      <c r="H3886" s="26">
        <v>2.0</v>
      </c>
      <c r="M3886" s="26" t="s">
        <v>449</v>
      </c>
      <c r="N3886" s="26" t="s">
        <v>685</v>
      </c>
    </row>
    <row r="3887">
      <c r="A3887" s="25">
        <v>43418.645851354166</v>
      </c>
      <c r="B3887" s="26" t="s">
        <v>724</v>
      </c>
      <c r="C3887" s="26" t="s">
        <v>73</v>
      </c>
      <c r="D3887" s="26" t="s">
        <v>31</v>
      </c>
      <c r="E3887" s="26">
        <v>160.0</v>
      </c>
      <c r="F3887" s="26" t="s">
        <v>94</v>
      </c>
      <c r="G3887" s="26">
        <v>2.0</v>
      </c>
      <c r="H3887" s="26">
        <v>0.0</v>
      </c>
      <c r="I3887" s="26">
        <v>142.0</v>
      </c>
      <c r="K3887" s="26">
        <v>18.0</v>
      </c>
      <c r="M3887" s="26" t="s">
        <v>449</v>
      </c>
      <c r="N3887" s="26" t="s">
        <v>691</v>
      </c>
    </row>
    <row r="3888">
      <c r="A3888" s="25">
        <v>43418.70325359954</v>
      </c>
      <c r="B3888" s="26" t="s">
        <v>80</v>
      </c>
      <c r="C3888" s="26" t="s">
        <v>73</v>
      </c>
      <c r="D3888" s="26" t="s">
        <v>31</v>
      </c>
      <c r="E3888" s="26">
        <v>220.0</v>
      </c>
      <c r="F3888" s="26" t="s">
        <v>51</v>
      </c>
      <c r="G3888" s="26">
        <v>4.0</v>
      </c>
      <c r="H3888" s="26">
        <v>4.0</v>
      </c>
      <c r="I3888" s="26">
        <v>140.0</v>
      </c>
      <c r="J3888" s="26">
        <v>40.0</v>
      </c>
      <c r="K3888" s="26">
        <v>40.0</v>
      </c>
      <c r="M3888" s="26" t="s">
        <v>449</v>
      </c>
      <c r="N3888" s="26" t="s">
        <v>685</v>
      </c>
    </row>
    <row r="3889">
      <c r="A3889" s="25">
        <v>43418.75721462963</v>
      </c>
      <c r="B3889" s="26" t="s">
        <v>48</v>
      </c>
      <c r="C3889" s="26" t="s">
        <v>49</v>
      </c>
      <c r="D3889" s="26" t="s">
        <v>31</v>
      </c>
      <c r="E3889" s="26">
        <v>252.0</v>
      </c>
      <c r="F3889" s="26" t="s">
        <v>50</v>
      </c>
      <c r="G3889" s="26">
        <v>1.0</v>
      </c>
      <c r="H3889" s="26">
        <v>1.0</v>
      </c>
      <c r="I3889" s="26">
        <v>147.0</v>
      </c>
      <c r="J3889" s="26">
        <v>85.0</v>
      </c>
      <c r="K3889" s="26">
        <v>20.0</v>
      </c>
      <c r="M3889" s="26" t="s">
        <v>449</v>
      </c>
      <c r="N3889" s="26" t="s">
        <v>751</v>
      </c>
    </row>
    <row r="3890">
      <c r="A3890" s="25">
        <v>43418.762823564815</v>
      </c>
      <c r="B3890" s="26" t="s">
        <v>2496</v>
      </c>
      <c r="C3890" s="26" t="s">
        <v>125</v>
      </c>
      <c r="D3890" s="26" t="s">
        <v>31</v>
      </c>
      <c r="E3890" s="26">
        <v>200.0</v>
      </c>
      <c r="F3890" s="26" t="s">
        <v>1925</v>
      </c>
      <c r="G3890" s="26">
        <v>13.0</v>
      </c>
      <c r="H3890" s="26">
        <v>6.0</v>
      </c>
      <c r="I3890" s="26">
        <v>140.0</v>
      </c>
      <c r="J3890" s="26">
        <v>15.0</v>
      </c>
      <c r="K3890" s="26">
        <v>45.0</v>
      </c>
      <c r="M3890" s="26" t="s">
        <v>449</v>
      </c>
      <c r="N3890" s="26" t="s">
        <v>685</v>
      </c>
    </row>
    <row r="3891">
      <c r="A3891" s="25">
        <v>43418.78756752315</v>
      </c>
      <c r="B3891" s="26" t="s">
        <v>33</v>
      </c>
      <c r="C3891" s="26" t="s">
        <v>62</v>
      </c>
      <c r="D3891" s="26" t="s">
        <v>31</v>
      </c>
      <c r="E3891" s="26">
        <v>300.0</v>
      </c>
      <c r="F3891" s="26" t="s">
        <v>63</v>
      </c>
      <c r="G3891" s="26">
        <v>8.0</v>
      </c>
      <c r="H3891" s="26">
        <v>7.0</v>
      </c>
      <c r="I3891" s="26">
        <v>160.0</v>
      </c>
      <c r="J3891" s="26">
        <v>140.0</v>
      </c>
      <c r="M3891" s="26" t="s">
        <v>449</v>
      </c>
      <c r="N3891" s="26" t="s">
        <v>704</v>
      </c>
    </row>
    <row r="3892">
      <c r="A3892" s="25">
        <v>43418.828166493055</v>
      </c>
      <c r="B3892" s="26" t="s">
        <v>139</v>
      </c>
      <c r="C3892" s="26" t="s">
        <v>117</v>
      </c>
      <c r="D3892" s="26" t="s">
        <v>31</v>
      </c>
      <c r="E3892" s="26">
        <v>145.0</v>
      </c>
      <c r="F3892" s="26" t="s">
        <v>2497</v>
      </c>
      <c r="G3892" s="26">
        <v>2.0</v>
      </c>
      <c r="H3892" s="26">
        <v>2.0</v>
      </c>
      <c r="M3892" s="26" t="s">
        <v>449</v>
      </c>
      <c r="N3892" s="26" t="s">
        <v>685</v>
      </c>
    </row>
    <row r="3893">
      <c r="A3893" s="25">
        <v>43418.83395883102</v>
      </c>
      <c r="B3893" s="26" t="s">
        <v>80</v>
      </c>
      <c r="C3893" s="26" t="s">
        <v>26</v>
      </c>
      <c r="D3893" s="26" t="s">
        <v>31</v>
      </c>
      <c r="E3893" s="26">
        <v>169.0</v>
      </c>
      <c r="F3893" s="26" t="s">
        <v>51</v>
      </c>
      <c r="G3893" s="26">
        <v>1.0</v>
      </c>
      <c r="H3893" s="26">
        <v>0.0</v>
      </c>
      <c r="I3893" s="26">
        <v>125.0</v>
      </c>
      <c r="J3893" s="26">
        <v>25.0</v>
      </c>
      <c r="K3893" s="26">
        <v>19.0</v>
      </c>
      <c r="M3893" s="26" t="s">
        <v>449</v>
      </c>
      <c r="N3893" s="26" t="s">
        <v>685</v>
      </c>
    </row>
    <row r="3894">
      <c r="A3894" s="25">
        <v>43418.893209166665</v>
      </c>
      <c r="B3894" s="26" t="s">
        <v>380</v>
      </c>
      <c r="C3894" s="26" t="s">
        <v>1341</v>
      </c>
      <c r="D3894" s="26" t="s">
        <v>31</v>
      </c>
      <c r="E3894" s="26">
        <v>125.0</v>
      </c>
      <c r="F3894" s="26" t="s">
        <v>456</v>
      </c>
      <c r="G3894" s="26">
        <v>1.0</v>
      </c>
      <c r="H3894" s="26">
        <v>0.0</v>
      </c>
      <c r="I3894" s="26">
        <v>105.0</v>
      </c>
      <c r="J3894" s="26">
        <v>15.0</v>
      </c>
      <c r="K3894" s="26">
        <v>5.0</v>
      </c>
      <c r="M3894" s="26" t="s">
        <v>449</v>
      </c>
      <c r="N3894" s="26" t="s">
        <v>2498</v>
      </c>
    </row>
    <row r="3895">
      <c r="A3895" s="25">
        <v>43418.89883333333</v>
      </c>
      <c r="B3895" s="26" t="s">
        <v>45</v>
      </c>
      <c r="C3895" s="26" t="s">
        <v>2499</v>
      </c>
      <c r="D3895" s="26" t="s">
        <v>41</v>
      </c>
      <c r="E3895" s="26">
        <v>415.0</v>
      </c>
      <c r="F3895" s="26" t="s">
        <v>104</v>
      </c>
      <c r="G3895" s="26">
        <v>13.0</v>
      </c>
      <c r="H3895" s="26">
        <v>3.0</v>
      </c>
      <c r="I3895" s="26">
        <v>187.0</v>
      </c>
      <c r="J3895" s="26">
        <v>194.0</v>
      </c>
      <c r="K3895" s="26">
        <v>34.0</v>
      </c>
      <c r="N3895" s="26" t="s">
        <v>683</v>
      </c>
    </row>
    <row r="3896">
      <c r="A3896" s="25">
        <v>43418.92842033565</v>
      </c>
      <c r="B3896" s="26" t="s">
        <v>123</v>
      </c>
      <c r="C3896" s="26" t="s">
        <v>125</v>
      </c>
      <c r="D3896" s="26" t="s">
        <v>41</v>
      </c>
      <c r="E3896" s="26">
        <v>505.0</v>
      </c>
      <c r="F3896" s="26" t="s">
        <v>134</v>
      </c>
      <c r="G3896" s="26">
        <v>15.0</v>
      </c>
      <c r="H3896" s="26">
        <v>1.0</v>
      </c>
      <c r="I3896" s="26">
        <v>240.0</v>
      </c>
      <c r="J3896" s="26">
        <v>220.0</v>
      </c>
      <c r="K3896" s="26">
        <v>45.0</v>
      </c>
      <c r="M3896" s="26" t="s">
        <v>449</v>
      </c>
      <c r="N3896" s="26" t="s">
        <v>685</v>
      </c>
    </row>
    <row r="3897">
      <c r="A3897" s="25">
        <v>43419.01912185185</v>
      </c>
      <c r="B3897" s="26" t="s">
        <v>122</v>
      </c>
      <c r="C3897" s="26" t="s">
        <v>73</v>
      </c>
      <c r="D3897" s="26" t="s">
        <v>27</v>
      </c>
      <c r="E3897" s="26">
        <v>310.0</v>
      </c>
      <c r="F3897" s="26" t="s">
        <v>63</v>
      </c>
      <c r="G3897" s="26">
        <v>6.0</v>
      </c>
      <c r="H3897" s="26">
        <v>0.0</v>
      </c>
      <c r="I3897" s="26">
        <v>180.0</v>
      </c>
      <c r="J3897" s="26">
        <v>110.0</v>
      </c>
      <c r="K3897" s="26">
        <v>20.0</v>
      </c>
      <c r="M3897" s="26" t="s">
        <v>449</v>
      </c>
      <c r="N3897" s="26" t="s">
        <v>683</v>
      </c>
    </row>
    <row r="3898">
      <c r="A3898" s="25">
        <v>43419.06136431713</v>
      </c>
      <c r="B3898" s="26" t="s">
        <v>45</v>
      </c>
      <c r="C3898" s="26" t="s">
        <v>116</v>
      </c>
      <c r="D3898" s="26" t="s">
        <v>31</v>
      </c>
      <c r="E3898" s="26">
        <v>210.0</v>
      </c>
      <c r="F3898" s="26" t="s">
        <v>104</v>
      </c>
      <c r="G3898" s="26">
        <v>18.0</v>
      </c>
      <c r="H3898" s="26">
        <v>5.0</v>
      </c>
      <c r="M3898" s="26" t="s">
        <v>449</v>
      </c>
      <c r="N3898" s="26" t="s">
        <v>683</v>
      </c>
    </row>
    <row r="3899">
      <c r="A3899" s="25">
        <v>43419.23739565972</v>
      </c>
      <c r="B3899" s="26" t="s">
        <v>40</v>
      </c>
      <c r="C3899" s="26">
        <v>66.0</v>
      </c>
      <c r="D3899" s="26" t="s">
        <v>27</v>
      </c>
      <c r="E3899" s="26">
        <v>525.0</v>
      </c>
      <c r="F3899" s="26" t="s">
        <v>75</v>
      </c>
      <c r="G3899" s="26">
        <v>25.0</v>
      </c>
      <c r="H3899" s="26">
        <v>12.0</v>
      </c>
      <c r="M3899" s="26" t="s">
        <v>449</v>
      </c>
      <c r="N3899" s="26" t="s">
        <v>683</v>
      </c>
    </row>
    <row r="3900">
      <c r="A3900" s="25">
        <v>43419.36986104166</v>
      </c>
      <c r="B3900" s="26" t="s">
        <v>2500</v>
      </c>
      <c r="C3900" s="26" t="s">
        <v>427</v>
      </c>
      <c r="D3900" s="26" t="s">
        <v>2501</v>
      </c>
      <c r="E3900" s="26">
        <v>975.0</v>
      </c>
      <c r="F3900" s="26" t="s">
        <v>247</v>
      </c>
      <c r="G3900" s="26">
        <v>2.0</v>
      </c>
      <c r="H3900" s="26">
        <v>0.0</v>
      </c>
      <c r="I3900" s="26">
        <v>275.0</v>
      </c>
      <c r="J3900" s="26">
        <v>200.0</v>
      </c>
      <c r="K3900" s="26">
        <v>500.0</v>
      </c>
      <c r="M3900" s="26" t="s">
        <v>449</v>
      </c>
      <c r="N3900" s="26" t="s">
        <v>691</v>
      </c>
    </row>
    <row r="3901">
      <c r="A3901" s="25">
        <v>43419.40198061343</v>
      </c>
      <c r="B3901" s="26" t="s">
        <v>2502</v>
      </c>
      <c r="C3901" s="26" t="s">
        <v>37</v>
      </c>
      <c r="D3901" s="26" t="s">
        <v>31</v>
      </c>
      <c r="E3901" s="26">
        <v>130.0</v>
      </c>
      <c r="F3901" s="26" t="s">
        <v>2503</v>
      </c>
      <c r="G3901" s="26">
        <v>20.0</v>
      </c>
      <c r="H3901" s="26">
        <v>8.0</v>
      </c>
      <c r="M3901" s="26" t="s">
        <v>449</v>
      </c>
      <c r="N3901" s="26" t="s">
        <v>704</v>
      </c>
    </row>
    <row r="3902">
      <c r="A3902" s="25">
        <v>43419.408674872684</v>
      </c>
      <c r="B3902" s="26" t="s">
        <v>33</v>
      </c>
      <c r="C3902" s="26" t="s">
        <v>73</v>
      </c>
      <c r="D3902" s="26" t="s">
        <v>1234</v>
      </c>
      <c r="E3902" s="26">
        <v>233.0</v>
      </c>
      <c r="F3902" s="26" t="s">
        <v>134</v>
      </c>
      <c r="G3902" s="26">
        <v>0.0</v>
      </c>
      <c r="H3902" s="26">
        <v>0.0</v>
      </c>
      <c r="I3902" s="26">
        <v>160.0</v>
      </c>
      <c r="J3902" s="26">
        <v>38.0</v>
      </c>
      <c r="K3902" s="26">
        <v>35.0</v>
      </c>
      <c r="L3902" s="26" t="s">
        <v>2504</v>
      </c>
      <c r="M3902" s="26" t="s">
        <v>449</v>
      </c>
      <c r="N3902" s="26" t="s">
        <v>691</v>
      </c>
    </row>
    <row r="3903">
      <c r="A3903" s="25">
        <v>43419.46564709491</v>
      </c>
      <c r="B3903" s="26" t="s">
        <v>2505</v>
      </c>
      <c r="C3903" s="26" t="s">
        <v>833</v>
      </c>
      <c r="D3903" s="26" t="s">
        <v>1225</v>
      </c>
      <c r="E3903" s="26">
        <v>65.0</v>
      </c>
      <c r="F3903" s="26" t="s">
        <v>485</v>
      </c>
      <c r="G3903" s="26">
        <v>4.0</v>
      </c>
      <c r="H3903" s="26">
        <v>4.0</v>
      </c>
      <c r="I3903" s="26">
        <v>55.0</v>
      </c>
      <c r="J3903" s="26">
        <v>10.0</v>
      </c>
      <c r="M3903" s="26" t="s">
        <v>458</v>
      </c>
      <c r="N3903" s="26" t="s">
        <v>687</v>
      </c>
    </row>
    <row r="3904">
      <c r="A3904" s="25">
        <v>43419.47030223379</v>
      </c>
      <c r="B3904" s="26" t="s">
        <v>2506</v>
      </c>
      <c r="C3904" s="26" t="s">
        <v>37</v>
      </c>
      <c r="D3904" s="26" t="s">
        <v>2507</v>
      </c>
      <c r="E3904" s="26">
        <v>121.0</v>
      </c>
      <c r="F3904" s="26" t="s">
        <v>745</v>
      </c>
      <c r="G3904" s="26">
        <v>7.0</v>
      </c>
      <c r="H3904" s="26">
        <v>2.0</v>
      </c>
      <c r="M3904" s="26" t="s">
        <v>449</v>
      </c>
      <c r="N3904" s="26" t="s">
        <v>2508</v>
      </c>
    </row>
    <row r="3905">
      <c r="A3905" s="25">
        <v>43419.47209934027</v>
      </c>
      <c r="B3905" s="26" t="s">
        <v>1372</v>
      </c>
      <c r="C3905" s="26">
        <v>1.0</v>
      </c>
      <c r="D3905" s="26" t="s">
        <v>2509</v>
      </c>
      <c r="E3905" s="26">
        <v>68.0</v>
      </c>
      <c r="F3905" s="26" t="s">
        <v>446</v>
      </c>
      <c r="G3905" s="26">
        <v>2.0</v>
      </c>
      <c r="H3905" s="26">
        <v>2.0</v>
      </c>
      <c r="M3905" s="26" t="s">
        <v>449</v>
      </c>
      <c r="N3905" s="26" t="s">
        <v>704</v>
      </c>
    </row>
    <row r="3906">
      <c r="A3906" s="25">
        <v>43419.49365978009</v>
      </c>
      <c r="B3906" s="26" t="s">
        <v>341</v>
      </c>
      <c r="C3906" s="26" t="s">
        <v>647</v>
      </c>
      <c r="D3906" s="26" t="s">
        <v>2510</v>
      </c>
      <c r="E3906" s="26">
        <v>275.0</v>
      </c>
      <c r="F3906" s="26" t="s">
        <v>238</v>
      </c>
      <c r="G3906" s="26">
        <v>15.0</v>
      </c>
      <c r="H3906" s="26">
        <v>8.0</v>
      </c>
      <c r="M3906" s="26" t="s">
        <v>449</v>
      </c>
      <c r="N3906" s="26" t="s">
        <v>691</v>
      </c>
    </row>
    <row r="3907">
      <c r="A3907" s="25">
        <v>43419.55087042824</v>
      </c>
      <c r="B3907" s="26" t="s">
        <v>319</v>
      </c>
      <c r="C3907" s="26" t="s">
        <v>2511</v>
      </c>
      <c r="D3907" s="26" t="s">
        <v>31</v>
      </c>
      <c r="E3907" s="26">
        <v>135.0</v>
      </c>
      <c r="F3907" s="26" t="s">
        <v>320</v>
      </c>
      <c r="G3907" s="26">
        <v>3.0</v>
      </c>
      <c r="H3907" s="26">
        <v>3.0</v>
      </c>
      <c r="I3907" s="26">
        <v>130.0</v>
      </c>
      <c r="K3907" s="26">
        <v>2.0</v>
      </c>
      <c r="M3907" s="26" t="s">
        <v>449</v>
      </c>
      <c r="N3907" s="26" t="s">
        <v>685</v>
      </c>
    </row>
    <row r="3908">
      <c r="A3908" s="25">
        <v>43419.58050653935</v>
      </c>
      <c r="B3908" s="26" t="s">
        <v>40</v>
      </c>
      <c r="C3908" s="26">
        <v>61.0</v>
      </c>
      <c r="D3908" s="26" t="s">
        <v>31</v>
      </c>
      <c r="E3908" s="26">
        <v>211.0</v>
      </c>
      <c r="F3908" s="26" t="s">
        <v>75</v>
      </c>
      <c r="G3908" s="26">
        <v>2.0</v>
      </c>
      <c r="H3908" s="26">
        <v>2.0</v>
      </c>
      <c r="I3908" s="26">
        <v>145.0</v>
      </c>
      <c r="J3908" s="26">
        <v>45.0</v>
      </c>
      <c r="K3908" s="26">
        <v>19.0</v>
      </c>
      <c r="M3908" s="26" t="s">
        <v>458</v>
      </c>
      <c r="N3908" s="26" t="s">
        <v>685</v>
      </c>
    </row>
    <row r="3909">
      <c r="A3909" s="25">
        <v>43419.645100821755</v>
      </c>
      <c r="B3909" s="26" t="s">
        <v>2512</v>
      </c>
      <c r="C3909" s="26" t="s">
        <v>2513</v>
      </c>
      <c r="D3909" s="26" t="s">
        <v>31</v>
      </c>
      <c r="E3909" s="26">
        <v>145.0</v>
      </c>
      <c r="F3909" s="26" t="s">
        <v>32</v>
      </c>
      <c r="G3909" s="26">
        <v>2.0</v>
      </c>
      <c r="H3909" s="26">
        <v>2.0</v>
      </c>
      <c r="I3909" s="26">
        <v>125.0</v>
      </c>
      <c r="K3909" s="26">
        <v>20.0</v>
      </c>
      <c r="M3909" s="26" t="s">
        <v>458</v>
      </c>
      <c r="N3909" s="26" t="s">
        <v>757</v>
      </c>
    </row>
    <row r="3910">
      <c r="A3910" s="25">
        <v>43419.69747638889</v>
      </c>
      <c r="B3910" s="26" t="s">
        <v>119</v>
      </c>
      <c r="C3910" s="26" t="s">
        <v>494</v>
      </c>
      <c r="D3910" s="26" t="s">
        <v>757</v>
      </c>
      <c r="E3910" s="26">
        <v>208.0</v>
      </c>
      <c r="F3910" s="26" t="s">
        <v>32</v>
      </c>
      <c r="G3910" s="26">
        <v>18.0</v>
      </c>
      <c r="H3910" s="26">
        <v>1.0</v>
      </c>
      <c r="I3910" s="26">
        <v>170.0</v>
      </c>
      <c r="J3910" s="26">
        <v>12.0</v>
      </c>
      <c r="K3910" s="26">
        <v>25.0</v>
      </c>
      <c r="M3910" s="26" t="s">
        <v>458</v>
      </c>
      <c r="N3910" s="26" t="s">
        <v>757</v>
      </c>
    </row>
    <row r="3911">
      <c r="A3911" s="25">
        <v>43419.74632366898</v>
      </c>
      <c r="B3911" s="26" t="s">
        <v>36</v>
      </c>
      <c r="C3911" s="26" t="s">
        <v>2021</v>
      </c>
      <c r="D3911" s="26" t="s">
        <v>31</v>
      </c>
      <c r="E3911" s="26">
        <v>157.0</v>
      </c>
      <c r="F3911" s="26" t="s">
        <v>32</v>
      </c>
      <c r="G3911" s="26">
        <v>0.0</v>
      </c>
      <c r="H3911" s="26">
        <v>0.0</v>
      </c>
      <c r="I3911" s="26">
        <v>117.0</v>
      </c>
      <c r="J3911" s="26">
        <v>29.0</v>
      </c>
      <c r="K3911" s="26">
        <v>11.0</v>
      </c>
      <c r="M3911" s="26" t="s">
        <v>449</v>
      </c>
      <c r="N3911" s="26" t="s">
        <v>696</v>
      </c>
    </row>
    <row r="3912">
      <c r="A3912" s="25">
        <v>43419.75333756945</v>
      </c>
      <c r="B3912" s="26" t="s">
        <v>2514</v>
      </c>
      <c r="C3912" s="26" t="s">
        <v>37</v>
      </c>
      <c r="D3912" s="26" t="s">
        <v>2515</v>
      </c>
      <c r="E3912" s="26">
        <v>153.0</v>
      </c>
      <c r="F3912" s="26" t="s">
        <v>320</v>
      </c>
      <c r="G3912" s="26">
        <v>4.0</v>
      </c>
      <c r="H3912" s="26">
        <v>1.0</v>
      </c>
      <c r="I3912" s="26">
        <v>127.0</v>
      </c>
      <c r="K3912" s="26">
        <v>23.0</v>
      </c>
      <c r="M3912" s="26" t="s">
        <v>449</v>
      </c>
      <c r="N3912" s="26" t="s">
        <v>708</v>
      </c>
    </row>
    <row r="3913">
      <c r="A3913" s="25">
        <v>43419.759860335645</v>
      </c>
      <c r="B3913" s="26" t="s">
        <v>40</v>
      </c>
      <c r="C3913" s="26">
        <v>63.0</v>
      </c>
      <c r="D3913" s="26" t="s">
        <v>31</v>
      </c>
      <c r="E3913" s="26">
        <v>195.0</v>
      </c>
      <c r="F3913" s="26">
        <v>98052.0</v>
      </c>
      <c r="G3913" s="26">
        <v>10.0</v>
      </c>
      <c r="H3913" s="26">
        <v>7.0</v>
      </c>
      <c r="I3913" s="26">
        <v>155.0</v>
      </c>
      <c r="J3913" s="26">
        <v>30.0</v>
      </c>
      <c r="K3913" s="26">
        <v>15.0</v>
      </c>
      <c r="M3913" s="26" t="s">
        <v>449</v>
      </c>
      <c r="N3913" s="26" t="s">
        <v>685</v>
      </c>
    </row>
    <row r="3914">
      <c r="A3914" s="25">
        <v>43419.81763484953</v>
      </c>
      <c r="B3914" s="26" t="s">
        <v>40</v>
      </c>
      <c r="C3914" s="26">
        <v>64.0</v>
      </c>
      <c r="D3914" s="26" t="s">
        <v>27</v>
      </c>
      <c r="E3914" s="26">
        <v>235.0</v>
      </c>
      <c r="F3914" s="26" t="s">
        <v>75</v>
      </c>
      <c r="G3914" s="26">
        <v>21.0</v>
      </c>
      <c r="H3914" s="26">
        <v>7.0</v>
      </c>
      <c r="I3914" s="26">
        <v>177.0</v>
      </c>
      <c r="J3914" s="26">
        <v>30.0</v>
      </c>
      <c r="K3914" s="26">
        <v>30.0</v>
      </c>
      <c r="M3914" s="26" t="s">
        <v>449</v>
      </c>
      <c r="N3914" s="26" t="s">
        <v>2516</v>
      </c>
    </row>
    <row r="3915">
      <c r="A3915" s="25">
        <v>43419.84274613426</v>
      </c>
      <c r="B3915" s="26" t="s">
        <v>146</v>
      </c>
      <c r="C3915" s="26" t="s">
        <v>31</v>
      </c>
      <c r="D3915" s="26" t="s">
        <v>31</v>
      </c>
      <c r="E3915" s="26">
        <v>210.0</v>
      </c>
      <c r="F3915" s="26" t="s">
        <v>134</v>
      </c>
      <c r="G3915" s="26">
        <v>2.0</v>
      </c>
      <c r="H3915" s="26">
        <v>0.0</v>
      </c>
      <c r="I3915" s="26">
        <v>145.0</v>
      </c>
      <c r="J3915" s="26">
        <v>50.0</v>
      </c>
      <c r="K3915" s="26">
        <v>14.0</v>
      </c>
      <c r="M3915" s="26" t="s">
        <v>449</v>
      </c>
      <c r="N3915" s="26" t="s">
        <v>696</v>
      </c>
    </row>
    <row r="3916">
      <c r="A3916" s="25">
        <v>43419.84885887732</v>
      </c>
      <c r="B3916" s="26" t="s">
        <v>2517</v>
      </c>
      <c r="C3916" s="26" t="s">
        <v>1963</v>
      </c>
      <c r="D3916" s="26" t="s">
        <v>31</v>
      </c>
      <c r="E3916" s="26">
        <v>110.0</v>
      </c>
      <c r="F3916" s="26" t="s">
        <v>320</v>
      </c>
      <c r="G3916" s="26">
        <v>0.0</v>
      </c>
      <c r="H3916" s="26">
        <v>0.0</v>
      </c>
      <c r="I3916" s="26">
        <v>110.0</v>
      </c>
      <c r="J3916" s="26">
        <v>7.0</v>
      </c>
      <c r="M3916" s="26" t="s">
        <v>458</v>
      </c>
      <c r="N3916" s="26" t="s">
        <v>691</v>
      </c>
    </row>
    <row r="3917">
      <c r="A3917" s="25">
        <v>43419.849834305554</v>
      </c>
      <c r="B3917" s="26" t="s">
        <v>2517</v>
      </c>
      <c r="C3917" s="26" t="s">
        <v>1963</v>
      </c>
      <c r="D3917" s="26" t="s">
        <v>31</v>
      </c>
      <c r="E3917" s="26">
        <v>110.0</v>
      </c>
      <c r="F3917" s="26" t="s">
        <v>320</v>
      </c>
      <c r="G3917" s="26">
        <v>0.0</v>
      </c>
      <c r="H3917" s="26">
        <v>0.0</v>
      </c>
      <c r="I3917" s="26">
        <v>110.0</v>
      </c>
      <c r="J3917" s="26">
        <v>7.0</v>
      </c>
      <c r="M3917" s="26" t="s">
        <v>458</v>
      </c>
      <c r="N3917" s="26" t="s">
        <v>691</v>
      </c>
    </row>
    <row r="3918">
      <c r="A3918" s="25">
        <v>43419.92424435185</v>
      </c>
      <c r="B3918" s="26" t="s">
        <v>36</v>
      </c>
      <c r="C3918" s="26" t="s">
        <v>1032</v>
      </c>
      <c r="D3918" s="26" t="s">
        <v>31</v>
      </c>
      <c r="E3918" s="26">
        <v>267.0</v>
      </c>
      <c r="F3918" s="26" t="s">
        <v>175</v>
      </c>
      <c r="G3918" s="26">
        <v>4.0</v>
      </c>
      <c r="H3918" s="26">
        <v>2.0</v>
      </c>
      <c r="I3918" s="26">
        <v>154.0</v>
      </c>
      <c r="J3918" s="26">
        <v>87.0</v>
      </c>
      <c r="K3918" s="26">
        <v>25.0</v>
      </c>
      <c r="M3918" s="26" t="s">
        <v>458</v>
      </c>
      <c r="N3918" s="26" t="s">
        <v>685</v>
      </c>
    </row>
    <row r="3919">
      <c r="A3919" s="25">
        <v>43419.96961576389</v>
      </c>
      <c r="B3919" s="26" t="s">
        <v>80</v>
      </c>
      <c r="C3919" s="26" t="s">
        <v>26</v>
      </c>
      <c r="D3919" s="26" t="s">
        <v>31</v>
      </c>
      <c r="E3919" s="26">
        <v>185.0</v>
      </c>
      <c r="F3919" s="26" t="s">
        <v>51</v>
      </c>
      <c r="G3919" s="26">
        <v>1.0</v>
      </c>
      <c r="H3919" s="26">
        <v>0.0</v>
      </c>
      <c r="I3919" s="26">
        <v>125.0</v>
      </c>
      <c r="J3919" s="26">
        <v>40.0</v>
      </c>
      <c r="K3919" s="26">
        <v>20.0</v>
      </c>
      <c r="M3919" s="26" t="s">
        <v>449</v>
      </c>
      <c r="N3919" s="26" t="s">
        <v>817</v>
      </c>
    </row>
    <row r="3920">
      <c r="A3920" s="25">
        <v>43419.97345153935</v>
      </c>
      <c r="B3920" s="26" t="s">
        <v>142</v>
      </c>
      <c r="C3920" s="26" t="s">
        <v>37</v>
      </c>
      <c r="D3920" s="26" t="s">
        <v>31</v>
      </c>
      <c r="E3920" s="26">
        <v>205.0</v>
      </c>
      <c r="F3920" s="26" t="s">
        <v>238</v>
      </c>
      <c r="G3920" s="26">
        <v>5.0</v>
      </c>
      <c r="H3920" s="26">
        <v>0.5</v>
      </c>
      <c r="I3920" s="26">
        <v>155.0</v>
      </c>
      <c r="J3920" s="26">
        <v>42.0</v>
      </c>
      <c r="K3920" s="26">
        <v>8.0</v>
      </c>
      <c r="M3920" s="26" t="s">
        <v>458</v>
      </c>
      <c r="N3920" s="26" t="s">
        <v>696</v>
      </c>
    </row>
    <row r="3921">
      <c r="A3921" s="25">
        <v>43419.99520634259</v>
      </c>
      <c r="B3921" s="26" t="s">
        <v>48</v>
      </c>
      <c r="C3921" s="26" t="s">
        <v>49</v>
      </c>
      <c r="D3921" s="26" t="s">
        <v>31</v>
      </c>
      <c r="E3921" s="26">
        <v>210.0</v>
      </c>
      <c r="F3921" s="26" t="s">
        <v>50</v>
      </c>
      <c r="G3921" s="26">
        <v>7.0</v>
      </c>
      <c r="H3921" s="26">
        <v>0.0</v>
      </c>
      <c r="I3921" s="26">
        <v>145.0</v>
      </c>
      <c r="J3921" s="26">
        <v>50.0</v>
      </c>
      <c r="K3921" s="26">
        <v>15.0</v>
      </c>
      <c r="N3921" s="26" t="s">
        <v>751</v>
      </c>
    </row>
    <row r="3922">
      <c r="A3922" s="25">
        <v>43420.06226278935</v>
      </c>
      <c r="B3922" s="26" t="s">
        <v>350</v>
      </c>
      <c r="C3922" s="26" t="s">
        <v>2518</v>
      </c>
      <c r="D3922" s="26" t="s">
        <v>31</v>
      </c>
      <c r="E3922" s="26">
        <v>120.0</v>
      </c>
      <c r="F3922" s="26" t="s">
        <v>2519</v>
      </c>
      <c r="G3922" s="26">
        <v>3.0</v>
      </c>
      <c r="H3922" s="26">
        <v>3.0</v>
      </c>
      <c r="I3922" s="26">
        <v>107.0</v>
      </c>
      <c r="J3922" s="26">
        <v>2.0</v>
      </c>
      <c r="K3922" s="26">
        <v>8.0</v>
      </c>
      <c r="M3922" s="26" t="s">
        <v>449</v>
      </c>
      <c r="N3922" s="26" t="s">
        <v>704</v>
      </c>
    </row>
    <row r="3923">
      <c r="A3923" s="25">
        <v>43420.3927115625</v>
      </c>
      <c r="B3923" s="26" t="s">
        <v>33</v>
      </c>
      <c r="C3923" s="26" t="s">
        <v>43</v>
      </c>
      <c r="D3923" s="26" t="s">
        <v>1544</v>
      </c>
      <c r="E3923" s="26">
        <v>205.0</v>
      </c>
      <c r="F3923" s="26" t="s">
        <v>58</v>
      </c>
      <c r="G3923" s="26">
        <v>3.0</v>
      </c>
      <c r="H3923" s="26">
        <v>0.0</v>
      </c>
      <c r="I3923" s="26">
        <v>170.0</v>
      </c>
      <c r="J3923" s="26">
        <v>5.0</v>
      </c>
      <c r="K3923" s="26">
        <v>30.0</v>
      </c>
      <c r="M3923" s="26" t="s">
        <v>449</v>
      </c>
      <c r="N3923" s="26" t="s">
        <v>685</v>
      </c>
    </row>
    <row r="3924">
      <c r="A3924" s="25">
        <v>43420.48362791666</v>
      </c>
      <c r="B3924" s="26" t="s">
        <v>109</v>
      </c>
      <c r="C3924" s="26" t="s">
        <v>1096</v>
      </c>
      <c r="D3924" s="26" t="s">
        <v>711</v>
      </c>
      <c r="E3924" s="26">
        <v>205.0</v>
      </c>
      <c r="F3924" s="26" t="s">
        <v>35</v>
      </c>
      <c r="G3924" s="26">
        <v>0.0</v>
      </c>
      <c r="H3924" s="26">
        <v>0.0</v>
      </c>
      <c r="M3924" s="26" t="s">
        <v>449</v>
      </c>
      <c r="N3924" s="26" t="s">
        <v>691</v>
      </c>
    </row>
    <row r="3925">
      <c r="A3925" s="25">
        <v>43420.512984664354</v>
      </c>
      <c r="B3925" s="26" t="s">
        <v>33</v>
      </c>
      <c r="C3925" s="26" t="s">
        <v>1061</v>
      </c>
      <c r="D3925" s="26" t="s">
        <v>41</v>
      </c>
      <c r="E3925" s="26">
        <v>283.0</v>
      </c>
      <c r="F3925" s="26" t="s">
        <v>2259</v>
      </c>
      <c r="G3925" s="26">
        <v>20.0</v>
      </c>
      <c r="H3925" s="26">
        <v>1.0</v>
      </c>
      <c r="I3925" s="26">
        <v>153.0</v>
      </c>
      <c r="J3925" s="26">
        <v>180.0</v>
      </c>
      <c r="M3925" s="26" t="s">
        <v>449</v>
      </c>
      <c r="N3925" s="26" t="s">
        <v>683</v>
      </c>
    </row>
    <row r="3926">
      <c r="A3926" s="25">
        <v>43420.52806386574</v>
      </c>
      <c r="B3926" s="26" t="s">
        <v>722</v>
      </c>
      <c r="C3926" s="26" t="s">
        <v>1094</v>
      </c>
      <c r="D3926" s="26" t="s">
        <v>2520</v>
      </c>
      <c r="E3926" s="26">
        <v>90.0</v>
      </c>
      <c r="F3926" s="26" t="s">
        <v>2521</v>
      </c>
      <c r="G3926" s="26">
        <v>1.0</v>
      </c>
      <c r="H3926" s="26">
        <v>1.0</v>
      </c>
      <c r="M3926" s="26" t="s">
        <v>458</v>
      </c>
      <c r="N3926" s="26" t="s">
        <v>708</v>
      </c>
    </row>
    <row r="3927">
      <c r="A3927" s="25">
        <v>43420.57960384259</v>
      </c>
      <c r="B3927" s="26" t="s">
        <v>80</v>
      </c>
      <c r="C3927" s="26" t="s">
        <v>26</v>
      </c>
      <c r="D3927" s="26" t="s">
        <v>31</v>
      </c>
      <c r="E3927" s="26">
        <v>163.0</v>
      </c>
      <c r="F3927" s="26" t="s">
        <v>51</v>
      </c>
      <c r="G3927" s="26">
        <v>1.0</v>
      </c>
      <c r="H3927" s="26">
        <v>0.25</v>
      </c>
      <c r="I3927" s="26">
        <v>120.0</v>
      </c>
      <c r="J3927" s="26">
        <v>25.0</v>
      </c>
      <c r="K3927" s="26">
        <v>18.0</v>
      </c>
      <c r="M3927" s="26" t="s">
        <v>449</v>
      </c>
      <c r="N3927" s="26" t="s">
        <v>704</v>
      </c>
    </row>
    <row r="3928">
      <c r="A3928" s="25">
        <v>43420.59157599537</v>
      </c>
      <c r="B3928" s="26" t="s">
        <v>263</v>
      </c>
      <c r="C3928" s="26" t="s">
        <v>1317</v>
      </c>
      <c r="D3928" s="26" t="s">
        <v>31</v>
      </c>
      <c r="E3928" s="26">
        <v>115.0</v>
      </c>
      <c r="F3928" s="26" t="s">
        <v>35</v>
      </c>
      <c r="G3928" s="26">
        <v>1.0</v>
      </c>
      <c r="H3928" s="26">
        <v>1.0</v>
      </c>
      <c r="M3928" s="26" t="s">
        <v>458</v>
      </c>
      <c r="N3928" s="26" t="s">
        <v>699</v>
      </c>
    </row>
    <row r="3929">
      <c r="A3929" s="25">
        <v>43420.59789157407</v>
      </c>
      <c r="B3929" s="26" t="s">
        <v>40</v>
      </c>
      <c r="C3929" s="26">
        <v>60.0</v>
      </c>
      <c r="D3929" s="26" t="s">
        <v>31</v>
      </c>
      <c r="E3929" s="26">
        <v>157.0</v>
      </c>
      <c r="F3929" s="26" t="s">
        <v>63</v>
      </c>
      <c r="G3929" s="26">
        <v>4.0</v>
      </c>
      <c r="H3929" s="26">
        <v>2.0</v>
      </c>
      <c r="I3929" s="26">
        <v>121.0</v>
      </c>
      <c r="J3929" s="26">
        <v>25.0</v>
      </c>
      <c r="K3929" s="26">
        <v>11.0</v>
      </c>
      <c r="M3929" s="26" t="s">
        <v>449</v>
      </c>
      <c r="N3929" s="26" t="s">
        <v>683</v>
      </c>
    </row>
    <row r="3930">
      <c r="A3930" s="25">
        <v>43420.61326841435</v>
      </c>
      <c r="B3930" s="26" t="s">
        <v>80</v>
      </c>
      <c r="C3930" s="26" t="s">
        <v>26</v>
      </c>
      <c r="D3930" s="26" t="s">
        <v>31</v>
      </c>
      <c r="E3930" s="26">
        <v>163.0</v>
      </c>
      <c r="F3930" s="26" t="s">
        <v>51</v>
      </c>
      <c r="G3930" s="26">
        <v>0.0</v>
      </c>
      <c r="H3930" s="26">
        <v>0.0</v>
      </c>
      <c r="I3930" s="26">
        <v>120.0</v>
      </c>
      <c r="J3930" s="26">
        <v>25.0</v>
      </c>
      <c r="K3930" s="26">
        <v>18.0</v>
      </c>
      <c r="M3930" s="26" t="s">
        <v>449</v>
      </c>
      <c r="N3930" s="26" t="s">
        <v>683</v>
      </c>
    </row>
    <row r="3931">
      <c r="A3931" s="25">
        <v>43420.61440839121</v>
      </c>
      <c r="B3931" s="26" t="s">
        <v>40</v>
      </c>
      <c r="C3931" s="26">
        <v>62.0</v>
      </c>
      <c r="D3931" s="26" t="s">
        <v>31</v>
      </c>
      <c r="E3931" s="26">
        <v>167.0</v>
      </c>
      <c r="F3931" s="26" t="s">
        <v>63</v>
      </c>
      <c r="G3931" s="26">
        <v>6.0</v>
      </c>
      <c r="H3931" s="26">
        <v>5.0</v>
      </c>
      <c r="I3931" s="26">
        <v>140.0</v>
      </c>
      <c r="J3931" s="26">
        <v>12.0</v>
      </c>
      <c r="K3931" s="26">
        <v>15.0</v>
      </c>
      <c r="M3931" s="26" t="s">
        <v>449</v>
      </c>
      <c r="N3931" s="26" t="s">
        <v>704</v>
      </c>
    </row>
    <row r="3932">
      <c r="A3932" s="25">
        <v>43420.664779363426</v>
      </c>
      <c r="B3932" s="26" t="s">
        <v>40</v>
      </c>
      <c r="C3932" s="26">
        <v>60.0</v>
      </c>
      <c r="D3932" s="26" t="s">
        <v>31</v>
      </c>
      <c r="E3932" s="26">
        <v>165.0</v>
      </c>
      <c r="F3932" s="26" t="s">
        <v>75</v>
      </c>
      <c r="G3932" s="26">
        <v>3.0</v>
      </c>
      <c r="H3932" s="26">
        <v>2.0</v>
      </c>
      <c r="I3932" s="26">
        <v>120.0</v>
      </c>
      <c r="J3932" s="26">
        <v>25.0</v>
      </c>
      <c r="K3932" s="26">
        <v>15.0</v>
      </c>
      <c r="M3932" s="26" t="s">
        <v>449</v>
      </c>
      <c r="N3932" s="26" t="s">
        <v>704</v>
      </c>
    </row>
    <row r="3933">
      <c r="A3933" s="25">
        <v>43420.68544760416</v>
      </c>
      <c r="B3933" s="26" t="s">
        <v>33</v>
      </c>
      <c r="C3933" s="26" t="s">
        <v>43</v>
      </c>
      <c r="D3933" s="26" t="s">
        <v>2522</v>
      </c>
      <c r="E3933" s="26">
        <v>220.0</v>
      </c>
      <c r="F3933" s="26" t="s">
        <v>35</v>
      </c>
      <c r="G3933" s="26">
        <v>1.0</v>
      </c>
      <c r="H3933" s="26">
        <v>1.0</v>
      </c>
      <c r="I3933" s="26">
        <v>137.0</v>
      </c>
      <c r="J3933" s="26">
        <v>83.0</v>
      </c>
      <c r="M3933" s="26" t="s">
        <v>449</v>
      </c>
      <c r="N3933" s="26" t="s">
        <v>2523</v>
      </c>
    </row>
    <row r="3934">
      <c r="A3934" s="25">
        <v>43420.751415</v>
      </c>
      <c r="B3934" s="26" t="s">
        <v>119</v>
      </c>
      <c r="C3934" s="26">
        <v>9.0</v>
      </c>
      <c r="D3934" s="26" t="s">
        <v>27</v>
      </c>
      <c r="E3934" s="26">
        <v>295.0</v>
      </c>
      <c r="F3934" s="26" t="s">
        <v>360</v>
      </c>
      <c r="G3934" s="26">
        <v>15.0</v>
      </c>
      <c r="H3934" s="26">
        <v>4.0</v>
      </c>
      <c r="M3934" s="26" t="s">
        <v>449</v>
      </c>
      <c r="N3934" s="26" t="s">
        <v>1370</v>
      </c>
    </row>
    <row r="3935">
      <c r="A3935" s="25">
        <v>43420.76057180556</v>
      </c>
      <c r="B3935" s="26" t="s">
        <v>80</v>
      </c>
      <c r="C3935" s="26" t="s">
        <v>62</v>
      </c>
      <c r="D3935" s="26" t="s">
        <v>41</v>
      </c>
      <c r="E3935" s="26">
        <v>387.0</v>
      </c>
      <c r="F3935" s="26" t="s">
        <v>227</v>
      </c>
      <c r="G3935" s="26">
        <v>10.0</v>
      </c>
      <c r="H3935" s="26">
        <v>8.0</v>
      </c>
      <c r="I3935" s="26">
        <v>202.0</v>
      </c>
      <c r="J3935" s="26">
        <v>150.0</v>
      </c>
      <c r="K3935" s="26">
        <v>35.0</v>
      </c>
      <c r="N3935" s="26" t="s">
        <v>685</v>
      </c>
    </row>
    <row r="3936">
      <c r="A3936" s="25">
        <v>43420.77323873843</v>
      </c>
      <c r="B3936" s="26" t="s">
        <v>48</v>
      </c>
      <c r="C3936" s="26" t="s">
        <v>46</v>
      </c>
      <c r="D3936" s="26" t="s">
        <v>2524</v>
      </c>
      <c r="E3936" s="26">
        <v>240.0</v>
      </c>
      <c r="F3936" s="26" t="s">
        <v>63</v>
      </c>
      <c r="G3936" s="26">
        <v>10.0</v>
      </c>
      <c r="H3936" s="26">
        <v>3.0</v>
      </c>
      <c r="I3936" s="26">
        <v>180.0</v>
      </c>
      <c r="J3936" s="26">
        <v>20.0</v>
      </c>
      <c r="K3936" s="26">
        <v>40.0</v>
      </c>
      <c r="M3936" s="26" t="s">
        <v>449</v>
      </c>
      <c r="N3936" s="26" t="s">
        <v>2136</v>
      </c>
    </row>
    <row r="3937">
      <c r="A3937" s="25">
        <v>43420.9220678125</v>
      </c>
      <c r="B3937" s="26" t="s">
        <v>819</v>
      </c>
      <c r="C3937" s="26" t="s">
        <v>141</v>
      </c>
      <c r="D3937" s="26" t="s">
        <v>31</v>
      </c>
      <c r="E3937" s="26">
        <v>184.0</v>
      </c>
      <c r="F3937" s="26" t="s">
        <v>756</v>
      </c>
      <c r="G3937" s="26">
        <v>6.0</v>
      </c>
      <c r="H3937" s="26">
        <v>4.0</v>
      </c>
      <c r="I3937" s="26">
        <v>144.0</v>
      </c>
      <c r="J3937" s="26">
        <v>20.0</v>
      </c>
      <c r="K3937" s="26">
        <v>20.0</v>
      </c>
      <c r="M3937" s="26" t="s">
        <v>449</v>
      </c>
      <c r="N3937" s="26" t="s">
        <v>704</v>
      </c>
    </row>
    <row r="3938">
      <c r="A3938" s="25">
        <v>43420.983273969905</v>
      </c>
      <c r="B3938" s="26" t="s">
        <v>48</v>
      </c>
      <c r="C3938" s="26" t="s">
        <v>49</v>
      </c>
      <c r="D3938" s="26" t="s">
        <v>31</v>
      </c>
      <c r="E3938" s="26">
        <v>251.0</v>
      </c>
      <c r="F3938" s="26" t="s">
        <v>35</v>
      </c>
      <c r="G3938" s="26">
        <v>7.0</v>
      </c>
      <c r="H3938" s="26">
        <v>1.0</v>
      </c>
      <c r="I3938" s="26">
        <v>160.0</v>
      </c>
      <c r="J3938" s="26">
        <v>75.0</v>
      </c>
      <c r="K3938" s="26">
        <v>16.0</v>
      </c>
      <c r="L3938" s="26" t="s">
        <v>2525</v>
      </c>
      <c r="M3938" s="26" t="s">
        <v>449</v>
      </c>
      <c r="N3938" s="26" t="s">
        <v>696</v>
      </c>
    </row>
    <row r="3939">
      <c r="A3939" s="25">
        <v>43421.057315555554</v>
      </c>
      <c r="B3939" s="26" t="s">
        <v>146</v>
      </c>
      <c r="C3939" s="26" t="s">
        <v>31</v>
      </c>
      <c r="D3939" s="26" t="s">
        <v>31</v>
      </c>
      <c r="E3939" s="26">
        <v>220.0</v>
      </c>
      <c r="F3939" s="26" t="s">
        <v>134</v>
      </c>
      <c r="G3939" s="26">
        <v>9.0</v>
      </c>
      <c r="H3939" s="26">
        <v>0.0</v>
      </c>
      <c r="I3939" s="26">
        <v>155.0</v>
      </c>
      <c r="J3939" s="26">
        <v>50.0</v>
      </c>
      <c r="K3939" s="26">
        <v>15.0</v>
      </c>
      <c r="L3939" s="26" t="s">
        <v>2526</v>
      </c>
      <c r="M3939" s="26" t="s">
        <v>449</v>
      </c>
      <c r="N3939" s="26" t="s">
        <v>685</v>
      </c>
    </row>
    <row r="3940">
      <c r="A3940" s="25">
        <v>43421.10758083333</v>
      </c>
      <c r="B3940" s="26" t="s">
        <v>234</v>
      </c>
      <c r="C3940" s="26" t="s">
        <v>179</v>
      </c>
      <c r="D3940" s="26" t="s">
        <v>31</v>
      </c>
      <c r="E3940" s="26">
        <v>150.0</v>
      </c>
      <c r="F3940" s="26" t="s">
        <v>2527</v>
      </c>
      <c r="G3940" s="26">
        <v>6.0</v>
      </c>
      <c r="H3940" s="26">
        <v>2.0</v>
      </c>
      <c r="I3940" s="26">
        <v>135.0</v>
      </c>
      <c r="K3940" s="26">
        <v>15.0</v>
      </c>
      <c r="M3940" s="26" t="s">
        <v>458</v>
      </c>
      <c r="N3940" s="26" t="s">
        <v>708</v>
      </c>
    </row>
    <row r="3941">
      <c r="A3941" s="25">
        <v>43421.13274556713</v>
      </c>
      <c r="B3941" s="26" t="s">
        <v>80</v>
      </c>
      <c r="C3941" s="26" t="s">
        <v>26</v>
      </c>
      <c r="D3941" s="26" t="s">
        <v>31</v>
      </c>
      <c r="E3941" s="26">
        <v>190.0</v>
      </c>
      <c r="F3941" s="26" t="s">
        <v>94</v>
      </c>
      <c r="G3941" s="26">
        <v>5.0</v>
      </c>
      <c r="H3941" s="26">
        <v>0.5</v>
      </c>
      <c r="I3941" s="26">
        <v>120.0</v>
      </c>
      <c r="J3941" s="26">
        <v>50.0</v>
      </c>
      <c r="K3941" s="26">
        <v>20.0</v>
      </c>
      <c r="M3941" s="26" t="s">
        <v>449</v>
      </c>
      <c r="N3941" s="26" t="s">
        <v>708</v>
      </c>
    </row>
    <row r="3942">
      <c r="A3942" s="25">
        <v>43421.30520819445</v>
      </c>
      <c r="B3942" s="26" t="s">
        <v>119</v>
      </c>
      <c r="C3942" s="26">
        <v>9.0</v>
      </c>
      <c r="D3942" s="26" t="s">
        <v>27</v>
      </c>
      <c r="E3942" s="26">
        <v>402.0</v>
      </c>
      <c r="F3942" s="26" t="s">
        <v>58</v>
      </c>
      <c r="G3942" s="26">
        <v>25.0</v>
      </c>
      <c r="H3942" s="26">
        <v>1.0</v>
      </c>
      <c r="I3942" s="26">
        <v>270.0</v>
      </c>
      <c r="J3942" s="26">
        <v>60.0</v>
      </c>
      <c r="K3942" s="26">
        <v>70.0</v>
      </c>
      <c r="M3942" s="26" t="s">
        <v>449</v>
      </c>
      <c r="N3942" s="26" t="s">
        <v>708</v>
      </c>
    </row>
    <row r="3943">
      <c r="A3943" s="25">
        <v>43421.38906824074</v>
      </c>
      <c r="B3943" s="26" t="s">
        <v>33</v>
      </c>
      <c r="C3943" s="26" t="s">
        <v>275</v>
      </c>
      <c r="D3943" s="26" t="s">
        <v>31</v>
      </c>
      <c r="E3943" s="26">
        <v>60.0</v>
      </c>
      <c r="F3943" s="26" t="s">
        <v>2438</v>
      </c>
      <c r="G3943" s="26">
        <v>5.0</v>
      </c>
      <c r="H3943" s="26">
        <v>1.0</v>
      </c>
      <c r="I3943" s="26">
        <v>48.0</v>
      </c>
      <c r="J3943" s="26">
        <v>2.0</v>
      </c>
      <c r="K3943" s="26">
        <v>10.0</v>
      </c>
      <c r="M3943" s="26" t="s">
        <v>449</v>
      </c>
      <c r="N3943" s="26" t="s">
        <v>685</v>
      </c>
    </row>
    <row r="3944">
      <c r="A3944" s="25">
        <v>43421.433050277774</v>
      </c>
      <c r="B3944" s="26" t="s">
        <v>204</v>
      </c>
      <c r="C3944" s="26" t="s">
        <v>26</v>
      </c>
      <c r="D3944" s="26" t="s">
        <v>711</v>
      </c>
      <c r="E3944" s="26">
        <v>284.0</v>
      </c>
      <c r="F3944" s="26" t="s">
        <v>32</v>
      </c>
      <c r="G3944" s="26">
        <v>3.0</v>
      </c>
      <c r="H3944" s="26">
        <v>0.0</v>
      </c>
      <c r="I3944" s="26">
        <v>165.0</v>
      </c>
      <c r="J3944" s="26">
        <v>68.0</v>
      </c>
      <c r="K3944" s="26">
        <v>50.0</v>
      </c>
      <c r="M3944" s="26" t="s">
        <v>449</v>
      </c>
      <c r="N3944" s="26" t="s">
        <v>1331</v>
      </c>
    </row>
    <row r="3945">
      <c r="A3945" s="25">
        <v>43421.593979212965</v>
      </c>
      <c r="B3945" s="26" t="s">
        <v>25</v>
      </c>
      <c r="C3945" s="26" t="s">
        <v>34</v>
      </c>
      <c r="D3945" s="26" t="s">
        <v>41</v>
      </c>
      <c r="E3945" s="26">
        <v>250.0</v>
      </c>
      <c r="F3945" s="26" t="s">
        <v>28</v>
      </c>
      <c r="G3945" s="26">
        <v>17.0</v>
      </c>
      <c r="H3945" s="26">
        <v>4.0</v>
      </c>
      <c r="I3945" s="26">
        <v>190.0</v>
      </c>
      <c r="J3945" s="26">
        <v>50.0</v>
      </c>
      <c r="K3945" s="26">
        <v>10.0</v>
      </c>
      <c r="M3945" s="26" t="s">
        <v>449</v>
      </c>
      <c r="N3945" s="26" t="s">
        <v>715</v>
      </c>
    </row>
    <row r="3946">
      <c r="A3946" s="25">
        <v>43421.654786388885</v>
      </c>
      <c r="B3946" s="26" t="s">
        <v>2528</v>
      </c>
      <c r="C3946" s="26" t="s">
        <v>125</v>
      </c>
      <c r="D3946" s="26" t="s">
        <v>2529</v>
      </c>
      <c r="E3946" s="26">
        <v>64.0</v>
      </c>
      <c r="F3946" s="26" t="s">
        <v>1275</v>
      </c>
      <c r="G3946" s="26">
        <v>0.0</v>
      </c>
      <c r="H3946" s="26">
        <v>2.0</v>
      </c>
      <c r="I3946" s="26">
        <v>64.0</v>
      </c>
      <c r="K3946" s="26">
        <v>5.0</v>
      </c>
      <c r="M3946" s="26" t="s">
        <v>458</v>
      </c>
      <c r="N3946" s="26" t="s">
        <v>2530</v>
      </c>
    </row>
    <row r="3947">
      <c r="A3947" s="25">
        <v>43421.69006862269</v>
      </c>
      <c r="B3947" s="26" t="s">
        <v>48</v>
      </c>
      <c r="C3947" s="26" t="s">
        <v>166</v>
      </c>
      <c r="D3947" s="26" t="s">
        <v>31</v>
      </c>
      <c r="E3947" s="26">
        <v>333.0</v>
      </c>
      <c r="F3947" s="26" t="s">
        <v>35</v>
      </c>
      <c r="G3947" s="26">
        <v>6.0</v>
      </c>
      <c r="H3947" s="26">
        <v>3.0</v>
      </c>
      <c r="I3947" s="26">
        <v>176.0</v>
      </c>
      <c r="J3947" s="26">
        <v>134.0</v>
      </c>
      <c r="K3947" s="26">
        <v>23.0</v>
      </c>
      <c r="M3947" s="26" t="s">
        <v>449</v>
      </c>
      <c r="N3947" s="26" t="s">
        <v>683</v>
      </c>
    </row>
    <row r="3948">
      <c r="A3948" s="25">
        <v>43421.69962630787</v>
      </c>
      <c r="B3948" s="26" t="s">
        <v>523</v>
      </c>
      <c r="C3948" s="26" t="s">
        <v>201</v>
      </c>
      <c r="D3948" s="26" t="s">
        <v>31</v>
      </c>
      <c r="E3948" s="26">
        <v>150.0</v>
      </c>
      <c r="F3948" s="26" t="s">
        <v>94</v>
      </c>
      <c r="G3948" s="26">
        <v>0.0</v>
      </c>
      <c r="H3948" s="26">
        <v>0.0</v>
      </c>
      <c r="I3948" s="26">
        <v>135.0</v>
      </c>
      <c r="K3948" s="26">
        <v>25.0</v>
      </c>
      <c r="N3948" s="26" t="s">
        <v>685</v>
      </c>
    </row>
    <row r="3949">
      <c r="A3949" s="25">
        <v>43421.70641115741</v>
      </c>
      <c r="B3949" s="26" t="s">
        <v>127</v>
      </c>
      <c r="C3949" s="26" t="s">
        <v>1187</v>
      </c>
      <c r="D3949" s="26" t="s">
        <v>31</v>
      </c>
      <c r="E3949" s="26">
        <v>165.0</v>
      </c>
      <c r="F3949" s="26" t="s">
        <v>88</v>
      </c>
      <c r="G3949" s="26">
        <v>10.0</v>
      </c>
      <c r="H3949" s="26">
        <v>2.0</v>
      </c>
      <c r="I3949" s="26">
        <v>125.0</v>
      </c>
      <c r="J3949" s="26">
        <v>15.0</v>
      </c>
      <c r="K3949" s="26">
        <v>25.0</v>
      </c>
      <c r="M3949" s="26" t="s">
        <v>449</v>
      </c>
      <c r="N3949" s="26" t="s">
        <v>704</v>
      </c>
    </row>
    <row r="3950">
      <c r="A3950" s="25">
        <v>43421.721014097224</v>
      </c>
      <c r="B3950" s="26" t="s">
        <v>204</v>
      </c>
      <c r="C3950" s="26" t="s">
        <v>73</v>
      </c>
      <c r="D3950" s="26" t="s">
        <v>31</v>
      </c>
      <c r="E3950" s="26">
        <v>312.0</v>
      </c>
      <c r="F3950" s="26" t="s">
        <v>32</v>
      </c>
      <c r="G3950" s="26">
        <v>2.0</v>
      </c>
      <c r="H3950" s="26">
        <v>0.0</v>
      </c>
      <c r="I3950" s="26">
        <v>180.0</v>
      </c>
      <c r="J3950" s="26">
        <v>105.0</v>
      </c>
      <c r="K3950" s="26">
        <v>27.0</v>
      </c>
      <c r="M3950" s="26" t="s">
        <v>449</v>
      </c>
      <c r="N3950" s="26" t="s">
        <v>683</v>
      </c>
    </row>
    <row r="3951">
      <c r="A3951" s="25">
        <v>43421.73254060185</v>
      </c>
      <c r="B3951" s="26" t="s">
        <v>409</v>
      </c>
      <c r="C3951" s="26" t="s">
        <v>2531</v>
      </c>
      <c r="D3951" s="26" t="s">
        <v>1225</v>
      </c>
      <c r="E3951" s="26">
        <v>102.0</v>
      </c>
      <c r="F3951" s="26" t="s">
        <v>320</v>
      </c>
      <c r="G3951" s="26">
        <v>3.0</v>
      </c>
      <c r="H3951" s="26">
        <v>3.0</v>
      </c>
      <c r="I3951" s="26">
        <v>97.0</v>
      </c>
      <c r="J3951" s="26">
        <v>5.0</v>
      </c>
      <c r="K3951" s="26">
        <v>8.0</v>
      </c>
      <c r="M3951" s="26" t="s">
        <v>458</v>
      </c>
      <c r="N3951" s="26" t="s">
        <v>696</v>
      </c>
    </row>
    <row r="3952">
      <c r="A3952" s="25">
        <v>43421.759245497684</v>
      </c>
      <c r="B3952" s="26" t="s">
        <v>1160</v>
      </c>
      <c r="C3952" s="26" t="s">
        <v>591</v>
      </c>
      <c r="D3952" s="26" t="s">
        <v>31</v>
      </c>
      <c r="E3952" s="26">
        <v>230.0</v>
      </c>
      <c r="F3952" s="26" t="s">
        <v>35</v>
      </c>
      <c r="G3952" s="26">
        <v>4.0</v>
      </c>
      <c r="H3952" s="26">
        <v>4.0</v>
      </c>
      <c r="I3952" s="26">
        <v>175.0</v>
      </c>
      <c r="J3952" s="26">
        <v>40.0</v>
      </c>
      <c r="K3952" s="26">
        <v>15.0</v>
      </c>
      <c r="M3952" s="26" t="s">
        <v>449</v>
      </c>
      <c r="N3952" s="26" t="s">
        <v>685</v>
      </c>
    </row>
    <row r="3953">
      <c r="A3953" s="25">
        <v>43421.78525613426</v>
      </c>
      <c r="B3953" s="26" t="s">
        <v>40</v>
      </c>
      <c r="C3953" s="26">
        <v>59.0</v>
      </c>
      <c r="D3953" s="26" t="s">
        <v>27</v>
      </c>
      <c r="E3953" s="26">
        <v>154.0</v>
      </c>
      <c r="F3953" s="26" t="s">
        <v>35</v>
      </c>
      <c r="G3953" s="26">
        <v>0.0</v>
      </c>
      <c r="H3953" s="26">
        <v>0.0</v>
      </c>
      <c r="I3953" s="26">
        <v>108.0</v>
      </c>
      <c r="J3953" s="26">
        <v>30.0</v>
      </c>
      <c r="K3953" s="26">
        <v>16.0</v>
      </c>
      <c r="M3953" s="26" t="s">
        <v>449</v>
      </c>
      <c r="N3953" s="26" t="s">
        <v>683</v>
      </c>
    </row>
    <row r="3954">
      <c r="A3954" s="25">
        <v>43421.786002650464</v>
      </c>
      <c r="B3954" s="26" t="s">
        <v>40</v>
      </c>
      <c r="C3954" s="26">
        <v>59.0</v>
      </c>
      <c r="D3954" s="26" t="s">
        <v>27</v>
      </c>
      <c r="E3954" s="26">
        <v>154.0</v>
      </c>
      <c r="F3954" s="26" t="s">
        <v>35</v>
      </c>
      <c r="G3954" s="26">
        <v>0.0</v>
      </c>
      <c r="H3954" s="26">
        <v>0.0</v>
      </c>
      <c r="M3954" s="26" t="s">
        <v>449</v>
      </c>
      <c r="N3954" s="26" t="s">
        <v>683</v>
      </c>
    </row>
    <row r="3955">
      <c r="A3955" s="25">
        <v>43421.80949462963</v>
      </c>
      <c r="B3955" s="26" t="s">
        <v>80</v>
      </c>
      <c r="C3955" s="26" t="s">
        <v>73</v>
      </c>
      <c r="D3955" s="26" t="s">
        <v>31</v>
      </c>
      <c r="E3955" s="26">
        <v>200.0</v>
      </c>
      <c r="F3955" s="26" t="s">
        <v>51</v>
      </c>
      <c r="G3955" s="26">
        <v>3.0</v>
      </c>
      <c r="H3955" s="26">
        <v>3.0</v>
      </c>
      <c r="I3955" s="26">
        <v>145.0</v>
      </c>
      <c r="J3955" s="26">
        <v>35.0</v>
      </c>
      <c r="K3955" s="26">
        <v>20.0</v>
      </c>
      <c r="M3955" s="26" t="s">
        <v>449</v>
      </c>
      <c r="N3955" s="26" t="s">
        <v>691</v>
      </c>
    </row>
    <row r="3956">
      <c r="A3956" s="25">
        <v>43421.83835826389</v>
      </c>
      <c r="B3956" s="26" t="s">
        <v>2532</v>
      </c>
      <c r="C3956" s="26" t="s">
        <v>37</v>
      </c>
      <c r="D3956" s="26" t="s">
        <v>713</v>
      </c>
      <c r="E3956" s="26">
        <v>200.0</v>
      </c>
      <c r="F3956" s="26" t="s">
        <v>32</v>
      </c>
      <c r="G3956" s="26">
        <v>6.0</v>
      </c>
      <c r="H3956" s="26">
        <v>3.0</v>
      </c>
      <c r="I3956" s="26">
        <v>150.0</v>
      </c>
      <c r="J3956" s="26">
        <v>10.0</v>
      </c>
      <c r="K3956" s="26">
        <v>40.0</v>
      </c>
      <c r="M3956" s="26" t="s">
        <v>449</v>
      </c>
      <c r="N3956" s="26" t="s">
        <v>715</v>
      </c>
    </row>
    <row r="3957">
      <c r="A3957" s="25">
        <v>43421.95713684028</v>
      </c>
      <c r="B3957" s="26" t="s">
        <v>268</v>
      </c>
      <c r="C3957" s="26" t="s">
        <v>606</v>
      </c>
      <c r="D3957" s="26" t="s">
        <v>713</v>
      </c>
      <c r="E3957" s="26">
        <v>190.0</v>
      </c>
      <c r="F3957" s="26" t="s">
        <v>238</v>
      </c>
      <c r="G3957" s="26">
        <v>7.0</v>
      </c>
      <c r="H3957" s="26">
        <v>3.0</v>
      </c>
      <c r="I3957" s="26">
        <v>150.0</v>
      </c>
      <c r="J3957" s="26">
        <v>20.0</v>
      </c>
      <c r="K3957" s="26">
        <v>20.0</v>
      </c>
      <c r="M3957" s="26" t="s">
        <v>458</v>
      </c>
      <c r="N3957" s="26" t="s">
        <v>715</v>
      </c>
    </row>
    <row r="3958">
      <c r="A3958" s="25">
        <v>43421.98494962963</v>
      </c>
      <c r="B3958" s="26" t="s">
        <v>1867</v>
      </c>
      <c r="C3958" s="26" t="s">
        <v>2533</v>
      </c>
      <c r="D3958" s="26" t="s">
        <v>31</v>
      </c>
      <c r="E3958" s="26">
        <v>170.0</v>
      </c>
      <c r="F3958" s="26" t="s">
        <v>47</v>
      </c>
      <c r="G3958" s="26">
        <v>1.0</v>
      </c>
      <c r="H3958" s="26">
        <v>0.0</v>
      </c>
      <c r="I3958" s="26">
        <v>170.0</v>
      </c>
      <c r="M3958" s="26" t="s">
        <v>449</v>
      </c>
      <c r="N3958" s="26" t="s">
        <v>683</v>
      </c>
    </row>
    <row r="3959">
      <c r="A3959" s="25">
        <v>43422.16798896991</v>
      </c>
      <c r="B3959" s="26" t="s">
        <v>80</v>
      </c>
      <c r="C3959" s="26" t="s">
        <v>1187</v>
      </c>
      <c r="D3959" s="26" t="s">
        <v>2338</v>
      </c>
      <c r="E3959" s="26">
        <v>150.0</v>
      </c>
      <c r="F3959" s="26" t="s">
        <v>2534</v>
      </c>
      <c r="G3959" s="26">
        <v>15.0</v>
      </c>
      <c r="H3959" s="26">
        <v>1.0</v>
      </c>
      <c r="N3959" s="26" t="s">
        <v>2535</v>
      </c>
    </row>
    <row r="3960">
      <c r="A3960" s="25">
        <v>43422.379765034726</v>
      </c>
      <c r="B3960" s="26" t="s">
        <v>64</v>
      </c>
      <c r="C3960" s="26" t="s">
        <v>1173</v>
      </c>
      <c r="D3960" s="26" t="s">
        <v>31</v>
      </c>
      <c r="E3960" s="26">
        <v>330.0</v>
      </c>
      <c r="F3960" s="26" t="s">
        <v>236</v>
      </c>
      <c r="G3960" s="26">
        <v>10.0</v>
      </c>
      <c r="H3960" s="26">
        <v>8.0</v>
      </c>
      <c r="I3960" s="26">
        <v>210.0</v>
      </c>
      <c r="J3960" s="26">
        <v>70.0</v>
      </c>
      <c r="K3960" s="26">
        <v>50.0</v>
      </c>
      <c r="M3960" s="26" t="s">
        <v>449</v>
      </c>
      <c r="N3960" s="26" t="s">
        <v>1718</v>
      </c>
    </row>
    <row r="3961">
      <c r="A3961" s="25">
        <v>43422.43072284722</v>
      </c>
      <c r="B3961" s="26" t="s">
        <v>40</v>
      </c>
      <c r="C3961" s="26">
        <v>60.0</v>
      </c>
      <c r="D3961" s="26" t="s">
        <v>31</v>
      </c>
      <c r="E3961" s="26">
        <v>185.0</v>
      </c>
      <c r="F3961" s="26" t="s">
        <v>75</v>
      </c>
      <c r="G3961" s="26">
        <v>2.0</v>
      </c>
      <c r="H3961" s="26">
        <v>0.0</v>
      </c>
      <c r="I3961" s="26">
        <v>117.0</v>
      </c>
      <c r="J3961" s="26">
        <v>38.0</v>
      </c>
      <c r="K3961" s="26">
        <v>30.0</v>
      </c>
      <c r="M3961" s="26" t="s">
        <v>449</v>
      </c>
      <c r="N3961" s="26" t="s">
        <v>685</v>
      </c>
    </row>
    <row r="3962">
      <c r="A3962" s="25">
        <v>43422.4359905787</v>
      </c>
      <c r="B3962" s="26" t="s">
        <v>188</v>
      </c>
      <c r="C3962" s="26" t="s">
        <v>73</v>
      </c>
      <c r="D3962" s="26" t="s">
        <v>31</v>
      </c>
      <c r="E3962" s="26">
        <v>380.0</v>
      </c>
      <c r="F3962" s="26" t="s">
        <v>354</v>
      </c>
      <c r="G3962" s="26">
        <v>3.0</v>
      </c>
      <c r="H3962" s="26">
        <v>3.0</v>
      </c>
      <c r="I3962" s="26">
        <v>190.0</v>
      </c>
      <c r="J3962" s="26">
        <v>190.0</v>
      </c>
      <c r="M3962" s="26" t="s">
        <v>449</v>
      </c>
      <c r="N3962" s="26" t="s">
        <v>683</v>
      </c>
    </row>
    <row r="3963">
      <c r="A3963" s="25">
        <v>43422.43746016204</v>
      </c>
      <c r="B3963" s="26" t="s">
        <v>188</v>
      </c>
      <c r="C3963" s="26" t="s">
        <v>43</v>
      </c>
      <c r="D3963" s="26" t="s">
        <v>31</v>
      </c>
      <c r="E3963" s="26">
        <v>522.0</v>
      </c>
      <c r="F3963" s="26" t="s">
        <v>354</v>
      </c>
      <c r="G3963" s="26">
        <v>5.0</v>
      </c>
      <c r="H3963" s="26">
        <v>5.0</v>
      </c>
      <c r="I3963" s="26">
        <v>210.0</v>
      </c>
      <c r="J3963" s="26">
        <v>312.0</v>
      </c>
      <c r="M3963" s="26" t="s">
        <v>449</v>
      </c>
      <c r="N3963" s="26" t="s">
        <v>751</v>
      </c>
    </row>
    <row r="3964">
      <c r="A3964" s="25">
        <v>43422.44395185185</v>
      </c>
      <c r="B3964" s="26" t="s">
        <v>256</v>
      </c>
      <c r="C3964" s="26" t="s">
        <v>191</v>
      </c>
      <c r="D3964" s="26" t="s">
        <v>31</v>
      </c>
      <c r="E3964" s="26">
        <v>215.0</v>
      </c>
      <c r="F3964" s="26" t="s">
        <v>94</v>
      </c>
      <c r="G3964" s="26">
        <v>3.0</v>
      </c>
      <c r="H3964" s="26">
        <v>2.0</v>
      </c>
      <c r="I3964" s="26">
        <v>155.0</v>
      </c>
      <c r="J3964" s="26">
        <v>50.0</v>
      </c>
      <c r="K3964" s="26">
        <v>10.0</v>
      </c>
      <c r="M3964" s="26" t="s">
        <v>449</v>
      </c>
      <c r="N3964" s="26" t="s">
        <v>683</v>
      </c>
    </row>
    <row r="3965">
      <c r="A3965" s="25">
        <v>43422.47638291666</v>
      </c>
      <c r="B3965" s="26" t="s">
        <v>2536</v>
      </c>
      <c r="C3965" s="26" t="s">
        <v>43</v>
      </c>
      <c r="D3965" s="26" t="s">
        <v>41</v>
      </c>
      <c r="E3965" s="26">
        <v>260.0</v>
      </c>
      <c r="F3965" s="26" t="s">
        <v>94</v>
      </c>
      <c r="G3965" s="26">
        <v>12.0</v>
      </c>
      <c r="H3965" s="26">
        <v>2.0</v>
      </c>
      <c r="I3965" s="26">
        <v>200.0</v>
      </c>
      <c r="K3965" s="26">
        <v>60.0</v>
      </c>
      <c r="M3965" s="26" t="s">
        <v>449</v>
      </c>
      <c r="N3965" s="26" t="s">
        <v>683</v>
      </c>
    </row>
    <row r="3966">
      <c r="A3966" s="25">
        <v>43422.48252174769</v>
      </c>
      <c r="B3966" s="26" t="s">
        <v>80</v>
      </c>
      <c r="C3966" s="26" t="s">
        <v>26</v>
      </c>
      <c r="D3966" s="26" t="s">
        <v>1066</v>
      </c>
      <c r="E3966" s="26">
        <v>128.0</v>
      </c>
      <c r="F3966" s="26" t="s">
        <v>32</v>
      </c>
      <c r="G3966" s="26">
        <v>1.0</v>
      </c>
      <c r="H3966" s="26">
        <v>1.0</v>
      </c>
      <c r="I3966" s="26">
        <v>100.0</v>
      </c>
      <c r="J3966" s="26">
        <v>13.0</v>
      </c>
      <c r="K3966" s="26">
        <v>15.0</v>
      </c>
      <c r="M3966" s="26" t="s">
        <v>458</v>
      </c>
      <c r="N3966" s="26" t="s">
        <v>687</v>
      </c>
    </row>
    <row r="3967">
      <c r="A3967" s="25">
        <v>43422.49457475694</v>
      </c>
      <c r="B3967" s="26" t="s">
        <v>673</v>
      </c>
      <c r="C3967" s="26" t="s">
        <v>610</v>
      </c>
      <c r="D3967" s="26" t="s">
        <v>31</v>
      </c>
      <c r="E3967" s="26">
        <v>155.0</v>
      </c>
      <c r="F3967" s="26" t="s">
        <v>272</v>
      </c>
      <c r="G3967" s="26">
        <v>2.0</v>
      </c>
      <c r="H3967" s="26">
        <v>1.5</v>
      </c>
      <c r="I3967" s="26">
        <v>130.0</v>
      </c>
      <c r="J3967" s="26">
        <v>12.0</v>
      </c>
      <c r="K3967" s="26">
        <v>13.0</v>
      </c>
      <c r="M3967" s="26" t="s">
        <v>449</v>
      </c>
      <c r="N3967" s="26" t="s">
        <v>704</v>
      </c>
    </row>
    <row r="3968">
      <c r="A3968" s="25">
        <v>43422.596055312504</v>
      </c>
      <c r="B3968" s="26" t="s">
        <v>48</v>
      </c>
      <c r="C3968" s="26" t="s">
        <v>69</v>
      </c>
      <c r="D3968" s="26" t="s">
        <v>31</v>
      </c>
      <c r="E3968" s="26">
        <v>167.0</v>
      </c>
      <c r="F3968" s="26" t="s">
        <v>35</v>
      </c>
      <c r="G3968" s="26">
        <v>0.0</v>
      </c>
      <c r="H3968" s="26">
        <v>0.0</v>
      </c>
      <c r="I3968" s="26">
        <v>110.0</v>
      </c>
      <c r="J3968" s="26">
        <v>40.0</v>
      </c>
      <c r="K3968" s="26">
        <v>16.0</v>
      </c>
      <c r="L3968" s="26" t="s">
        <v>2537</v>
      </c>
      <c r="M3968" s="26" t="s">
        <v>449</v>
      </c>
      <c r="N3968" s="26" t="s">
        <v>685</v>
      </c>
    </row>
    <row r="3969">
      <c r="A3969" s="25">
        <v>43422.597951261574</v>
      </c>
      <c r="B3969" s="26" t="s">
        <v>80</v>
      </c>
      <c r="C3969" s="26" t="s">
        <v>26</v>
      </c>
      <c r="D3969" s="26" t="s">
        <v>31</v>
      </c>
      <c r="E3969" s="26">
        <v>167.0</v>
      </c>
      <c r="F3969" s="26" t="s">
        <v>549</v>
      </c>
      <c r="G3969" s="26">
        <v>0.0</v>
      </c>
      <c r="H3969" s="26">
        <v>0.0</v>
      </c>
      <c r="I3969" s="26">
        <v>102.0</v>
      </c>
      <c r="J3969" s="26">
        <v>50.0</v>
      </c>
      <c r="K3969" s="26">
        <v>15.0</v>
      </c>
      <c r="L3969" s="26" t="s">
        <v>2538</v>
      </c>
      <c r="M3969" s="26" t="s">
        <v>449</v>
      </c>
      <c r="N3969" s="26" t="s">
        <v>685</v>
      </c>
    </row>
    <row r="3970">
      <c r="A3970" s="25">
        <v>43422.678794259264</v>
      </c>
      <c r="B3970" s="26" t="s">
        <v>2539</v>
      </c>
      <c r="C3970" s="26" t="s">
        <v>504</v>
      </c>
      <c r="D3970" s="26" t="s">
        <v>27</v>
      </c>
      <c r="E3970" s="26">
        <v>170.0</v>
      </c>
      <c r="F3970" s="26" t="s">
        <v>32</v>
      </c>
      <c r="G3970" s="26">
        <v>4.0</v>
      </c>
      <c r="H3970" s="26">
        <v>1.0</v>
      </c>
      <c r="M3970" s="26" t="s">
        <v>449</v>
      </c>
      <c r="N3970" s="26" t="s">
        <v>2373</v>
      </c>
    </row>
    <row r="3971">
      <c r="A3971" s="25">
        <v>43422.68805462963</v>
      </c>
      <c r="B3971" s="26" t="s">
        <v>40</v>
      </c>
      <c r="C3971" s="26">
        <v>65.0</v>
      </c>
      <c r="D3971" s="26" t="s">
        <v>41</v>
      </c>
      <c r="E3971" s="26">
        <v>386.0</v>
      </c>
      <c r="F3971" s="26" t="s">
        <v>52</v>
      </c>
      <c r="G3971" s="26">
        <v>11.0</v>
      </c>
      <c r="H3971" s="26">
        <v>1.0</v>
      </c>
      <c r="I3971" s="26">
        <v>190.0</v>
      </c>
      <c r="J3971" s="26">
        <v>110.0</v>
      </c>
      <c r="K3971" s="26">
        <v>86.0</v>
      </c>
      <c r="M3971" s="26" t="s">
        <v>449</v>
      </c>
      <c r="N3971" s="26" t="s">
        <v>2540</v>
      </c>
    </row>
    <row r="3972">
      <c r="A3972" s="25">
        <v>43422.70218518519</v>
      </c>
      <c r="B3972" s="26" t="s">
        <v>80</v>
      </c>
      <c r="C3972" s="26" t="s">
        <v>26</v>
      </c>
      <c r="D3972" s="26" t="s">
        <v>31</v>
      </c>
      <c r="E3972" s="26">
        <v>163.0</v>
      </c>
      <c r="F3972" s="26" t="s">
        <v>51</v>
      </c>
      <c r="G3972" s="26">
        <v>1.0</v>
      </c>
      <c r="H3972" s="26">
        <v>0.0</v>
      </c>
      <c r="I3972" s="26">
        <v>120.0</v>
      </c>
      <c r="J3972" s="26">
        <v>25.0</v>
      </c>
      <c r="K3972" s="26">
        <v>18.0</v>
      </c>
      <c r="M3972" s="26" t="s">
        <v>449</v>
      </c>
      <c r="N3972" s="26" t="s">
        <v>708</v>
      </c>
    </row>
    <row r="3973">
      <c r="A3973" s="25">
        <v>43422.84381440972</v>
      </c>
      <c r="B3973" s="26" t="s">
        <v>157</v>
      </c>
      <c r="C3973" s="26" t="s">
        <v>2541</v>
      </c>
      <c r="D3973" s="26" t="s">
        <v>1225</v>
      </c>
      <c r="E3973" s="26">
        <v>115.0</v>
      </c>
      <c r="F3973" s="26" t="s">
        <v>320</v>
      </c>
      <c r="G3973" s="26">
        <v>8.0</v>
      </c>
      <c r="H3973" s="26">
        <v>1.0</v>
      </c>
      <c r="I3973" s="26">
        <v>107.0</v>
      </c>
      <c r="K3973" s="26">
        <v>8.0</v>
      </c>
      <c r="M3973" s="26" t="s">
        <v>458</v>
      </c>
      <c r="N3973" s="26" t="s">
        <v>2542</v>
      </c>
    </row>
    <row r="3974">
      <c r="A3974" s="25">
        <v>43422.87074431713</v>
      </c>
      <c r="B3974" s="26" t="s">
        <v>188</v>
      </c>
      <c r="C3974" s="26">
        <v>4.0</v>
      </c>
      <c r="D3974" s="26" t="s">
        <v>31</v>
      </c>
      <c r="E3974" s="26">
        <v>385.0</v>
      </c>
      <c r="F3974" s="26" t="s">
        <v>470</v>
      </c>
      <c r="G3974" s="26">
        <v>6.0</v>
      </c>
      <c r="H3974" s="26">
        <v>4.0</v>
      </c>
      <c r="I3974" s="26">
        <v>180.0</v>
      </c>
      <c r="J3974" s="26">
        <v>185.0</v>
      </c>
      <c r="K3974" s="26">
        <v>20.0</v>
      </c>
      <c r="M3974" s="26" t="s">
        <v>449</v>
      </c>
      <c r="N3974" s="26" t="s">
        <v>751</v>
      </c>
    </row>
    <row r="3975">
      <c r="A3975" s="25">
        <v>43422.92389825232</v>
      </c>
      <c r="B3975" s="26" t="s">
        <v>1276</v>
      </c>
      <c r="C3975" s="26" t="s">
        <v>2422</v>
      </c>
      <c r="D3975" s="26" t="s">
        <v>31</v>
      </c>
      <c r="E3975" s="26">
        <v>300.0</v>
      </c>
      <c r="F3975" s="26" t="s">
        <v>550</v>
      </c>
      <c r="G3975" s="26">
        <v>10.0</v>
      </c>
      <c r="H3975" s="26">
        <v>3.0</v>
      </c>
      <c r="N3975" s="26" t="s">
        <v>685</v>
      </c>
    </row>
    <row r="3976">
      <c r="A3976" s="25">
        <v>43423.096809525465</v>
      </c>
      <c r="B3976" s="26" t="s">
        <v>40</v>
      </c>
      <c r="C3976" s="26">
        <v>60.0</v>
      </c>
      <c r="D3976" s="26" t="s">
        <v>31</v>
      </c>
      <c r="E3976" s="26">
        <v>148.0</v>
      </c>
      <c r="F3976" s="26" t="s">
        <v>75</v>
      </c>
      <c r="G3976" s="26">
        <v>1.0</v>
      </c>
      <c r="H3976" s="26">
        <v>3.0</v>
      </c>
      <c r="I3976" s="26">
        <v>126.0</v>
      </c>
      <c r="J3976" s="26">
        <v>6.0</v>
      </c>
      <c r="K3976" s="26">
        <v>16.0</v>
      </c>
      <c r="M3976" s="26" t="s">
        <v>458</v>
      </c>
      <c r="N3976" s="26" t="s">
        <v>685</v>
      </c>
    </row>
    <row r="3977">
      <c r="A3977" s="25">
        <v>43423.25510743055</v>
      </c>
      <c r="B3977" s="26" t="s">
        <v>1920</v>
      </c>
      <c r="C3977" s="26" t="s">
        <v>1921</v>
      </c>
      <c r="D3977" s="26" t="s">
        <v>31</v>
      </c>
      <c r="E3977" s="26">
        <v>10.0</v>
      </c>
      <c r="F3977" s="26" t="s">
        <v>247</v>
      </c>
      <c r="G3977" s="26">
        <v>2.0</v>
      </c>
      <c r="H3977" s="26">
        <v>2.0</v>
      </c>
      <c r="I3977" s="26">
        <v>92000.0</v>
      </c>
      <c r="K3977" s="26">
        <v>8000.0</v>
      </c>
      <c r="L3977" s="26" t="s">
        <v>2543</v>
      </c>
      <c r="M3977" s="26" t="s">
        <v>458</v>
      </c>
      <c r="N3977" s="26" t="s">
        <v>708</v>
      </c>
    </row>
    <row r="3978">
      <c r="A3978" s="25">
        <v>43423.31872552083</v>
      </c>
      <c r="B3978" s="26" t="s">
        <v>319</v>
      </c>
      <c r="C3978" s="26">
        <v>7.0</v>
      </c>
      <c r="D3978" s="26" t="s">
        <v>31</v>
      </c>
      <c r="E3978" s="26">
        <v>105.0</v>
      </c>
      <c r="F3978" s="26" t="s">
        <v>1021</v>
      </c>
      <c r="G3978" s="26">
        <v>0.0</v>
      </c>
      <c r="H3978" s="26">
        <v>0.0</v>
      </c>
      <c r="I3978" s="26">
        <v>105.0</v>
      </c>
      <c r="K3978" s="26">
        <v>10.0</v>
      </c>
      <c r="N3978" s="26" t="s">
        <v>704</v>
      </c>
    </row>
    <row r="3979">
      <c r="A3979" s="25">
        <v>43423.377102453705</v>
      </c>
      <c r="B3979" s="26" t="s">
        <v>2027</v>
      </c>
      <c r="C3979" s="26" t="s">
        <v>43</v>
      </c>
      <c r="D3979" s="26" t="s">
        <v>31</v>
      </c>
      <c r="E3979" s="26">
        <v>185.0</v>
      </c>
      <c r="F3979" s="26" t="s">
        <v>35</v>
      </c>
      <c r="G3979" s="26">
        <v>3.0</v>
      </c>
      <c r="H3979" s="26">
        <v>3.0</v>
      </c>
      <c r="I3979" s="26">
        <v>134.0</v>
      </c>
      <c r="J3979" s="26">
        <v>51.0</v>
      </c>
      <c r="M3979" s="26" t="s">
        <v>449</v>
      </c>
      <c r="N3979" s="26" t="s">
        <v>683</v>
      </c>
    </row>
    <row r="3980">
      <c r="A3980" s="25">
        <v>43423.432017175925</v>
      </c>
      <c r="B3980" s="26" t="s">
        <v>33</v>
      </c>
      <c r="C3980" s="26" t="s">
        <v>73</v>
      </c>
      <c r="D3980" s="26" t="s">
        <v>31</v>
      </c>
      <c r="E3980" s="26">
        <v>156.0</v>
      </c>
      <c r="F3980" s="26" t="s">
        <v>225</v>
      </c>
      <c r="G3980" s="26">
        <v>0.0</v>
      </c>
      <c r="H3980" s="26">
        <v>0.0</v>
      </c>
      <c r="I3980" s="26">
        <v>119.0</v>
      </c>
      <c r="J3980" s="26">
        <v>3.0</v>
      </c>
      <c r="K3980" s="26">
        <v>34.0</v>
      </c>
      <c r="M3980" s="26" t="s">
        <v>449</v>
      </c>
      <c r="N3980" s="26" t="s">
        <v>704</v>
      </c>
    </row>
    <row r="3981">
      <c r="A3981" s="25">
        <v>43423.49174055556</v>
      </c>
      <c r="B3981" s="26" t="s">
        <v>1777</v>
      </c>
      <c r="C3981" s="26" t="s">
        <v>306</v>
      </c>
      <c r="D3981" s="26" t="s">
        <v>713</v>
      </c>
      <c r="E3981" s="26">
        <v>130.0</v>
      </c>
      <c r="F3981" s="26" t="s">
        <v>753</v>
      </c>
      <c r="G3981" s="26">
        <v>22.0</v>
      </c>
      <c r="H3981" s="26">
        <v>14.0</v>
      </c>
      <c r="M3981" s="26" t="s">
        <v>449</v>
      </c>
      <c r="N3981" s="26" t="s">
        <v>683</v>
      </c>
    </row>
    <row r="3982">
      <c r="A3982" s="25">
        <v>43423.528343935184</v>
      </c>
      <c r="B3982" s="26" t="s">
        <v>371</v>
      </c>
      <c r="C3982" s="26" t="s">
        <v>372</v>
      </c>
      <c r="D3982" s="26" t="s">
        <v>31</v>
      </c>
      <c r="E3982" s="26">
        <v>165.0</v>
      </c>
      <c r="F3982" s="26" t="s">
        <v>549</v>
      </c>
      <c r="G3982" s="26">
        <v>7.0</v>
      </c>
      <c r="H3982" s="26">
        <v>7.0</v>
      </c>
      <c r="I3982" s="26">
        <v>130.0</v>
      </c>
      <c r="J3982" s="26">
        <v>25.0</v>
      </c>
      <c r="K3982" s="26">
        <v>10.0</v>
      </c>
      <c r="N3982" s="26" t="s">
        <v>751</v>
      </c>
    </row>
    <row r="3983">
      <c r="A3983" s="25">
        <v>43423.62841355324</v>
      </c>
      <c r="B3983" s="26" t="s">
        <v>2544</v>
      </c>
      <c r="C3983" s="26">
        <v>2.0</v>
      </c>
      <c r="D3983" s="26" t="s">
        <v>31</v>
      </c>
      <c r="E3983" s="26">
        <v>87.0</v>
      </c>
      <c r="F3983" s="26" t="s">
        <v>1115</v>
      </c>
      <c r="G3983" s="26">
        <v>2.0</v>
      </c>
      <c r="H3983" s="26">
        <v>4.0</v>
      </c>
      <c r="I3983" s="26">
        <v>83.0</v>
      </c>
      <c r="K3983" s="26">
        <v>4.0</v>
      </c>
      <c r="M3983" s="26" t="s">
        <v>449</v>
      </c>
      <c r="N3983" s="26" t="s">
        <v>683</v>
      </c>
    </row>
    <row r="3984">
      <c r="A3984" s="25">
        <v>43423.67795166667</v>
      </c>
      <c r="B3984" s="26" t="s">
        <v>33</v>
      </c>
      <c r="C3984" s="26" t="s">
        <v>73</v>
      </c>
      <c r="D3984" s="26" t="s">
        <v>31</v>
      </c>
      <c r="E3984" s="26">
        <v>125.0</v>
      </c>
      <c r="F3984" s="26" t="s">
        <v>63</v>
      </c>
      <c r="G3984" s="26">
        <v>1.0</v>
      </c>
      <c r="H3984" s="26">
        <v>1.5</v>
      </c>
      <c r="N3984" s="26" t="s">
        <v>704</v>
      </c>
    </row>
    <row r="3985">
      <c r="A3985" s="25">
        <v>43423.68334549769</v>
      </c>
      <c r="B3985" s="26" t="s">
        <v>29</v>
      </c>
      <c r="C3985" s="26" t="s">
        <v>2545</v>
      </c>
      <c r="D3985" s="26" t="s">
        <v>2546</v>
      </c>
      <c r="E3985" s="26">
        <v>300.0</v>
      </c>
      <c r="F3985" s="26" t="s">
        <v>238</v>
      </c>
      <c r="G3985" s="26">
        <v>23.0</v>
      </c>
      <c r="H3985" s="26">
        <v>14.0</v>
      </c>
      <c r="N3985" s="26" t="s">
        <v>708</v>
      </c>
    </row>
    <row r="3986">
      <c r="A3986" s="25">
        <v>43423.87546378472</v>
      </c>
      <c r="B3986" s="26" t="s">
        <v>33</v>
      </c>
      <c r="C3986" s="26" t="s">
        <v>62</v>
      </c>
      <c r="D3986" s="26" t="s">
        <v>41</v>
      </c>
      <c r="E3986" s="26">
        <v>280.0</v>
      </c>
      <c r="F3986" s="26" t="s">
        <v>161</v>
      </c>
      <c r="G3986" s="26">
        <v>14.0</v>
      </c>
      <c r="H3986" s="26">
        <v>0.5</v>
      </c>
      <c r="I3986" s="26">
        <v>150.0</v>
      </c>
      <c r="J3986" s="26">
        <v>135.0</v>
      </c>
      <c r="M3986" s="26" t="s">
        <v>458</v>
      </c>
      <c r="N3986" s="26" t="s">
        <v>685</v>
      </c>
    </row>
    <row r="3987">
      <c r="A3987" s="25">
        <v>43423.98849717593</v>
      </c>
      <c r="B3987" s="26" t="s">
        <v>40</v>
      </c>
      <c r="C3987" s="26">
        <v>65.0</v>
      </c>
      <c r="D3987" s="26" t="s">
        <v>41</v>
      </c>
      <c r="E3987" s="26">
        <v>296.0</v>
      </c>
      <c r="F3987" s="26" t="s">
        <v>75</v>
      </c>
      <c r="G3987" s="26">
        <v>10.0</v>
      </c>
      <c r="H3987" s="26">
        <v>10.0</v>
      </c>
      <c r="I3987" s="26">
        <v>207.0</v>
      </c>
      <c r="J3987" s="26">
        <v>44.0</v>
      </c>
      <c r="K3987" s="26">
        <v>45.0</v>
      </c>
      <c r="M3987" s="26" t="s">
        <v>449</v>
      </c>
      <c r="N3987" s="26" t="s">
        <v>685</v>
      </c>
    </row>
    <row r="3988">
      <c r="A3988" s="25">
        <v>43424.02967616898</v>
      </c>
      <c r="B3988" s="26" t="s">
        <v>350</v>
      </c>
      <c r="C3988" s="26" t="s">
        <v>496</v>
      </c>
      <c r="D3988" s="26" t="s">
        <v>41</v>
      </c>
      <c r="E3988" s="26">
        <v>215.0</v>
      </c>
      <c r="F3988" s="26" t="s">
        <v>32</v>
      </c>
      <c r="G3988" s="26">
        <v>14.0</v>
      </c>
      <c r="H3988" s="26">
        <v>2.0</v>
      </c>
      <c r="I3988" s="26">
        <v>190.0</v>
      </c>
      <c r="K3988" s="26">
        <v>25.0</v>
      </c>
      <c r="M3988" s="26" t="s">
        <v>449</v>
      </c>
      <c r="N3988" s="26" t="s">
        <v>857</v>
      </c>
    </row>
    <row r="3989">
      <c r="A3989" s="25">
        <v>43424.06109548611</v>
      </c>
      <c r="B3989" s="26" t="s">
        <v>48</v>
      </c>
      <c r="C3989" s="26" t="s">
        <v>70</v>
      </c>
      <c r="D3989" s="26" t="s">
        <v>318</v>
      </c>
      <c r="E3989" s="26">
        <v>500.0</v>
      </c>
      <c r="F3989" s="26" t="s">
        <v>50</v>
      </c>
      <c r="G3989" s="26">
        <v>5.0</v>
      </c>
      <c r="H3989" s="26">
        <v>1.0</v>
      </c>
      <c r="I3989" s="26">
        <v>200.0</v>
      </c>
      <c r="J3989" s="26">
        <v>250.0</v>
      </c>
      <c r="K3989" s="26">
        <v>50.0</v>
      </c>
      <c r="M3989" s="26" t="s">
        <v>449</v>
      </c>
      <c r="N3989" s="26" t="s">
        <v>691</v>
      </c>
    </row>
    <row r="3990">
      <c r="A3990" s="25">
        <v>43424.35490333333</v>
      </c>
      <c r="B3990" s="26" t="s">
        <v>33</v>
      </c>
      <c r="C3990" s="26" t="s">
        <v>1061</v>
      </c>
      <c r="D3990" s="26" t="s">
        <v>41</v>
      </c>
      <c r="E3990" s="26">
        <v>262.0</v>
      </c>
      <c r="F3990" s="26" t="s">
        <v>35</v>
      </c>
      <c r="G3990" s="26">
        <v>6.0</v>
      </c>
      <c r="H3990" s="26">
        <v>3.0</v>
      </c>
      <c r="I3990" s="26">
        <v>160.0</v>
      </c>
      <c r="J3990" s="26">
        <v>102.0</v>
      </c>
      <c r="M3990" s="26" t="s">
        <v>449</v>
      </c>
      <c r="N3990" s="26" t="s">
        <v>715</v>
      </c>
    </row>
    <row r="3991">
      <c r="A3991" s="25">
        <v>43424.37209469907</v>
      </c>
      <c r="B3991" s="26" t="s">
        <v>33</v>
      </c>
      <c r="C3991" s="26" t="s">
        <v>62</v>
      </c>
      <c r="D3991" s="26" t="s">
        <v>2547</v>
      </c>
      <c r="E3991" s="26">
        <v>213.0</v>
      </c>
      <c r="F3991" s="26" t="s">
        <v>35</v>
      </c>
      <c r="G3991" s="26">
        <v>4.0</v>
      </c>
      <c r="H3991" s="26">
        <v>4.0</v>
      </c>
      <c r="I3991" s="26">
        <v>135.0</v>
      </c>
      <c r="J3991" s="26">
        <v>80.0</v>
      </c>
      <c r="M3991" s="26" t="s">
        <v>449</v>
      </c>
      <c r="N3991" s="26" t="s">
        <v>2548</v>
      </c>
    </row>
    <row r="3992">
      <c r="A3992" s="25">
        <v>43424.394139131946</v>
      </c>
      <c r="B3992" s="26" t="s">
        <v>2549</v>
      </c>
      <c r="C3992" s="26" t="s">
        <v>37</v>
      </c>
      <c r="D3992" s="26" t="s">
        <v>1225</v>
      </c>
      <c r="E3992" s="26">
        <v>100.0</v>
      </c>
      <c r="F3992" s="26" t="s">
        <v>2550</v>
      </c>
      <c r="G3992" s="26">
        <v>3.0</v>
      </c>
      <c r="H3992" s="26">
        <v>1.0</v>
      </c>
      <c r="M3992" s="26" t="s">
        <v>458</v>
      </c>
      <c r="N3992" s="26" t="s">
        <v>1169</v>
      </c>
    </row>
    <row r="3993">
      <c r="A3993" s="25">
        <v>43424.44769368056</v>
      </c>
      <c r="B3993" s="26" t="s">
        <v>268</v>
      </c>
      <c r="C3993" s="26" t="s">
        <v>143</v>
      </c>
      <c r="D3993" s="26" t="s">
        <v>143</v>
      </c>
      <c r="E3993" s="26">
        <v>330.0</v>
      </c>
      <c r="F3993" s="26" t="s">
        <v>161</v>
      </c>
      <c r="G3993" s="26">
        <v>20.0</v>
      </c>
      <c r="H3993" s="26">
        <v>18.0</v>
      </c>
      <c r="M3993" s="26" t="s">
        <v>449</v>
      </c>
      <c r="N3993" s="26" t="s">
        <v>715</v>
      </c>
    </row>
    <row r="3994">
      <c r="A3994" s="25">
        <v>43424.461135405094</v>
      </c>
      <c r="B3994" s="26" t="s">
        <v>2551</v>
      </c>
      <c r="C3994" s="26">
        <v>6.0</v>
      </c>
      <c r="D3994" s="26" t="s">
        <v>41</v>
      </c>
      <c r="E3994" s="26">
        <v>156.0</v>
      </c>
      <c r="F3994" s="26" t="s">
        <v>320</v>
      </c>
      <c r="G3994" s="26">
        <v>6.0</v>
      </c>
      <c r="H3994" s="26">
        <v>1.0</v>
      </c>
      <c r="I3994" s="26">
        <v>130.0</v>
      </c>
      <c r="K3994" s="26">
        <v>26.0</v>
      </c>
      <c r="M3994" s="26" t="s">
        <v>449</v>
      </c>
      <c r="N3994" s="26" t="s">
        <v>685</v>
      </c>
    </row>
    <row r="3995">
      <c r="A3995" s="25">
        <v>43424.49839719907</v>
      </c>
      <c r="B3995" s="26" t="s">
        <v>2552</v>
      </c>
      <c r="C3995" s="26" t="s">
        <v>2553</v>
      </c>
      <c r="D3995" s="26" t="s">
        <v>31</v>
      </c>
      <c r="E3995" s="26">
        <v>137.0</v>
      </c>
      <c r="F3995" s="26" t="s">
        <v>238</v>
      </c>
      <c r="G3995" s="26">
        <v>2.0</v>
      </c>
      <c r="H3995" s="26">
        <v>2.0</v>
      </c>
      <c r="I3995" s="26">
        <v>125.0</v>
      </c>
      <c r="K3995" s="26">
        <v>12.0</v>
      </c>
      <c r="M3995" s="26" t="s">
        <v>449</v>
      </c>
      <c r="N3995" s="26" t="s">
        <v>704</v>
      </c>
    </row>
    <row r="3996">
      <c r="A3996" s="25">
        <v>43424.52188493055</v>
      </c>
      <c r="B3996" s="26" t="s">
        <v>33</v>
      </c>
      <c r="C3996" s="26" t="s">
        <v>62</v>
      </c>
      <c r="D3996" s="26" t="s">
        <v>27</v>
      </c>
      <c r="E3996" s="26">
        <v>187.0</v>
      </c>
      <c r="F3996" s="26" t="s">
        <v>35</v>
      </c>
      <c r="G3996" s="26">
        <v>1.0</v>
      </c>
      <c r="H3996" s="26">
        <v>1.0</v>
      </c>
      <c r="M3996" s="26" t="s">
        <v>449</v>
      </c>
      <c r="N3996" s="26" t="s">
        <v>708</v>
      </c>
    </row>
    <row r="3997">
      <c r="A3997" s="25">
        <v>43424.60678998842</v>
      </c>
      <c r="B3997" s="26" t="s">
        <v>319</v>
      </c>
      <c r="C3997" s="26" t="s">
        <v>2554</v>
      </c>
      <c r="D3997" s="26" t="s">
        <v>31</v>
      </c>
      <c r="E3997" s="26">
        <v>120.0</v>
      </c>
      <c r="F3997" s="26" t="s">
        <v>745</v>
      </c>
      <c r="G3997" s="26">
        <v>4.0</v>
      </c>
      <c r="H3997" s="26">
        <v>4.0</v>
      </c>
      <c r="N3997" s="26" t="s">
        <v>696</v>
      </c>
    </row>
    <row r="3998">
      <c r="A3998" s="25">
        <v>43424.65335168982</v>
      </c>
      <c r="B3998" s="26" t="s">
        <v>33</v>
      </c>
      <c r="C3998" s="26" t="s">
        <v>43</v>
      </c>
      <c r="D3998" s="26" t="s">
        <v>2555</v>
      </c>
      <c r="E3998" s="26">
        <v>120.0</v>
      </c>
      <c r="F3998" s="26" t="s">
        <v>63</v>
      </c>
      <c r="G3998" s="26">
        <v>10.0</v>
      </c>
      <c r="H3998" s="26">
        <v>1.0</v>
      </c>
      <c r="M3998" s="26" t="s">
        <v>449</v>
      </c>
      <c r="N3998" s="26" t="s">
        <v>2555</v>
      </c>
    </row>
    <row r="3999">
      <c r="A3999" s="25">
        <v>43424.71575516203</v>
      </c>
      <c r="B3999" s="26" t="s">
        <v>40</v>
      </c>
      <c r="C3999" s="26">
        <v>64.0</v>
      </c>
      <c r="D3999" s="26" t="s">
        <v>2556</v>
      </c>
      <c r="E3999" s="26">
        <v>235.0</v>
      </c>
      <c r="F3999" s="26" t="s">
        <v>75</v>
      </c>
      <c r="G3999" s="26">
        <v>15.0</v>
      </c>
      <c r="H3999" s="26">
        <v>3.0</v>
      </c>
      <c r="I3999" s="26">
        <v>175.0</v>
      </c>
      <c r="J3999" s="26">
        <v>30.0</v>
      </c>
      <c r="K3999" s="26">
        <v>30.0</v>
      </c>
      <c r="M3999" s="26" t="s">
        <v>449</v>
      </c>
      <c r="N3999" s="26" t="s">
        <v>715</v>
      </c>
    </row>
    <row r="4000">
      <c r="A4000" s="25">
        <v>43424.741484224534</v>
      </c>
      <c r="B4000" s="26" t="s">
        <v>40</v>
      </c>
      <c r="C4000" s="26">
        <v>63.0</v>
      </c>
      <c r="D4000" s="26" t="s">
        <v>31</v>
      </c>
      <c r="E4000" s="26">
        <v>207.0</v>
      </c>
      <c r="F4000" s="26" t="s">
        <v>75</v>
      </c>
      <c r="G4000" s="26">
        <v>20.0</v>
      </c>
      <c r="H4000" s="26">
        <v>12.0</v>
      </c>
      <c r="I4000" s="26">
        <v>162.0</v>
      </c>
      <c r="J4000" s="26">
        <v>20.0</v>
      </c>
      <c r="K4000" s="26">
        <v>25.0</v>
      </c>
      <c r="M4000" s="26" t="s">
        <v>449</v>
      </c>
      <c r="N4000" s="26" t="s">
        <v>683</v>
      </c>
    </row>
    <row r="4001">
      <c r="A4001" s="25">
        <v>43424.80214849537</v>
      </c>
      <c r="B4001" s="26" t="s">
        <v>33</v>
      </c>
      <c r="C4001" s="26" t="s">
        <v>381</v>
      </c>
      <c r="D4001" s="26" t="s">
        <v>31</v>
      </c>
      <c r="E4001" s="26">
        <v>320.0</v>
      </c>
      <c r="F4001" s="26" t="s">
        <v>35</v>
      </c>
      <c r="G4001" s="26">
        <v>8.0</v>
      </c>
      <c r="H4001" s="26">
        <v>6.0</v>
      </c>
      <c r="I4001" s="26">
        <v>160.0</v>
      </c>
      <c r="J4001" s="26">
        <v>160.0</v>
      </c>
      <c r="M4001" s="26" t="s">
        <v>449</v>
      </c>
      <c r="N4001" s="26" t="s">
        <v>685</v>
      </c>
    </row>
    <row r="4002">
      <c r="A4002" s="25">
        <v>43424.84885334491</v>
      </c>
      <c r="B4002" s="26" t="s">
        <v>33</v>
      </c>
      <c r="C4002" s="26" t="s">
        <v>34</v>
      </c>
      <c r="D4002" s="26" t="s">
        <v>41</v>
      </c>
      <c r="E4002" s="26">
        <v>580.0</v>
      </c>
      <c r="F4002" s="26" t="s">
        <v>129</v>
      </c>
      <c r="G4002" s="26">
        <v>15.0</v>
      </c>
      <c r="H4002" s="26">
        <v>1.0</v>
      </c>
      <c r="I4002" s="26">
        <v>160.0</v>
      </c>
      <c r="J4002" s="26">
        <v>380.0</v>
      </c>
      <c r="M4002" s="26" t="s">
        <v>449</v>
      </c>
      <c r="N4002" s="26" t="s">
        <v>685</v>
      </c>
    </row>
    <row r="4003">
      <c r="A4003" s="25">
        <v>43424.98584962963</v>
      </c>
      <c r="B4003" s="26" t="s">
        <v>2557</v>
      </c>
      <c r="C4003" s="26">
        <v>10.0</v>
      </c>
      <c r="D4003" s="26" t="s">
        <v>1225</v>
      </c>
      <c r="E4003" s="26">
        <v>87.0</v>
      </c>
      <c r="F4003" s="26" t="s">
        <v>32</v>
      </c>
      <c r="G4003" s="26">
        <v>4.0</v>
      </c>
      <c r="H4003" s="26">
        <v>1.5</v>
      </c>
      <c r="I4003" s="26">
        <v>87.0</v>
      </c>
      <c r="M4003" s="26" t="s">
        <v>458</v>
      </c>
      <c r="N4003" s="26" t="s">
        <v>683</v>
      </c>
    </row>
    <row r="4004">
      <c r="A4004" s="25">
        <v>43425.0055858912</v>
      </c>
      <c r="B4004" s="26" t="s">
        <v>80</v>
      </c>
      <c r="C4004" s="26" t="s">
        <v>26</v>
      </c>
      <c r="D4004" s="26" t="s">
        <v>31</v>
      </c>
      <c r="E4004" s="26">
        <v>195.0</v>
      </c>
      <c r="F4004" s="26" t="s">
        <v>63</v>
      </c>
      <c r="G4004" s="26">
        <v>0.0</v>
      </c>
      <c r="H4004" s="26">
        <v>0.0</v>
      </c>
      <c r="I4004" s="26">
        <v>108.0</v>
      </c>
      <c r="J4004" s="26">
        <v>37.0</v>
      </c>
      <c r="K4004" s="26">
        <v>50.0</v>
      </c>
      <c r="M4004" s="26" t="s">
        <v>449</v>
      </c>
      <c r="N4004" s="26" t="s">
        <v>691</v>
      </c>
    </row>
    <row r="4005">
      <c r="A4005" s="25">
        <v>43425.32063916667</v>
      </c>
      <c r="B4005" s="26" t="s">
        <v>40</v>
      </c>
      <c r="C4005" s="26">
        <v>61.0</v>
      </c>
      <c r="D4005" s="26" t="s">
        <v>27</v>
      </c>
      <c r="E4005" s="26">
        <v>140.0</v>
      </c>
      <c r="F4005" s="26" t="s">
        <v>178</v>
      </c>
      <c r="G4005" s="26">
        <v>2.0</v>
      </c>
      <c r="H4005" s="26">
        <v>2.0</v>
      </c>
      <c r="I4005" s="26">
        <v>127.0</v>
      </c>
      <c r="J4005" s="26">
        <v>5.0</v>
      </c>
      <c r="K4005" s="26">
        <v>12.0</v>
      </c>
      <c r="M4005" s="26" t="s">
        <v>458</v>
      </c>
      <c r="N4005" s="26" t="s">
        <v>1183</v>
      </c>
    </row>
    <row r="4006">
      <c r="A4006" s="25">
        <v>43425.43333072917</v>
      </c>
      <c r="B4006" s="26" t="s">
        <v>119</v>
      </c>
      <c r="C4006" s="26" t="s">
        <v>1227</v>
      </c>
      <c r="D4006" s="26" t="s">
        <v>31</v>
      </c>
      <c r="E4006" s="26">
        <v>565.0</v>
      </c>
      <c r="F4006" s="26" t="s">
        <v>86</v>
      </c>
      <c r="G4006" s="26">
        <v>15.0</v>
      </c>
      <c r="H4006" s="26">
        <v>0.0</v>
      </c>
      <c r="I4006" s="26">
        <v>290.0</v>
      </c>
      <c r="J4006" s="26">
        <v>200.0</v>
      </c>
      <c r="K4006" s="26">
        <v>75.0</v>
      </c>
      <c r="M4006" s="26" t="s">
        <v>449</v>
      </c>
      <c r="N4006" s="26" t="s">
        <v>691</v>
      </c>
    </row>
    <row r="4007">
      <c r="A4007" s="25">
        <v>43425.44078605324</v>
      </c>
      <c r="B4007" s="26" t="s">
        <v>40</v>
      </c>
      <c r="C4007" s="26">
        <v>60.0</v>
      </c>
      <c r="D4007" s="26" t="s">
        <v>1225</v>
      </c>
      <c r="E4007" s="26">
        <v>150.0</v>
      </c>
      <c r="F4007" s="26" t="s">
        <v>35</v>
      </c>
      <c r="G4007" s="26">
        <v>3.0</v>
      </c>
      <c r="H4007" s="26">
        <v>3.0</v>
      </c>
      <c r="M4007" s="26" t="s">
        <v>449</v>
      </c>
      <c r="N4007" s="26" t="s">
        <v>696</v>
      </c>
    </row>
    <row r="4008">
      <c r="A4008" s="25">
        <v>43425.56486085648</v>
      </c>
      <c r="B4008" s="26" t="s">
        <v>95</v>
      </c>
      <c r="C4008" s="26" t="s">
        <v>96</v>
      </c>
      <c r="D4008" s="26" t="s">
        <v>31</v>
      </c>
      <c r="E4008" s="26">
        <v>565.0</v>
      </c>
      <c r="F4008" s="26" t="s">
        <v>32</v>
      </c>
      <c r="G4008" s="26">
        <v>6.0</v>
      </c>
      <c r="H4008" s="26">
        <v>3.0</v>
      </c>
      <c r="N4008" s="26" t="s">
        <v>685</v>
      </c>
    </row>
    <row r="4009">
      <c r="A4009" s="25">
        <v>43425.775239814815</v>
      </c>
      <c r="B4009" s="26" t="s">
        <v>170</v>
      </c>
      <c r="C4009" s="26" t="s">
        <v>590</v>
      </c>
      <c r="D4009" s="26" t="s">
        <v>31</v>
      </c>
      <c r="E4009" s="26">
        <v>125.0</v>
      </c>
      <c r="F4009" s="26" t="s">
        <v>1855</v>
      </c>
      <c r="G4009" s="26">
        <v>10.0</v>
      </c>
      <c r="H4009" s="26">
        <v>3.0</v>
      </c>
      <c r="M4009" s="26" t="s">
        <v>449</v>
      </c>
      <c r="N4009" s="26" t="s">
        <v>691</v>
      </c>
    </row>
    <row r="4010">
      <c r="A4010" s="25">
        <v>43425.77836045139</v>
      </c>
      <c r="B4010" s="26" t="s">
        <v>146</v>
      </c>
      <c r="C4010" s="26" t="s">
        <v>96</v>
      </c>
      <c r="D4010" s="26" t="s">
        <v>31</v>
      </c>
      <c r="E4010" s="26">
        <v>280.0</v>
      </c>
      <c r="F4010" s="26" t="s">
        <v>134</v>
      </c>
      <c r="G4010" s="26">
        <v>5.0</v>
      </c>
      <c r="H4010" s="26">
        <v>0.0</v>
      </c>
      <c r="I4010" s="26">
        <v>175.0</v>
      </c>
      <c r="J4010" s="26">
        <v>75.0</v>
      </c>
      <c r="K4010" s="26">
        <v>30.0</v>
      </c>
      <c r="M4010" s="26" t="s">
        <v>449</v>
      </c>
      <c r="N4010" s="26" t="s">
        <v>683</v>
      </c>
    </row>
    <row r="4011">
      <c r="A4011" s="25">
        <v>43425.90604234954</v>
      </c>
      <c r="B4011" s="26" t="s">
        <v>2558</v>
      </c>
      <c r="C4011" s="26">
        <v>6.0</v>
      </c>
      <c r="D4011" s="26" t="s">
        <v>27</v>
      </c>
      <c r="E4011" s="26">
        <v>456.0</v>
      </c>
      <c r="F4011" s="26" t="s">
        <v>63</v>
      </c>
      <c r="G4011" s="26">
        <v>6.0</v>
      </c>
      <c r="H4011" s="26">
        <v>4.0</v>
      </c>
      <c r="N4011" s="26" t="s">
        <v>696</v>
      </c>
    </row>
    <row r="4012">
      <c r="A4012" s="25">
        <v>43425.91487296297</v>
      </c>
      <c r="B4012" s="26" t="s">
        <v>40</v>
      </c>
      <c r="C4012" s="26">
        <v>65.0</v>
      </c>
      <c r="D4012" s="26" t="s">
        <v>31</v>
      </c>
      <c r="E4012" s="26">
        <v>345.0</v>
      </c>
      <c r="F4012" s="26" t="s">
        <v>86</v>
      </c>
      <c r="G4012" s="26">
        <v>15.0</v>
      </c>
      <c r="H4012" s="26">
        <v>0.0</v>
      </c>
      <c r="I4012" s="26">
        <v>195.0</v>
      </c>
      <c r="J4012" s="26">
        <v>75.0</v>
      </c>
      <c r="K4012" s="26">
        <v>75.0</v>
      </c>
      <c r="M4012" s="26" t="s">
        <v>449</v>
      </c>
      <c r="N4012" s="26" t="s">
        <v>691</v>
      </c>
    </row>
    <row r="4013">
      <c r="A4013" s="25">
        <v>43425.91661090278</v>
      </c>
      <c r="B4013" s="26" t="s">
        <v>48</v>
      </c>
      <c r="C4013" s="26" t="s">
        <v>46</v>
      </c>
      <c r="D4013" s="26" t="s">
        <v>41</v>
      </c>
      <c r="E4013" s="26">
        <v>515.0</v>
      </c>
      <c r="F4013" s="26" t="s">
        <v>35</v>
      </c>
      <c r="G4013" s="26">
        <v>15.0</v>
      </c>
      <c r="H4013" s="26">
        <v>0.0</v>
      </c>
      <c r="I4013" s="26">
        <v>215.0</v>
      </c>
      <c r="J4013" s="26">
        <v>250.0</v>
      </c>
      <c r="K4013" s="26">
        <v>50.0</v>
      </c>
      <c r="M4013" s="26" t="s">
        <v>449</v>
      </c>
      <c r="N4013" s="26" t="s">
        <v>691</v>
      </c>
    </row>
    <row r="4014">
      <c r="A4014" s="25">
        <v>43426.34832283565</v>
      </c>
      <c r="B4014" s="26" t="s">
        <v>122</v>
      </c>
      <c r="C4014" s="26" t="s">
        <v>73</v>
      </c>
      <c r="D4014" s="26" t="s">
        <v>31</v>
      </c>
      <c r="E4014" s="26">
        <v>295.0</v>
      </c>
      <c r="F4014" s="26" t="s">
        <v>32</v>
      </c>
      <c r="G4014" s="26">
        <v>3.0</v>
      </c>
      <c r="H4014" s="26">
        <v>1.0</v>
      </c>
      <c r="I4014" s="26">
        <v>155.0</v>
      </c>
      <c r="J4014" s="26">
        <v>125.0</v>
      </c>
      <c r="K4014" s="26">
        <v>15.0</v>
      </c>
      <c r="M4014" s="26" t="s">
        <v>449</v>
      </c>
      <c r="N4014" s="26" t="s">
        <v>699</v>
      </c>
    </row>
    <row r="4015">
      <c r="A4015" s="25">
        <v>43426.397477673614</v>
      </c>
      <c r="B4015" s="26" t="s">
        <v>33</v>
      </c>
      <c r="C4015" s="26" t="s">
        <v>76</v>
      </c>
      <c r="D4015" s="26" t="s">
        <v>31</v>
      </c>
      <c r="E4015" s="26">
        <v>298.0</v>
      </c>
      <c r="F4015" s="26" t="s">
        <v>550</v>
      </c>
      <c r="G4015" s="26">
        <v>12.0</v>
      </c>
      <c r="H4015" s="26">
        <v>2.0</v>
      </c>
      <c r="I4015" s="26">
        <v>172.0</v>
      </c>
      <c r="J4015" s="26">
        <v>126.0</v>
      </c>
      <c r="M4015" s="26" t="s">
        <v>449</v>
      </c>
      <c r="N4015" s="26" t="s">
        <v>685</v>
      </c>
    </row>
    <row r="4016">
      <c r="A4016" s="25">
        <v>43426.397480555555</v>
      </c>
      <c r="B4016" s="26" t="s">
        <v>33</v>
      </c>
      <c r="C4016" s="26" t="s">
        <v>76</v>
      </c>
      <c r="D4016" s="26" t="s">
        <v>31</v>
      </c>
      <c r="E4016" s="26">
        <v>298.0</v>
      </c>
      <c r="F4016" s="26" t="s">
        <v>550</v>
      </c>
      <c r="G4016" s="26">
        <v>12.0</v>
      </c>
      <c r="H4016" s="26">
        <v>2.0</v>
      </c>
      <c r="I4016" s="26">
        <v>172.0</v>
      </c>
      <c r="J4016" s="26">
        <v>126.0</v>
      </c>
      <c r="M4016" s="26" t="s">
        <v>449</v>
      </c>
      <c r="N4016" s="26" t="s">
        <v>685</v>
      </c>
    </row>
    <row r="4017">
      <c r="A4017" s="25">
        <v>43426.417512858796</v>
      </c>
      <c r="B4017" s="26" t="s">
        <v>36</v>
      </c>
      <c r="C4017" s="26" t="s">
        <v>2021</v>
      </c>
      <c r="D4017" s="26" t="s">
        <v>31</v>
      </c>
      <c r="E4017" s="26">
        <v>160.0</v>
      </c>
      <c r="F4017" s="26" t="s">
        <v>32</v>
      </c>
      <c r="G4017" s="26">
        <v>0.0</v>
      </c>
      <c r="H4017" s="26">
        <v>0.0</v>
      </c>
      <c r="I4017" s="26">
        <v>125.0</v>
      </c>
      <c r="J4017" s="26">
        <v>25.0</v>
      </c>
      <c r="K4017" s="26">
        <v>20.0</v>
      </c>
      <c r="M4017" s="26" t="s">
        <v>458</v>
      </c>
      <c r="N4017" s="26" t="s">
        <v>1134</v>
      </c>
    </row>
    <row r="4018">
      <c r="A4018" s="25">
        <v>43426.44471949074</v>
      </c>
      <c r="B4018" s="26" t="s">
        <v>80</v>
      </c>
      <c r="C4018" s="26" t="s">
        <v>43</v>
      </c>
      <c r="D4018" s="26" t="s">
        <v>27</v>
      </c>
      <c r="E4018" s="26">
        <v>275.0</v>
      </c>
      <c r="F4018" s="26" t="s">
        <v>1818</v>
      </c>
      <c r="G4018" s="26">
        <v>7.0</v>
      </c>
      <c r="H4018" s="26">
        <v>4.0</v>
      </c>
      <c r="M4018" s="26" t="s">
        <v>449</v>
      </c>
      <c r="N4018" s="26" t="s">
        <v>2559</v>
      </c>
    </row>
    <row r="4019">
      <c r="A4019" s="25">
        <v>43426.50386700231</v>
      </c>
      <c r="B4019" s="26" t="s">
        <v>95</v>
      </c>
      <c r="C4019" s="26" t="s">
        <v>96</v>
      </c>
      <c r="D4019" s="26" t="s">
        <v>31</v>
      </c>
      <c r="E4019" s="26">
        <v>150.0</v>
      </c>
      <c r="F4019" s="26" t="s">
        <v>32</v>
      </c>
      <c r="G4019" s="26">
        <v>4.0</v>
      </c>
      <c r="H4019" s="26">
        <v>2.0</v>
      </c>
      <c r="M4019" s="26" t="s">
        <v>449</v>
      </c>
      <c r="N4019" s="26" t="s">
        <v>683</v>
      </c>
    </row>
    <row r="4020">
      <c r="A4020" s="25">
        <v>43426.513901053244</v>
      </c>
      <c r="B4020" s="26" t="s">
        <v>40</v>
      </c>
      <c r="C4020" s="26">
        <v>61.0</v>
      </c>
      <c r="D4020" s="26" t="s">
        <v>1225</v>
      </c>
      <c r="E4020" s="26">
        <v>200.0</v>
      </c>
      <c r="F4020" s="26" t="s">
        <v>86</v>
      </c>
      <c r="G4020" s="26">
        <v>0.0</v>
      </c>
      <c r="H4020" s="26">
        <v>0.0</v>
      </c>
      <c r="I4020" s="26">
        <v>130.0</v>
      </c>
      <c r="J4020" s="26">
        <v>45.0</v>
      </c>
      <c r="K4020" s="26">
        <v>25.0</v>
      </c>
      <c r="M4020" s="26" t="s">
        <v>458</v>
      </c>
      <c r="N4020" s="26" t="s">
        <v>696</v>
      </c>
    </row>
    <row r="4021">
      <c r="A4021" s="25">
        <v>43426.63862790509</v>
      </c>
      <c r="B4021" s="26" t="s">
        <v>48</v>
      </c>
      <c r="C4021" s="26" t="s">
        <v>222</v>
      </c>
      <c r="D4021" s="26" t="s">
        <v>31</v>
      </c>
      <c r="E4021" s="26">
        <v>800.0</v>
      </c>
      <c r="F4021" s="26" t="s">
        <v>79</v>
      </c>
      <c r="G4021" s="26">
        <v>10.0</v>
      </c>
      <c r="H4021" s="26">
        <v>2.0</v>
      </c>
      <c r="M4021" s="26" t="s">
        <v>449</v>
      </c>
      <c r="N4021" s="26" t="s">
        <v>685</v>
      </c>
    </row>
    <row r="4022">
      <c r="A4022" s="25">
        <v>43426.71765769676</v>
      </c>
      <c r="B4022" s="26" t="s">
        <v>80</v>
      </c>
      <c r="C4022" s="26" t="s">
        <v>43</v>
      </c>
      <c r="D4022" s="26" t="s">
        <v>31</v>
      </c>
      <c r="E4022" s="26">
        <v>371.0</v>
      </c>
      <c r="F4022" s="26" t="s">
        <v>247</v>
      </c>
      <c r="G4022" s="26">
        <v>10.0</v>
      </c>
      <c r="H4022" s="26">
        <v>10.0</v>
      </c>
      <c r="I4022" s="26">
        <v>193.0</v>
      </c>
      <c r="J4022" s="26">
        <v>152.0</v>
      </c>
      <c r="K4022" s="26">
        <v>26.0</v>
      </c>
      <c r="M4022" s="26" t="s">
        <v>449</v>
      </c>
      <c r="N4022" s="26" t="s">
        <v>704</v>
      </c>
    </row>
    <row r="4023">
      <c r="A4023" s="25">
        <v>43426.73581716436</v>
      </c>
      <c r="B4023" s="26" t="s">
        <v>80</v>
      </c>
      <c r="C4023" s="26" t="s">
        <v>62</v>
      </c>
      <c r="D4023" s="26" t="s">
        <v>31</v>
      </c>
      <c r="E4023" s="26">
        <v>438.0</v>
      </c>
      <c r="F4023" s="26" t="s">
        <v>63</v>
      </c>
      <c r="G4023" s="26">
        <v>15.0</v>
      </c>
      <c r="H4023" s="26">
        <v>10.0</v>
      </c>
      <c r="I4023" s="26">
        <v>198.0</v>
      </c>
      <c r="J4023" s="26">
        <v>200.0</v>
      </c>
      <c r="K4023" s="26">
        <v>40.0</v>
      </c>
      <c r="M4023" s="26" t="s">
        <v>449</v>
      </c>
      <c r="N4023" s="26" t="s">
        <v>685</v>
      </c>
    </row>
    <row r="4024">
      <c r="A4024" s="25">
        <v>43426.88993664352</v>
      </c>
      <c r="B4024" s="26" t="s">
        <v>80</v>
      </c>
      <c r="C4024" s="26" t="s">
        <v>26</v>
      </c>
      <c r="D4024" s="26" t="s">
        <v>31</v>
      </c>
      <c r="E4024" s="26">
        <v>330.0</v>
      </c>
      <c r="F4024" s="26" t="s">
        <v>32</v>
      </c>
      <c r="G4024" s="26">
        <v>0.0</v>
      </c>
      <c r="H4024" s="26">
        <v>0.0</v>
      </c>
      <c r="I4024" s="26">
        <v>135.0</v>
      </c>
      <c r="J4024" s="26">
        <v>145.0</v>
      </c>
      <c r="K4024" s="26">
        <v>50.0</v>
      </c>
      <c r="M4024" s="26" t="s">
        <v>449</v>
      </c>
      <c r="N4024" s="26" t="s">
        <v>751</v>
      </c>
    </row>
    <row r="4025">
      <c r="A4025" s="25">
        <v>43426.89399201389</v>
      </c>
      <c r="B4025" s="26" t="s">
        <v>48</v>
      </c>
      <c r="C4025" s="26">
        <v>1.0</v>
      </c>
      <c r="D4025" s="26" t="s">
        <v>31</v>
      </c>
      <c r="E4025" s="26">
        <v>160.0</v>
      </c>
      <c r="F4025" s="26" t="s">
        <v>44</v>
      </c>
      <c r="G4025" s="26">
        <v>5.0</v>
      </c>
      <c r="H4025" s="26">
        <v>5.0</v>
      </c>
      <c r="I4025" s="26">
        <v>100.0</v>
      </c>
      <c r="J4025" s="26">
        <v>30.0</v>
      </c>
      <c r="K4025" s="26">
        <v>20.0</v>
      </c>
      <c r="M4025" s="26" t="s">
        <v>449</v>
      </c>
      <c r="N4025" s="26" t="s">
        <v>683</v>
      </c>
    </row>
    <row r="4026">
      <c r="A4026" s="25">
        <v>43426.97670614583</v>
      </c>
      <c r="B4026" s="26" t="s">
        <v>1483</v>
      </c>
      <c r="C4026" s="26" t="s">
        <v>201</v>
      </c>
      <c r="D4026" s="26" t="s">
        <v>31</v>
      </c>
      <c r="E4026" s="26">
        <v>150.0</v>
      </c>
      <c r="F4026" s="26" t="s">
        <v>32</v>
      </c>
      <c r="G4026" s="26">
        <v>0.0</v>
      </c>
      <c r="H4026" s="26">
        <v>0.0</v>
      </c>
      <c r="I4026" s="26">
        <v>118.0</v>
      </c>
      <c r="J4026" s="26">
        <v>20.0</v>
      </c>
      <c r="K4026" s="26">
        <v>12.0</v>
      </c>
      <c r="M4026" s="26" t="s">
        <v>449</v>
      </c>
      <c r="N4026" s="26" t="s">
        <v>704</v>
      </c>
    </row>
    <row r="4027">
      <c r="A4027" s="25">
        <v>43426.98117616898</v>
      </c>
      <c r="B4027" s="26" t="s">
        <v>350</v>
      </c>
      <c r="C4027" s="26" t="s">
        <v>1114</v>
      </c>
      <c r="D4027" s="26" t="s">
        <v>31</v>
      </c>
      <c r="E4027" s="26">
        <v>170.0</v>
      </c>
      <c r="F4027" s="26" t="s">
        <v>32</v>
      </c>
      <c r="G4027" s="26">
        <v>10.0</v>
      </c>
      <c r="H4027" s="26">
        <v>3.0</v>
      </c>
      <c r="I4027" s="26">
        <v>157.0</v>
      </c>
      <c r="K4027" s="26">
        <v>13.0</v>
      </c>
      <c r="M4027" s="26" t="s">
        <v>449</v>
      </c>
      <c r="N4027" s="26" t="s">
        <v>696</v>
      </c>
    </row>
    <row r="4028">
      <c r="A4028" s="25">
        <v>43427.08788707176</v>
      </c>
      <c r="B4028" s="26" t="s">
        <v>268</v>
      </c>
      <c r="C4028" s="26" t="s">
        <v>1287</v>
      </c>
      <c r="D4028" s="26" t="s">
        <v>31</v>
      </c>
      <c r="E4028" s="26">
        <v>150.0</v>
      </c>
      <c r="F4028" s="26" t="s">
        <v>1138</v>
      </c>
      <c r="G4028" s="26">
        <v>5.0</v>
      </c>
      <c r="H4028" s="26">
        <v>1.0</v>
      </c>
      <c r="I4028" s="26">
        <v>125.0</v>
      </c>
      <c r="J4028" s="26">
        <v>15.0</v>
      </c>
      <c r="K4028" s="26">
        <v>15.0</v>
      </c>
      <c r="M4028" s="26" t="s">
        <v>449</v>
      </c>
      <c r="N4028" s="26" t="s">
        <v>685</v>
      </c>
    </row>
    <row r="4029">
      <c r="A4029" s="25">
        <v>43427.309661782405</v>
      </c>
      <c r="B4029" s="26" t="s">
        <v>258</v>
      </c>
      <c r="C4029" s="26" t="s">
        <v>818</v>
      </c>
      <c r="D4029" s="26" t="s">
        <v>31</v>
      </c>
      <c r="E4029" s="26">
        <v>256.0</v>
      </c>
      <c r="F4029" s="26" t="s">
        <v>94</v>
      </c>
      <c r="G4029" s="26">
        <v>3.0</v>
      </c>
      <c r="H4029" s="26">
        <v>4.0</v>
      </c>
      <c r="I4029" s="26">
        <v>166.0</v>
      </c>
      <c r="J4029" s="26">
        <v>80.0</v>
      </c>
      <c r="K4029" s="26">
        <v>10.0</v>
      </c>
      <c r="M4029" s="26" t="s">
        <v>449</v>
      </c>
      <c r="N4029" s="26" t="s">
        <v>685</v>
      </c>
    </row>
    <row r="4030">
      <c r="A4030" s="25">
        <v>43427.61262263889</v>
      </c>
      <c r="B4030" s="26" t="s">
        <v>36</v>
      </c>
      <c r="C4030" s="26" t="s">
        <v>2021</v>
      </c>
      <c r="D4030" s="26" t="s">
        <v>31</v>
      </c>
      <c r="E4030" s="26">
        <v>147.0</v>
      </c>
      <c r="F4030" s="26" t="s">
        <v>32</v>
      </c>
      <c r="G4030" s="26">
        <v>0.0</v>
      </c>
      <c r="H4030" s="26">
        <v>0.0</v>
      </c>
      <c r="I4030" s="26">
        <v>110.0</v>
      </c>
      <c r="J4030" s="26">
        <v>27.0</v>
      </c>
      <c r="K4030" s="26">
        <v>10.0</v>
      </c>
      <c r="M4030" s="26" t="s">
        <v>449</v>
      </c>
      <c r="N4030" s="26" t="s">
        <v>685</v>
      </c>
    </row>
    <row r="4031">
      <c r="A4031" s="25">
        <v>43427.84705928241</v>
      </c>
      <c r="B4031" s="26" t="s">
        <v>139</v>
      </c>
      <c r="C4031" s="26" t="s">
        <v>421</v>
      </c>
      <c r="D4031" s="26" t="s">
        <v>31</v>
      </c>
      <c r="E4031" s="26">
        <v>170.0</v>
      </c>
      <c r="F4031" s="26" t="s">
        <v>134</v>
      </c>
      <c r="G4031" s="26">
        <v>5.0</v>
      </c>
      <c r="H4031" s="26">
        <v>5.0</v>
      </c>
      <c r="M4031" s="26" t="s">
        <v>449</v>
      </c>
      <c r="N4031" s="26" t="s">
        <v>691</v>
      </c>
    </row>
    <row r="4032">
      <c r="A4032" s="25">
        <v>43427.96291059028</v>
      </c>
      <c r="B4032" s="26" t="s">
        <v>33</v>
      </c>
      <c r="C4032" s="26" t="s">
        <v>62</v>
      </c>
      <c r="D4032" s="26" t="s">
        <v>27</v>
      </c>
      <c r="E4032" s="26">
        <v>244.0</v>
      </c>
      <c r="F4032" s="26" t="s">
        <v>35</v>
      </c>
      <c r="G4032" s="26">
        <v>10.0</v>
      </c>
      <c r="H4032" s="26">
        <v>2.0</v>
      </c>
      <c r="I4032" s="26">
        <v>148.0</v>
      </c>
      <c r="J4032" s="26">
        <v>96.0</v>
      </c>
      <c r="M4032" s="26" t="s">
        <v>449</v>
      </c>
      <c r="N4032" s="26" t="s">
        <v>2560</v>
      </c>
    </row>
    <row r="4033">
      <c r="A4033" s="25">
        <v>43428.29157</v>
      </c>
      <c r="B4033" s="26" t="s">
        <v>80</v>
      </c>
      <c r="C4033" s="26" t="s">
        <v>73</v>
      </c>
      <c r="D4033" s="26" t="s">
        <v>31</v>
      </c>
      <c r="E4033" s="26">
        <v>338.0</v>
      </c>
      <c r="F4033" s="26" t="s">
        <v>51</v>
      </c>
      <c r="G4033" s="26">
        <v>20.0</v>
      </c>
      <c r="H4033" s="26">
        <v>10.0</v>
      </c>
      <c r="I4033" s="26">
        <v>179.0</v>
      </c>
      <c r="J4033" s="26">
        <v>100.0</v>
      </c>
      <c r="K4033" s="26">
        <v>59.0</v>
      </c>
      <c r="M4033" s="26" t="s">
        <v>449</v>
      </c>
      <c r="N4033" s="26" t="s">
        <v>683</v>
      </c>
    </row>
    <row r="4034">
      <c r="A4034" s="25">
        <v>43428.41722737269</v>
      </c>
      <c r="B4034" s="26" t="s">
        <v>48</v>
      </c>
      <c r="C4034" s="26" t="s">
        <v>70</v>
      </c>
      <c r="D4034" s="26" t="s">
        <v>31</v>
      </c>
      <c r="E4034" s="26">
        <v>427.0</v>
      </c>
      <c r="F4034" s="26" t="s">
        <v>75</v>
      </c>
      <c r="G4034" s="26">
        <v>10.0</v>
      </c>
      <c r="H4034" s="26">
        <v>0.0</v>
      </c>
      <c r="I4034" s="26">
        <v>200.0</v>
      </c>
      <c r="J4034" s="26">
        <v>187.0</v>
      </c>
      <c r="K4034" s="26">
        <v>40.0</v>
      </c>
      <c r="M4034" s="26" t="s">
        <v>449</v>
      </c>
      <c r="N4034" s="26" t="s">
        <v>1428</v>
      </c>
    </row>
    <row r="4035">
      <c r="A4035" s="25">
        <v>43428.469956030094</v>
      </c>
      <c r="B4035" s="26" t="s">
        <v>119</v>
      </c>
      <c r="C4035" s="26" t="s">
        <v>494</v>
      </c>
      <c r="D4035" s="26" t="s">
        <v>31</v>
      </c>
      <c r="E4035" s="26">
        <v>186.0</v>
      </c>
      <c r="F4035" s="26" t="s">
        <v>32</v>
      </c>
      <c r="G4035" s="26">
        <v>6.0</v>
      </c>
      <c r="H4035" s="26">
        <v>4.0</v>
      </c>
      <c r="I4035" s="26">
        <v>153.0</v>
      </c>
      <c r="J4035" s="26">
        <v>10.0</v>
      </c>
      <c r="K4035" s="26">
        <v>23.0</v>
      </c>
      <c r="M4035" s="26" t="s">
        <v>449</v>
      </c>
      <c r="N4035" s="26" t="s">
        <v>683</v>
      </c>
    </row>
    <row r="4036">
      <c r="A4036" s="25">
        <v>43428.52705157407</v>
      </c>
      <c r="B4036" s="26" t="s">
        <v>170</v>
      </c>
      <c r="C4036" s="26">
        <v>9.0</v>
      </c>
      <c r="D4036" s="26" t="s">
        <v>31</v>
      </c>
      <c r="E4036" s="26">
        <v>280.0</v>
      </c>
      <c r="F4036" s="26" t="s">
        <v>320</v>
      </c>
      <c r="G4036" s="26">
        <v>15.0</v>
      </c>
      <c r="H4036" s="26">
        <v>15.0</v>
      </c>
      <c r="I4036" s="26">
        <v>166.0</v>
      </c>
      <c r="J4036" s="26">
        <v>48.0</v>
      </c>
      <c r="K4036" s="26">
        <v>60.0</v>
      </c>
      <c r="M4036" s="26" t="s">
        <v>449</v>
      </c>
      <c r="N4036" s="26" t="s">
        <v>683</v>
      </c>
    </row>
    <row r="4037">
      <c r="A4037" s="25">
        <v>43428.528228634255</v>
      </c>
      <c r="B4037" s="26" t="s">
        <v>170</v>
      </c>
      <c r="C4037" s="26">
        <v>9.0</v>
      </c>
      <c r="D4037" s="26" t="s">
        <v>31</v>
      </c>
      <c r="E4037" s="26">
        <v>280.0</v>
      </c>
      <c r="F4037" s="26" t="s">
        <v>320</v>
      </c>
      <c r="G4037" s="26">
        <v>15.0</v>
      </c>
      <c r="H4037" s="26">
        <v>15.0</v>
      </c>
      <c r="I4037" s="26">
        <v>167.0</v>
      </c>
      <c r="J4037" s="26">
        <v>50.0</v>
      </c>
      <c r="K4037" s="26">
        <v>60.0</v>
      </c>
      <c r="M4037" s="26" t="s">
        <v>449</v>
      </c>
      <c r="N4037" s="26" t="s">
        <v>683</v>
      </c>
    </row>
    <row r="4038">
      <c r="A4038" s="25">
        <v>43428.53924459491</v>
      </c>
      <c r="B4038" s="26" t="s">
        <v>268</v>
      </c>
      <c r="C4038" s="26" t="s">
        <v>1174</v>
      </c>
      <c r="D4038" s="26" t="s">
        <v>31</v>
      </c>
      <c r="E4038" s="26">
        <v>575.0</v>
      </c>
      <c r="F4038" s="26" t="s">
        <v>238</v>
      </c>
      <c r="G4038" s="26">
        <v>20.0</v>
      </c>
      <c r="H4038" s="26">
        <v>2.0</v>
      </c>
      <c r="I4038" s="26">
        <v>210.0</v>
      </c>
      <c r="J4038" s="26">
        <v>250.0</v>
      </c>
      <c r="K4038" s="26">
        <v>115.0</v>
      </c>
      <c r="M4038" s="26" t="s">
        <v>449</v>
      </c>
      <c r="N4038" s="26" t="s">
        <v>757</v>
      </c>
    </row>
    <row r="4039">
      <c r="A4039" s="25">
        <v>43428.56793561342</v>
      </c>
      <c r="B4039" s="26" t="s">
        <v>371</v>
      </c>
      <c r="C4039" s="26" t="s">
        <v>306</v>
      </c>
      <c r="D4039" s="26" t="s">
        <v>27</v>
      </c>
      <c r="E4039" s="26">
        <v>225.0</v>
      </c>
      <c r="F4039" s="26" t="s">
        <v>238</v>
      </c>
      <c r="G4039" s="26">
        <v>12.0</v>
      </c>
      <c r="H4039" s="26">
        <v>5.0</v>
      </c>
      <c r="M4039" s="26" t="s">
        <v>449</v>
      </c>
      <c r="N4039" s="26" t="s">
        <v>2561</v>
      </c>
    </row>
    <row r="4040">
      <c r="A4040" s="25">
        <v>43428.584056238426</v>
      </c>
      <c r="B4040" s="26" t="s">
        <v>80</v>
      </c>
      <c r="C4040" s="26" t="s">
        <v>2332</v>
      </c>
      <c r="D4040" s="26" t="s">
        <v>27</v>
      </c>
      <c r="E4040" s="26">
        <v>215.0</v>
      </c>
      <c r="F4040" s="26" t="s">
        <v>134</v>
      </c>
      <c r="G4040" s="26">
        <v>7.0</v>
      </c>
      <c r="H4040" s="26">
        <v>1.0</v>
      </c>
      <c r="I4040" s="26">
        <v>135.0</v>
      </c>
      <c r="J4040" s="26">
        <v>53.0</v>
      </c>
      <c r="K4040" s="26">
        <v>27.0</v>
      </c>
      <c r="M4040" s="26" t="s">
        <v>449</v>
      </c>
      <c r="N4040" s="26" t="s">
        <v>683</v>
      </c>
    </row>
    <row r="4041">
      <c r="A4041" s="25">
        <v>43428.620927129625</v>
      </c>
      <c r="B4041" s="26" t="s">
        <v>371</v>
      </c>
      <c r="C4041" s="26" t="s">
        <v>372</v>
      </c>
      <c r="D4041" s="26" t="s">
        <v>31</v>
      </c>
      <c r="E4041" s="26">
        <v>210.0</v>
      </c>
      <c r="F4041" s="26" t="s">
        <v>453</v>
      </c>
      <c r="G4041" s="26">
        <v>10.0</v>
      </c>
      <c r="H4041" s="26">
        <v>8.0</v>
      </c>
      <c r="I4041" s="26">
        <v>155.0</v>
      </c>
      <c r="J4041" s="26">
        <v>15.0</v>
      </c>
      <c r="K4041" s="26">
        <v>40.0</v>
      </c>
      <c r="M4041" s="26" t="s">
        <v>449</v>
      </c>
      <c r="N4041" s="26" t="s">
        <v>1244</v>
      </c>
    </row>
    <row r="4042">
      <c r="A4042" s="25">
        <v>43428.74035839121</v>
      </c>
      <c r="B4042" s="26" t="s">
        <v>256</v>
      </c>
      <c r="C4042" s="26" t="s">
        <v>26</v>
      </c>
      <c r="D4042" s="26" t="s">
        <v>31</v>
      </c>
      <c r="E4042" s="26">
        <v>366.0</v>
      </c>
      <c r="F4042" s="26" t="s">
        <v>32</v>
      </c>
      <c r="G4042" s="26">
        <v>6.0</v>
      </c>
      <c r="H4042" s="26">
        <v>1.5</v>
      </c>
      <c r="I4042" s="26">
        <v>175.0</v>
      </c>
      <c r="J4042" s="26">
        <v>165.0</v>
      </c>
      <c r="K4042" s="26">
        <v>26.0</v>
      </c>
      <c r="M4042" s="26" t="s">
        <v>449</v>
      </c>
      <c r="N4042" s="26" t="s">
        <v>685</v>
      </c>
    </row>
    <row r="4043">
      <c r="A4043" s="25">
        <v>43428.83727142361</v>
      </c>
      <c r="B4043" s="26" t="s">
        <v>80</v>
      </c>
      <c r="C4043" s="26" t="s">
        <v>43</v>
      </c>
      <c r="D4043" s="26" t="s">
        <v>31</v>
      </c>
      <c r="E4043" s="26">
        <v>313.0</v>
      </c>
      <c r="F4043" s="26" t="s">
        <v>178</v>
      </c>
      <c r="G4043" s="26">
        <v>4.0</v>
      </c>
      <c r="H4043" s="26">
        <v>4.0</v>
      </c>
      <c r="I4043" s="26">
        <v>160.0</v>
      </c>
      <c r="J4043" s="26">
        <v>119.0</v>
      </c>
      <c r="K4043" s="26">
        <v>32.0</v>
      </c>
      <c r="M4043" s="26" t="s">
        <v>449</v>
      </c>
      <c r="N4043" s="26" t="s">
        <v>704</v>
      </c>
    </row>
    <row r="4044">
      <c r="A4044" s="25">
        <v>43428.85996483796</v>
      </c>
      <c r="B4044" s="26" t="s">
        <v>36</v>
      </c>
      <c r="C4044" s="26" t="s">
        <v>96</v>
      </c>
      <c r="D4044" s="26" t="s">
        <v>31</v>
      </c>
      <c r="E4044" s="26">
        <v>840.0</v>
      </c>
      <c r="F4044" s="26" t="s">
        <v>35</v>
      </c>
      <c r="G4044" s="26">
        <v>10.0</v>
      </c>
      <c r="H4044" s="26">
        <v>3.0</v>
      </c>
      <c r="I4044" s="26">
        <v>185.0</v>
      </c>
      <c r="J4044" s="26">
        <v>480.0</v>
      </c>
      <c r="K4044" s="26">
        <v>175.0</v>
      </c>
      <c r="M4044" s="26" t="s">
        <v>449</v>
      </c>
      <c r="N4044" s="26" t="s">
        <v>687</v>
      </c>
    </row>
    <row r="4045">
      <c r="A4045" s="25">
        <v>43429.09273733797</v>
      </c>
      <c r="B4045" s="26" t="s">
        <v>146</v>
      </c>
      <c r="C4045" s="26" t="s">
        <v>737</v>
      </c>
      <c r="D4045" s="26" t="s">
        <v>31</v>
      </c>
      <c r="E4045" s="26">
        <v>437.0</v>
      </c>
      <c r="F4045" s="26" t="s">
        <v>32</v>
      </c>
      <c r="G4045" s="26">
        <v>7.0</v>
      </c>
      <c r="H4045" s="26">
        <v>0.0</v>
      </c>
      <c r="I4045" s="26">
        <v>215.0</v>
      </c>
      <c r="J4045" s="26">
        <v>147.0</v>
      </c>
      <c r="K4045" s="26">
        <v>75.0</v>
      </c>
      <c r="L4045" s="26" t="s">
        <v>2562</v>
      </c>
      <c r="M4045" s="26" t="s">
        <v>449</v>
      </c>
      <c r="N4045" s="26" t="s">
        <v>696</v>
      </c>
    </row>
    <row r="4046">
      <c r="A4046" s="25">
        <v>43429.151292615745</v>
      </c>
      <c r="B4046" s="26" t="s">
        <v>673</v>
      </c>
      <c r="C4046" s="26" t="s">
        <v>2563</v>
      </c>
      <c r="D4046" s="26" t="s">
        <v>31</v>
      </c>
      <c r="E4046" s="26">
        <v>45.0</v>
      </c>
      <c r="F4046" s="26" t="s">
        <v>1688</v>
      </c>
      <c r="G4046" s="26">
        <v>4.0</v>
      </c>
      <c r="H4046" s="26">
        <v>1.0</v>
      </c>
      <c r="I4046" s="26">
        <v>35.0</v>
      </c>
      <c r="J4046" s="26">
        <v>10.0</v>
      </c>
      <c r="K4046" s="26">
        <v>1.0</v>
      </c>
      <c r="M4046" s="26" t="s">
        <v>449</v>
      </c>
      <c r="N4046" s="26" t="s">
        <v>696</v>
      </c>
    </row>
    <row r="4047">
      <c r="A4047" s="25">
        <v>43429.292632662036</v>
      </c>
      <c r="B4047" s="26" t="s">
        <v>463</v>
      </c>
      <c r="C4047" s="26" t="s">
        <v>898</v>
      </c>
      <c r="D4047" s="26" t="s">
        <v>31</v>
      </c>
      <c r="E4047" s="26">
        <v>145.0</v>
      </c>
      <c r="F4047" s="26" t="s">
        <v>745</v>
      </c>
      <c r="G4047" s="26">
        <v>8.0</v>
      </c>
      <c r="H4047" s="26">
        <v>6.0</v>
      </c>
      <c r="M4047" s="26" t="s">
        <v>449</v>
      </c>
      <c r="N4047" s="26" t="s">
        <v>683</v>
      </c>
    </row>
    <row r="4048">
      <c r="A4048" s="25">
        <v>43429.435750439814</v>
      </c>
      <c r="B4048" s="26" t="s">
        <v>964</v>
      </c>
      <c r="C4048" s="26">
        <v>4.0</v>
      </c>
      <c r="D4048" s="26" t="s">
        <v>31</v>
      </c>
      <c r="E4048" s="26">
        <v>440.0</v>
      </c>
      <c r="F4048" s="26" t="s">
        <v>94</v>
      </c>
      <c r="G4048" s="26">
        <v>6.0</v>
      </c>
      <c r="H4048" s="26">
        <v>0.0</v>
      </c>
      <c r="I4048" s="26">
        <v>220.0</v>
      </c>
      <c r="K4048" s="26">
        <v>220.0</v>
      </c>
      <c r="M4048" s="26" t="s">
        <v>449</v>
      </c>
      <c r="N4048" s="26" t="s">
        <v>685</v>
      </c>
    </row>
    <row r="4049">
      <c r="A4049" s="25">
        <v>43429.44865898148</v>
      </c>
      <c r="B4049" s="26" t="s">
        <v>170</v>
      </c>
      <c r="C4049" s="26" t="s">
        <v>590</v>
      </c>
      <c r="D4049" s="26" t="s">
        <v>2564</v>
      </c>
      <c r="E4049" s="26">
        <v>145.0</v>
      </c>
      <c r="F4049" s="26" t="s">
        <v>320</v>
      </c>
      <c r="G4049" s="26">
        <v>7.0</v>
      </c>
      <c r="H4049" s="26">
        <v>7.0</v>
      </c>
      <c r="I4049" s="26">
        <v>110.0</v>
      </c>
      <c r="J4049" s="26">
        <v>15.0</v>
      </c>
      <c r="K4049" s="26">
        <v>20.0</v>
      </c>
      <c r="M4049" s="26" t="s">
        <v>449</v>
      </c>
      <c r="N4049" s="26" t="s">
        <v>2565</v>
      </c>
    </row>
    <row r="4050">
      <c r="A4050" s="25">
        <v>43429.47060318287</v>
      </c>
      <c r="B4050" s="26" t="s">
        <v>80</v>
      </c>
      <c r="C4050" s="26" t="s">
        <v>62</v>
      </c>
      <c r="D4050" s="26" t="s">
        <v>41</v>
      </c>
      <c r="E4050" s="26">
        <v>445.0</v>
      </c>
      <c r="F4050" s="26" t="s">
        <v>51</v>
      </c>
      <c r="G4050" s="26">
        <v>20.0</v>
      </c>
      <c r="H4050" s="26">
        <v>0.0</v>
      </c>
      <c r="I4050" s="26">
        <v>215.0</v>
      </c>
      <c r="J4050" s="26">
        <v>170.0</v>
      </c>
      <c r="K4050" s="26">
        <v>60.0</v>
      </c>
      <c r="M4050" s="26" t="s">
        <v>449</v>
      </c>
      <c r="N4050" s="26" t="s">
        <v>685</v>
      </c>
    </row>
    <row r="4051">
      <c r="A4051" s="25">
        <v>43429.48595828704</v>
      </c>
      <c r="B4051" s="26" t="s">
        <v>33</v>
      </c>
      <c r="C4051" s="26" t="s">
        <v>43</v>
      </c>
      <c r="D4051" s="26" t="s">
        <v>31</v>
      </c>
      <c r="E4051" s="26">
        <v>160.0</v>
      </c>
      <c r="F4051" s="26" t="s">
        <v>1855</v>
      </c>
      <c r="G4051" s="26">
        <v>4.0</v>
      </c>
      <c r="H4051" s="26">
        <v>3.0</v>
      </c>
      <c r="M4051" s="26" t="s">
        <v>449</v>
      </c>
      <c r="N4051" s="26" t="s">
        <v>683</v>
      </c>
    </row>
    <row r="4052">
      <c r="A4052" s="25">
        <v>43429.556287997686</v>
      </c>
      <c r="B4052" s="26" t="s">
        <v>80</v>
      </c>
      <c r="C4052" s="26" t="s">
        <v>43</v>
      </c>
      <c r="D4052" s="26" t="s">
        <v>41</v>
      </c>
      <c r="E4052" s="26">
        <v>413.0</v>
      </c>
      <c r="F4052" s="26" t="s">
        <v>51</v>
      </c>
      <c r="G4052" s="26">
        <v>11.0</v>
      </c>
      <c r="H4052" s="26">
        <v>0.1</v>
      </c>
      <c r="I4052" s="26">
        <v>191.0</v>
      </c>
      <c r="J4052" s="26">
        <v>193.0</v>
      </c>
      <c r="K4052" s="26">
        <v>29.0</v>
      </c>
      <c r="M4052" s="26" t="s">
        <v>449</v>
      </c>
      <c r="N4052" s="26" t="s">
        <v>687</v>
      </c>
    </row>
    <row r="4053">
      <c r="A4053" s="25">
        <v>43429.68556633102</v>
      </c>
      <c r="B4053" s="26" t="s">
        <v>40</v>
      </c>
      <c r="C4053" s="26" t="s">
        <v>2332</v>
      </c>
      <c r="D4053" s="26" t="s">
        <v>27</v>
      </c>
      <c r="E4053" s="26">
        <v>109.0</v>
      </c>
      <c r="F4053" s="26" t="s">
        <v>35</v>
      </c>
      <c r="G4053" s="26">
        <v>0.0</v>
      </c>
      <c r="H4053" s="26">
        <v>0.0</v>
      </c>
      <c r="M4053" s="26" t="s">
        <v>458</v>
      </c>
      <c r="N4053" s="26" t="s">
        <v>696</v>
      </c>
    </row>
    <row r="4054">
      <c r="A4054" s="25">
        <v>43429.72751141204</v>
      </c>
      <c r="B4054" s="26" t="s">
        <v>45</v>
      </c>
      <c r="C4054" s="26" t="s">
        <v>46</v>
      </c>
      <c r="D4054" s="26" t="s">
        <v>41</v>
      </c>
      <c r="E4054" s="26">
        <v>340.0</v>
      </c>
      <c r="F4054" s="26" t="s">
        <v>104</v>
      </c>
      <c r="G4054" s="26">
        <v>16.0</v>
      </c>
      <c r="H4054" s="26">
        <v>11.0</v>
      </c>
      <c r="M4054" s="26" t="s">
        <v>449</v>
      </c>
      <c r="N4054" s="26" t="s">
        <v>2566</v>
      </c>
    </row>
    <row r="4055">
      <c r="A4055" s="25">
        <v>43429.750810717596</v>
      </c>
      <c r="B4055" s="26" t="s">
        <v>33</v>
      </c>
      <c r="C4055" s="26" t="s">
        <v>275</v>
      </c>
      <c r="D4055" s="26" t="s">
        <v>31</v>
      </c>
      <c r="E4055" s="26">
        <v>158.0</v>
      </c>
      <c r="F4055" s="26" t="s">
        <v>47</v>
      </c>
      <c r="G4055" s="26">
        <v>1.0</v>
      </c>
      <c r="H4055" s="26">
        <v>1.0</v>
      </c>
      <c r="I4055" s="26">
        <v>117.0</v>
      </c>
      <c r="J4055" s="26">
        <v>15.0</v>
      </c>
      <c r="K4055" s="26">
        <v>20.0</v>
      </c>
      <c r="M4055" s="26" t="s">
        <v>449</v>
      </c>
      <c r="N4055" s="26" t="s">
        <v>751</v>
      </c>
    </row>
    <row r="4056">
      <c r="A4056" s="25">
        <v>43429.76513596065</v>
      </c>
      <c r="B4056" s="26" t="s">
        <v>387</v>
      </c>
      <c r="C4056" s="26" t="s">
        <v>271</v>
      </c>
      <c r="D4056" s="26" t="s">
        <v>1218</v>
      </c>
      <c r="E4056" s="26">
        <v>375.0</v>
      </c>
      <c r="F4056" s="26" t="s">
        <v>32</v>
      </c>
      <c r="G4056" s="26">
        <v>7.0</v>
      </c>
      <c r="H4056" s="26">
        <v>2.0</v>
      </c>
      <c r="I4056" s="26">
        <v>200.0</v>
      </c>
      <c r="J4056" s="26">
        <v>150.0</v>
      </c>
      <c r="K4056" s="26">
        <v>25.0</v>
      </c>
      <c r="M4056" s="26" t="s">
        <v>449</v>
      </c>
      <c r="N4056" s="26" t="s">
        <v>757</v>
      </c>
    </row>
    <row r="4057">
      <c r="A4057" s="25">
        <v>43429.76513596065</v>
      </c>
      <c r="B4057" s="26" t="s">
        <v>387</v>
      </c>
      <c r="C4057" s="26" t="s">
        <v>271</v>
      </c>
      <c r="D4057" s="26" t="s">
        <v>1218</v>
      </c>
      <c r="E4057" s="26">
        <v>375.0</v>
      </c>
      <c r="F4057" s="26" t="s">
        <v>32</v>
      </c>
      <c r="G4057" s="26">
        <v>7.0</v>
      </c>
      <c r="H4057" s="26">
        <v>2.0</v>
      </c>
      <c r="I4057" s="26">
        <v>200.0</v>
      </c>
      <c r="J4057" s="26">
        <v>150.0</v>
      </c>
      <c r="K4057" s="26">
        <v>25.0</v>
      </c>
      <c r="M4057" s="26" t="s">
        <v>449</v>
      </c>
      <c r="N4057" s="26" t="s">
        <v>757</v>
      </c>
    </row>
    <row r="4058">
      <c r="A4058" s="25">
        <v>43429.82919380787</v>
      </c>
      <c r="B4058" s="26" t="s">
        <v>45</v>
      </c>
      <c r="C4058" s="26" t="s">
        <v>98</v>
      </c>
      <c r="D4058" s="26" t="s">
        <v>1529</v>
      </c>
      <c r="E4058" s="26">
        <v>175.0</v>
      </c>
      <c r="F4058" s="26" t="s">
        <v>104</v>
      </c>
      <c r="G4058" s="26">
        <v>2.0</v>
      </c>
      <c r="H4058" s="26">
        <v>0.0</v>
      </c>
      <c r="I4058" s="26">
        <v>115.0</v>
      </c>
      <c r="J4058" s="26">
        <v>50.0</v>
      </c>
      <c r="K4058" s="26">
        <v>10.0</v>
      </c>
      <c r="M4058" s="26" t="s">
        <v>449</v>
      </c>
      <c r="N4058" s="26" t="s">
        <v>2567</v>
      </c>
    </row>
    <row r="4059">
      <c r="A4059" s="25">
        <v>43429.940499895834</v>
      </c>
      <c r="B4059" s="26" t="s">
        <v>33</v>
      </c>
      <c r="C4059" s="26" t="s">
        <v>43</v>
      </c>
      <c r="D4059" s="26" t="s">
        <v>31</v>
      </c>
      <c r="E4059" s="26">
        <v>245.0</v>
      </c>
      <c r="F4059" s="26" t="s">
        <v>35</v>
      </c>
      <c r="G4059" s="26">
        <v>5.0</v>
      </c>
      <c r="H4059" s="26">
        <v>5.0</v>
      </c>
      <c r="I4059" s="26">
        <v>134.0</v>
      </c>
      <c r="J4059" s="26">
        <v>111.0</v>
      </c>
      <c r="N4059" s="26" t="s">
        <v>685</v>
      </c>
    </row>
    <row r="4060">
      <c r="A4060" s="25">
        <v>43429.97737153935</v>
      </c>
      <c r="B4060" s="26" t="s">
        <v>40</v>
      </c>
      <c r="C4060" s="26">
        <v>59.0</v>
      </c>
      <c r="D4060" s="26" t="s">
        <v>31</v>
      </c>
      <c r="E4060" s="26">
        <v>185.0</v>
      </c>
      <c r="F4060" s="26" t="s">
        <v>86</v>
      </c>
      <c r="G4060" s="26">
        <v>0.0</v>
      </c>
      <c r="H4060" s="26">
        <v>0.0</v>
      </c>
      <c r="I4060" s="26">
        <v>110.0</v>
      </c>
      <c r="J4060" s="26">
        <v>40.0</v>
      </c>
      <c r="K4060" s="26">
        <v>35.0</v>
      </c>
      <c r="M4060" s="26" t="s">
        <v>449</v>
      </c>
      <c r="N4060" s="26" t="s">
        <v>691</v>
      </c>
    </row>
    <row r="4061">
      <c r="A4061" s="25">
        <v>43430.391827245374</v>
      </c>
      <c r="B4061" s="26" t="s">
        <v>33</v>
      </c>
      <c r="C4061" s="26" t="s">
        <v>62</v>
      </c>
      <c r="D4061" s="26" t="s">
        <v>27</v>
      </c>
      <c r="E4061" s="26">
        <v>240.0</v>
      </c>
      <c r="F4061" s="26" t="s">
        <v>35</v>
      </c>
      <c r="G4061" s="26">
        <v>12.0</v>
      </c>
      <c r="H4061" s="26">
        <v>4.0</v>
      </c>
      <c r="I4061" s="26">
        <v>140.0</v>
      </c>
      <c r="M4061" s="26" t="s">
        <v>449</v>
      </c>
      <c r="N4061" s="26" t="s">
        <v>683</v>
      </c>
    </row>
    <row r="4062">
      <c r="A4062" s="25">
        <v>43430.43131542824</v>
      </c>
      <c r="B4062" s="26" t="s">
        <v>45</v>
      </c>
      <c r="C4062" s="26" t="s">
        <v>116</v>
      </c>
      <c r="D4062" s="26" t="s">
        <v>1529</v>
      </c>
      <c r="E4062" s="26">
        <v>225.0</v>
      </c>
      <c r="F4062" s="26" t="s">
        <v>104</v>
      </c>
      <c r="G4062" s="26">
        <v>7.0</v>
      </c>
      <c r="H4062" s="26">
        <v>0.0</v>
      </c>
      <c r="I4062" s="26">
        <v>165.0</v>
      </c>
      <c r="J4062" s="26">
        <v>40.0</v>
      </c>
      <c r="K4062" s="26">
        <v>20.0</v>
      </c>
      <c r="M4062" s="26" t="s">
        <v>449</v>
      </c>
      <c r="N4062" s="26" t="s">
        <v>1163</v>
      </c>
    </row>
    <row r="4063">
      <c r="A4063" s="25">
        <v>43430.44001314815</v>
      </c>
      <c r="B4063" s="27" t="s">
        <v>700</v>
      </c>
      <c r="C4063" s="26" t="s">
        <v>37</v>
      </c>
      <c r="D4063" s="26" t="s">
        <v>31</v>
      </c>
      <c r="E4063" s="26">
        <v>130.0</v>
      </c>
      <c r="F4063" s="26" t="s">
        <v>1773</v>
      </c>
      <c r="G4063" s="26">
        <v>9.0</v>
      </c>
      <c r="H4063" s="26">
        <v>1.0</v>
      </c>
      <c r="I4063" s="26">
        <v>90.0</v>
      </c>
      <c r="J4063" s="26">
        <v>30.0</v>
      </c>
      <c r="K4063" s="26">
        <v>10.0</v>
      </c>
      <c r="M4063" s="26" t="s">
        <v>449</v>
      </c>
      <c r="N4063" s="26" t="s">
        <v>685</v>
      </c>
    </row>
    <row r="4064">
      <c r="A4064" s="25">
        <v>43430.47579484954</v>
      </c>
      <c r="B4064" s="26" t="s">
        <v>40</v>
      </c>
      <c r="C4064" s="26">
        <v>59.0</v>
      </c>
      <c r="D4064" s="26" t="s">
        <v>31</v>
      </c>
      <c r="E4064" s="26">
        <v>136.0</v>
      </c>
      <c r="F4064" s="26" t="s">
        <v>161</v>
      </c>
      <c r="G4064" s="26">
        <v>1.0</v>
      </c>
      <c r="H4064" s="26">
        <v>1.0</v>
      </c>
      <c r="I4064" s="26">
        <v>108.0</v>
      </c>
      <c r="J4064" s="26">
        <v>17.0</v>
      </c>
      <c r="K4064" s="26">
        <v>11.0</v>
      </c>
      <c r="M4064" s="26" t="s">
        <v>449</v>
      </c>
      <c r="N4064" s="26" t="s">
        <v>704</v>
      </c>
    </row>
    <row r="4065">
      <c r="A4065" s="25">
        <v>43430.492948506944</v>
      </c>
      <c r="B4065" s="26" t="s">
        <v>80</v>
      </c>
      <c r="C4065" s="26" t="s">
        <v>43</v>
      </c>
      <c r="D4065" s="26" t="s">
        <v>1529</v>
      </c>
      <c r="E4065" s="26">
        <v>364.0</v>
      </c>
      <c r="F4065" s="26" t="s">
        <v>51</v>
      </c>
      <c r="G4065" s="26">
        <v>14.0</v>
      </c>
      <c r="H4065" s="26">
        <v>1.0</v>
      </c>
      <c r="I4065" s="26">
        <v>180.0</v>
      </c>
      <c r="J4065" s="26">
        <v>154.0</v>
      </c>
      <c r="K4065" s="26">
        <v>30.0</v>
      </c>
      <c r="M4065" s="26" t="s">
        <v>449</v>
      </c>
      <c r="N4065" s="26" t="s">
        <v>1163</v>
      </c>
    </row>
    <row r="4066">
      <c r="A4066" s="25">
        <v>43430.6950853125</v>
      </c>
      <c r="B4066" s="26" t="s">
        <v>33</v>
      </c>
      <c r="C4066" s="26" t="s">
        <v>34</v>
      </c>
      <c r="D4066" s="26" t="s">
        <v>41</v>
      </c>
      <c r="E4066" s="26">
        <v>400.0</v>
      </c>
      <c r="F4066" s="26" t="s">
        <v>1107</v>
      </c>
      <c r="G4066" s="26">
        <v>22.0</v>
      </c>
      <c r="H4066" s="26">
        <v>6.0</v>
      </c>
      <c r="I4066" s="26">
        <v>160.0</v>
      </c>
      <c r="J4066" s="26">
        <v>240.0</v>
      </c>
      <c r="M4066" s="26" t="s">
        <v>449</v>
      </c>
      <c r="N4066" s="26" t="s">
        <v>683</v>
      </c>
    </row>
    <row r="4067">
      <c r="A4067" s="25">
        <v>43430.70388804398</v>
      </c>
      <c r="B4067" s="26" t="s">
        <v>256</v>
      </c>
      <c r="C4067" s="26" t="s">
        <v>117</v>
      </c>
      <c r="D4067" s="26" t="s">
        <v>31</v>
      </c>
      <c r="E4067" s="26">
        <v>253.0</v>
      </c>
      <c r="F4067" s="26" t="s">
        <v>32</v>
      </c>
      <c r="G4067" s="26">
        <v>5.0</v>
      </c>
      <c r="H4067" s="26">
        <v>3.0</v>
      </c>
      <c r="I4067" s="26">
        <v>145.0</v>
      </c>
      <c r="J4067" s="26">
        <v>93.0</v>
      </c>
      <c r="K4067" s="26">
        <v>15.0</v>
      </c>
      <c r="M4067" s="26" t="s">
        <v>458</v>
      </c>
      <c r="N4067" s="26" t="s">
        <v>685</v>
      </c>
    </row>
    <row r="4068">
      <c r="A4068" s="25">
        <v>43430.72923369213</v>
      </c>
      <c r="B4068" s="26" t="s">
        <v>268</v>
      </c>
      <c r="C4068" s="26" t="s">
        <v>1287</v>
      </c>
      <c r="D4068" s="26" t="s">
        <v>31</v>
      </c>
      <c r="E4068" s="26">
        <v>156.0</v>
      </c>
      <c r="F4068" s="26" t="s">
        <v>2568</v>
      </c>
      <c r="G4068" s="26">
        <v>21.0</v>
      </c>
      <c r="H4068" s="26">
        <v>7.0</v>
      </c>
      <c r="I4068" s="26">
        <v>130000.0</v>
      </c>
      <c r="J4068" s="26">
        <v>6.0</v>
      </c>
      <c r="M4068" s="26" t="s">
        <v>449</v>
      </c>
      <c r="N4068" s="26" t="s">
        <v>704</v>
      </c>
    </row>
    <row r="4069">
      <c r="A4069" s="25">
        <v>43430.73423891204</v>
      </c>
      <c r="B4069" s="26" t="s">
        <v>33</v>
      </c>
      <c r="C4069" s="26" t="s">
        <v>43</v>
      </c>
      <c r="D4069" s="26" t="s">
        <v>31</v>
      </c>
      <c r="E4069" s="26">
        <v>182.0</v>
      </c>
      <c r="F4069" s="26" t="s">
        <v>35</v>
      </c>
      <c r="G4069" s="26">
        <v>2.0</v>
      </c>
      <c r="H4069" s="26">
        <v>2.0</v>
      </c>
      <c r="I4069" s="26">
        <v>131.0</v>
      </c>
      <c r="J4069" s="26">
        <v>51.0</v>
      </c>
      <c r="M4069" s="26" t="s">
        <v>458</v>
      </c>
      <c r="N4069" s="26" t="s">
        <v>683</v>
      </c>
    </row>
    <row r="4070">
      <c r="A4070" s="25">
        <v>43430.76940326389</v>
      </c>
      <c r="B4070" s="26" t="s">
        <v>33</v>
      </c>
      <c r="C4070" s="26" t="s">
        <v>76</v>
      </c>
      <c r="D4070" s="26" t="s">
        <v>31</v>
      </c>
      <c r="E4070" s="26">
        <v>200.0</v>
      </c>
      <c r="F4070" s="26" t="s">
        <v>35</v>
      </c>
      <c r="G4070" s="26">
        <v>2.0</v>
      </c>
      <c r="H4070" s="26">
        <v>2.0</v>
      </c>
      <c r="M4070" s="26" t="s">
        <v>449</v>
      </c>
      <c r="N4070" s="26" t="s">
        <v>704</v>
      </c>
    </row>
    <row r="4071">
      <c r="A4071" s="25">
        <v>43430.78361400463</v>
      </c>
      <c r="B4071" s="26" t="s">
        <v>33</v>
      </c>
      <c r="C4071" s="26" t="s">
        <v>1061</v>
      </c>
      <c r="D4071" s="26" t="s">
        <v>41</v>
      </c>
      <c r="E4071" s="26">
        <v>345.0</v>
      </c>
      <c r="F4071" s="26" t="s">
        <v>94</v>
      </c>
      <c r="G4071" s="26">
        <v>4.0</v>
      </c>
      <c r="H4071" s="26">
        <v>4.0</v>
      </c>
      <c r="M4071" s="26" t="s">
        <v>449</v>
      </c>
      <c r="N4071" s="26" t="s">
        <v>685</v>
      </c>
    </row>
    <row r="4072">
      <c r="A4072" s="25">
        <v>43430.788480868054</v>
      </c>
      <c r="B4072" s="26" t="s">
        <v>146</v>
      </c>
      <c r="C4072" s="26" t="s">
        <v>96</v>
      </c>
      <c r="D4072" s="26" t="s">
        <v>31</v>
      </c>
      <c r="E4072" s="26">
        <v>288.0</v>
      </c>
      <c r="F4072" s="26" t="s">
        <v>134</v>
      </c>
      <c r="G4072" s="26">
        <v>5.0</v>
      </c>
      <c r="H4072" s="26">
        <v>0.0</v>
      </c>
      <c r="I4072" s="26">
        <v>180.0</v>
      </c>
      <c r="J4072" s="26">
        <v>75.0</v>
      </c>
      <c r="K4072" s="26">
        <v>23.0</v>
      </c>
      <c r="M4072" s="26" t="s">
        <v>449</v>
      </c>
      <c r="N4072" s="26" t="s">
        <v>685</v>
      </c>
    </row>
    <row r="4073">
      <c r="A4073" s="25">
        <v>43430.8737215625</v>
      </c>
      <c r="B4073" s="26" t="s">
        <v>256</v>
      </c>
      <c r="C4073" s="26" t="s">
        <v>113</v>
      </c>
      <c r="D4073" s="26" t="s">
        <v>31</v>
      </c>
      <c r="E4073" s="26">
        <v>620.0</v>
      </c>
      <c r="F4073" s="26" t="s">
        <v>32</v>
      </c>
      <c r="G4073" s="26">
        <v>10.0</v>
      </c>
      <c r="H4073" s="26">
        <v>0.0</v>
      </c>
      <c r="I4073" s="26">
        <v>250.0</v>
      </c>
      <c r="J4073" s="26">
        <v>250.0</v>
      </c>
      <c r="K4073" s="26">
        <v>120.0</v>
      </c>
      <c r="N4073" s="26" t="s">
        <v>691</v>
      </c>
    </row>
    <row r="4074">
      <c r="A4074" s="25">
        <v>43430.898952268515</v>
      </c>
      <c r="B4074" s="26" t="s">
        <v>33</v>
      </c>
      <c r="C4074" s="26" t="s">
        <v>43</v>
      </c>
      <c r="D4074" s="26" t="s">
        <v>31</v>
      </c>
      <c r="E4074" s="26">
        <v>230.0</v>
      </c>
      <c r="F4074" s="26" t="s">
        <v>35</v>
      </c>
      <c r="G4074" s="26">
        <v>7.0</v>
      </c>
      <c r="H4074" s="26">
        <v>6.0</v>
      </c>
      <c r="M4074" s="26" t="s">
        <v>449</v>
      </c>
      <c r="N4074" s="26" t="s">
        <v>704</v>
      </c>
    </row>
    <row r="4075">
      <c r="A4075" s="25">
        <v>43430.94277835648</v>
      </c>
      <c r="B4075" s="26" t="s">
        <v>48</v>
      </c>
      <c r="C4075" s="26" t="s">
        <v>49</v>
      </c>
      <c r="D4075" s="26" t="s">
        <v>31</v>
      </c>
      <c r="E4075" s="26">
        <v>351.0</v>
      </c>
      <c r="F4075" s="26" t="s">
        <v>50</v>
      </c>
      <c r="G4075" s="26">
        <v>1.0</v>
      </c>
      <c r="H4075" s="26">
        <v>0.0</v>
      </c>
      <c r="I4075" s="26">
        <v>160.0</v>
      </c>
      <c r="J4075" s="26">
        <v>75.0</v>
      </c>
      <c r="K4075" s="26">
        <v>116.0</v>
      </c>
      <c r="L4075" s="26" t="s">
        <v>2569</v>
      </c>
      <c r="M4075" s="26" t="s">
        <v>449</v>
      </c>
      <c r="N4075" s="26" t="s">
        <v>683</v>
      </c>
    </row>
    <row r="4076">
      <c r="A4076" s="25">
        <v>43430.946673831015</v>
      </c>
      <c r="B4076" s="26" t="s">
        <v>428</v>
      </c>
      <c r="C4076" s="26" t="s">
        <v>1232</v>
      </c>
      <c r="D4076" s="26" t="s">
        <v>27</v>
      </c>
      <c r="E4076" s="26">
        <v>250.0</v>
      </c>
      <c r="F4076" s="26" t="s">
        <v>32</v>
      </c>
      <c r="G4076" s="26">
        <v>5.0</v>
      </c>
      <c r="H4076" s="26">
        <v>1.0</v>
      </c>
      <c r="M4076" s="26" t="s">
        <v>449</v>
      </c>
      <c r="N4076" s="26" t="s">
        <v>696</v>
      </c>
    </row>
    <row r="4077">
      <c r="A4077" s="25">
        <v>43431.007089756946</v>
      </c>
      <c r="B4077" s="26" t="s">
        <v>40</v>
      </c>
      <c r="C4077" s="26">
        <v>59.0</v>
      </c>
      <c r="D4077" s="26" t="s">
        <v>31</v>
      </c>
      <c r="E4077" s="26">
        <v>171.0</v>
      </c>
      <c r="F4077" s="26" t="s">
        <v>35</v>
      </c>
      <c r="G4077" s="26">
        <v>0.0</v>
      </c>
      <c r="H4077" s="26">
        <v>0.0</v>
      </c>
      <c r="I4077" s="26">
        <v>109.0</v>
      </c>
      <c r="J4077" s="26">
        <v>37.0</v>
      </c>
      <c r="K4077" s="26">
        <v>25.0</v>
      </c>
      <c r="L4077" s="26" t="s">
        <v>2570</v>
      </c>
      <c r="M4077" s="26" t="s">
        <v>449</v>
      </c>
      <c r="N4077" s="26" t="s">
        <v>691</v>
      </c>
    </row>
    <row r="4078">
      <c r="A4078" s="25">
        <v>43431.13427591435</v>
      </c>
      <c r="B4078" s="26" t="s">
        <v>33</v>
      </c>
      <c r="C4078" s="26" t="s">
        <v>73</v>
      </c>
      <c r="D4078" s="26" t="s">
        <v>713</v>
      </c>
      <c r="E4078" s="26">
        <v>220.0</v>
      </c>
      <c r="F4078" s="26" t="s">
        <v>94</v>
      </c>
      <c r="G4078" s="26">
        <v>6.0</v>
      </c>
      <c r="H4078" s="26">
        <v>3.0</v>
      </c>
      <c r="N4078" s="26" t="s">
        <v>715</v>
      </c>
    </row>
    <row r="4079">
      <c r="A4079" s="25">
        <v>43431.37624677083</v>
      </c>
      <c r="B4079" s="26" t="s">
        <v>36</v>
      </c>
      <c r="C4079" s="26" t="s">
        <v>96</v>
      </c>
      <c r="D4079" s="26" t="s">
        <v>31</v>
      </c>
      <c r="E4079" s="26">
        <v>350.0</v>
      </c>
      <c r="F4079" s="26" t="s">
        <v>32</v>
      </c>
      <c r="G4079" s="26">
        <v>8.0</v>
      </c>
      <c r="H4079" s="26">
        <v>3.0</v>
      </c>
      <c r="I4079" s="26">
        <v>165.0</v>
      </c>
      <c r="J4079" s="26">
        <v>165.0</v>
      </c>
      <c r="K4079" s="26">
        <v>20.0</v>
      </c>
      <c r="M4079" s="26" t="s">
        <v>449</v>
      </c>
      <c r="N4079" s="26" t="s">
        <v>751</v>
      </c>
    </row>
    <row r="4080">
      <c r="A4080" s="25">
        <v>43431.37624677083</v>
      </c>
      <c r="B4080" s="26" t="s">
        <v>36</v>
      </c>
      <c r="C4080" s="26" t="s">
        <v>96</v>
      </c>
      <c r="D4080" s="26" t="s">
        <v>31</v>
      </c>
      <c r="E4080" s="26">
        <v>350.0</v>
      </c>
      <c r="F4080" s="26" t="s">
        <v>32</v>
      </c>
      <c r="G4080" s="26">
        <v>8.0</v>
      </c>
      <c r="H4080" s="26">
        <v>3.0</v>
      </c>
      <c r="I4080" s="26">
        <v>165.0</v>
      </c>
      <c r="J4080" s="26">
        <v>165.0</v>
      </c>
      <c r="K4080" s="26">
        <v>20.0</v>
      </c>
      <c r="M4080" s="26" t="s">
        <v>449</v>
      </c>
      <c r="N4080" s="26" t="s">
        <v>751</v>
      </c>
    </row>
    <row r="4081">
      <c r="A4081" s="25">
        <v>43431.37624677083</v>
      </c>
      <c r="B4081" s="26" t="s">
        <v>36</v>
      </c>
      <c r="C4081" s="26" t="s">
        <v>96</v>
      </c>
      <c r="D4081" s="26" t="s">
        <v>31</v>
      </c>
      <c r="E4081" s="26">
        <v>350.0</v>
      </c>
      <c r="F4081" s="26" t="s">
        <v>32</v>
      </c>
      <c r="G4081" s="26">
        <v>8.0</v>
      </c>
      <c r="H4081" s="26">
        <v>3.0</v>
      </c>
      <c r="I4081" s="26">
        <v>165.0</v>
      </c>
      <c r="J4081" s="26">
        <v>165.0</v>
      </c>
      <c r="K4081" s="26">
        <v>20.0</v>
      </c>
      <c r="M4081" s="26" t="s">
        <v>449</v>
      </c>
      <c r="N4081" s="26" t="s">
        <v>751</v>
      </c>
    </row>
    <row r="4082">
      <c r="A4082" s="25">
        <v>43431.462858506944</v>
      </c>
      <c r="B4082" s="26" t="s">
        <v>33</v>
      </c>
      <c r="C4082" s="26" t="s">
        <v>275</v>
      </c>
      <c r="D4082" s="26" t="s">
        <v>31</v>
      </c>
      <c r="E4082" s="26">
        <v>37.0</v>
      </c>
      <c r="F4082" s="26" t="s">
        <v>2571</v>
      </c>
      <c r="G4082" s="26">
        <v>3.0</v>
      </c>
      <c r="H4082" s="26">
        <v>1.0</v>
      </c>
      <c r="I4082" s="26">
        <v>29.0</v>
      </c>
      <c r="J4082" s="26">
        <v>7.0</v>
      </c>
      <c r="K4082" s="26">
        <v>1.0</v>
      </c>
      <c r="M4082" s="26" t="s">
        <v>449</v>
      </c>
      <c r="N4082" s="26" t="s">
        <v>704</v>
      </c>
    </row>
    <row r="4083">
      <c r="A4083" s="25">
        <v>43431.467484849534</v>
      </c>
      <c r="B4083" s="26" t="s">
        <v>2572</v>
      </c>
      <c r="C4083" s="26" t="s">
        <v>353</v>
      </c>
      <c r="D4083" s="26" t="s">
        <v>2573</v>
      </c>
      <c r="E4083" s="26">
        <v>100.0</v>
      </c>
      <c r="F4083" s="26" t="s">
        <v>75</v>
      </c>
      <c r="G4083" s="26">
        <v>5.0</v>
      </c>
      <c r="H4083" s="26">
        <v>1.0</v>
      </c>
      <c r="I4083" s="26">
        <v>100.0</v>
      </c>
      <c r="M4083" s="26" t="s">
        <v>449</v>
      </c>
      <c r="N4083" s="26" t="s">
        <v>687</v>
      </c>
    </row>
    <row r="4084">
      <c r="A4084" s="25">
        <v>43431.54366458333</v>
      </c>
      <c r="B4084" s="26" t="s">
        <v>2147</v>
      </c>
      <c r="C4084" s="26">
        <v>2.0</v>
      </c>
      <c r="D4084" s="26" t="s">
        <v>31</v>
      </c>
      <c r="E4084" s="26">
        <v>155.0</v>
      </c>
      <c r="F4084" s="26" t="s">
        <v>32</v>
      </c>
      <c r="G4084" s="26">
        <v>3.0</v>
      </c>
      <c r="H4084" s="26">
        <v>1.0</v>
      </c>
      <c r="I4084" s="26">
        <v>145.0</v>
      </c>
      <c r="K4084" s="26">
        <v>10.0</v>
      </c>
      <c r="M4084" s="26" t="s">
        <v>449</v>
      </c>
      <c r="N4084" s="26" t="s">
        <v>683</v>
      </c>
    </row>
    <row r="4085">
      <c r="A4085" s="25">
        <v>43431.58448902778</v>
      </c>
      <c r="B4085" s="26" t="s">
        <v>48</v>
      </c>
      <c r="C4085" s="26" t="s">
        <v>166</v>
      </c>
      <c r="D4085" s="26" t="s">
        <v>31</v>
      </c>
      <c r="E4085" s="26">
        <v>420.0</v>
      </c>
      <c r="F4085" s="26" t="s">
        <v>35</v>
      </c>
      <c r="G4085" s="26">
        <v>5.0</v>
      </c>
      <c r="H4085" s="26">
        <v>0.0</v>
      </c>
      <c r="I4085" s="26">
        <v>190.0</v>
      </c>
      <c r="J4085" s="26">
        <v>200.0</v>
      </c>
      <c r="K4085" s="26">
        <v>30.0</v>
      </c>
      <c r="M4085" s="26" t="s">
        <v>449</v>
      </c>
      <c r="N4085" s="26" t="s">
        <v>691</v>
      </c>
    </row>
    <row r="4086">
      <c r="A4086" s="25">
        <v>43431.59472184027</v>
      </c>
      <c r="B4086" s="26" t="s">
        <v>25</v>
      </c>
      <c r="C4086" s="26" t="s">
        <v>2574</v>
      </c>
      <c r="D4086" s="26" t="s">
        <v>31</v>
      </c>
      <c r="E4086" s="26">
        <v>550.0</v>
      </c>
      <c r="F4086" s="26" t="s">
        <v>453</v>
      </c>
      <c r="G4086" s="26">
        <v>15.0</v>
      </c>
      <c r="H4086" s="26">
        <v>2.0</v>
      </c>
      <c r="I4086" s="26">
        <v>270.0</v>
      </c>
      <c r="J4086" s="26">
        <v>180.0</v>
      </c>
      <c r="K4086" s="26">
        <v>100.0</v>
      </c>
      <c r="M4086" s="26" t="s">
        <v>449</v>
      </c>
      <c r="N4086" s="26" t="s">
        <v>683</v>
      </c>
    </row>
    <row r="4087">
      <c r="A4087" s="25">
        <v>43431.663229074074</v>
      </c>
      <c r="B4087" s="26" t="s">
        <v>2575</v>
      </c>
      <c r="C4087" s="26" t="s">
        <v>31</v>
      </c>
      <c r="D4087" s="26" t="s">
        <v>31</v>
      </c>
      <c r="E4087" s="26">
        <v>135.0</v>
      </c>
      <c r="F4087" s="26" t="s">
        <v>32</v>
      </c>
      <c r="G4087" s="26">
        <v>4.0</v>
      </c>
      <c r="H4087" s="26">
        <v>2.5</v>
      </c>
      <c r="I4087" s="26">
        <v>135.0</v>
      </c>
      <c r="M4087" s="26" t="s">
        <v>458</v>
      </c>
      <c r="N4087" s="26" t="s">
        <v>696</v>
      </c>
    </row>
    <row r="4088">
      <c r="A4088" s="25">
        <v>43431.682676157405</v>
      </c>
      <c r="B4088" s="27" t="s">
        <v>2576</v>
      </c>
      <c r="C4088" s="26" t="s">
        <v>1439</v>
      </c>
      <c r="D4088" s="26" t="s">
        <v>31</v>
      </c>
      <c r="E4088" s="26">
        <v>100.0</v>
      </c>
      <c r="F4088" s="26" t="s">
        <v>32</v>
      </c>
      <c r="G4088" s="26">
        <v>0.0</v>
      </c>
      <c r="H4088" s="26">
        <v>0.0</v>
      </c>
      <c r="N4088" s="26" t="s">
        <v>691</v>
      </c>
    </row>
    <row r="4089">
      <c r="A4089" s="25">
        <v>43431.70682471065</v>
      </c>
      <c r="B4089" s="26" t="s">
        <v>268</v>
      </c>
      <c r="C4089" s="26" t="s">
        <v>966</v>
      </c>
      <c r="D4089" s="26" t="s">
        <v>1225</v>
      </c>
      <c r="E4089" s="26">
        <v>300.0</v>
      </c>
      <c r="F4089" s="26" t="s">
        <v>2568</v>
      </c>
      <c r="G4089" s="26">
        <v>15.0</v>
      </c>
      <c r="H4089" s="26">
        <v>14.0</v>
      </c>
      <c r="I4089" s="26">
        <v>170.0</v>
      </c>
      <c r="J4089" s="26">
        <v>80.0</v>
      </c>
      <c r="K4089" s="26">
        <v>50.0</v>
      </c>
      <c r="M4089" s="26" t="s">
        <v>458</v>
      </c>
      <c r="N4089" s="26" t="s">
        <v>757</v>
      </c>
    </row>
    <row r="4090">
      <c r="A4090" s="25">
        <v>43431.710904872685</v>
      </c>
      <c r="B4090" s="26" t="s">
        <v>45</v>
      </c>
      <c r="C4090" s="26" t="s">
        <v>102</v>
      </c>
      <c r="D4090" s="26" t="s">
        <v>2577</v>
      </c>
      <c r="E4090" s="26">
        <v>200.0</v>
      </c>
      <c r="F4090" s="26" t="s">
        <v>104</v>
      </c>
      <c r="G4090" s="26">
        <v>7.0</v>
      </c>
      <c r="H4090" s="26">
        <v>4.0</v>
      </c>
      <c r="I4090" s="26">
        <v>153.0</v>
      </c>
      <c r="J4090" s="26">
        <v>40.0</v>
      </c>
      <c r="K4090" s="26">
        <v>10.0</v>
      </c>
      <c r="M4090" s="26" t="s">
        <v>449</v>
      </c>
      <c r="N4090" s="26" t="s">
        <v>2578</v>
      </c>
    </row>
    <row r="4091">
      <c r="A4091" s="25">
        <v>43431.796176805554</v>
      </c>
      <c r="B4091" s="26" t="s">
        <v>258</v>
      </c>
      <c r="C4091" s="26" t="s">
        <v>1317</v>
      </c>
      <c r="D4091" s="26" t="s">
        <v>31</v>
      </c>
      <c r="E4091" s="26">
        <v>166.0</v>
      </c>
      <c r="F4091" s="26" t="s">
        <v>32</v>
      </c>
      <c r="G4091" s="26">
        <v>0.0</v>
      </c>
      <c r="H4091" s="26">
        <v>0.0</v>
      </c>
      <c r="I4091" s="26">
        <v>135.0</v>
      </c>
      <c r="J4091" s="26">
        <v>18.0</v>
      </c>
      <c r="K4091" s="26">
        <v>13.0</v>
      </c>
      <c r="M4091" s="26" t="s">
        <v>449</v>
      </c>
      <c r="N4091" s="26" t="s">
        <v>683</v>
      </c>
    </row>
    <row r="4092">
      <c r="A4092" s="25">
        <v>43431.85659138889</v>
      </c>
      <c r="B4092" s="26" t="s">
        <v>80</v>
      </c>
      <c r="C4092" s="26" t="s">
        <v>43</v>
      </c>
      <c r="D4092" s="26" t="s">
        <v>31</v>
      </c>
      <c r="E4092" s="26">
        <v>360.0</v>
      </c>
      <c r="F4092" s="26" t="s">
        <v>32</v>
      </c>
      <c r="G4092" s="26">
        <v>10.0</v>
      </c>
      <c r="H4092" s="26">
        <v>4.0</v>
      </c>
      <c r="I4092" s="26">
        <v>170.0</v>
      </c>
      <c r="J4092" s="26">
        <v>155.0</v>
      </c>
      <c r="K4092" s="26">
        <v>35.0</v>
      </c>
      <c r="M4092" s="26" t="s">
        <v>449</v>
      </c>
      <c r="N4092" s="26" t="s">
        <v>691</v>
      </c>
    </row>
    <row r="4093">
      <c r="A4093" s="25">
        <v>43431.884997615736</v>
      </c>
      <c r="B4093" s="26" t="s">
        <v>40</v>
      </c>
      <c r="C4093" s="26">
        <v>60.0</v>
      </c>
      <c r="D4093" s="26" t="s">
        <v>31</v>
      </c>
      <c r="E4093" s="26">
        <v>272.0</v>
      </c>
      <c r="F4093" s="26" t="s">
        <v>35</v>
      </c>
      <c r="G4093" s="26">
        <v>4.0</v>
      </c>
      <c r="H4093" s="26">
        <v>1.0</v>
      </c>
      <c r="I4093" s="26">
        <v>117.0</v>
      </c>
      <c r="J4093" s="26">
        <v>130.0</v>
      </c>
      <c r="K4093" s="26">
        <v>25.0</v>
      </c>
      <c r="M4093" s="26" t="s">
        <v>449</v>
      </c>
      <c r="N4093" s="26" t="s">
        <v>691</v>
      </c>
    </row>
    <row r="4094">
      <c r="A4094" s="25">
        <v>43431.922381944445</v>
      </c>
      <c r="B4094" s="26" t="s">
        <v>122</v>
      </c>
      <c r="C4094" s="26" t="s">
        <v>26</v>
      </c>
      <c r="D4094" s="26" t="s">
        <v>31</v>
      </c>
      <c r="E4094" s="26">
        <v>240.0</v>
      </c>
      <c r="F4094" s="26" t="s">
        <v>35</v>
      </c>
      <c r="G4094" s="26">
        <v>1.0</v>
      </c>
      <c r="H4094" s="26">
        <v>0.0</v>
      </c>
      <c r="I4094" s="26">
        <v>140.0</v>
      </c>
      <c r="J4094" s="26">
        <v>50.0</v>
      </c>
      <c r="K4094" s="26">
        <v>50.0</v>
      </c>
      <c r="M4094" s="26" t="s">
        <v>458</v>
      </c>
      <c r="N4094" s="26" t="s">
        <v>683</v>
      </c>
    </row>
    <row r="4095">
      <c r="A4095" s="25">
        <v>43431.9258553588</v>
      </c>
      <c r="B4095" s="26" t="s">
        <v>2579</v>
      </c>
      <c r="C4095" s="26">
        <v>1.0</v>
      </c>
      <c r="D4095" s="26" t="s">
        <v>31</v>
      </c>
      <c r="E4095" s="26">
        <v>100.0</v>
      </c>
      <c r="F4095" s="26" t="s">
        <v>2580</v>
      </c>
      <c r="G4095" s="26">
        <v>1.0</v>
      </c>
      <c r="H4095" s="26">
        <v>1.0</v>
      </c>
      <c r="N4095" s="26" t="s">
        <v>699</v>
      </c>
    </row>
    <row r="4096">
      <c r="A4096" s="25">
        <v>43431.92603266204</v>
      </c>
      <c r="B4096" s="26" t="s">
        <v>80</v>
      </c>
      <c r="C4096" s="26" t="s">
        <v>26</v>
      </c>
      <c r="D4096" s="26" t="s">
        <v>31</v>
      </c>
      <c r="E4096" s="26">
        <v>163.0</v>
      </c>
      <c r="F4096" s="26" t="s">
        <v>94</v>
      </c>
      <c r="G4096" s="26">
        <v>0.0</v>
      </c>
      <c r="H4096" s="26">
        <v>0.0</v>
      </c>
      <c r="I4096" s="26">
        <v>120.0</v>
      </c>
      <c r="J4096" s="26">
        <v>25.0</v>
      </c>
      <c r="K4096" s="26">
        <v>18.0</v>
      </c>
      <c r="M4096" s="26" t="s">
        <v>449</v>
      </c>
      <c r="N4096" s="26" t="s">
        <v>685</v>
      </c>
    </row>
    <row r="4097">
      <c r="A4097" s="25">
        <v>43431.93298017361</v>
      </c>
      <c r="B4097" s="26" t="s">
        <v>36</v>
      </c>
      <c r="C4097" s="26" t="s">
        <v>2021</v>
      </c>
      <c r="D4097" s="26" t="s">
        <v>31</v>
      </c>
      <c r="E4097" s="26">
        <v>165.0</v>
      </c>
      <c r="F4097" s="26" t="s">
        <v>32</v>
      </c>
      <c r="G4097" s="26">
        <v>1.0</v>
      </c>
      <c r="H4097" s="26">
        <v>1.0</v>
      </c>
      <c r="I4097" s="26">
        <v>120.0</v>
      </c>
      <c r="J4097" s="26">
        <v>34.0</v>
      </c>
      <c r="K4097" s="26">
        <v>11.0</v>
      </c>
      <c r="M4097" s="26" t="s">
        <v>449</v>
      </c>
      <c r="N4097" s="26" t="s">
        <v>683</v>
      </c>
    </row>
    <row r="4098">
      <c r="A4098" s="25">
        <v>43431.93493346065</v>
      </c>
      <c r="B4098" s="26" t="s">
        <v>2237</v>
      </c>
      <c r="C4098" s="26" t="s">
        <v>26</v>
      </c>
      <c r="D4098" s="26" t="s">
        <v>31</v>
      </c>
      <c r="E4098" s="26">
        <v>410.0</v>
      </c>
      <c r="F4098" s="26" t="s">
        <v>32</v>
      </c>
      <c r="G4098" s="26">
        <v>4.0</v>
      </c>
      <c r="H4098" s="26">
        <v>1.0</v>
      </c>
      <c r="I4098" s="26">
        <v>200.0</v>
      </c>
      <c r="J4098" s="26">
        <v>190.0</v>
      </c>
      <c r="K4098" s="26">
        <v>20.0</v>
      </c>
      <c r="M4098" s="26" t="s">
        <v>449</v>
      </c>
      <c r="N4098" s="26" t="s">
        <v>685</v>
      </c>
    </row>
    <row r="4099">
      <c r="A4099" s="25">
        <v>43431.942666539355</v>
      </c>
      <c r="B4099" s="26" t="s">
        <v>170</v>
      </c>
      <c r="C4099" s="26">
        <v>8.0</v>
      </c>
      <c r="D4099" s="26" t="s">
        <v>31</v>
      </c>
      <c r="E4099" s="26">
        <v>200.0</v>
      </c>
      <c r="F4099" s="26" t="s">
        <v>453</v>
      </c>
      <c r="G4099" s="26">
        <v>12.0</v>
      </c>
      <c r="H4099" s="26">
        <v>8.0</v>
      </c>
      <c r="I4099" s="26">
        <v>152.0</v>
      </c>
      <c r="J4099" s="26">
        <v>25.0</v>
      </c>
      <c r="K4099" s="26">
        <v>23.0</v>
      </c>
      <c r="M4099" s="26" t="s">
        <v>449</v>
      </c>
      <c r="N4099" s="26" t="s">
        <v>866</v>
      </c>
    </row>
    <row r="4100">
      <c r="A4100" s="25">
        <v>43432.05028969907</v>
      </c>
      <c r="B4100" s="26" t="s">
        <v>80</v>
      </c>
      <c r="C4100" s="26" t="s">
        <v>26</v>
      </c>
      <c r="D4100" s="26" t="s">
        <v>31</v>
      </c>
      <c r="E4100" s="26">
        <v>247.0</v>
      </c>
      <c r="F4100" s="26" t="s">
        <v>51</v>
      </c>
      <c r="G4100" s="26">
        <v>3.0</v>
      </c>
      <c r="H4100" s="26">
        <v>3.0</v>
      </c>
      <c r="I4100" s="26">
        <v>125.0</v>
      </c>
      <c r="J4100" s="26">
        <v>100.0</v>
      </c>
      <c r="K4100" s="26">
        <v>22.0</v>
      </c>
      <c r="M4100" s="26" t="s">
        <v>449</v>
      </c>
      <c r="N4100" s="26" t="s">
        <v>691</v>
      </c>
    </row>
    <row r="4101">
      <c r="A4101" s="25">
        <v>43432.092748483796</v>
      </c>
      <c r="B4101" s="26" t="s">
        <v>33</v>
      </c>
      <c r="C4101" s="26" t="s">
        <v>43</v>
      </c>
      <c r="D4101" s="26" t="s">
        <v>31</v>
      </c>
      <c r="E4101" s="26">
        <v>62.0</v>
      </c>
      <c r="F4101" s="26" t="s">
        <v>1688</v>
      </c>
      <c r="G4101" s="26">
        <v>3.0</v>
      </c>
      <c r="H4101" s="26">
        <v>0.5</v>
      </c>
      <c r="I4101" s="26">
        <v>40.0</v>
      </c>
      <c r="J4101" s="26">
        <v>2.0</v>
      </c>
      <c r="K4101" s="26">
        <v>20.0</v>
      </c>
      <c r="M4101" s="26" t="s">
        <v>449</v>
      </c>
      <c r="N4101" s="26" t="s">
        <v>685</v>
      </c>
    </row>
    <row r="4102">
      <c r="A4102" s="25">
        <v>43432.42525357639</v>
      </c>
      <c r="B4102" s="26" t="s">
        <v>80</v>
      </c>
      <c r="C4102" s="26" t="s">
        <v>73</v>
      </c>
      <c r="D4102" s="26" t="s">
        <v>1249</v>
      </c>
      <c r="E4102" s="26">
        <v>110.0</v>
      </c>
      <c r="F4102" s="26" t="s">
        <v>32</v>
      </c>
      <c r="G4102" s="26">
        <v>7.0</v>
      </c>
      <c r="H4102" s="26">
        <v>5.0</v>
      </c>
      <c r="M4102" s="26" t="s">
        <v>458</v>
      </c>
      <c r="N4102" s="26" t="s">
        <v>691</v>
      </c>
    </row>
    <row r="4103">
      <c r="A4103" s="25">
        <v>43432.42768006945</v>
      </c>
      <c r="B4103" s="26" t="s">
        <v>2581</v>
      </c>
      <c r="C4103" s="26">
        <v>6.0</v>
      </c>
      <c r="D4103" s="26" t="s">
        <v>31</v>
      </c>
      <c r="E4103" s="26">
        <v>200.0</v>
      </c>
      <c r="F4103" s="26" t="s">
        <v>238</v>
      </c>
      <c r="G4103" s="26">
        <v>8.0</v>
      </c>
      <c r="H4103" s="26">
        <v>3.0</v>
      </c>
      <c r="I4103" s="26">
        <v>155.0</v>
      </c>
      <c r="J4103" s="26">
        <v>25.0</v>
      </c>
      <c r="K4103" s="26">
        <v>20.0</v>
      </c>
      <c r="M4103" s="26" t="s">
        <v>449</v>
      </c>
      <c r="N4103" s="26" t="s">
        <v>704</v>
      </c>
    </row>
    <row r="4104">
      <c r="A4104" s="25">
        <v>43432.5450425</v>
      </c>
      <c r="B4104" s="26" t="s">
        <v>33</v>
      </c>
      <c r="C4104" s="26" t="s">
        <v>73</v>
      </c>
      <c r="D4104" s="26" t="s">
        <v>31</v>
      </c>
      <c r="E4104" s="26">
        <v>138.0</v>
      </c>
      <c r="F4104" s="26" t="s">
        <v>35</v>
      </c>
      <c r="G4104" s="26">
        <v>2.0</v>
      </c>
      <c r="H4104" s="26">
        <v>1.0</v>
      </c>
      <c r="M4104" s="26" t="s">
        <v>449</v>
      </c>
      <c r="N4104" s="26" t="s">
        <v>685</v>
      </c>
    </row>
    <row r="4105">
      <c r="A4105" s="25">
        <v>43432.56501496528</v>
      </c>
      <c r="B4105" s="26" t="s">
        <v>33</v>
      </c>
      <c r="C4105" s="26" t="s">
        <v>1061</v>
      </c>
      <c r="D4105" s="26" t="s">
        <v>41</v>
      </c>
      <c r="E4105" s="26">
        <v>350.0</v>
      </c>
      <c r="F4105" s="26" t="s">
        <v>35</v>
      </c>
      <c r="G4105" s="26">
        <v>20.0</v>
      </c>
      <c r="H4105" s="26">
        <v>7.0</v>
      </c>
      <c r="I4105" s="26">
        <v>160.0</v>
      </c>
      <c r="J4105" s="26">
        <v>190.0</v>
      </c>
      <c r="M4105" s="26" t="s">
        <v>449</v>
      </c>
      <c r="N4105" s="26" t="s">
        <v>691</v>
      </c>
    </row>
    <row r="4106">
      <c r="A4106" s="25">
        <v>43432.72626365741</v>
      </c>
      <c r="B4106" s="26" t="s">
        <v>33</v>
      </c>
      <c r="C4106" s="26" t="s">
        <v>34</v>
      </c>
      <c r="D4106" s="26" t="s">
        <v>41</v>
      </c>
      <c r="E4106" s="26">
        <v>450.0</v>
      </c>
      <c r="F4106" s="26" t="s">
        <v>35</v>
      </c>
      <c r="G4106" s="26">
        <v>15.0</v>
      </c>
      <c r="H4106" s="26">
        <v>5.0</v>
      </c>
      <c r="I4106" s="26">
        <v>160.0</v>
      </c>
      <c r="J4106" s="26">
        <v>300.0</v>
      </c>
      <c r="M4106" s="26" t="s">
        <v>449</v>
      </c>
      <c r="N4106" s="26" t="s">
        <v>685</v>
      </c>
    </row>
    <row r="4107">
      <c r="A4107" s="25">
        <v>43432.72875019676</v>
      </c>
      <c r="B4107" s="26" t="s">
        <v>80</v>
      </c>
      <c r="C4107" s="26" t="s">
        <v>26</v>
      </c>
      <c r="D4107" s="26" t="s">
        <v>31</v>
      </c>
      <c r="E4107" s="26">
        <v>203.0</v>
      </c>
      <c r="F4107" s="26" t="s">
        <v>1072</v>
      </c>
      <c r="G4107" s="26">
        <v>2.0</v>
      </c>
      <c r="H4107" s="26">
        <v>0.0</v>
      </c>
      <c r="I4107" s="26">
        <v>130.0</v>
      </c>
      <c r="J4107" s="26">
        <v>53.0</v>
      </c>
      <c r="K4107" s="26">
        <v>20.0</v>
      </c>
      <c r="M4107" s="26" t="s">
        <v>449</v>
      </c>
      <c r="N4107" s="26" t="s">
        <v>751</v>
      </c>
    </row>
    <row r="4108">
      <c r="A4108" s="25">
        <v>43432.75672262731</v>
      </c>
      <c r="B4108" s="26" t="s">
        <v>146</v>
      </c>
      <c r="C4108" s="26" t="s">
        <v>737</v>
      </c>
      <c r="D4108" s="26" t="s">
        <v>41</v>
      </c>
      <c r="E4108" s="26">
        <v>450.0</v>
      </c>
      <c r="F4108" s="26" t="s">
        <v>134</v>
      </c>
      <c r="G4108" s="26">
        <v>18.0</v>
      </c>
      <c r="H4108" s="26">
        <v>1.0</v>
      </c>
      <c r="I4108" s="26">
        <v>210.0</v>
      </c>
      <c r="J4108" s="26">
        <v>200.0</v>
      </c>
      <c r="K4108" s="26">
        <v>30.0</v>
      </c>
      <c r="N4108" s="26" t="s">
        <v>685</v>
      </c>
    </row>
    <row r="4109">
      <c r="A4109" s="25">
        <v>43432.79642475695</v>
      </c>
      <c r="B4109" s="26" t="s">
        <v>33</v>
      </c>
      <c r="C4109" s="26" t="s">
        <v>1061</v>
      </c>
      <c r="D4109" s="26" t="s">
        <v>41</v>
      </c>
      <c r="E4109" s="26">
        <v>390.0</v>
      </c>
      <c r="F4109" s="26" t="s">
        <v>35</v>
      </c>
      <c r="G4109" s="26">
        <v>12.0</v>
      </c>
      <c r="H4109" s="26">
        <v>5.0</v>
      </c>
      <c r="I4109" s="26">
        <v>160.0</v>
      </c>
      <c r="J4109" s="26">
        <v>180.0</v>
      </c>
      <c r="K4109" s="26">
        <v>40.0</v>
      </c>
      <c r="M4109" s="26" t="s">
        <v>449</v>
      </c>
      <c r="N4109" s="26" t="s">
        <v>715</v>
      </c>
    </row>
    <row r="4110">
      <c r="A4110" s="25">
        <v>43432.799734201384</v>
      </c>
      <c r="B4110" s="26" t="s">
        <v>48</v>
      </c>
      <c r="C4110" s="26" t="s">
        <v>69</v>
      </c>
      <c r="D4110" s="26" t="s">
        <v>31</v>
      </c>
      <c r="E4110" s="26">
        <v>191.0</v>
      </c>
      <c r="F4110" s="26" t="s">
        <v>50</v>
      </c>
      <c r="G4110" s="26">
        <v>3.0</v>
      </c>
      <c r="H4110" s="26">
        <v>0.0</v>
      </c>
      <c r="I4110" s="26">
        <v>115.0</v>
      </c>
      <c r="J4110" s="26">
        <v>40.0</v>
      </c>
      <c r="K4110" s="26">
        <v>36.0</v>
      </c>
      <c r="M4110" s="26" t="s">
        <v>449</v>
      </c>
      <c r="N4110" s="26" t="s">
        <v>1251</v>
      </c>
    </row>
    <row r="4111">
      <c r="A4111" s="25">
        <v>43432.81105846065</v>
      </c>
      <c r="B4111" s="26" t="s">
        <v>2582</v>
      </c>
      <c r="C4111" s="26" t="s">
        <v>37</v>
      </c>
      <c r="D4111" s="26" t="s">
        <v>31</v>
      </c>
      <c r="E4111" s="26">
        <v>250.0</v>
      </c>
      <c r="F4111" s="26" t="s">
        <v>247</v>
      </c>
      <c r="G4111" s="26">
        <v>8.0</v>
      </c>
      <c r="H4111" s="26">
        <v>2.0</v>
      </c>
      <c r="N4111" s="26" t="s">
        <v>696</v>
      </c>
    </row>
    <row r="4112">
      <c r="A4112" s="25">
        <v>43432.81288087963</v>
      </c>
      <c r="B4112" s="26" t="s">
        <v>2583</v>
      </c>
      <c r="C4112" s="26" t="s">
        <v>37</v>
      </c>
      <c r="D4112" s="26" t="s">
        <v>31</v>
      </c>
      <c r="E4112" s="26">
        <v>140.0</v>
      </c>
      <c r="F4112" s="26" t="s">
        <v>35</v>
      </c>
      <c r="G4112" s="26">
        <v>3.0</v>
      </c>
      <c r="H4112" s="26">
        <v>3.0</v>
      </c>
      <c r="I4112" s="26">
        <v>140.0</v>
      </c>
      <c r="M4112" s="26" t="s">
        <v>449</v>
      </c>
      <c r="N4112" s="26" t="s">
        <v>685</v>
      </c>
    </row>
    <row r="4113">
      <c r="A4113" s="25">
        <v>43432.89188858796</v>
      </c>
      <c r="B4113" s="26" t="s">
        <v>80</v>
      </c>
      <c r="C4113" s="26" t="s">
        <v>43</v>
      </c>
      <c r="D4113" s="26" t="s">
        <v>31</v>
      </c>
      <c r="E4113" s="26">
        <v>310.0</v>
      </c>
      <c r="F4113" s="26" t="s">
        <v>32</v>
      </c>
      <c r="G4113" s="26">
        <v>6.0</v>
      </c>
      <c r="H4113" s="26">
        <v>2.0</v>
      </c>
      <c r="I4113" s="26">
        <v>174.0</v>
      </c>
      <c r="J4113" s="26">
        <v>102.0</v>
      </c>
      <c r="K4113" s="26">
        <v>34.0</v>
      </c>
      <c r="M4113" s="26" t="s">
        <v>449</v>
      </c>
      <c r="N4113" s="26" t="s">
        <v>685</v>
      </c>
    </row>
    <row r="4114">
      <c r="A4114" s="25">
        <v>43432.90337759259</v>
      </c>
      <c r="B4114" s="26" t="s">
        <v>2583</v>
      </c>
      <c r="C4114" s="26" t="s">
        <v>37</v>
      </c>
      <c r="D4114" s="26" t="s">
        <v>31</v>
      </c>
      <c r="E4114" s="26">
        <v>140.0</v>
      </c>
      <c r="F4114" s="26" t="s">
        <v>35</v>
      </c>
      <c r="G4114" s="26">
        <v>3.0</v>
      </c>
      <c r="H4114" s="26">
        <v>3.0</v>
      </c>
      <c r="I4114" s="26">
        <v>140.0</v>
      </c>
      <c r="K4114" s="26">
        <v>6.0</v>
      </c>
      <c r="M4114" s="26" t="s">
        <v>449</v>
      </c>
      <c r="N4114" s="26" t="s">
        <v>685</v>
      </c>
    </row>
    <row r="4115">
      <c r="A4115" s="25">
        <v>43433.01176334491</v>
      </c>
      <c r="B4115" s="26" t="s">
        <v>48</v>
      </c>
      <c r="C4115" s="26" t="s">
        <v>2584</v>
      </c>
      <c r="D4115" s="26" t="s">
        <v>27</v>
      </c>
      <c r="E4115" s="26">
        <v>530.0</v>
      </c>
      <c r="F4115" s="26" t="s">
        <v>50</v>
      </c>
      <c r="G4115" s="26">
        <v>23.0</v>
      </c>
      <c r="H4115" s="26">
        <v>3.0</v>
      </c>
      <c r="I4115" s="26">
        <v>232.0</v>
      </c>
      <c r="J4115" s="26">
        <v>252.0</v>
      </c>
      <c r="K4115" s="26">
        <v>46.0</v>
      </c>
      <c r="M4115" s="26" t="s">
        <v>449</v>
      </c>
      <c r="N4115" s="26" t="s">
        <v>691</v>
      </c>
    </row>
    <row r="4116">
      <c r="A4116" s="25">
        <v>43433.34247924769</v>
      </c>
      <c r="B4116" s="26" t="s">
        <v>33</v>
      </c>
      <c r="C4116" s="26" t="s">
        <v>62</v>
      </c>
      <c r="D4116" s="26" t="s">
        <v>27</v>
      </c>
      <c r="E4116" s="26">
        <v>195.0</v>
      </c>
      <c r="F4116" s="26" t="s">
        <v>35</v>
      </c>
      <c r="G4116" s="26">
        <v>1.0</v>
      </c>
      <c r="H4116" s="26">
        <v>0.5</v>
      </c>
      <c r="I4116" s="26">
        <v>145.0</v>
      </c>
      <c r="J4116" s="26">
        <v>50.0</v>
      </c>
      <c r="M4116" s="26" t="s">
        <v>458</v>
      </c>
      <c r="N4116" s="26" t="s">
        <v>2585</v>
      </c>
    </row>
    <row r="4117">
      <c r="A4117" s="25">
        <v>43433.38571270833</v>
      </c>
      <c r="B4117" s="26" t="s">
        <v>80</v>
      </c>
      <c r="C4117" s="26" t="s">
        <v>26</v>
      </c>
      <c r="D4117" s="26" t="s">
        <v>31</v>
      </c>
      <c r="E4117" s="26">
        <v>147.0</v>
      </c>
      <c r="F4117" s="26" t="s">
        <v>178</v>
      </c>
      <c r="G4117" s="26">
        <v>0.0</v>
      </c>
      <c r="H4117" s="26">
        <v>0.0</v>
      </c>
      <c r="I4117" s="26">
        <v>108.0</v>
      </c>
      <c r="J4117" s="26">
        <v>23.0</v>
      </c>
      <c r="K4117" s="26">
        <v>16.0</v>
      </c>
      <c r="M4117" s="26" t="s">
        <v>449</v>
      </c>
      <c r="N4117" s="26" t="s">
        <v>683</v>
      </c>
    </row>
    <row r="4118">
      <c r="A4118" s="25">
        <v>43433.38739743056</v>
      </c>
      <c r="B4118" s="26" t="s">
        <v>33</v>
      </c>
      <c r="C4118" s="26" t="s">
        <v>62</v>
      </c>
      <c r="D4118" s="26" t="s">
        <v>41</v>
      </c>
      <c r="E4118" s="26">
        <v>353.0</v>
      </c>
      <c r="F4118" s="26" t="s">
        <v>35</v>
      </c>
      <c r="G4118" s="26">
        <v>15.0</v>
      </c>
      <c r="H4118" s="26">
        <v>1.0</v>
      </c>
      <c r="I4118" s="26">
        <v>152.0</v>
      </c>
      <c r="J4118" s="26">
        <v>191.0</v>
      </c>
      <c r="K4118" s="26">
        <v>10.0</v>
      </c>
      <c r="M4118" s="26" t="s">
        <v>449</v>
      </c>
      <c r="N4118" s="26" t="s">
        <v>708</v>
      </c>
    </row>
    <row r="4119">
      <c r="A4119" s="25">
        <v>43433.47260603009</v>
      </c>
      <c r="B4119" s="26" t="s">
        <v>371</v>
      </c>
      <c r="C4119" s="26" t="s">
        <v>716</v>
      </c>
      <c r="D4119" s="26" t="s">
        <v>31</v>
      </c>
      <c r="E4119" s="26">
        <v>132.0</v>
      </c>
      <c r="F4119" s="26" t="s">
        <v>459</v>
      </c>
      <c r="G4119" s="26">
        <v>1.0</v>
      </c>
      <c r="H4119" s="26">
        <v>1.0</v>
      </c>
      <c r="I4119" s="26">
        <v>100.0</v>
      </c>
      <c r="J4119" s="26">
        <v>7.0</v>
      </c>
      <c r="K4119" s="26">
        <v>15.0</v>
      </c>
      <c r="M4119" s="26" t="s">
        <v>449</v>
      </c>
      <c r="N4119" s="26" t="s">
        <v>757</v>
      </c>
    </row>
    <row r="4120">
      <c r="A4120" s="25">
        <v>43433.49031680556</v>
      </c>
      <c r="B4120" s="26" t="s">
        <v>80</v>
      </c>
      <c r="C4120" s="26" t="s">
        <v>26</v>
      </c>
      <c r="D4120" s="26" t="s">
        <v>31</v>
      </c>
      <c r="E4120" s="26">
        <v>163.0</v>
      </c>
      <c r="F4120" s="26" t="s">
        <v>51</v>
      </c>
      <c r="G4120" s="26">
        <v>1.0</v>
      </c>
      <c r="H4120" s="26">
        <v>0.0</v>
      </c>
      <c r="I4120" s="26">
        <v>120.0</v>
      </c>
      <c r="J4120" s="26">
        <v>25.0</v>
      </c>
      <c r="K4120" s="26">
        <v>18.0</v>
      </c>
      <c r="M4120" s="26" t="s">
        <v>449</v>
      </c>
      <c r="N4120" s="26" t="s">
        <v>685</v>
      </c>
    </row>
    <row r="4121">
      <c r="A4121" s="25">
        <v>43433.50889725694</v>
      </c>
      <c r="B4121" s="26" t="s">
        <v>350</v>
      </c>
      <c r="C4121" s="26" t="s">
        <v>1119</v>
      </c>
      <c r="D4121" s="26" t="s">
        <v>31</v>
      </c>
      <c r="E4121" s="26">
        <v>99.0</v>
      </c>
      <c r="F4121" s="26" t="s">
        <v>1074</v>
      </c>
      <c r="G4121" s="26">
        <v>0.0</v>
      </c>
      <c r="H4121" s="26">
        <v>0.0</v>
      </c>
      <c r="M4121" s="26" t="s">
        <v>449</v>
      </c>
      <c r="N4121" s="26" t="s">
        <v>708</v>
      </c>
    </row>
    <row r="4122">
      <c r="A4122" s="25">
        <v>43433.5124741551</v>
      </c>
      <c r="B4122" s="26" t="s">
        <v>157</v>
      </c>
      <c r="C4122" s="26" t="s">
        <v>2586</v>
      </c>
      <c r="D4122" s="26" t="s">
        <v>31</v>
      </c>
      <c r="E4122" s="26">
        <v>98.0</v>
      </c>
      <c r="F4122" s="26" t="s">
        <v>2587</v>
      </c>
      <c r="G4122" s="26">
        <v>6.0</v>
      </c>
      <c r="H4122" s="26">
        <v>6.0</v>
      </c>
      <c r="N4122" s="26" t="s">
        <v>685</v>
      </c>
    </row>
    <row r="4123">
      <c r="A4123" s="25">
        <v>43433.73264217592</v>
      </c>
      <c r="B4123" s="26" t="s">
        <v>820</v>
      </c>
      <c r="C4123" s="26">
        <v>5.0</v>
      </c>
      <c r="D4123" s="26" t="s">
        <v>31</v>
      </c>
      <c r="E4123" s="26">
        <v>135.0</v>
      </c>
      <c r="F4123" s="26" t="s">
        <v>32</v>
      </c>
      <c r="G4123" s="26">
        <v>1.0</v>
      </c>
      <c r="H4123" s="26">
        <v>1.0</v>
      </c>
      <c r="I4123" s="26">
        <v>110.0</v>
      </c>
      <c r="J4123" s="26">
        <v>10.0</v>
      </c>
      <c r="K4123" s="26">
        <v>13.0</v>
      </c>
      <c r="M4123" s="26" t="s">
        <v>449</v>
      </c>
      <c r="N4123" s="26" t="s">
        <v>704</v>
      </c>
    </row>
    <row r="4124">
      <c r="A4124" s="25">
        <v>43433.891514745366</v>
      </c>
      <c r="B4124" s="26" t="s">
        <v>170</v>
      </c>
      <c r="C4124" s="26" t="s">
        <v>1326</v>
      </c>
      <c r="D4124" s="26" t="s">
        <v>27</v>
      </c>
      <c r="E4124" s="26">
        <v>210.0</v>
      </c>
      <c r="F4124" s="26" t="s">
        <v>453</v>
      </c>
      <c r="G4124" s="26">
        <v>20.0</v>
      </c>
      <c r="H4124" s="26">
        <v>20.0</v>
      </c>
      <c r="I4124" s="26">
        <v>158.0</v>
      </c>
      <c r="J4124" s="26">
        <v>7.0</v>
      </c>
      <c r="K4124" s="26">
        <v>45.0</v>
      </c>
      <c r="M4124" s="26" t="s">
        <v>449</v>
      </c>
      <c r="N4124" s="26" t="s">
        <v>751</v>
      </c>
    </row>
    <row r="4125">
      <c r="A4125" s="25">
        <v>43433.912707118056</v>
      </c>
      <c r="B4125" s="26" t="s">
        <v>48</v>
      </c>
      <c r="C4125" s="26" t="s">
        <v>49</v>
      </c>
      <c r="D4125" s="26" t="s">
        <v>31</v>
      </c>
      <c r="E4125" s="26">
        <v>240.0</v>
      </c>
      <c r="F4125" s="26" t="s">
        <v>35</v>
      </c>
      <c r="G4125" s="26">
        <v>0.0</v>
      </c>
      <c r="H4125" s="26">
        <v>0.0</v>
      </c>
      <c r="I4125" s="26">
        <v>150.0</v>
      </c>
      <c r="J4125" s="26">
        <v>75.0</v>
      </c>
      <c r="K4125" s="26">
        <v>15.0</v>
      </c>
      <c r="M4125" s="26" t="s">
        <v>1804</v>
      </c>
      <c r="N4125" s="26" t="s">
        <v>691</v>
      </c>
    </row>
    <row r="4126">
      <c r="A4126" s="25">
        <v>43433.91838916666</v>
      </c>
      <c r="B4126" s="26" t="s">
        <v>2588</v>
      </c>
      <c r="C4126" s="26" t="s">
        <v>2589</v>
      </c>
      <c r="D4126" s="26" t="s">
        <v>31</v>
      </c>
      <c r="E4126" s="26">
        <v>275.0</v>
      </c>
      <c r="F4126" s="26" t="s">
        <v>51</v>
      </c>
      <c r="G4126" s="26">
        <v>15.0</v>
      </c>
      <c r="H4126" s="26">
        <v>6.0</v>
      </c>
      <c r="N4126" s="26" t="s">
        <v>685</v>
      </c>
    </row>
    <row r="4127">
      <c r="A4127" s="25">
        <v>43433.96458788194</v>
      </c>
      <c r="B4127" s="26" t="s">
        <v>48</v>
      </c>
      <c r="C4127" s="26" t="s">
        <v>113</v>
      </c>
      <c r="D4127" s="26" t="s">
        <v>711</v>
      </c>
      <c r="E4127" s="26">
        <v>237.0</v>
      </c>
      <c r="F4127" s="26" t="s">
        <v>50</v>
      </c>
      <c r="G4127" s="26">
        <v>5.0</v>
      </c>
      <c r="H4127" s="26">
        <v>0.0</v>
      </c>
      <c r="M4127" s="26" t="s">
        <v>449</v>
      </c>
      <c r="N4127" s="26" t="s">
        <v>1043</v>
      </c>
    </row>
    <row r="4128">
      <c r="A4128" s="25">
        <v>43433.97944052084</v>
      </c>
      <c r="B4128" s="26" t="s">
        <v>2590</v>
      </c>
      <c r="C4128" s="26" t="s">
        <v>37</v>
      </c>
      <c r="D4128" s="26" t="s">
        <v>31</v>
      </c>
      <c r="E4128" s="26">
        <v>215.0</v>
      </c>
      <c r="F4128" s="26" t="s">
        <v>32</v>
      </c>
      <c r="G4128" s="26">
        <v>10.0</v>
      </c>
      <c r="H4128" s="26">
        <v>2.0</v>
      </c>
      <c r="M4128" s="26" t="s">
        <v>1804</v>
      </c>
      <c r="N4128" s="26" t="s">
        <v>704</v>
      </c>
    </row>
    <row r="4129">
      <c r="A4129" s="25">
        <v>43434.013420891206</v>
      </c>
      <c r="B4129" s="26" t="s">
        <v>380</v>
      </c>
      <c r="C4129" s="26" t="s">
        <v>1834</v>
      </c>
      <c r="D4129" s="26" t="s">
        <v>31</v>
      </c>
      <c r="E4129" s="26">
        <v>500.0</v>
      </c>
      <c r="F4129" s="26" t="s">
        <v>1239</v>
      </c>
      <c r="G4129" s="26">
        <v>21.0</v>
      </c>
      <c r="H4129" s="26">
        <v>2.0</v>
      </c>
      <c r="I4129" s="26">
        <v>200.0</v>
      </c>
      <c r="J4129" s="26">
        <v>300.0</v>
      </c>
      <c r="M4129" s="26" t="s">
        <v>449</v>
      </c>
      <c r="N4129" s="26" t="s">
        <v>685</v>
      </c>
    </row>
    <row r="4130">
      <c r="A4130" s="25">
        <v>43434.05619883102</v>
      </c>
      <c r="B4130" s="26" t="s">
        <v>45</v>
      </c>
      <c r="C4130" s="26" t="s">
        <v>102</v>
      </c>
      <c r="D4130" s="26" t="s">
        <v>31</v>
      </c>
      <c r="E4130" s="26">
        <v>250.0</v>
      </c>
      <c r="F4130" s="26" t="s">
        <v>104</v>
      </c>
      <c r="G4130" s="26">
        <v>5.0</v>
      </c>
      <c r="H4130" s="26">
        <v>1.0</v>
      </c>
      <c r="I4130" s="26">
        <v>165.0</v>
      </c>
      <c r="J4130" s="26">
        <v>60.0</v>
      </c>
      <c r="K4130" s="26">
        <v>25.0</v>
      </c>
      <c r="M4130" s="26" t="s">
        <v>449</v>
      </c>
      <c r="N4130" s="26" t="s">
        <v>2591</v>
      </c>
    </row>
    <row r="4131">
      <c r="A4131" s="25">
        <v>43434.07119650463</v>
      </c>
      <c r="B4131" s="26" t="s">
        <v>36</v>
      </c>
      <c r="C4131" s="26" t="s">
        <v>2021</v>
      </c>
      <c r="D4131" s="26" t="s">
        <v>31</v>
      </c>
      <c r="E4131" s="26">
        <v>140.0</v>
      </c>
      <c r="F4131" s="26" t="s">
        <v>32</v>
      </c>
      <c r="G4131" s="26">
        <v>0.0</v>
      </c>
      <c r="H4131" s="26">
        <v>0.0</v>
      </c>
      <c r="I4131" s="26">
        <v>110.0</v>
      </c>
      <c r="J4131" s="26">
        <v>30.0</v>
      </c>
      <c r="K4131" s="26">
        <v>10.0</v>
      </c>
      <c r="M4131" s="26" t="s">
        <v>449</v>
      </c>
      <c r="N4131" s="26" t="s">
        <v>685</v>
      </c>
    </row>
    <row r="4132">
      <c r="A4132" s="25">
        <v>43434.27173434028</v>
      </c>
      <c r="B4132" s="26" t="s">
        <v>80</v>
      </c>
      <c r="C4132" s="26" t="s">
        <v>26</v>
      </c>
      <c r="D4132" s="26" t="s">
        <v>31</v>
      </c>
      <c r="E4132" s="26">
        <v>500.0</v>
      </c>
      <c r="F4132" s="26" t="s">
        <v>32</v>
      </c>
      <c r="G4132" s="26">
        <v>1.0</v>
      </c>
      <c r="H4132" s="26">
        <v>1.0</v>
      </c>
      <c r="I4132" s="26">
        <v>200.0</v>
      </c>
      <c r="J4132" s="26">
        <v>100.0</v>
      </c>
      <c r="K4132" s="26">
        <v>200.0</v>
      </c>
      <c r="M4132" s="26" t="s">
        <v>458</v>
      </c>
      <c r="N4132" s="26" t="s">
        <v>683</v>
      </c>
    </row>
    <row r="4133">
      <c r="A4133" s="25">
        <v>43434.37295230324</v>
      </c>
      <c r="B4133" s="26" t="s">
        <v>2592</v>
      </c>
      <c r="C4133" s="26" t="s">
        <v>26</v>
      </c>
      <c r="D4133" s="26" t="s">
        <v>31</v>
      </c>
      <c r="E4133" s="26">
        <v>100.0</v>
      </c>
      <c r="F4133" s="26" t="s">
        <v>354</v>
      </c>
      <c r="G4133" s="26">
        <v>3.0</v>
      </c>
      <c r="H4133" s="26">
        <v>2.0</v>
      </c>
      <c r="I4133" s="26">
        <v>100.0</v>
      </c>
      <c r="M4133" s="26" t="s">
        <v>449</v>
      </c>
      <c r="N4133" s="26" t="s">
        <v>704</v>
      </c>
    </row>
    <row r="4134">
      <c r="A4134" s="25">
        <v>43434.48688195602</v>
      </c>
      <c r="B4134" s="26" t="s">
        <v>40</v>
      </c>
      <c r="C4134" s="26">
        <v>60.0</v>
      </c>
      <c r="D4134" s="26" t="s">
        <v>711</v>
      </c>
      <c r="E4134" s="26">
        <v>145.0</v>
      </c>
      <c r="F4134" s="26" t="s">
        <v>35</v>
      </c>
      <c r="G4134" s="26">
        <v>2.0</v>
      </c>
      <c r="H4134" s="26">
        <v>1.0</v>
      </c>
      <c r="I4134" s="26">
        <v>126.0</v>
      </c>
      <c r="J4134" s="26">
        <v>12.0</v>
      </c>
      <c r="K4134" s="26">
        <v>6.0</v>
      </c>
      <c r="M4134" s="26" t="s">
        <v>449</v>
      </c>
      <c r="N4134" s="26" t="s">
        <v>691</v>
      </c>
    </row>
    <row r="4135">
      <c r="A4135" s="25">
        <v>43434.511847002315</v>
      </c>
      <c r="B4135" s="26" t="s">
        <v>204</v>
      </c>
      <c r="C4135" s="26" t="s">
        <v>26</v>
      </c>
      <c r="D4135" s="26" t="s">
        <v>31</v>
      </c>
      <c r="E4135" s="26">
        <v>232.0</v>
      </c>
      <c r="F4135" s="26" t="s">
        <v>32</v>
      </c>
      <c r="G4135" s="26">
        <v>1.0</v>
      </c>
      <c r="H4135" s="26">
        <v>0.0</v>
      </c>
      <c r="I4135" s="26">
        <v>140.0</v>
      </c>
      <c r="J4135" s="26">
        <v>77.0</v>
      </c>
      <c r="K4135" s="26">
        <v>21.0</v>
      </c>
      <c r="M4135" s="26" t="s">
        <v>449</v>
      </c>
      <c r="N4135" s="26" t="s">
        <v>704</v>
      </c>
    </row>
    <row r="4136">
      <c r="A4136" s="25">
        <v>43434.5634574537</v>
      </c>
      <c r="B4136" s="26" t="s">
        <v>1160</v>
      </c>
      <c r="C4136" s="26">
        <v>1.0</v>
      </c>
      <c r="D4136" s="26" t="s">
        <v>1998</v>
      </c>
      <c r="E4136" s="26">
        <v>108.0</v>
      </c>
      <c r="F4136" s="26" t="s">
        <v>320</v>
      </c>
      <c r="G4136" s="26">
        <v>1.0</v>
      </c>
      <c r="H4136" s="26">
        <v>2.0</v>
      </c>
      <c r="I4136" s="26">
        <v>80.0</v>
      </c>
      <c r="J4136" s="26">
        <v>16.0</v>
      </c>
      <c r="K4136" s="26">
        <v>12.0</v>
      </c>
      <c r="M4136" s="26" t="s">
        <v>449</v>
      </c>
      <c r="N4136" s="26" t="s">
        <v>685</v>
      </c>
    </row>
    <row r="4137">
      <c r="A4137" s="25">
        <v>43434.564945300925</v>
      </c>
      <c r="B4137" s="26" t="s">
        <v>1160</v>
      </c>
      <c r="C4137" s="26" t="s">
        <v>37</v>
      </c>
      <c r="D4137" s="26" t="s">
        <v>27</v>
      </c>
      <c r="E4137" s="26">
        <v>180.0</v>
      </c>
      <c r="F4137" s="26" t="s">
        <v>745</v>
      </c>
      <c r="G4137" s="26">
        <v>4.0</v>
      </c>
      <c r="H4137" s="26">
        <v>2.5</v>
      </c>
      <c r="I4137" s="26">
        <v>158000.0</v>
      </c>
      <c r="K4137" s="26">
        <v>22000.0</v>
      </c>
      <c r="L4137" s="26" t="s">
        <v>2593</v>
      </c>
      <c r="M4137" s="26" t="s">
        <v>449</v>
      </c>
      <c r="N4137" s="26" t="s">
        <v>1043</v>
      </c>
    </row>
    <row r="4138">
      <c r="A4138" s="25">
        <v>43434.580261979165</v>
      </c>
      <c r="B4138" s="26" t="s">
        <v>40</v>
      </c>
      <c r="C4138" s="26">
        <v>59.0</v>
      </c>
      <c r="D4138" s="26" t="s">
        <v>31</v>
      </c>
      <c r="E4138" s="26">
        <v>165.0</v>
      </c>
      <c r="F4138" s="26" t="s">
        <v>75</v>
      </c>
      <c r="G4138" s="26">
        <v>2.0</v>
      </c>
      <c r="H4138" s="26">
        <v>0.0</v>
      </c>
      <c r="I4138" s="26">
        <v>109.0</v>
      </c>
      <c r="J4138" s="26">
        <v>35.0</v>
      </c>
      <c r="K4138" s="26">
        <v>21.0</v>
      </c>
      <c r="M4138" s="26" t="s">
        <v>449</v>
      </c>
      <c r="N4138" s="26" t="s">
        <v>683</v>
      </c>
    </row>
    <row r="4139">
      <c r="A4139" s="25">
        <v>43434.6417760301</v>
      </c>
      <c r="B4139" s="26" t="s">
        <v>40</v>
      </c>
      <c r="C4139" s="26">
        <v>62.0</v>
      </c>
      <c r="D4139" s="26" t="s">
        <v>31</v>
      </c>
      <c r="E4139" s="26">
        <v>97.0</v>
      </c>
      <c r="F4139" s="26" t="s">
        <v>1354</v>
      </c>
      <c r="G4139" s="26">
        <v>5.0</v>
      </c>
      <c r="H4139" s="26">
        <v>0.0</v>
      </c>
      <c r="M4139" s="26" t="s">
        <v>449</v>
      </c>
      <c r="N4139" s="26" t="s">
        <v>708</v>
      </c>
    </row>
    <row r="4140">
      <c r="A4140" s="25">
        <v>43434.65176359954</v>
      </c>
      <c r="B4140" s="26" t="s">
        <v>40</v>
      </c>
      <c r="C4140" s="26" t="s">
        <v>824</v>
      </c>
      <c r="D4140" s="26" t="s">
        <v>31</v>
      </c>
      <c r="E4140" s="26">
        <v>220.0</v>
      </c>
      <c r="F4140" s="26" t="s">
        <v>35</v>
      </c>
      <c r="G4140" s="26">
        <v>15.0</v>
      </c>
      <c r="H4140" s="26">
        <v>2.0</v>
      </c>
      <c r="I4140" s="26">
        <v>120.0</v>
      </c>
      <c r="J4140" s="26">
        <v>80.0</v>
      </c>
      <c r="K4140" s="26">
        <v>20.0</v>
      </c>
      <c r="M4140" s="26" t="s">
        <v>449</v>
      </c>
      <c r="N4140" s="26" t="s">
        <v>696</v>
      </c>
    </row>
    <row r="4141">
      <c r="A4141" s="25">
        <v>43434.659234618055</v>
      </c>
      <c r="B4141" s="26" t="s">
        <v>48</v>
      </c>
      <c r="C4141" s="26" t="s">
        <v>166</v>
      </c>
      <c r="D4141" s="26" t="s">
        <v>31</v>
      </c>
      <c r="E4141" s="26">
        <v>341.0</v>
      </c>
      <c r="F4141" s="26" t="s">
        <v>2594</v>
      </c>
      <c r="G4141" s="26">
        <v>3.0</v>
      </c>
      <c r="H4141" s="26">
        <v>3.0</v>
      </c>
      <c r="M4141" s="26" t="s">
        <v>458</v>
      </c>
      <c r="N4141" s="26" t="s">
        <v>685</v>
      </c>
    </row>
    <row r="4142">
      <c r="A4142" s="25">
        <v>43434.750043101856</v>
      </c>
      <c r="B4142" s="26" t="s">
        <v>45</v>
      </c>
      <c r="C4142" s="26" t="s">
        <v>116</v>
      </c>
      <c r="D4142" s="26" t="s">
        <v>31</v>
      </c>
      <c r="E4142" s="26">
        <v>460.0</v>
      </c>
      <c r="F4142" s="26" t="s">
        <v>104</v>
      </c>
      <c r="G4142" s="26">
        <v>4.0</v>
      </c>
      <c r="H4142" s="26">
        <v>4.0</v>
      </c>
      <c r="I4142" s="26">
        <v>160.0</v>
      </c>
      <c r="J4142" s="26">
        <v>250.0</v>
      </c>
      <c r="K4142" s="26">
        <v>50.0</v>
      </c>
      <c r="M4142" s="26" t="s">
        <v>449</v>
      </c>
      <c r="N4142" s="26" t="s">
        <v>699</v>
      </c>
    </row>
    <row r="4143">
      <c r="A4143" s="25">
        <v>43434.796746875</v>
      </c>
      <c r="B4143" s="26" t="s">
        <v>40</v>
      </c>
      <c r="C4143" s="26">
        <v>61.0</v>
      </c>
      <c r="D4143" s="26" t="s">
        <v>31</v>
      </c>
      <c r="E4143" s="26">
        <v>132.0</v>
      </c>
      <c r="F4143" s="26" t="s">
        <v>35</v>
      </c>
      <c r="G4143" s="26">
        <v>2.0</v>
      </c>
      <c r="H4143" s="26">
        <v>1.0</v>
      </c>
      <c r="N4143" s="26" t="s">
        <v>696</v>
      </c>
    </row>
    <row r="4144">
      <c r="A4144" s="25">
        <v>43434.82483887731</v>
      </c>
      <c r="B4144" s="26" t="s">
        <v>33</v>
      </c>
      <c r="C4144" s="26" t="s">
        <v>43</v>
      </c>
      <c r="D4144" s="26" t="s">
        <v>31</v>
      </c>
      <c r="E4144" s="26">
        <v>220.0</v>
      </c>
      <c r="F4144" s="26" t="s">
        <v>35</v>
      </c>
      <c r="G4144" s="26">
        <v>4.0</v>
      </c>
      <c r="H4144" s="26">
        <v>3.0</v>
      </c>
      <c r="I4144" s="26">
        <v>141.0</v>
      </c>
      <c r="J4144" s="26">
        <v>80.0</v>
      </c>
      <c r="M4144" s="26" t="s">
        <v>458</v>
      </c>
      <c r="N4144" s="26" t="s">
        <v>704</v>
      </c>
    </row>
    <row r="4145">
      <c r="A4145" s="25">
        <v>43434.87157184028</v>
      </c>
      <c r="B4145" s="26" t="s">
        <v>2595</v>
      </c>
      <c r="C4145" s="26" t="s">
        <v>2596</v>
      </c>
      <c r="D4145" s="26" t="s">
        <v>31</v>
      </c>
      <c r="E4145" s="26">
        <v>145.0</v>
      </c>
      <c r="F4145" s="26" t="s">
        <v>140</v>
      </c>
      <c r="G4145" s="26">
        <v>3.0</v>
      </c>
      <c r="H4145" s="26">
        <v>0.5</v>
      </c>
      <c r="N4145" s="26" t="s">
        <v>696</v>
      </c>
    </row>
    <row r="4146">
      <c r="A4146" s="25">
        <v>43434.872272106484</v>
      </c>
      <c r="B4146" s="26" t="s">
        <v>1957</v>
      </c>
      <c r="C4146" s="26" t="s">
        <v>31</v>
      </c>
      <c r="D4146" s="26" t="s">
        <v>31</v>
      </c>
      <c r="E4146" s="26">
        <v>900.0</v>
      </c>
      <c r="F4146" s="26" t="s">
        <v>2597</v>
      </c>
      <c r="G4146" s="26">
        <v>2.0</v>
      </c>
      <c r="H4146" s="26">
        <v>2.0</v>
      </c>
      <c r="N4146" s="26" t="s">
        <v>683</v>
      </c>
    </row>
    <row r="4147">
      <c r="A4147" s="25">
        <v>43434.876837013886</v>
      </c>
      <c r="B4147" s="26" t="s">
        <v>673</v>
      </c>
      <c r="C4147" s="26" t="s">
        <v>610</v>
      </c>
      <c r="D4147" s="26" t="s">
        <v>31</v>
      </c>
      <c r="E4147" s="26">
        <v>163.0</v>
      </c>
      <c r="F4147" s="26" t="s">
        <v>238</v>
      </c>
      <c r="G4147" s="26">
        <v>2.0</v>
      </c>
      <c r="H4147" s="26">
        <v>2.0</v>
      </c>
      <c r="I4147" s="26">
        <v>118.0</v>
      </c>
      <c r="J4147" s="26">
        <v>17.0</v>
      </c>
      <c r="K4147" s="26">
        <v>21.0</v>
      </c>
      <c r="M4147" s="26" t="s">
        <v>449</v>
      </c>
      <c r="N4147" s="26" t="s">
        <v>704</v>
      </c>
    </row>
    <row r="4148">
      <c r="A4148" s="25">
        <v>43434.88707849537</v>
      </c>
      <c r="B4148" s="26" t="s">
        <v>2598</v>
      </c>
      <c r="C4148" s="26">
        <v>3.0</v>
      </c>
      <c r="D4148" s="26" t="s">
        <v>711</v>
      </c>
      <c r="E4148" s="26">
        <v>112.0</v>
      </c>
      <c r="F4148" s="26" t="s">
        <v>2599</v>
      </c>
      <c r="G4148" s="26">
        <v>9.0</v>
      </c>
      <c r="H4148" s="26">
        <v>7.0</v>
      </c>
      <c r="I4148" s="26">
        <v>100.0</v>
      </c>
      <c r="K4148" s="26">
        <v>12.0</v>
      </c>
      <c r="M4148" s="26" t="s">
        <v>1804</v>
      </c>
      <c r="N4148" s="26" t="s">
        <v>699</v>
      </c>
    </row>
    <row r="4149">
      <c r="A4149" s="25">
        <v>43434.90277240741</v>
      </c>
      <c r="B4149" s="26" t="s">
        <v>48</v>
      </c>
      <c r="C4149" s="26" t="s">
        <v>49</v>
      </c>
      <c r="D4149" s="26" t="s">
        <v>31</v>
      </c>
      <c r="E4149" s="26">
        <v>251.0</v>
      </c>
      <c r="F4149" s="26" t="s">
        <v>50</v>
      </c>
      <c r="G4149" s="26">
        <v>3.0</v>
      </c>
      <c r="H4149" s="26">
        <v>0.0</v>
      </c>
      <c r="I4149" s="26">
        <v>160.0</v>
      </c>
      <c r="J4149" s="26">
        <v>75.0</v>
      </c>
      <c r="K4149" s="26">
        <v>16.0</v>
      </c>
      <c r="M4149" s="26" t="s">
        <v>449</v>
      </c>
      <c r="N4149" s="26" t="s">
        <v>683</v>
      </c>
    </row>
    <row r="4150">
      <c r="A4150" s="25">
        <v>43434.9065238426</v>
      </c>
      <c r="B4150" s="26" t="s">
        <v>146</v>
      </c>
      <c r="C4150" s="26" t="s">
        <v>737</v>
      </c>
      <c r="D4150" s="26" t="s">
        <v>31</v>
      </c>
      <c r="E4150" s="26">
        <v>465.0</v>
      </c>
      <c r="F4150" s="26" t="s">
        <v>134</v>
      </c>
      <c r="G4150" s="26">
        <v>5.0</v>
      </c>
      <c r="H4150" s="26">
        <v>5.0</v>
      </c>
      <c r="I4150" s="26">
        <v>190.0</v>
      </c>
      <c r="J4150" s="26">
        <v>247.0</v>
      </c>
      <c r="K4150" s="26">
        <v>28.0</v>
      </c>
      <c r="M4150" s="26" t="s">
        <v>449</v>
      </c>
      <c r="N4150" s="26" t="s">
        <v>685</v>
      </c>
    </row>
    <row r="4151">
      <c r="A4151" s="25">
        <v>43434.92654236111</v>
      </c>
      <c r="B4151" s="26" t="s">
        <v>1276</v>
      </c>
      <c r="C4151" s="26" t="s">
        <v>125</v>
      </c>
      <c r="D4151" s="26" t="s">
        <v>31</v>
      </c>
      <c r="E4151" s="26">
        <v>350.0</v>
      </c>
      <c r="F4151" s="26" t="s">
        <v>134</v>
      </c>
      <c r="G4151" s="26">
        <v>9.0</v>
      </c>
      <c r="H4151" s="26">
        <v>2.0</v>
      </c>
      <c r="N4151" s="26" t="s">
        <v>685</v>
      </c>
    </row>
    <row r="4152">
      <c r="A4152" s="25">
        <v>43434.943992939814</v>
      </c>
      <c r="B4152" s="26" t="s">
        <v>45</v>
      </c>
      <c r="C4152" s="26" t="s">
        <v>102</v>
      </c>
      <c r="D4152" s="26" t="s">
        <v>31</v>
      </c>
      <c r="E4152" s="26">
        <v>173.0</v>
      </c>
      <c r="F4152" s="26" t="s">
        <v>104</v>
      </c>
      <c r="G4152" s="26">
        <v>0.0</v>
      </c>
      <c r="H4152" s="26">
        <v>0.0</v>
      </c>
      <c r="I4152" s="26">
        <v>135.0</v>
      </c>
      <c r="J4152" s="26">
        <v>25.0</v>
      </c>
      <c r="K4152" s="26">
        <v>13.0</v>
      </c>
      <c r="M4152" s="26" t="s">
        <v>458</v>
      </c>
      <c r="N4152" s="26" t="s">
        <v>704</v>
      </c>
    </row>
    <row r="4153">
      <c r="A4153" s="25">
        <v>43434.95712476852</v>
      </c>
      <c r="B4153" s="26" t="s">
        <v>36</v>
      </c>
      <c r="C4153" s="26" t="s">
        <v>2600</v>
      </c>
      <c r="D4153" s="26" t="s">
        <v>41</v>
      </c>
      <c r="E4153" s="26">
        <v>335.0</v>
      </c>
      <c r="F4153" s="26" t="s">
        <v>32</v>
      </c>
      <c r="G4153" s="26">
        <v>15.0</v>
      </c>
      <c r="H4153" s="26">
        <v>1.0</v>
      </c>
      <c r="I4153" s="26">
        <v>175.0</v>
      </c>
      <c r="J4153" s="26">
        <v>130.0</v>
      </c>
      <c r="K4153" s="26">
        <v>30.0</v>
      </c>
      <c r="L4153" s="26" t="s">
        <v>2601</v>
      </c>
      <c r="M4153" s="26" t="s">
        <v>449</v>
      </c>
      <c r="N4153" s="26" t="s">
        <v>683</v>
      </c>
    </row>
    <row r="4154">
      <c r="A4154" s="25">
        <v>43435.514134780096</v>
      </c>
      <c r="B4154" s="26" t="s">
        <v>80</v>
      </c>
      <c r="C4154" s="26" t="s">
        <v>62</v>
      </c>
      <c r="D4154" s="26" t="s">
        <v>41</v>
      </c>
      <c r="E4154" s="26">
        <v>510.0</v>
      </c>
      <c r="F4154" s="26" t="s">
        <v>94</v>
      </c>
      <c r="G4154" s="26">
        <v>16.0</v>
      </c>
      <c r="H4154" s="26">
        <v>5.0</v>
      </c>
      <c r="I4154" s="26">
        <v>221.0</v>
      </c>
      <c r="J4154" s="26">
        <v>237.0</v>
      </c>
      <c r="K4154" s="26">
        <v>52.0</v>
      </c>
      <c r="M4154" s="26" t="s">
        <v>449</v>
      </c>
      <c r="N4154" s="26" t="s">
        <v>685</v>
      </c>
    </row>
    <row r="4155">
      <c r="A4155" s="25">
        <v>43435.52977300926</v>
      </c>
      <c r="B4155" s="26" t="s">
        <v>188</v>
      </c>
      <c r="C4155" s="26" t="s">
        <v>73</v>
      </c>
      <c r="D4155" s="26" t="s">
        <v>31</v>
      </c>
      <c r="E4155" s="26">
        <v>360.0</v>
      </c>
      <c r="F4155" s="26" t="s">
        <v>247</v>
      </c>
      <c r="G4155" s="26">
        <v>4.0</v>
      </c>
      <c r="H4155" s="26">
        <v>4.0</v>
      </c>
      <c r="I4155" s="26">
        <v>190.0</v>
      </c>
      <c r="J4155" s="26">
        <v>150.0</v>
      </c>
      <c r="K4155" s="26">
        <v>20.0</v>
      </c>
      <c r="M4155" s="26" t="s">
        <v>458</v>
      </c>
      <c r="N4155" s="26" t="s">
        <v>683</v>
      </c>
    </row>
    <row r="4156">
      <c r="A4156" s="25">
        <v>43435.53251574074</v>
      </c>
      <c r="B4156" s="26" t="s">
        <v>119</v>
      </c>
      <c r="C4156" s="26" t="s">
        <v>494</v>
      </c>
      <c r="D4156" s="26" t="s">
        <v>31</v>
      </c>
      <c r="E4156" s="26">
        <v>215.0</v>
      </c>
      <c r="F4156" s="26" t="s">
        <v>175</v>
      </c>
      <c r="G4156" s="26">
        <v>5.0</v>
      </c>
      <c r="H4156" s="26">
        <v>3.0</v>
      </c>
      <c r="I4156" s="26">
        <v>160.0</v>
      </c>
      <c r="J4156" s="26">
        <v>30.0</v>
      </c>
      <c r="K4156" s="26">
        <v>25.0</v>
      </c>
      <c r="N4156" s="26" t="s">
        <v>704</v>
      </c>
    </row>
    <row r="4157">
      <c r="A4157" s="25">
        <v>43435.56862440972</v>
      </c>
      <c r="B4157" s="26" t="s">
        <v>40</v>
      </c>
      <c r="C4157" s="26">
        <v>59.0</v>
      </c>
      <c r="D4157" s="26" t="s">
        <v>711</v>
      </c>
      <c r="E4157" s="26">
        <v>160.0</v>
      </c>
      <c r="F4157" s="26" t="s">
        <v>894</v>
      </c>
      <c r="G4157" s="26">
        <v>0.0</v>
      </c>
      <c r="H4157" s="26">
        <v>0.0</v>
      </c>
      <c r="I4157" s="26">
        <v>109.0</v>
      </c>
      <c r="J4157" s="26">
        <v>30.0</v>
      </c>
      <c r="K4157" s="26">
        <v>21.0</v>
      </c>
      <c r="M4157" s="26" t="s">
        <v>449</v>
      </c>
      <c r="N4157" s="26" t="s">
        <v>691</v>
      </c>
    </row>
    <row r="4158">
      <c r="A4158" s="25">
        <v>43435.61842362268</v>
      </c>
      <c r="B4158" s="26" t="s">
        <v>33</v>
      </c>
      <c r="C4158" s="26" t="s">
        <v>62</v>
      </c>
      <c r="D4158" s="26" t="s">
        <v>713</v>
      </c>
      <c r="E4158" s="26">
        <v>140.0</v>
      </c>
      <c r="F4158" s="26" t="s">
        <v>1794</v>
      </c>
      <c r="G4158" s="26">
        <v>17.0</v>
      </c>
      <c r="H4158" s="26">
        <v>1.0</v>
      </c>
      <c r="I4158" s="26">
        <v>120.0</v>
      </c>
      <c r="J4158" s="26">
        <v>40.0</v>
      </c>
      <c r="M4158" s="26" t="s">
        <v>449</v>
      </c>
      <c r="N4158" s="26" t="s">
        <v>683</v>
      </c>
    </row>
    <row r="4159">
      <c r="A4159" s="25">
        <v>43435.73429552083</v>
      </c>
      <c r="B4159" s="26" t="s">
        <v>45</v>
      </c>
      <c r="C4159" s="26" t="s">
        <v>102</v>
      </c>
      <c r="D4159" s="26" t="s">
        <v>31</v>
      </c>
      <c r="E4159" s="26">
        <v>165.0</v>
      </c>
      <c r="F4159" s="26" t="s">
        <v>104</v>
      </c>
      <c r="G4159" s="26">
        <v>0.0</v>
      </c>
      <c r="H4159" s="26">
        <v>0.0</v>
      </c>
      <c r="I4159" s="26">
        <v>130.0</v>
      </c>
      <c r="J4159" s="26">
        <v>25.0</v>
      </c>
      <c r="K4159" s="26">
        <v>10.0</v>
      </c>
      <c r="M4159" s="26" t="s">
        <v>449</v>
      </c>
      <c r="N4159" s="26" t="s">
        <v>691</v>
      </c>
    </row>
    <row r="4160">
      <c r="A4160" s="25">
        <v>43435.76486407407</v>
      </c>
      <c r="B4160" s="26" t="s">
        <v>33</v>
      </c>
      <c r="C4160" s="26" t="s">
        <v>43</v>
      </c>
      <c r="D4160" s="26" t="s">
        <v>31</v>
      </c>
      <c r="E4160" s="26">
        <v>287.0</v>
      </c>
      <c r="F4160" s="26" t="s">
        <v>35</v>
      </c>
      <c r="G4160" s="26">
        <v>2.0</v>
      </c>
      <c r="H4160" s="26">
        <v>0.0</v>
      </c>
      <c r="I4160" s="26">
        <v>160.0</v>
      </c>
      <c r="J4160" s="26">
        <v>83.0</v>
      </c>
      <c r="K4160" s="26">
        <v>44.0</v>
      </c>
      <c r="M4160" s="26" t="s">
        <v>449</v>
      </c>
      <c r="N4160" s="26" t="s">
        <v>685</v>
      </c>
    </row>
    <row r="4161">
      <c r="A4161" s="25">
        <v>43435.796895</v>
      </c>
      <c r="B4161" s="26" t="s">
        <v>33</v>
      </c>
      <c r="C4161" s="26" t="s">
        <v>43</v>
      </c>
      <c r="D4161" s="26" t="s">
        <v>1234</v>
      </c>
      <c r="E4161" s="26">
        <v>280.0</v>
      </c>
      <c r="F4161" s="26" t="s">
        <v>32</v>
      </c>
      <c r="G4161" s="26">
        <v>2.0</v>
      </c>
      <c r="H4161" s="26">
        <v>0.0</v>
      </c>
      <c r="I4161" s="26">
        <v>165.0</v>
      </c>
      <c r="M4161" s="26" t="s">
        <v>458</v>
      </c>
      <c r="N4161" s="26" t="s">
        <v>691</v>
      </c>
    </row>
    <row r="4162">
      <c r="A4162" s="25">
        <v>43435.88263626157</v>
      </c>
      <c r="B4162" s="26" t="s">
        <v>80</v>
      </c>
      <c r="C4162" s="26" t="s">
        <v>26</v>
      </c>
      <c r="D4162" s="26" t="s">
        <v>31</v>
      </c>
      <c r="E4162" s="26">
        <v>167.0</v>
      </c>
      <c r="F4162" s="26" t="s">
        <v>549</v>
      </c>
      <c r="G4162" s="26">
        <v>0.0</v>
      </c>
      <c r="H4162" s="26">
        <v>0.0</v>
      </c>
      <c r="I4162" s="26">
        <v>102.0</v>
      </c>
      <c r="J4162" s="26">
        <v>50.0</v>
      </c>
      <c r="K4162" s="26">
        <v>15.0</v>
      </c>
      <c r="M4162" s="26" t="s">
        <v>449</v>
      </c>
      <c r="N4162" s="26" t="s">
        <v>685</v>
      </c>
    </row>
    <row r="4163">
      <c r="A4163" s="25">
        <v>43435.927255902774</v>
      </c>
      <c r="B4163" s="26" t="s">
        <v>188</v>
      </c>
      <c r="C4163" s="26" t="s">
        <v>73</v>
      </c>
      <c r="D4163" s="26" t="s">
        <v>31</v>
      </c>
      <c r="E4163" s="26">
        <v>400.0</v>
      </c>
      <c r="F4163" s="26" t="s">
        <v>137</v>
      </c>
      <c r="G4163" s="26">
        <v>8.0</v>
      </c>
      <c r="H4163" s="26">
        <v>0.0</v>
      </c>
      <c r="I4163" s="26">
        <v>190.0</v>
      </c>
      <c r="J4163" s="26">
        <v>190.0</v>
      </c>
      <c r="K4163" s="26">
        <v>30.0</v>
      </c>
      <c r="N4163" s="26" t="s">
        <v>685</v>
      </c>
    </row>
    <row r="4164">
      <c r="A4164" s="25">
        <v>43435.94439405092</v>
      </c>
      <c r="B4164" s="26" t="s">
        <v>268</v>
      </c>
      <c r="C4164" s="26" t="s">
        <v>966</v>
      </c>
      <c r="D4164" s="26" t="s">
        <v>2602</v>
      </c>
      <c r="E4164" s="26">
        <v>150.0</v>
      </c>
      <c r="F4164" s="26" t="s">
        <v>238</v>
      </c>
      <c r="G4164" s="26">
        <v>20.0</v>
      </c>
      <c r="H4164" s="26">
        <v>2.0</v>
      </c>
      <c r="M4164" s="26" t="s">
        <v>458</v>
      </c>
      <c r="N4164" s="26" t="s">
        <v>2603</v>
      </c>
    </row>
    <row r="4165">
      <c r="A4165" s="25">
        <v>43436.03279471065</v>
      </c>
      <c r="B4165" s="26" t="s">
        <v>45</v>
      </c>
      <c r="C4165" s="26" t="s">
        <v>98</v>
      </c>
      <c r="D4165" s="26" t="s">
        <v>31</v>
      </c>
      <c r="E4165" s="26">
        <v>137.0</v>
      </c>
      <c r="F4165" s="26" t="s">
        <v>92</v>
      </c>
      <c r="G4165" s="26">
        <v>0.0</v>
      </c>
      <c r="H4165" s="26">
        <v>1.5</v>
      </c>
      <c r="I4165" s="26">
        <v>110.0</v>
      </c>
      <c r="J4165" s="26">
        <v>12.0</v>
      </c>
      <c r="K4165" s="26">
        <v>15.0</v>
      </c>
      <c r="M4165" s="26" t="s">
        <v>449</v>
      </c>
      <c r="N4165" s="26" t="s">
        <v>728</v>
      </c>
    </row>
    <row r="4166">
      <c r="A4166" s="25">
        <v>43436.314054710645</v>
      </c>
      <c r="B4166" s="26" t="s">
        <v>371</v>
      </c>
      <c r="C4166" s="26" t="s">
        <v>372</v>
      </c>
      <c r="D4166" s="26" t="s">
        <v>31</v>
      </c>
      <c r="E4166" s="26">
        <v>148.0</v>
      </c>
      <c r="F4166" s="26" t="s">
        <v>459</v>
      </c>
      <c r="G4166" s="26">
        <v>6.0</v>
      </c>
      <c r="H4166" s="26">
        <v>8.0</v>
      </c>
      <c r="I4166" s="26">
        <v>130.0</v>
      </c>
      <c r="J4166" s="26">
        <v>6.0</v>
      </c>
      <c r="K4166" s="26">
        <v>12.0</v>
      </c>
      <c r="M4166" s="26" t="s">
        <v>449</v>
      </c>
      <c r="N4166" s="26" t="s">
        <v>751</v>
      </c>
    </row>
    <row r="4167">
      <c r="A4167" s="25">
        <v>43436.40885383102</v>
      </c>
      <c r="B4167" s="26" t="s">
        <v>80</v>
      </c>
      <c r="C4167" s="26" t="s">
        <v>26</v>
      </c>
      <c r="D4167" s="26" t="s">
        <v>31</v>
      </c>
      <c r="E4167" s="26">
        <v>163.0</v>
      </c>
      <c r="F4167" s="26" t="s">
        <v>51</v>
      </c>
      <c r="G4167" s="26">
        <v>0.0</v>
      </c>
      <c r="H4167" s="26">
        <v>0.0</v>
      </c>
      <c r="I4167" s="26">
        <v>120.0</v>
      </c>
      <c r="J4167" s="26">
        <v>25.0</v>
      </c>
      <c r="K4167" s="26">
        <v>18.0</v>
      </c>
      <c r="M4167" s="26" t="s">
        <v>449</v>
      </c>
      <c r="N4167" s="26" t="s">
        <v>704</v>
      </c>
    </row>
    <row r="4168">
      <c r="A4168" s="25">
        <v>43436.420129791666</v>
      </c>
      <c r="B4168" s="26" t="s">
        <v>722</v>
      </c>
      <c r="C4168" s="26" t="s">
        <v>152</v>
      </c>
      <c r="D4168" s="26" t="s">
        <v>2604</v>
      </c>
      <c r="E4168" s="26">
        <v>159.0</v>
      </c>
      <c r="F4168" s="26" t="s">
        <v>86</v>
      </c>
      <c r="G4168" s="26">
        <v>12.0</v>
      </c>
      <c r="H4168" s="26">
        <v>1.0</v>
      </c>
      <c r="I4168" s="26">
        <v>132.0</v>
      </c>
      <c r="J4168" s="26">
        <v>10.0</v>
      </c>
      <c r="K4168" s="26">
        <v>19.0</v>
      </c>
      <c r="M4168" s="26" t="s">
        <v>449</v>
      </c>
      <c r="N4168" s="26" t="s">
        <v>728</v>
      </c>
    </row>
    <row r="4169">
      <c r="A4169" s="25">
        <v>43436.46622261574</v>
      </c>
      <c r="B4169" s="26" t="s">
        <v>36</v>
      </c>
      <c r="C4169" s="26" t="s">
        <v>610</v>
      </c>
      <c r="D4169" s="26" t="s">
        <v>31</v>
      </c>
      <c r="E4169" s="26">
        <v>59.0</v>
      </c>
      <c r="F4169" s="26" t="s">
        <v>1688</v>
      </c>
      <c r="G4169" s="26">
        <v>4.0</v>
      </c>
      <c r="H4169" s="26">
        <v>0.0</v>
      </c>
      <c r="I4169" s="26">
        <v>42.0</v>
      </c>
      <c r="J4169" s="26">
        <v>12.0</v>
      </c>
      <c r="K4169" s="26">
        <v>5.0</v>
      </c>
      <c r="M4169" s="26" t="s">
        <v>449</v>
      </c>
      <c r="N4169" s="26" t="s">
        <v>685</v>
      </c>
    </row>
    <row r="4170">
      <c r="A4170" s="25">
        <v>43436.57198184028</v>
      </c>
      <c r="B4170" s="26" t="s">
        <v>33</v>
      </c>
      <c r="C4170" s="26" t="s">
        <v>1061</v>
      </c>
      <c r="D4170" s="26" t="s">
        <v>41</v>
      </c>
      <c r="E4170" s="26">
        <v>350.0</v>
      </c>
      <c r="F4170" s="26" t="s">
        <v>35</v>
      </c>
      <c r="G4170" s="26">
        <v>8.0</v>
      </c>
      <c r="H4170" s="26">
        <v>4.0</v>
      </c>
      <c r="N4170" s="26" t="s">
        <v>685</v>
      </c>
    </row>
    <row r="4171">
      <c r="A4171" s="25">
        <v>43436.63767087963</v>
      </c>
      <c r="B4171" s="26" t="s">
        <v>48</v>
      </c>
      <c r="C4171" s="26" t="s">
        <v>2605</v>
      </c>
      <c r="D4171" s="26" t="s">
        <v>27</v>
      </c>
      <c r="E4171" s="26">
        <v>152.0</v>
      </c>
      <c r="F4171" s="26" t="s">
        <v>415</v>
      </c>
      <c r="G4171" s="26">
        <v>1.0</v>
      </c>
      <c r="H4171" s="26">
        <v>0.0</v>
      </c>
      <c r="M4171" s="26" t="s">
        <v>449</v>
      </c>
      <c r="N4171" s="26" t="s">
        <v>1043</v>
      </c>
    </row>
    <row r="4172">
      <c r="A4172" s="25">
        <v>43436.674015428245</v>
      </c>
      <c r="B4172" s="26" t="s">
        <v>139</v>
      </c>
      <c r="C4172" s="26" t="s">
        <v>117</v>
      </c>
      <c r="D4172" s="26" t="s">
        <v>31</v>
      </c>
      <c r="E4172" s="26">
        <v>160.0</v>
      </c>
      <c r="F4172" s="26" t="s">
        <v>134</v>
      </c>
      <c r="G4172" s="26">
        <v>3.0</v>
      </c>
      <c r="H4172" s="26">
        <v>3.0</v>
      </c>
      <c r="I4172" s="26">
        <v>120.0</v>
      </c>
      <c r="J4172" s="26">
        <v>28.0</v>
      </c>
      <c r="K4172" s="26">
        <v>12.0</v>
      </c>
      <c r="M4172" s="26" t="s">
        <v>449</v>
      </c>
      <c r="N4172" s="26" t="s">
        <v>708</v>
      </c>
    </row>
    <row r="4173">
      <c r="A4173" s="25">
        <v>43436.6958659838</v>
      </c>
      <c r="B4173" s="26" t="s">
        <v>48</v>
      </c>
      <c r="C4173" s="26" t="s">
        <v>69</v>
      </c>
      <c r="D4173" s="26" t="s">
        <v>31</v>
      </c>
      <c r="E4173" s="26">
        <v>120.0</v>
      </c>
      <c r="F4173" s="26" t="s">
        <v>1624</v>
      </c>
      <c r="G4173" s="26">
        <v>8.0</v>
      </c>
      <c r="H4173" s="26">
        <v>0.0</v>
      </c>
      <c r="I4173" s="26">
        <v>100.0</v>
      </c>
      <c r="J4173" s="26">
        <v>10.0</v>
      </c>
      <c r="K4173" s="26">
        <v>10.0</v>
      </c>
      <c r="M4173" s="26" t="s">
        <v>449</v>
      </c>
      <c r="N4173" s="26" t="s">
        <v>683</v>
      </c>
    </row>
    <row r="4174">
      <c r="A4174" s="25">
        <v>43436.73620584491</v>
      </c>
      <c r="B4174" s="26" t="s">
        <v>2606</v>
      </c>
      <c r="C4174" s="26" t="s">
        <v>26</v>
      </c>
      <c r="D4174" s="26" t="s">
        <v>711</v>
      </c>
      <c r="E4174" s="26">
        <v>140.0</v>
      </c>
      <c r="F4174" s="26" t="s">
        <v>1835</v>
      </c>
      <c r="G4174" s="26">
        <v>4.0</v>
      </c>
      <c r="H4174" s="26">
        <v>3.0</v>
      </c>
      <c r="I4174" s="26">
        <v>100.0</v>
      </c>
      <c r="J4174" s="26">
        <v>20.0</v>
      </c>
      <c r="K4174" s="26">
        <v>20.0</v>
      </c>
      <c r="M4174" s="26" t="s">
        <v>449</v>
      </c>
      <c r="N4174" s="26" t="s">
        <v>691</v>
      </c>
    </row>
    <row r="4175">
      <c r="A4175" s="25">
        <v>43436.82036326389</v>
      </c>
      <c r="B4175" s="26" t="s">
        <v>109</v>
      </c>
      <c r="C4175" s="26" t="s">
        <v>271</v>
      </c>
      <c r="D4175" s="26" t="s">
        <v>31</v>
      </c>
      <c r="E4175" s="26">
        <v>300.0</v>
      </c>
      <c r="F4175" s="26" t="s">
        <v>35</v>
      </c>
      <c r="G4175" s="26">
        <v>8.0</v>
      </c>
      <c r="H4175" s="26">
        <v>1.0</v>
      </c>
      <c r="I4175" s="26">
        <v>175.0</v>
      </c>
      <c r="J4175" s="26">
        <v>70.0</v>
      </c>
      <c r="K4175" s="26">
        <v>55.0</v>
      </c>
      <c r="L4175" s="26" t="s">
        <v>2607</v>
      </c>
      <c r="M4175" s="26" t="s">
        <v>458</v>
      </c>
      <c r="N4175" s="26" t="s">
        <v>704</v>
      </c>
    </row>
    <row r="4176">
      <c r="A4176" s="25">
        <v>43436.82559436343</v>
      </c>
      <c r="B4176" s="26" t="s">
        <v>263</v>
      </c>
      <c r="C4176" s="26" t="s">
        <v>749</v>
      </c>
      <c r="D4176" s="26" t="s">
        <v>31</v>
      </c>
      <c r="E4176" s="26">
        <v>300.0</v>
      </c>
      <c r="F4176" s="26" t="s">
        <v>35</v>
      </c>
      <c r="G4176" s="26">
        <v>8.0</v>
      </c>
      <c r="H4176" s="26">
        <v>1.0</v>
      </c>
      <c r="I4176" s="26">
        <v>155.0</v>
      </c>
      <c r="J4176" s="26">
        <v>137.0</v>
      </c>
      <c r="K4176" s="26">
        <v>16.0</v>
      </c>
      <c r="M4176" s="26" t="s">
        <v>458</v>
      </c>
      <c r="N4176" s="26" t="s">
        <v>907</v>
      </c>
    </row>
    <row r="4177">
      <c r="A4177" s="25">
        <v>43436.857752916665</v>
      </c>
      <c r="B4177" s="26" t="s">
        <v>33</v>
      </c>
      <c r="C4177" s="26" t="s">
        <v>1291</v>
      </c>
      <c r="D4177" s="26" t="s">
        <v>2608</v>
      </c>
      <c r="E4177" s="26">
        <v>185.0</v>
      </c>
      <c r="F4177" s="26" t="s">
        <v>35</v>
      </c>
      <c r="G4177" s="26">
        <v>15.0</v>
      </c>
      <c r="H4177" s="26">
        <v>4.0</v>
      </c>
      <c r="I4177" s="26">
        <v>128000.0</v>
      </c>
      <c r="M4177" s="26" t="s">
        <v>449</v>
      </c>
      <c r="N4177" s="26" t="s">
        <v>2609</v>
      </c>
    </row>
    <row r="4178">
      <c r="A4178" s="25">
        <v>43436.89998818287</v>
      </c>
      <c r="B4178" s="26" t="s">
        <v>40</v>
      </c>
      <c r="C4178" s="26">
        <v>61.0</v>
      </c>
      <c r="D4178" s="26" t="s">
        <v>31</v>
      </c>
      <c r="E4178" s="26">
        <v>174.0</v>
      </c>
      <c r="F4178" s="26" t="s">
        <v>32</v>
      </c>
      <c r="G4178" s="26">
        <v>9.0</v>
      </c>
      <c r="H4178" s="26">
        <v>3.0</v>
      </c>
      <c r="I4178" s="26">
        <v>140.0</v>
      </c>
      <c r="J4178" s="26">
        <v>12.0</v>
      </c>
      <c r="K4178" s="26">
        <v>28.0</v>
      </c>
      <c r="N4178" s="26" t="s">
        <v>683</v>
      </c>
    </row>
    <row r="4179">
      <c r="A4179" s="25">
        <v>43437.269550729165</v>
      </c>
      <c r="B4179" s="26" t="s">
        <v>387</v>
      </c>
      <c r="C4179" s="26" t="s">
        <v>271</v>
      </c>
      <c r="D4179" s="26" t="s">
        <v>711</v>
      </c>
      <c r="E4179" s="26">
        <v>169.0</v>
      </c>
      <c r="F4179" s="26" t="s">
        <v>32</v>
      </c>
      <c r="G4179" s="26">
        <v>2.0</v>
      </c>
      <c r="H4179" s="26">
        <v>2.0</v>
      </c>
      <c r="I4179" s="26">
        <v>120.0</v>
      </c>
      <c r="J4179" s="26">
        <v>37.0</v>
      </c>
      <c r="K4179" s="26">
        <v>12.0</v>
      </c>
      <c r="M4179" s="26" t="s">
        <v>449</v>
      </c>
      <c r="N4179" s="26" t="s">
        <v>685</v>
      </c>
    </row>
    <row r="4180">
      <c r="A4180" s="25">
        <v>43437.39518244213</v>
      </c>
      <c r="B4180" s="26" t="s">
        <v>139</v>
      </c>
      <c r="C4180" s="26" t="s">
        <v>486</v>
      </c>
      <c r="D4180" s="26" t="s">
        <v>31</v>
      </c>
      <c r="E4180" s="26">
        <v>500.0</v>
      </c>
      <c r="F4180" s="26" t="s">
        <v>134</v>
      </c>
      <c r="G4180" s="26">
        <v>21.0</v>
      </c>
      <c r="H4180" s="26">
        <v>9.0</v>
      </c>
      <c r="I4180" s="26">
        <v>238.0</v>
      </c>
      <c r="J4180" s="26">
        <v>200.0</v>
      </c>
      <c r="K4180" s="26">
        <v>60.0</v>
      </c>
      <c r="M4180" s="26" t="s">
        <v>449</v>
      </c>
      <c r="N4180" s="26" t="s">
        <v>685</v>
      </c>
    </row>
    <row r="4181">
      <c r="A4181" s="25">
        <v>43437.41220359954</v>
      </c>
      <c r="B4181" s="26" t="s">
        <v>170</v>
      </c>
      <c r="C4181" s="26" t="s">
        <v>606</v>
      </c>
      <c r="D4181" s="26" t="s">
        <v>713</v>
      </c>
      <c r="E4181" s="26">
        <v>325.0</v>
      </c>
      <c r="F4181" s="26" t="s">
        <v>521</v>
      </c>
      <c r="G4181" s="26">
        <v>35.0</v>
      </c>
      <c r="H4181" s="26">
        <v>29.0</v>
      </c>
      <c r="I4181" s="26">
        <v>200.0</v>
      </c>
      <c r="J4181" s="26">
        <v>56.0</v>
      </c>
      <c r="K4181" s="26">
        <v>70.0</v>
      </c>
      <c r="M4181" s="26" t="s">
        <v>458</v>
      </c>
      <c r="N4181" s="26" t="s">
        <v>2610</v>
      </c>
    </row>
    <row r="4182">
      <c r="A4182" s="25">
        <v>43437.52335675926</v>
      </c>
      <c r="B4182" s="26" t="s">
        <v>452</v>
      </c>
      <c r="C4182" s="26" t="s">
        <v>2611</v>
      </c>
      <c r="D4182" s="26" t="s">
        <v>31</v>
      </c>
      <c r="E4182" s="26">
        <v>180.0</v>
      </c>
      <c r="F4182" s="26" t="s">
        <v>161</v>
      </c>
      <c r="G4182" s="26">
        <v>7.0</v>
      </c>
      <c r="H4182" s="26">
        <v>6.0</v>
      </c>
      <c r="I4182" s="26">
        <v>145.0</v>
      </c>
      <c r="J4182" s="26">
        <v>30.0</v>
      </c>
      <c r="K4182" s="26">
        <v>15.0</v>
      </c>
      <c r="M4182" s="26" t="s">
        <v>1804</v>
      </c>
      <c r="N4182" s="26" t="s">
        <v>683</v>
      </c>
    </row>
    <row r="4183">
      <c r="A4183" s="25">
        <v>43437.60197059027</v>
      </c>
      <c r="B4183" s="26" t="s">
        <v>80</v>
      </c>
      <c r="C4183" s="26" t="s">
        <v>73</v>
      </c>
      <c r="D4183" s="26" t="s">
        <v>2612</v>
      </c>
      <c r="E4183" s="26">
        <v>250.0</v>
      </c>
      <c r="F4183" s="26" t="s">
        <v>175</v>
      </c>
      <c r="G4183" s="26">
        <v>10.0</v>
      </c>
      <c r="H4183" s="26">
        <v>4.0</v>
      </c>
      <c r="I4183" s="26">
        <v>130.0</v>
      </c>
      <c r="J4183" s="26">
        <v>100.0</v>
      </c>
      <c r="K4183" s="26">
        <v>20.0</v>
      </c>
      <c r="M4183" s="26" t="s">
        <v>449</v>
      </c>
      <c r="N4183" s="26" t="s">
        <v>2613</v>
      </c>
    </row>
    <row r="4184">
      <c r="A4184" s="25">
        <v>43437.61028501157</v>
      </c>
      <c r="B4184" s="26" t="s">
        <v>36</v>
      </c>
      <c r="C4184" s="26" t="s">
        <v>610</v>
      </c>
      <c r="D4184" s="26" t="s">
        <v>31</v>
      </c>
      <c r="E4184" s="26">
        <v>200.0</v>
      </c>
      <c r="F4184" s="26" t="s">
        <v>297</v>
      </c>
      <c r="G4184" s="26">
        <v>4.0</v>
      </c>
      <c r="H4184" s="26">
        <v>2.0</v>
      </c>
      <c r="I4184" s="26">
        <v>137.0</v>
      </c>
      <c r="J4184" s="26">
        <v>50.0</v>
      </c>
      <c r="K4184" s="26">
        <v>13.0</v>
      </c>
      <c r="M4184" s="26" t="s">
        <v>458</v>
      </c>
      <c r="N4184" s="26" t="s">
        <v>691</v>
      </c>
    </row>
    <row r="4185">
      <c r="A4185" s="25">
        <v>43437.61028569445</v>
      </c>
      <c r="B4185" s="26" t="s">
        <v>36</v>
      </c>
      <c r="C4185" s="26" t="s">
        <v>610</v>
      </c>
      <c r="D4185" s="26" t="s">
        <v>31</v>
      </c>
      <c r="E4185" s="26">
        <v>200.0</v>
      </c>
      <c r="F4185" s="26" t="s">
        <v>297</v>
      </c>
      <c r="G4185" s="26">
        <v>4.0</v>
      </c>
      <c r="H4185" s="26">
        <v>2.0</v>
      </c>
      <c r="I4185" s="26">
        <v>137.0</v>
      </c>
      <c r="J4185" s="26">
        <v>50.0</v>
      </c>
      <c r="K4185" s="26">
        <v>13.0</v>
      </c>
      <c r="M4185" s="26" t="s">
        <v>458</v>
      </c>
      <c r="N4185" s="26" t="s">
        <v>691</v>
      </c>
    </row>
    <row r="4186">
      <c r="A4186" s="25">
        <v>43437.61247158565</v>
      </c>
      <c r="B4186" s="26" t="s">
        <v>1946</v>
      </c>
      <c r="C4186" s="26" t="s">
        <v>96</v>
      </c>
      <c r="D4186" s="26" t="s">
        <v>31</v>
      </c>
      <c r="E4186" s="26">
        <v>100.0</v>
      </c>
      <c r="F4186" s="26" t="s">
        <v>140</v>
      </c>
      <c r="G4186" s="26">
        <v>3.0</v>
      </c>
      <c r="H4186" s="26">
        <v>3.0</v>
      </c>
      <c r="I4186" s="26">
        <v>100.0</v>
      </c>
      <c r="K4186" s="26">
        <v>5.0</v>
      </c>
      <c r="M4186" s="26" t="s">
        <v>449</v>
      </c>
      <c r="N4186" s="26" t="s">
        <v>704</v>
      </c>
    </row>
    <row r="4187">
      <c r="A4187" s="25">
        <v>43437.71972245371</v>
      </c>
      <c r="B4187" s="26" t="s">
        <v>2614</v>
      </c>
      <c r="C4187" s="26" t="s">
        <v>1174</v>
      </c>
      <c r="D4187" s="26" t="s">
        <v>1236</v>
      </c>
      <c r="E4187" s="26">
        <v>165.0</v>
      </c>
      <c r="F4187" s="26" t="s">
        <v>2615</v>
      </c>
      <c r="G4187" s="26">
        <v>10.0</v>
      </c>
      <c r="H4187" s="26">
        <v>10.0</v>
      </c>
      <c r="N4187" s="26" t="s">
        <v>2616</v>
      </c>
    </row>
    <row r="4188">
      <c r="A4188" s="25">
        <v>43437.748969803244</v>
      </c>
      <c r="B4188" s="26" t="s">
        <v>319</v>
      </c>
      <c r="C4188" s="26">
        <v>6.0</v>
      </c>
      <c r="D4188" s="26" t="s">
        <v>31</v>
      </c>
      <c r="E4188" s="26">
        <v>93.0</v>
      </c>
      <c r="F4188" s="26" t="s">
        <v>178</v>
      </c>
      <c r="G4188" s="26">
        <v>0.0</v>
      </c>
      <c r="H4188" s="26">
        <v>0.0</v>
      </c>
      <c r="I4188" s="26">
        <v>93.0</v>
      </c>
      <c r="J4188" s="26">
        <v>2.0</v>
      </c>
      <c r="L4188" s="26" t="s">
        <v>2617</v>
      </c>
      <c r="M4188" s="26" t="s">
        <v>458</v>
      </c>
      <c r="N4188" s="26" t="s">
        <v>691</v>
      </c>
    </row>
    <row r="4189">
      <c r="A4189" s="25">
        <v>43437.83445042824</v>
      </c>
      <c r="B4189" s="26" t="s">
        <v>40</v>
      </c>
      <c r="C4189" s="26">
        <v>65.0</v>
      </c>
      <c r="D4189" s="26" t="s">
        <v>31</v>
      </c>
      <c r="E4189" s="26">
        <v>380.0</v>
      </c>
      <c r="F4189" s="26" t="s">
        <v>75</v>
      </c>
      <c r="G4189" s="26">
        <v>7.0</v>
      </c>
      <c r="H4189" s="26">
        <v>6.0</v>
      </c>
      <c r="N4189" s="26" t="s">
        <v>685</v>
      </c>
    </row>
    <row r="4190">
      <c r="A4190" s="25">
        <v>43437.97602238426</v>
      </c>
      <c r="B4190" s="26" t="s">
        <v>80</v>
      </c>
      <c r="C4190" s="26" t="s">
        <v>62</v>
      </c>
      <c r="D4190" s="26" t="s">
        <v>31</v>
      </c>
      <c r="E4190" s="26">
        <v>330.0</v>
      </c>
      <c r="F4190" s="26" t="s">
        <v>51</v>
      </c>
      <c r="G4190" s="26">
        <v>8.0</v>
      </c>
      <c r="H4190" s="26">
        <v>6.0</v>
      </c>
      <c r="M4190" s="26" t="s">
        <v>449</v>
      </c>
      <c r="N4190" s="26" t="s">
        <v>685</v>
      </c>
    </row>
    <row r="4191">
      <c r="A4191" s="25">
        <v>43437.980099016204</v>
      </c>
      <c r="B4191" s="26" t="s">
        <v>673</v>
      </c>
      <c r="C4191" s="26" t="s">
        <v>2545</v>
      </c>
      <c r="D4191" s="26" t="s">
        <v>31</v>
      </c>
      <c r="E4191" s="26">
        <v>236.0</v>
      </c>
      <c r="F4191" s="26" t="s">
        <v>238</v>
      </c>
      <c r="G4191" s="26">
        <v>10.0</v>
      </c>
      <c r="H4191" s="26">
        <v>0.0</v>
      </c>
      <c r="I4191" s="26">
        <v>185.0</v>
      </c>
      <c r="J4191" s="26">
        <v>33.0</v>
      </c>
      <c r="K4191" s="26">
        <v>18.0</v>
      </c>
      <c r="M4191" s="26" t="s">
        <v>449</v>
      </c>
      <c r="N4191" s="26" t="s">
        <v>696</v>
      </c>
    </row>
    <row r="4192">
      <c r="A4192" s="25">
        <v>43437.996522013884</v>
      </c>
      <c r="B4192" s="26" t="s">
        <v>33</v>
      </c>
      <c r="C4192" s="26" t="s">
        <v>73</v>
      </c>
      <c r="D4192" s="26" t="s">
        <v>31</v>
      </c>
      <c r="E4192" s="26">
        <v>158.0</v>
      </c>
      <c r="F4192" s="26" t="s">
        <v>35</v>
      </c>
      <c r="G4192" s="26">
        <v>3.0</v>
      </c>
      <c r="H4192" s="26">
        <v>0.0</v>
      </c>
      <c r="I4192" s="26">
        <v>110.0</v>
      </c>
      <c r="J4192" s="26">
        <v>23.0</v>
      </c>
      <c r="K4192" s="26">
        <v>25.0</v>
      </c>
      <c r="M4192" s="26" t="s">
        <v>449</v>
      </c>
      <c r="N4192" s="26" t="s">
        <v>683</v>
      </c>
    </row>
    <row r="4193">
      <c r="A4193" s="25">
        <v>43438.165406875</v>
      </c>
      <c r="B4193" s="26" t="s">
        <v>2618</v>
      </c>
      <c r="C4193" s="26" t="s">
        <v>1345</v>
      </c>
      <c r="D4193" s="26" t="s">
        <v>31</v>
      </c>
      <c r="E4193" s="26">
        <v>12.0</v>
      </c>
      <c r="F4193" s="26" t="s">
        <v>2619</v>
      </c>
      <c r="G4193" s="26">
        <v>0.0</v>
      </c>
      <c r="H4193" s="26">
        <v>0.0</v>
      </c>
      <c r="N4193" s="26" t="s">
        <v>704</v>
      </c>
    </row>
    <row r="4194">
      <c r="A4194" s="25">
        <v>43438.29054987269</v>
      </c>
      <c r="B4194" s="26" t="s">
        <v>40</v>
      </c>
      <c r="C4194" s="26">
        <v>62.0</v>
      </c>
      <c r="D4194" s="26" t="s">
        <v>711</v>
      </c>
      <c r="E4194" s="26">
        <v>183.0</v>
      </c>
      <c r="F4194" s="26" t="s">
        <v>178</v>
      </c>
      <c r="G4194" s="26">
        <v>8.0</v>
      </c>
      <c r="H4194" s="26">
        <v>3.0</v>
      </c>
      <c r="I4194" s="26">
        <v>157.0</v>
      </c>
      <c r="J4194" s="26">
        <v>11.0</v>
      </c>
      <c r="K4194" s="26">
        <v>15.0</v>
      </c>
      <c r="M4194" s="26" t="s">
        <v>449</v>
      </c>
      <c r="N4194" s="26" t="s">
        <v>1121</v>
      </c>
    </row>
    <row r="4195">
      <c r="A4195" s="25">
        <v>43438.41416460648</v>
      </c>
      <c r="B4195" s="26" t="s">
        <v>80</v>
      </c>
      <c r="C4195" s="26" t="s">
        <v>26</v>
      </c>
      <c r="D4195" s="26" t="s">
        <v>31</v>
      </c>
      <c r="E4195" s="26">
        <v>169.0</v>
      </c>
      <c r="F4195" s="26" t="s">
        <v>227</v>
      </c>
      <c r="G4195" s="26">
        <v>1.0</v>
      </c>
      <c r="H4195" s="26">
        <v>0.0</v>
      </c>
      <c r="I4195" s="26">
        <v>114.0</v>
      </c>
      <c r="J4195" s="26">
        <v>35.0</v>
      </c>
      <c r="K4195" s="26">
        <v>20.0</v>
      </c>
      <c r="M4195" s="26" t="s">
        <v>449</v>
      </c>
      <c r="N4195" s="26" t="s">
        <v>685</v>
      </c>
    </row>
    <row r="4196">
      <c r="A4196" s="25">
        <v>43438.42248201389</v>
      </c>
      <c r="B4196" s="26" t="s">
        <v>371</v>
      </c>
      <c r="C4196" s="26" t="s">
        <v>541</v>
      </c>
      <c r="D4196" s="26" t="s">
        <v>31</v>
      </c>
      <c r="E4196" s="26">
        <v>175.0</v>
      </c>
      <c r="F4196" s="26" t="s">
        <v>459</v>
      </c>
      <c r="G4196" s="26">
        <v>5.0</v>
      </c>
      <c r="H4196" s="26">
        <v>5.0</v>
      </c>
      <c r="I4196" s="26">
        <v>141.0</v>
      </c>
      <c r="J4196" s="26">
        <v>20.0</v>
      </c>
      <c r="K4196" s="26">
        <v>14.0</v>
      </c>
      <c r="M4196" s="26" t="s">
        <v>458</v>
      </c>
      <c r="N4196" s="26" t="s">
        <v>1247</v>
      </c>
    </row>
    <row r="4197">
      <c r="A4197" s="25">
        <v>43438.422949687505</v>
      </c>
      <c r="B4197" s="26" t="s">
        <v>371</v>
      </c>
      <c r="C4197" s="26" t="s">
        <v>372</v>
      </c>
      <c r="D4197" s="26" t="s">
        <v>31</v>
      </c>
      <c r="E4197" s="26">
        <v>186.0</v>
      </c>
      <c r="F4197" s="26" t="s">
        <v>453</v>
      </c>
      <c r="G4197" s="26">
        <v>5.0</v>
      </c>
      <c r="H4197" s="26">
        <v>5.0</v>
      </c>
      <c r="M4197" s="26" t="s">
        <v>458</v>
      </c>
      <c r="N4197" s="26" t="s">
        <v>1244</v>
      </c>
    </row>
    <row r="4198">
      <c r="A4198" s="25">
        <v>43438.43045869213</v>
      </c>
      <c r="B4198" s="26" t="s">
        <v>2620</v>
      </c>
      <c r="C4198" s="26" t="s">
        <v>155</v>
      </c>
      <c r="D4198" s="26" t="s">
        <v>713</v>
      </c>
      <c r="E4198" s="26">
        <v>160.0</v>
      </c>
      <c r="F4198" s="26" t="s">
        <v>2621</v>
      </c>
      <c r="G4198" s="26">
        <v>14.0</v>
      </c>
      <c r="H4198" s="26">
        <v>6.0</v>
      </c>
      <c r="I4198" s="26">
        <v>160.0</v>
      </c>
      <c r="M4198" s="26" t="s">
        <v>449</v>
      </c>
      <c r="N4198" s="26" t="s">
        <v>2622</v>
      </c>
    </row>
    <row r="4199">
      <c r="A4199" s="25">
        <v>43438.478886192126</v>
      </c>
      <c r="B4199" s="26" t="s">
        <v>80</v>
      </c>
      <c r="C4199" s="26" t="s">
        <v>62</v>
      </c>
      <c r="D4199" s="26" t="s">
        <v>31</v>
      </c>
      <c r="E4199" s="26">
        <v>720.0</v>
      </c>
      <c r="F4199" s="26" t="s">
        <v>51</v>
      </c>
      <c r="G4199" s="26">
        <v>19.0</v>
      </c>
      <c r="H4199" s="26">
        <v>7.0</v>
      </c>
      <c r="N4199" s="26" t="s">
        <v>715</v>
      </c>
    </row>
    <row r="4200">
      <c r="A4200" s="25">
        <v>43438.49609619213</v>
      </c>
      <c r="B4200" s="26" t="s">
        <v>33</v>
      </c>
      <c r="C4200" s="26">
        <v>6.0</v>
      </c>
      <c r="D4200" s="26" t="s">
        <v>41</v>
      </c>
      <c r="E4200" s="26">
        <v>138.0</v>
      </c>
      <c r="F4200" s="26" t="s">
        <v>1688</v>
      </c>
      <c r="G4200" s="26">
        <v>7.0</v>
      </c>
      <c r="H4200" s="26">
        <v>5.0</v>
      </c>
      <c r="I4200" s="26">
        <v>73.0</v>
      </c>
      <c r="J4200" s="26">
        <v>65.0</v>
      </c>
      <c r="M4200" s="26" t="s">
        <v>449</v>
      </c>
      <c r="N4200" s="26" t="s">
        <v>683</v>
      </c>
    </row>
    <row r="4201">
      <c r="A4201" s="25">
        <v>43438.512106828704</v>
      </c>
      <c r="B4201" s="26" t="s">
        <v>80</v>
      </c>
      <c r="C4201" s="26" t="s">
        <v>26</v>
      </c>
      <c r="D4201" s="26" t="s">
        <v>2623</v>
      </c>
      <c r="E4201" s="26">
        <v>168.0</v>
      </c>
      <c r="F4201" s="26" t="s">
        <v>178</v>
      </c>
      <c r="G4201" s="26">
        <v>0.0</v>
      </c>
      <c r="H4201" s="26">
        <v>0.0</v>
      </c>
      <c r="I4201" s="26">
        <v>116.0</v>
      </c>
      <c r="J4201" s="26">
        <v>35.0</v>
      </c>
      <c r="K4201" s="26">
        <v>17.0</v>
      </c>
      <c r="M4201" s="26" t="s">
        <v>449</v>
      </c>
      <c r="N4201" s="26" t="s">
        <v>715</v>
      </c>
    </row>
    <row r="4202">
      <c r="A4202" s="25">
        <v>43438.54936701389</v>
      </c>
      <c r="B4202" s="26" t="s">
        <v>25</v>
      </c>
      <c r="C4202" s="26" t="s">
        <v>1310</v>
      </c>
      <c r="D4202" s="26" t="s">
        <v>27</v>
      </c>
      <c r="E4202" s="26">
        <v>173.0</v>
      </c>
      <c r="F4202" s="26" t="s">
        <v>1146</v>
      </c>
      <c r="G4202" s="26">
        <v>18.0</v>
      </c>
      <c r="H4202" s="26">
        <v>7.0</v>
      </c>
      <c r="I4202" s="26">
        <v>173.0</v>
      </c>
      <c r="J4202" s="26">
        <v>10.0</v>
      </c>
      <c r="M4202" s="26" t="s">
        <v>449</v>
      </c>
      <c r="N4202" s="26" t="s">
        <v>685</v>
      </c>
    </row>
    <row r="4203">
      <c r="A4203" s="25">
        <v>43438.63915152778</v>
      </c>
      <c r="B4203" s="26" t="s">
        <v>80</v>
      </c>
      <c r="C4203" s="26" t="s">
        <v>26</v>
      </c>
      <c r="D4203" s="26" t="s">
        <v>31</v>
      </c>
      <c r="E4203" s="26">
        <v>170.0</v>
      </c>
      <c r="F4203" s="26" t="s">
        <v>51</v>
      </c>
      <c r="G4203" s="26">
        <v>0.0</v>
      </c>
      <c r="H4203" s="26">
        <v>0.0</v>
      </c>
      <c r="I4203" s="26">
        <v>125.0</v>
      </c>
      <c r="J4203" s="26">
        <v>25.0</v>
      </c>
      <c r="K4203" s="26">
        <v>20.0</v>
      </c>
      <c r="N4203" s="26" t="s">
        <v>757</v>
      </c>
    </row>
    <row r="4204">
      <c r="A4204" s="25">
        <v>43438.685873124996</v>
      </c>
      <c r="B4204" s="26" t="s">
        <v>33</v>
      </c>
      <c r="C4204" s="26" t="s">
        <v>73</v>
      </c>
      <c r="D4204" s="26" t="s">
        <v>31</v>
      </c>
      <c r="E4204" s="26">
        <v>120.0</v>
      </c>
      <c r="F4204" s="26" t="s">
        <v>35</v>
      </c>
      <c r="G4204" s="26">
        <v>0.0</v>
      </c>
      <c r="H4204" s="26">
        <v>0.0</v>
      </c>
      <c r="I4204" s="26">
        <v>120.0</v>
      </c>
      <c r="K4204" s="26">
        <v>35.0</v>
      </c>
      <c r="M4204" s="26" t="s">
        <v>449</v>
      </c>
      <c r="N4204" s="26" t="s">
        <v>704</v>
      </c>
    </row>
    <row r="4205">
      <c r="A4205" s="25">
        <v>43438.74397015046</v>
      </c>
      <c r="B4205" s="26" t="s">
        <v>80</v>
      </c>
      <c r="C4205" s="26" t="s">
        <v>73</v>
      </c>
      <c r="D4205" s="26" t="s">
        <v>31</v>
      </c>
      <c r="E4205" s="26">
        <v>170.0</v>
      </c>
      <c r="F4205" s="26" t="s">
        <v>2260</v>
      </c>
      <c r="G4205" s="26">
        <v>3.0</v>
      </c>
      <c r="H4205" s="26">
        <v>3.0</v>
      </c>
      <c r="N4205" s="26" t="s">
        <v>751</v>
      </c>
    </row>
    <row r="4206">
      <c r="A4206" s="25">
        <v>43438.766405925926</v>
      </c>
      <c r="B4206" s="26" t="s">
        <v>40</v>
      </c>
      <c r="C4206" s="26">
        <v>62.0</v>
      </c>
      <c r="D4206" s="26" t="s">
        <v>31</v>
      </c>
      <c r="E4206" s="26">
        <v>201.0</v>
      </c>
      <c r="F4206" s="26" t="s">
        <v>86</v>
      </c>
      <c r="G4206" s="26">
        <v>4.0</v>
      </c>
      <c r="H4206" s="26">
        <v>1.0</v>
      </c>
      <c r="I4206" s="26">
        <v>146.0</v>
      </c>
      <c r="J4206" s="26">
        <v>15.0</v>
      </c>
      <c r="K4206" s="26">
        <v>40.0</v>
      </c>
      <c r="M4206" s="26" t="s">
        <v>449</v>
      </c>
      <c r="N4206" s="26" t="s">
        <v>685</v>
      </c>
    </row>
    <row r="4207">
      <c r="A4207" s="25">
        <v>43438.79207947917</v>
      </c>
      <c r="B4207" s="26" t="s">
        <v>2624</v>
      </c>
      <c r="C4207" s="26" t="s">
        <v>1938</v>
      </c>
      <c r="D4207" s="26" t="s">
        <v>31</v>
      </c>
      <c r="E4207" s="26">
        <v>110.0</v>
      </c>
      <c r="F4207" s="26" t="s">
        <v>1855</v>
      </c>
      <c r="G4207" s="26">
        <v>3.0</v>
      </c>
      <c r="H4207" s="26">
        <v>1.0</v>
      </c>
      <c r="M4207" s="26" t="s">
        <v>449</v>
      </c>
      <c r="N4207" s="26" t="s">
        <v>683</v>
      </c>
    </row>
    <row r="4208">
      <c r="A4208" s="25">
        <v>43438.828930752316</v>
      </c>
      <c r="B4208" s="26" t="s">
        <v>80</v>
      </c>
      <c r="C4208" s="26" t="s">
        <v>62</v>
      </c>
      <c r="D4208" s="26" t="s">
        <v>2625</v>
      </c>
      <c r="E4208" s="26">
        <v>350.0</v>
      </c>
      <c r="F4208" s="26" t="s">
        <v>2626</v>
      </c>
      <c r="G4208" s="26">
        <v>13.0</v>
      </c>
      <c r="H4208" s="26">
        <v>6.0</v>
      </c>
      <c r="I4208" s="26">
        <v>190.0</v>
      </c>
      <c r="J4208" s="26">
        <v>120.0</v>
      </c>
      <c r="K4208" s="26">
        <v>40.0</v>
      </c>
      <c r="M4208" s="26" t="s">
        <v>449</v>
      </c>
      <c r="N4208" s="26" t="s">
        <v>2627</v>
      </c>
    </row>
    <row r="4209">
      <c r="A4209" s="25">
        <v>43438.8510899074</v>
      </c>
      <c r="B4209" s="26" t="s">
        <v>80</v>
      </c>
      <c r="C4209" s="26" t="s">
        <v>62</v>
      </c>
      <c r="D4209" s="26" t="s">
        <v>41</v>
      </c>
      <c r="E4209" s="26">
        <v>710.0</v>
      </c>
      <c r="F4209" s="26" t="s">
        <v>35</v>
      </c>
      <c r="G4209" s="26">
        <v>11.0</v>
      </c>
      <c r="H4209" s="26">
        <v>2.0</v>
      </c>
      <c r="I4209" s="26">
        <v>230.0</v>
      </c>
      <c r="J4209" s="26">
        <v>420.0</v>
      </c>
      <c r="K4209" s="26">
        <v>60.0</v>
      </c>
      <c r="M4209" s="26" t="s">
        <v>449</v>
      </c>
      <c r="N4209" s="26" t="s">
        <v>726</v>
      </c>
    </row>
    <row r="4210">
      <c r="A4210" s="25">
        <v>43438.85331340278</v>
      </c>
      <c r="B4210" s="26" t="s">
        <v>2628</v>
      </c>
      <c r="C4210" s="26">
        <v>5.0</v>
      </c>
      <c r="D4210" s="26" t="s">
        <v>711</v>
      </c>
      <c r="E4210" s="26">
        <v>220.0</v>
      </c>
      <c r="F4210" s="26" t="s">
        <v>58</v>
      </c>
      <c r="G4210" s="26">
        <v>5.0</v>
      </c>
      <c r="H4210" s="26">
        <v>0.0</v>
      </c>
      <c r="N4210" s="26" t="s">
        <v>691</v>
      </c>
    </row>
    <row r="4211">
      <c r="A4211" s="25">
        <v>43438.86084849537</v>
      </c>
      <c r="B4211" s="26" t="s">
        <v>33</v>
      </c>
      <c r="C4211" s="26" t="s">
        <v>62</v>
      </c>
      <c r="D4211" s="26" t="s">
        <v>27</v>
      </c>
      <c r="E4211" s="26">
        <v>234.0</v>
      </c>
      <c r="F4211" s="26" t="s">
        <v>35</v>
      </c>
      <c r="G4211" s="26">
        <v>10.0</v>
      </c>
      <c r="H4211" s="26">
        <v>2.0</v>
      </c>
      <c r="M4211" s="26" t="s">
        <v>449</v>
      </c>
      <c r="N4211" s="26" t="s">
        <v>2629</v>
      </c>
    </row>
    <row r="4212">
      <c r="A4212" s="25">
        <v>43438.867697685186</v>
      </c>
      <c r="B4212" s="26" t="s">
        <v>319</v>
      </c>
      <c r="C4212" s="26" t="s">
        <v>2630</v>
      </c>
      <c r="D4212" s="26" t="s">
        <v>31</v>
      </c>
      <c r="E4212" s="26">
        <v>153.0</v>
      </c>
      <c r="F4212" s="26" t="s">
        <v>238</v>
      </c>
      <c r="G4212" s="26">
        <v>6.0</v>
      </c>
      <c r="H4212" s="26">
        <v>3.0</v>
      </c>
      <c r="I4212" s="26">
        <v>153.0</v>
      </c>
      <c r="M4212" s="26" t="s">
        <v>449</v>
      </c>
      <c r="N4212" s="26" t="s">
        <v>704</v>
      </c>
    </row>
    <row r="4213">
      <c r="A4213" s="25">
        <v>43438.87342509259</v>
      </c>
      <c r="B4213" s="26" t="s">
        <v>80</v>
      </c>
      <c r="C4213" s="26" t="s">
        <v>26</v>
      </c>
      <c r="D4213" s="26" t="s">
        <v>31</v>
      </c>
      <c r="E4213" s="26">
        <v>167.0</v>
      </c>
      <c r="F4213" s="26" t="s">
        <v>51</v>
      </c>
      <c r="G4213" s="26">
        <v>0.0</v>
      </c>
      <c r="H4213" s="26">
        <v>0.0</v>
      </c>
      <c r="I4213" s="26">
        <v>125.0</v>
      </c>
      <c r="J4213" s="26">
        <v>25.0</v>
      </c>
      <c r="K4213" s="26">
        <v>19.0</v>
      </c>
      <c r="M4213" s="26" t="s">
        <v>449</v>
      </c>
      <c r="N4213" s="26" t="s">
        <v>201</v>
      </c>
    </row>
    <row r="4214">
      <c r="A4214" s="25">
        <v>43438.88340502315</v>
      </c>
      <c r="B4214" s="26" t="s">
        <v>187</v>
      </c>
      <c r="C4214" s="26" t="s">
        <v>73</v>
      </c>
      <c r="D4214" s="26" t="s">
        <v>31</v>
      </c>
      <c r="E4214" s="26">
        <v>350.0</v>
      </c>
      <c r="F4214" s="26" t="s">
        <v>32</v>
      </c>
      <c r="G4214" s="26">
        <v>5.0</v>
      </c>
      <c r="H4214" s="26">
        <v>1.0</v>
      </c>
      <c r="I4214" s="26">
        <v>175.0</v>
      </c>
      <c r="J4214" s="26">
        <v>150.0</v>
      </c>
      <c r="K4214" s="26">
        <v>25.0</v>
      </c>
      <c r="M4214" s="26" t="s">
        <v>449</v>
      </c>
      <c r="N4214" s="26" t="s">
        <v>691</v>
      </c>
    </row>
    <row r="4215">
      <c r="A4215" s="25">
        <v>43438.939952835644</v>
      </c>
      <c r="B4215" s="26" t="s">
        <v>33</v>
      </c>
      <c r="C4215" s="26" t="s">
        <v>43</v>
      </c>
      <c r="D4215" s="26" t="s">
        <v>2631</v>
      </c>
      <c r="E4215" s="26">
        <v>128.0</v>
      </c>
      <c r="F4215" s="26" t="s">
        <v>35</v>
      </c>
      <c r="G4215" s="26">
        <v>6.0</v>
      </c>
      <c r="H4215" s="26">
        <v>3.0</v>
      </c>
      <c r="I4215" s="26">
        <v>98.0</v>
      </c>
      <c r="J4215" s="26">
        <v>15.0</v>
      </c>
      <c r="K4215" s="26">
        <v>15.0</v>
      </c>
      <c r="L4215" s="26" t="s">
        <v>2632</v>
      </c>
      <c r="M4215" s="26" t="s">
        <v>449</v>
      </c>
      <c r="N4215" s="26" t="s">
        <v>2633</v>
      </c>
    </row>
    <row r="4216">
      <c r="A4216" s="25">
        <v>43438.94292670139</v>
      </c>
      <c r="B4216" s="26" t="s">
        <v>2634</v>
      </c>
      <c r="C4216" s="26" t="s">
        <v>581</v>
      </c>
      <c r="D4216" s="26" t="s">
        <v>41</v>
      </c>
      <c r="E4216" s="26">
        <v>240.0</v>
      </c>
      <c r="F4216" s="26" t="s">
        <v>32</v>
      </c>
      <c r="G4216" s="26">
        <v>15.0</v>
      </c>
      <c r="H4216" s="26">
        <v>1.0</v>
      </c>
      <c r="M4216" s="26" t="s">
        <v>449</v>
      </c>
      <c r="N4216" s="26" t="s">
        <v>704</v>
      </c>
    </row>
    <row r="4217">
      <c r="A4217" s="25">
        <v>43439.02361888889</v>
      </c>
      <c r="B4217" s="26" t="s">
        <v>1600</v>
      </c>
      <c r="C4217" s="26" t="s">
        <v>73</v>
      </c>
      <c r="D4217" s="26" t="s">
        <v>711</v>
      </c>
      <c r="E4217" s="26">
        <v>145.0</v>
      </c>
      <c r="F4217" s="26" t="s">
        <v>94</v>
      </c>
      <c r="G4217" s="26">
        <v>2.0</v>
      </c>
      <c r="H4217" s="26">
        <v>1.0</v>
      </c>
      <c r="M4217" s="26" t="s">
        <v>449</v>
      </c>
      <c r="N4217" s="26" t="s">
        <v>696</v>
      </c>
    </row>
    <row r="4218">
      <c r="A4218" s="25">
        <v>43439.37828365741</v>
      </c>
      <c r="B4218" s="26" t="s">
        <v>80</v>
      </c>
      <c r="C4218" s="26" t="s">
        <v>43</v>
      </c>
      <c r="D4218" s="26" t="s">
        <v>31</v>
      </c>
      <c r="E4218" s="26">
        <v>345.0</v>
      </c>
      <c r="F4218" s="26" t="s">
        <v>51</v>
      </c>
      <c r="G4218" s="26">
        <v>17.0</v>
      </c>
      <c r="H4218" s="26">
        <v>7.0</v>
      </c>
      <c r="I4218" s="26">
        <v>180.0</v>
      </c>
      <c r="J4218" s="26">
        <v>125.0</v>
      </c>
      <c r="K4218" s="26">
        <v>40.0</v>
      </c>
      <c r="M4218" s="26" t="s">
        <v>449</v>
      </c>
      <c r="N4218" s="26" t="s">
        <v>685</v>
      </c>
    </row>
    <row r="4219">
      <c r="A4219" s="25">
        <v>43439.4787621412</v>
      </c>
      <c r="B4219" s="26" t="s">
        <v>119</v>
      </c>
      <c r="C4219" s="26" t="s">
        <v>2635</v>
      </c>
      <c r="D4219" s="26" t="s">
        <v>1225</v>
      </c>
      <c r="E4219" s="26">
        <v>140.0</v>
      </c>
      <c r="F4219" s="26" t="s">
        <v>32</v>
      </c>
      <c r="G4219" s="26">
        <v>1.0</v>
      </c>
      <c r="H4219" s="26">
        <v>1.0</v>
      </c>
      <c r="M4219" s="26" t="s">
        <v>449</v>
      </c>
      <c r="N4219" s="26" t="s">
        <v>704</v>
      </c>
    </row>
    <row r="4220">
      <c r="A4220" s="25">
        <v>43439.49127414352</v>
      </c>
      <c r="B4220" s="26" t="s">
        <v>33</v>
      </c>
      <c r="C4220" s="26" t="s">
        <v>275</v>
      </c>
      <c r="D4220" s="26" t="s">
        <v>31</v>
      </c>
      <c r="E4220" s="26">
        <v>176.0</v>
      </c>
      <c r="F4220" s="26" t="s">
        <v>94</v>
      </c>
      <c r="G4220" s="26">
        <v>2.0</v>
      </c>
      <c r="H4220" s="26">
        <v>2.0</v>
      </c>
      <c r="I4220" s="26">
        <v>135.0</v>
      </c>
      <c r="J4220" s="26">
        <v>23.0</v>
      </c>
      <c r="K4220" s="26">
        <v>18.0</v>
      </c>
      <c r="M4220" s="26" t="s">
        <v>449</v>
      </c>
      <c r="N4220" s="26" t="s">
        <v>683</v>
      </c>
    </row>
    <row r="4221">
      <c r="A4221" s="25">
        <v>43439.56869774306</v>
      </c>
      <c r="B4221" s="26" t="s">
        <v>48</v>
      </c>
      <c r="C4221" s="26" t="s">
        <v>49</v>
      </c>
      <c r="D4221" s="26" t="s">
        <v>31</v>
      </c>
      <c r="E4221" s="26">
        <v>210.0</v>
      </c>
      <c r="F4221" s="26" t="s">
        <v>50</v>
      </c>
      <c r="G4221" s="26">
        <v>1.0</v>
      </c>
      <c r="H4221" s="26">
        <v>1.0</v>
      </c>
      <c r="I4221" s="26">
        <v>150.0</v>
      </c>
      <c r="J4221" s="26">
        <v>50.0</v>
      </c>
      <c r="K4221" s="26">
        <v>15.0</v>
      </c>
      <c r="M4221" s="26" t="s">
        <v>449</v>
      </c>
      <c r="N4221" s="26" t="s">
        <v>708</v>
      </c>
    </row>
    <row r="4222">
      <c r="A4222" s="25">
        <v>43439.59974746528</v>
      </c>
      <c r="B4222" s="26" t="s">
        <v>142</v>
      </c>
      <c r="C4222" s="26">
        <v>3.0</v>
      </c>
      <c r="D4222" s="26" t="s">
        <v>2636</v>
      </c>
      <c r="E4222" s="26">
        <v>75.0</v>
      </c>
      <c r="F4222" s="26" t="s">
        <v>2637</v>
      </c>
      <c r="G4222" s="26">
        <v>6.0</v>
      </c>
      <c r="H4222" s="26">
        <v>3.0</v>
      </c>
      <c r="M4222" s="26" t="s">
        <v>458</v>
      </c>
      <c r="N4222" s="26" t="s">
        <v>2122</v>
      </c>
    </row>
    <row r="4223">
      <c r="A4223" s="25">
        <v>43439.602376006944</v>
      </c>
      <c r="B4223" s="26" t="s">
        <v>25</v>
      </c>
      <c r="C4223" s="26" t="s">
        <v>2444</v>
      </c>
      <c r="D4223" s="26" t="s">
        <v>41</v>
      </c>
      <c r="E4223" s="26">
        <v>200.0</v>
      </c>
      <c r="F4223" s="26" t="s">
        <v>453</v>
      </c>
      <c r="G4223" s="26">
        <v>20.0</v>
      </c>
      <c r="H4223" s="26">
        <v>20.0</v>
      </c>
      <c r="M4223" s="26" t="s">
        <v>449</v>
      </c>
      <c r="N4223" s="26" t="s">
        <v>728</v>
      </c>
    </row>
    <row r="4224">
      <c r="A4224" s="25">
        <v>43439.66303460648</v>
      </c>
      <c r="B4224" s="26" t="s">
        <v>2638</v>
      </c>
      <c r="C4224" s="26" t="s">
        <v>125</v>
      </c>
      <c r="D4224" s="26" t="s">
        <v>2258</v>
      </c>
      <c r="E4224" s="26">
        <v>300.0</v>
      </c>
      <c r="F4224" s="26" t="s">
        <v>988</v>
      </c>
      <c r="G4224" s="26">
        <v>9.0</v>
      </c>
      <c r="H4224" s="26">
        <v>2.0</v>
      </c>
      <c r="I4224" s="26">
        <v>150.0</v>
      </c>
      <c r="K4224" s="26">
        <v>150.0</v>
      </c>
      <c r="N4224" s="26" t="s">
        <v>708</v>
      </c>
    </row>
    <row r="4225">
      <c r="A4225" s="25">
        <v>43439.68679601852</v>
      </c>
      <c r="B4225" s="26" t="s">
        <v>40</v>
      </c>
      <c r="C4225" s="26">
        <v>64.0</v>
      </c>
      <c r="D4225" s="26" t="s">
        <v>31</v>
      </c>
      <c r="E4225" s="26">
        <v>240.0</v>
      </c>
      <c r="F4225" s="26" t="s">
        <v>75</v>
      </c>
      <c r="G4225" s="26">
        <v>5.0</v>
      </c>
      <c r="H4225" s="26">
        <v>5.0</v>
      </c>
      <c r="I4225" s="26">
        <v>170.0</v>
      </c>
      <c r="J4225" s="26">
        <v>25.0</v>
      </c>
      <c r="K4225" s="26">
        <v>37.0</v>
      </c>
      <c r="M4225" s="26" t="s">
        <v>458</v>
      </c>
      <c r="N4225" s="26" t="s">
        <v>691</v>
      </c>
    </row>
    <row r="4226">
      <c r="A4226" s="25">
        <v>43439.701976192126</v>
      </c>
      <c r="B4226" s="26" t="s">
        <v>25</v>
      </c>
      <c r="C4226" s="26" t="s">
        <v>1953</v>
      </c>
      <c r="D4226" s="26" t="s">
        <v>31</v>
      </c>
      <c r="E4226" s="26">
        <v>220.0</v>
      </c>
      <c r="F4226" s="26" t="s">
        <v>86</v>
      </c>
      <c r="G4226" s="26">
        <v>5.0</v>
      </c>
      <c r="H4226" s="26">
        <v>0.0</v>
      </c>
      <c r="I4226" s="26">
        <v>170.0</v>
      </c>
      <c r="J4226" s="26">
        <v>50.0</v>
      </c>
      <c r="M4226" s="26" t="s">
        <v>449</v>
      </c>
      <c r="N4226" s="26" t="s">
        <v>757</v>
      </c>
    </row>
    <row r="4227">
      <c r="A4227" s="25">
        <v>43439.73867436343</v>
      </c>
      <c r="B4227" s="26" t="s">
        <v>371</v>
      </c>
      <c r="C4227" s="26" t="s">
        <v>2639</v>
      </c>
      <c r="D4227" s="26" t="s">
        <v>41</v>
      </c>
      <c r="E4227" s="26">
        <v>300.0</v>
      </c>
      <c r="F4227" s="26" t="s">
        <v>459</v>
      </c>
      <c r="G4227" s="26">
        <v>17.0</v>
      </c>
      <c r="H4227" s="26">
        <v>14.0</v>
      </c>
      <c r="M4227" s="26" t="s">
        <v>458</v>
      </c>
      <c r="N4227" s="26" t="s">
        <v>2640</v>
      </c>
    </row>
    <row r="4228">
      <c r="A4228" s="25">
        <v>43439.84468731481</v>
      </c>
      <c r="B4228" s="26" t="s">
        <v>2159</v>
      </c>
      <c r="C4228" s="26" t="s">
        <v>1462</v>
      </c>
      <c r="D4228" s="26" t="s">
        <v>1225</v>
      </c>
      <c r="E4228" s="26">
        <v>105.0</v>
      </c>
      <c r="F4228" s="26" t="s">
        <v>678</v>
      </c>
      <c r="G4228" s="26">
        <v>5.0</v>
      </c>
      <c r="H4228" s="26">
        <v>1.0</v>
      </c>
      <c r="I4228" s="26">
        <v>96.0</v>
      </c>
      <c r="K4228" s="26">
        <v>9.0</v>
      </c>
      <c r="M4228" s="26" t="s">
        <v>458</v>
      </c>
      <c r="N4228" s="26" t="s">
        <v>1169</v>
      </c>
    </row>
    <row r="4229">
      <c r="A4229" s="25">
        <v>43439.91852114583</v>
      </c>
      <c r="B4229" s="26" t="s">
        <v>146</v>
      </c>
      <c r="C4229" s="26" t="s">
        <v>31</v>
      </c>
      <c r="D4229" s="26" t="s">
        <v>31</v>
      </c>
      <c r="E4229" s="26">
        <v>222.0</v>
      </c>
      <c r="F4229" s="26" t="s">
        <v>134</v>
      </c>
      <c r="G4229" s="26">
        <v>2.0</v>
      </c>
      <c r="H4229" s="26">
        <v>2.0</v>
      </c>
      <c r="I4229" s="26">
        <v>145.0</v>
      </c>
      <c r="J4229" s="26">
        <v>62.0</v>
      </c>
      <c r="K4229" s="26">
        <v>14.0</v>
      </c>
      <c r="M4229" s="26" t="s">
        <v>449</v>
      </c>
      <c r="N4229" s="26" t="s">
        <v>685</v>
      </c>
    </row>
    <row r="4230">
      <c r="A4230" s="25">
        <v>43439.92786199074</v>
      </c>
      <c r="B4230" s="26" t="s">
        <v>258</v>
      </c>
      <c r="C4230" s="26" t="s">
        <v>43</v>
      </c>
      <c r="D4230" s="26" t="s">
        <v>41</v>
      </c>
      <c r="E4230" s="26">
        <v>400.0</v>
      </c>
      <c r="F4230" s="26" t="s">
        <v>326</v>
      </c>
      <c r="G4230" s="26">
        <v>18.0</v>
      </c>
      <c r="H4230" s="26">
        <v>4.0</v>
      </c>
      <c r="I4230" s="26">
        <v>200.0</v>
      </c>
      <c r="J4230" s="26">
        <v>160.0</v>
      </c>
      <c r="K4230" s="26">
        <v>40.0</v>
      </c>
      <c r="M4230" s="26" t="s">
        <v>1804</v>
      </c>
      <c r="N4230" s="26" t="s">
        <v>811</v>
      </c>
    </row>
    <row r="4231">
      <c r="A4231" s="25">
        <v>43439.97699039352</v>
      </c>
      <c r="B4231" s="26" t="s">
        <v>1012</v>
      </c>
      <c r="C4231" s="26" t="s">
        <v>191</v>
      </c>
      <c r="D4231" s="26" t="s">
        <v>711</v>
      </c>
      <c r="E4231" s="26">
        <v>145.0</v>
      </c>
      <c r="F4231" s="26" t="s">
        <v>35</v>
      </c>
      <c r="G4231" s="26">
        <v>5.0</v>
      </c>
      <c r="H4231" s="26">
        <v>0.0</v>
      </c>
      <c r="I4231" s="26">
        <v>125.0</v>
      </c>
      <c r="K4231" s="26">
        <v>20.0</v>
      </c>
      <c r="M4231" s="26" t="s">
        <v>449</v>
      </c>
      <c r="N4231" s="26" t="s">
        <v>691</v>
      </c>
    </row>
    <row r="4232">
      <c r="A4232" s="25">
        <v>43440.00183609954</v>
      </c>
      <c r="B4232" s="26" t="s">
        <v>33</v>
      </c>
      <c r="C4232" s="26" t="s">
        <v>43</v>
      </c>
      <c r="D4232" s="26" t="s">
        <v>31</v>
      </c>
      <c r="E4232" s="26">
        <v>240.0</v>
      </c>
      <c r="F4232" s="26" t="s">
        <v>129</v>
      </c>
      <c r="G4232" s="26">
        <v>3.0</v>
      </c>
      <c r="H4232" s="26">
        <v>2.0</v>
      </c>
      <c r="M4232" s="26" t="s">
        <v>449</v>
      </c>
      <c r="N4232" s="26" t="s">
        <v>704</v>
      </c>
    </row>
    <row r="4233">
      <c r="A4233" s="25">
        <v>43440.049294675926</v>
      </c>
      <c r="B4233" s="26" t="s">
        <v>48</v>
      </c>
      <c r="C4233" s="26" t="s">
        <v>69</v>
      </c>
      <c r="D4233" s="26" t="s">
        <v>31</v>
      </c>
      <c r="E4233" s="26">
        <v>220.0</v>
      </c>
      <c r="F4233" s="26" t="s">
        <v>846</v>
      </c>
      <c r="G4233" s="26">
        <v>0.0</v>
      </c>
      <c r="H4233" s="26">
        <v>0.0</v>
      </c>
      <c r="M4233" s="26" t="s">
        <v>449</v>
      </c>
      <c r="N4233" s="26" t="s">
        <v>691</v>
      </c>
    </row>
    <row r="4234">
      <c r="A4234" s="25">
        <v>43440.16904699074</v>
      </c>
      <c r="B4234" s="26" t="s">
        <v>80</v>
      </c>
      <c r="C4234" s="26" t="s">
        <v>73</v>
      </c>
      <c r="D4234" s="26" t="s">
        <v>31</v>
      </c>
      <c r="E4234" s="26">
        <v>255.0</v>
      </c>
      <c r="F4234" s="26" t="s">
        <v>1818</v>
      </c>
      <c r="G4234" s="26">
        <v>10.0</v>
      </c>
      <c r="H4234" s="26">
        <v>7.0</v>
      </c>
      <c r="I4234" s="26">
        <v>165.0</v>
      </c>
      <c r="J4234" s="26">
        <v>60.0</v>
      </c>
      <c r="K4234" s="26">
        <v>30.0</v>
      </c>
      <c r="M4234" s="26" t="s">
        <v>449</v>
      </c>
      <c r="N4234" s="26" t="s">
        <v>757</v>
      </c>
    </row>
    <row r="4235">
      <c r="A4235" s="25">
        <v>43440.28755273148</v>
      </c>
      <c r="B4235" s="26" t="s">
        <v>40</v>
      </c>
      <c r="C4235" s="26">
        <v>62.0</v>
      </c>
      <c r="D4235" s="26" t="s">
        <v>31</v>
      </c>
      <c r="E4235" s="26">
        <v>166.0</v>
      </c>
      <c r="F4235" s="26" t="s">
        <v>75</v>
      </c>
      <c r="G4235" s="26">
        <v>9.0</v>
      </c>
      <c r="H4235" s="26">
        <v>6.0</v>
      </c>
      <c r="I4235" s="26">
        <v>140.0</v>
      </c>
      <c r="J4235" s="26">
        <v>10.0</v>
      </c>
      <c r="K4235" s="26">
        <v>16.0</v>
      </c>
      <c r="M4235" s="26" t="s">
        <v>449</v>
      </c>
      <c r="N4235" s="26" t="s">
        <v>683</v>
      </c>
    </row>
    <row r="4236">
      <c r="A4236" s="25">
        <v>43440.430310474534</v>
      </c>
      <c r="B4236" s="26" t="s">
        <v>157</v>
      </c>
      <c r="C4236" s="26" t="s">
        <v>2586</v>
      </c>
      <c r="D4236" s="26" t="s">
        <v>31</v>
      </c>
      <c r="E4236" s="26">
        <v>92.0</v>
      </c>
      <c r="F4236" s="26" t="s">
        <v>2587</v>
      </c>
      <c r="G4236" s="26">
        <v>6.0</v>
      </c>
      <c r="H4236" s="26">
        <v>6.0</v>
      </c>
      <c r="M4236" s="26" t="s">
        <v>449</v>
      </c>
      <c r="N4236" s="26" t="s">
        <v>683</v>
      </c>
    </row>
    <row r="4237">
      <c r="A4237" s="25">
        <v>43440.44251724537</v>
      </c>
      <c r="B4237" s="26" t="s">
        <v>258</v>
      </c>
      <c r="C4237" s="26" t="s">
        <v>2337</v>
      </c>
      <c r="D4237" s="26" t="s">
        <v>41</v>
      </c>
      <c r="E4237" s="26">
        <v>430.0</v>
      </c>
      <c r="F4237" s="26" t="s">
        <v>32</v>
      </c>
      <c r="G4237" s="26">
        <v>6.0</v>
      </c>
      <c r="H4237" s="26">
        <v>6.0</v>
      </c>
      <c r="M4237" s="26" t="s">
        <v>449</v>
      </c>
      <c r="N4237" s="26" t="s">
        <v>685</v>
      </c>
    </row>
    <row r="4238">
      <c r="A4238" s="25">
        <v>43440.50439851852</v>
      </c>
      <c r="B4238" s="26" t="s">
        <v>80</v>
      </c>
      <c r="C4238" s="26" t="s">
        <v>73</v>
      </c>
      <c r="D4238" s="26" t="s">
        <v>31</v>
      </c>
      <c r="E4238" s="26">
        <v>260.0</v>
      </c>
      <c r="F4238" s="26" t="s">
        <v>35</v>
      </c>
      <c r="G4238" s="26">
        <v>5.0</v>
      </c>
      <c r="H4238" s="26">
        <v>1.0</v>
      </c>
      <c r="I4238" s="26">
        <v>142.0</v>
      </c>
      <c r="J4238" s="26">
        <v>100.0</v>
      </c>
      <c r="K4238" s="26">
        <v>18.0</v>
      </c>
      <c r="M4238" s="26" t="s">
        <v>449</v>
      </c>
      <c r="N4238" s="26" t="s">
        <v>685</v>
      </c>
    </row>
    <row r="4239">
      <c r="A4239" s="25">
        <v>43440.56369362268</v>
      </c>
      <c r="B4239" s="26" t="s">
        <v>45</v>
      </c>
      <c r="C4239" s="26" t="s">
        <v>102</v>
      </c>
      <c r="D4239" s="26" t="s">
        <v>31</v>
      </c>
      <c r="E4239" s="26">
        <v>256.0</v>
      </c>
      <c r="F4239" s="26" t="s">
        <v>92</v>
      </c>
      <c r="G4239" s="26">
        <v>4.0</v>
      </c>
      <c r="H4239" s="26">
        <v>1.0</v>
      </c>
      <c r="I4239" s="26">
        <v>141.0</v>
      </c>
      <c r="J4239" s="26">
        <v>105.0</v>
      </c>
      <c r="K4239" s="26">
        <v>10.0</v>
      </c>
      <c r="M4239" s="26" t="s">
        <v>458</v>
      </c>
      <c r="N4239" s="26" t="s">
        <v>696</v>
      </c>
    </row>
    <row r="4240">
      <c r="A4240" s="25">
        <v>43440.57851303241</v>
      </c>
      <c r="B4240" s="26" t="s">
        <v>380</v>
      </c>
      <c r="C4240" s="26" t="s">
        <v>455</v>
      </c>
      <c r="D4240" s="26" t="s">
        <v>31</v>
      </c>
      <c r="E4240" s="26">
        <v>148.0</v>
      </c>
      <c r="F4240" s="26" t="s">
        <v>58</v>
      </c>
      <c r="G4240" s="26">
        <v>0.0</v>
      </c>
      <c r="H4240" s="26">
        <v>0.0</v>
      </c>
      <c r="I4240" s="26">
        <v>115.0</v>
      </c>
      <c r="J4240" s="26">
        <v>23.0</v>
      </c>
      <c r="K4240" s="26">
        <v>15.0</v>
      </c>
      <c r="M4240" s="26" t="s">
        <v>449</v>
      </c>
      <c r="N4240" s="26" t="s">
        <v>691</v>
      </c>
    </row>
    <row r="4241">
      <c r="A4241" s="25">
        <v>43440.668629872685</v>
      </c>
      <c r="B4241" s="26" t="s">
        <v>1769</v>
      </c>
      <c r="C4241" s="26" t="s">
        <v>1745</v>
      </c>
      <c r="D4241" s="26" t="s">
        <v>31</v>
      </c>
      <c r="E4241" s="26">
        <v>180.0</v>
      </c>
      <c r="F4241" s="26" t="s">
        <v>32</v>
      </c>
      <c r="G4241" s="26">
        <v>1.0</v>
      </c>
      <c r="H4241" s="26">
        <v>1.0</v>
      </c>
      <c r="N4241" s="26" t="s">
        <v>704</v>
      </c>
    </row>
    <row r="4242">
      <c r="A4242" s="25">
        <v>43440.78387895833</v>
      </c>
      <c r="B4242" s="26" t="s">
        <v>33</v>
      </c>
      <c r="C4242" s="26" t="s">
        <v>1061</v>
      </c>
      <c r="D4242" s="26" t="s">
        <v>41</v>
      </c>
      <c r="E4242" s="26">
        <v>400.0</v>
      </c>
      <c r="F4242" s="26" t="s">
        <v>35</v>
      </c>
      <c r="G4242" s="26">
        <v>18.0</v>
      </c>
      <c r="H4242" s="26">
        <v>1.0</v>
      </c>
      <c r="I4242" s="26">
        <v>160.0</v>
      </c>
      <c r="J4242" s="26">
        <v>80.0</v>
      </c>
      <c r="K4242" s="26">
        <v>160.0</v>
      </c>
      <c r="M4242" s="26" t="s">
        <v>449</v>
      </c>
      <c r="N4242" s="26" t="s">
        <v>685</v>
      </c>
    </row>
    <row r="4243">
      <c r="A4243" s="25">
        <v>43440.86747265046</v>
      </c>
      <c r="B4243" s="26" t="s">
        <v>80</v>
      </c>
      <c r="C4243" s="26" t="s">
        <v>73</v>
      </c>
      <c r="D4243" s="26" t="s">
        <v>31</v>
      </c>
      <c r="E4243" s="26">
        <v>233.0</v>
      </c>
      <c r="F4243" s="26" t="s">
        <v>578</v>
      </c>
      <c r="G4243" s="26">
        <v>12.0</v>
      </c>
      <c r="H4243" s="26">
        <v>19.0</v>
      </c>
      <c r="I4243" s="26">
        <v>136.0</v>
      </c>
      <c r="J4243" s="26">
        <v>55.0</v>
      </c>
      <c r="K4243" s="26">
        <v>41.0</v>
      </c>
      <c r="M4243" s="26" t="s">
        <v>449</v>
      </c>
      <c r="N4243" s="26" t="s">
        <v>708</v>
      </c>
    </row>
    <row r="4244">
      <c r="A4244" s="25">
        <v>43440.87271952546</v>
      </c>
      <c r="B4244" s="26" t="s">
        <v>80</v>
      </c>
      <c r="C4244" s="26" t="s">
        <v>62</v>
      </c>
      <c r="D4244" s="26" t="s">
        <v>41</v>
      </c>
      <c r="E4244" s="26">
        <v>475.0</v>
      </c>
      <c r="F4244" s="26" t="s">
        <v>134</v>
      </c>
      <c r="G4244" s="26">
        <v>15.0</v>
      </c>
      <c r="H4244" s="26">
        <v>0.0</v>
      </c>
      <c r="I4244" s="26">
        <v>240.0</v>
      </c>
      <c r="J4244" s="26">
        <v>188.0</v>
      </c>
      <c r="K4244" s="26">
        <v>48.0</v>
      </c>
      <c r="M4244" s="26" t="s">
        <v>449</v>
      </c>
      <c r="N4244" s="26" t="s">
        <v>708</v>
      </c>
    </row>
    <row r="4245">
      <c r="A4245" s="25">
        <v>43440.90641976852</v>
      </c>
      <c r="B4245" s="26" t="s">
        <v>80</v>
      </c>
      <c r="C4245" s="26" t="s">
        <v>34</v>
      </c>
      <c r="D4245" s="26" t="s">
        <v>31</v>
      </c>
      <c r="E4245" s="26">
        <v>650.0</v>
      </c>
      <c r="F4245" s="26" t="s">
        <v>32</v>
      </c>
      <c r="G4245" s="26">
        <v>14.0</v>
      </c>
      <c r="H4245" s="26">
        <v>7.0</v>
      </c>
      <c r="I4245" s="26">
        <v>240.0</v>
      </c>
      <c r="J4245" s="26">
        <v>340.0</v>
      </c>
      <c r="K4245" s="26">
        <v>70.0</v>
      </c>
      <c r="M4245" s="26" t="s">
        <v>449</v>
      </c>
      <c r="N4245" s="26" t="s">
        <v>685</v>
      </c>
    </row>
    <row r="4246">
      <c r="A4246" s="25">
        <v>43440.924345520834</v>
      </c>
      <c r="B4246" s="26" t="s">
        <v>268</v>
      </c>
      <c r="C4246" s="26" t="s">
        <v>572</v>
      </c>
      <c r="D4246" s="26" t="s">
        <v>31</v>
      </c>
      <c r="E4246" s="26">
        <v>145.0</v>
      </c>
      <c r="F4246" s="26" t="s">
        <v>2641</v>
      </c>
      <c r="G4246" s="26">
        <v>4.0</v>
      </c>
      <c r="H4246" s="26">
        <v>0.0</v>
      </c>
      <c r="I4246" s="26">
        <v>124.0</v>
      </c>
      <c r="J4246" s="26">
        <v>5.0</v>
      </c>
      <c r="K4246" s="26">
        <v>15.0</v>
      </c>
      <c r="M4246" s="26" t="s">
        <v>449</v>
      </c>
      <c r="N4246" s="26" t="s">
        <v>685</v>
      </c>
    </row>
    <row r="4247">
      <c r="A4247" s="25">
        <v>43440.950433715276</v>
      </c>
      <c r="B4247" s="26" t="s">
        <v>146</v>
      </c>
      <c r="C4247" s="26" t="s">
        <v>31</v>
      </c>
      <c r="D4247" s="26" t="s">
        <v>31</v>
      </c>
      <c r="E4247" s="26">
        <v>233.0</v>
      </c>
      <c r="F4247" s="26" t="s">
        <v>134</v>
      </c>
      <c r="G4247" s="26">
        <v>2.0</v>
      </c>
      <c r="H4247" s="26">
        <v>2.0</v>
      </c>
      <c r="I4247" s="26">
        <v>155.0</v>
      </c>
      <c r="J4247" s="26">
        <v>50.0</v>
      </c>
      <c r="K4247" s="26">
        <v>28.0</v>
      </c>
      <c r="M4247" s="26" t="s">
        <v>449</v>
      </c>
      <c r="N4247" s="26" t="s">
        <v>696</v>
      </c>
    </row>
    <row r="4248">
      <c r="A4248" s="25">
        <v>43440.95045520834</v>
      </c>
      <c r="B4248" s="26" t="s">
        <v>29</v>
      </c>
      <c r="C4248" s="26" t="s">
        <v>764</v>
      </c>
      <c r="D4248" s="26" t="s">
        <v>31</v>
      </c>
      <c r="E4248" s="26">
        <v>176.0</v>
      </c>
      <c r="F4248" s="26" t="s">
        <v>238</v>
      </c>
      <c r="G4248" s="26">
        <v>3.0</v>
      </c>
      <c r="H4248" s="26">
        <v>4.0</v>
      </c>
      <c r="I4248" s="26">
        <v>133.0</v>
      </c>
      <c r="J4248" s="26">
        <v>25.0</v>
      </c>
      <c r="K4248" s="26">
        <v>15.0</v>
      </c>
      <c r="M4248" s="26" t="s">
        <v>449</v>
      </c>
      <c r="N4248" s="26" t="s">
        <v>704</v>
      </c>
    </row>
    <row r="4249">
      <c r="A4249" s="25">
        <v>43440.95220364584</v>
      </c>
      <c r="B4249" s="26" t="s">
        <v>40</v>
      </c>
      <c r="C4249" s="26">
        <v>60.0</v>
      </c>
      <c r="D4249" s="26" t="s">
        <v>31</v>
      </c>
      <c r="E4249" s="26">
        <v>170.0</v>
      </c>
      <c r="F4249" s="26" t="s">
        <v>75</v>
      </c>
      <c r="G4249" s="26">
        <v>2.0</v>
      </c>
      <c r="H4249" s="26">
        <v>2.0</v>
      </c>
      <c r="I4249" s="26">
        <v>127.0</v>
      </c>
      <c r="J4249" s="26">
        <v>18.0</v>
      </c>
      <c r="K4249" s="26">
        <v>25.0</v>
      </c>
      <c r="M4249" s="26" t="s">
        <v>449</v>
      </c>
      <c r="N4249" s="26" t="s">
        <v>696</v>
      </c>
    </row>
    <row r="4250">
      <c r="A4250" s="25">
        <v>43440.95346739583</v>
      </c>
      <c r="B4250" s="26" t="s">
        <v>33</v>
      </c>
      <c r="C4250" s="26" t="s">
        <v>43</v>
      </c>
      <c r="D4250" s="26" t="s">
        <v>31</v>
      </c>
      <c r="E4250" s="26">
        <v>210.0</v>
      </c>
      <c r="F4250" s="26" t="s">
        <v>35</v>
      </c>
      <c r="G4250" s="26">
        <v>2.0</v>
      </c>
      <c r="H4250" s="26">
        <v>2.0</v>
      </c>
      <c r="I4250" s="26">
        <v>138.0</v>
      </c>
      <c r="J4250" s="26">
        <v>39.0</v>
      </c>
      <c r="K4250" s="26">
        <v>29.0</v>
      </c>
      <c r="M4250" s="26" t="s">
        <v>449</v>
      </c>
      <c r="N4250" s="26" t="s">
        <v>696</v>
      </c>
    </row>
    <row r="4251">
      <c r="A4251" s="25">
        <v>43440.965303715275</v>
      </c>
      <c r="B4251" s="26" t="s">
        <v>25</v>
      </c>
      <c r="C4251" s="26" t="s">
        <v>1098</v>
      </c>
      <c r="D4251" s="26" t="s">
        <v>31</v>
      </c>
      <c r="E4251" s="26">
        <v>440.0</v>
      </c>
      <c r="F4251" s="26" t="s">
        <v>2642</v>
      </c>
      <c r="G4251" s="26">
        <v>20.0</v>
      </c>
      <c r="H4251" s="26">
        <v>1.0</v>
      </c>
      <c r="I4251" s="26">
        <v>240.0</v>
      </c>
      <c r="J4251" s="26">
        <v>200.0</v>
      </c>
      <c r="M4251" s="26" t="s">
        <v>449</v>
      </c>
      <c r="N4251" s="26" t="s">
        <v>685</v>
      </c>
    </row>
    <row r="4252">
      <c r="A4252" s="25">
        <v>43440.97671643519</v>
      </c>
      <c r="B4252" s="26" t="s">
        <v>119</v>
      </c>
      <c r="C4252" s="26" t="s">
        <v>494</v>
      </c>
      <c r="D4252" s="26" t="s">
        <v>31</v>
      </c>
      <c r="E4252" s="26">
        <v>280.0</v>
      </c>
      <c r="F4252" s="26" t="s">
        <v>32</v>
      </c>
      <c r="G4252" s="26">
        <v>4.0</v>
      </c>
      <c r="H4252" s="26">
        <v>2.5</v>
      </c>
      <c r="N4252" s="26" t="s">
        <v>704</v>
      </c>
    </row>
    <row r="4253">
      <c r="A4253" s="25">
        <v>43440.98888258102</v>
      </c>
      <c r="B4253" s="26" t="s">
        <v>944</v>
      </c>
      <c r="C4253" s="26" t="s">
        <v>1474</v>
      </c>
      <c r="D4253" s="26" t="s">
        <v>31</v>
      </c>
      <c r="E4253" s="26">
        <v>50.0</v>
      </c>
      <c r="F4253" s="26" t="s">
        <v>1773</v>
      </c>
      <c r="G4253" s="26">
        <v>2.0</v>
      </c>
      <c r="H4253" s="26">
        <v>2.0</v>
      </c>
      <c r="I4253" s="26">
        <v>44.0</v>
      </c>
      <c r="K4253" s="26">
        <v>6.0</v>
      </c>
      <c r="L4253" s="26" t="s">
        <v>2643</v>
      </c>
      <c r="M4253" s="26" t="s">
        <v>449</v>
      </c>
      <c r="N4253" s="26" t="s">
        <v>1474</v>
      </c>
    </row>
    <row r="4254">
      <c r="A4254" s="25">
        <v>43441.07503033565</v>
      </c>
      <c r="B4254" s="26" t="s">
        <v>40</v>
      </c>
      <c r="C4254" s="26">
        <v>63.0</v>
      </c>
      <c r="D4254" s="26" t="s">
        <v>31</v>
      </c>
      <c r="E4254" s="26">
        <v>218.0</v>
      </c>
      <c r="F4254" s="26" t="s">
        <v>32</v>
      </c>
      <c r="G4254" s="26">
        <v>7.0</v>
      </c>
      <c r="H4254" s="26">
        <v>2.0</v>
      </c>
      <c r="I4254" s="26">
        <v>172.0</v>
      </c>
      <c r="J4254" s="26">
        <v>20.0</v>
      </c>
      <c r="K4254" s="26">
        <v>25.0</v>
      </c>
      <c r="M4254" s="26" t="s">
        <v>449</v>
      </c>
      <c r="N4254" s="26" t="s">
        <v>696</v>
      </c>
    </row>
    <row r="4255">
      <c r="A4255" s="25">
        <v>43441.3295597338</v>
      </c>
      <c r="B4255" s="26" t="s">
        <v>2644</v>
      </c>
      <c r="C4255" s="26">
        <v>6.0</v>
      </c>
      <c r="D4255" s="26" t="s">
        <v>41</v>
      </c>
      <c r="E4255" s="26">
        <v>320.0</v>
      </c>
      <c r="F4255" s="26" t="s">
        <v>238</v>
      </c>
      <c r="G4255" s="26">
        <v>15.0</v>
      </c>
      <c r="H4255" s="26">
        <v>4.0</v>
      </c>
      <c r="I4255" s="26">
        <v>190.0</v>
      </c>
      <c r="J4255" s="26">
        <v>75.0</v>
      </c>
      <c r="K4255" s="26">
        <v>55.0</v>
      </c>
      <c r="M4255" s="26" t="s">
        <v>449</v>
      </c>
      <c r="N4255" s="26" t="s">
        <v>2645</v>
      </c>
    </row>
    <row r="4256">
      <c r="A4256" s="25">
        <v>43441.39472295139</v>
      </c>
      <c r="B4256" s="26" t="s">
        <v>2646</v>
      </c>
      <c r="C4256" s="26" t="s">
        <v>2647</v>
      </c>
      <c r="D4256" s="26" t="s">
        <v>711</v>
      </c>
      <c r="E4256" s="26">
        <v>195.0</v>
      </c>
      <c r="F4256" s="26" t="s">
        <v>2648</v>
      </c>
      <c r="G4256" s="26">
        <v>10.0</v>
      </c>
      <c r="H4256" s="26">
        <v>4.0</v>
      </c>
      <c r="I4256" s="26">
        <v>130.0</v>
      </c>
      <c r="J4256" s="26">
        <v>35.0</v>
      </c>
      <c r="K4256" s="26">
        <v>30.0</v>
      </c>
      <c r="M4256" s="26" t="s">
        <v>449</v>
      </c>
      <c r="N4256" s="26" t="s">
        <v>691</v>
      </c>
    </row>
    <row r="4257">
      <c r="A4257" s="25">
        <v>43441.54063391204</v>
      </c>
      <c r="B4257" s="26" t="s">
        <v>819</v>
      </c>
      <c r="C4257" s="26" t="s">
        <v>1899</v>
      </c>
      <c r="D4257" s="26" t="s">
        <v>31</v>
      </c>
      <c r="E4257" s="26">
        <v>150.0</v>
      </c>
      <c r="F4257" s="26" t="s">
        <v>129</v>
      </c>
      <c r="G4257" s="26">
        <v>0.0</v>
      </c>
      <c r="H4257" s="26">
        <v>0.0</v>
      </c>
      <c r="I4257" s="26">
        <v>120.0</v>
      </c>
      <c r="J4257" s="26">
        <v>20.0</v>
      </c>
      <c r="K4257" s="26">
        <v>20.0</v>
      </c>
      <c r="M4257" s="26" t="s">
        <v>449</v>
      </c>
      <c r="N4257" s="26" t="s">
        <v>685</v>
      </c>
    </row>
    <row r="4258">
      <c r="A4258" s="25">
        <v>43441.54576201389</v>
      </c>
      <c r="B4258" s="26" t="s">
        <v>2423</v>
      </c>
      <c r="C4258" s="26" t="s">
        <v>486</v>
      </c>
      <c r="D4258" s="26" t="s">
        <v>31</v>
      </c>
      <c r="E4258" s="26">
        <v>280.0</v>
      </c>
      <c r="F4258" s="26" t="s">
        <v>459</v>
      </c>
      <c r="G4258" s="26">
        <v>15.0</v>
      </c>
      <c r="H4258" s="26">
        <v>4.0</v>
      </c>
      <c r="I4258" s="26">
        <v>160.0</v>
      </c>
      <c r="J4258" s="26">
        <v>80.0</v>
      </c>
      <c r="K4258" s="26">
        <v>40.0</v>
      </c>
      <c r="M4258" s="26" t="s">
        <v>449</v>
      </c>
      <c r="N4258" s="26" t="s">
        <v>683</v>
      </c>
    </row>
    <row r="4259">
      <c r="A4259" s="25">
        <v>43441.595712106486</v>
      </c>
      <c r="B4259" s="26" t="s">
        <v>2649</v>
      </c>
      <c r="C4259" s="26" t="s">
        <v>952</v>
      </c>
      <c r="D4259" s="26" t="s">
        <v>31</v>
      </c>
      <c r="E4259" s="26">
        <v>129.0</v>
      </c>
      <c r="F4259" s="26" t="s">
        <v>63</v>
      </c>
      <c r="G4259" s="26">
        <v>10.0</v>
      </c>
      <c r="H4259" s="26">
        <v>5.0</v>
      </c>
      <c r="I4259" s="26">
        <v>120.0</v>
      </c>
      <c r="J4259" s="26">
        <v>2.0</v>
      </c>
      <c r="K4259" s="26">
        <v>7.0</v>
      </c>
      <c r="M4259" s="26" t="s">
        <v>449</v>
      </c>
      <c r="N4259" s="26" t="s">
        <v>683</v>
      </c>
    </row>
    <row r="4260">
      <c r="A4260" s="25">
        <v>43441.633499965275</v>
      </c>
      <c r="B4260" s="26" t="s">
        <v>428</v>
      </c>
      <c r="C4260" s="26" t="s">
        <v>1388</v>
      </c>
      <c r="D4260" s="26" t="s">
        <v>31</v>
      </c>
      <c r="E4260" s="26">
        <v>125.0</v>
      </c>
      <c r="F4260" s="26" t="s">
        <v>2650</v>
      </c>
      <c r="G4260" s="26">
        <v>0.0</v>
      </c>
      <c r="H4260" s="26">
        <v>0.0</v>
      </c>
      <c r="I4260" s="26">
        <v>90.0</v>
      </c>
      <c r="J4260" s="26">
        <v>25.0</v>
      </c>
      <c r="K4260" s="26">
        <v>10.0</v>
      </c>
      <c r="M4260" s="26" t="s">
        <v>449</v>
      </c>
      <c r="N4260" s="26" t="s">
        <v>691</v>
      </c>
    </row>
    <row r="4261">
      <c r="A4261" s="25">
        <v>43441.66733940972</v>
      </c>
      <c r="B4261" s="26" t="s">
        <v>80</v>
      </c>
      <c r="C4261" s="26" t="s">
        <v>43</v>
      </c>
      <c r="D4261" s="26" t="s">
        <v>318</v>
      </c>
      <c r="E4261" s="26">
        <v>424.0</v>
      </c>
      <c r="F4261" s="26" t="s">
        <v>94</v>
      </c>
      <c r="G4261" s="26">
        <v>10.0</v>
      </c>
      <c r="H4261" s="26">
        <v>0.0</v>
      </c>
      <c r="I4261" s="26">
        <v>184.0</v>
      </c>
      <c r="J4261" s="26">
        <v>212.0</v>
      </c>
      <c r="K4261" s="26">
        <v>27.0</v>
      </c>
      <c r="M4261" s="26" t="s">
        <v>449</v>
      </c>
      <c r="N4261" s="26" t="s">
        <v>691</v>
      </c>
    </row>
    <row r="4262">
      <c r="A4262" s="25">
        <v>43441.7187481713</v>
      </c>
      <c r="B4262" s="26" t="s">
        <v>2638</v>
      </c>
      <c r="C4262" s="26" t="s">
        <v>125</v>
      </c>
      <c r="D4262" s="26" t="s">
        <v>1084</v>
      </c>
      <c r="E4262" s="26">
        <v>290.0</v>
      </c>
      <c r="F4262" s="26" t="s">
        <v>988</v>
      </c>
      <c r="G4262" s="26">
        <v>9.0</v>
      </c>
      <c r="H4262" s="26">
        <v>2.0</v>
      </c>
      <c r="I4262" s="26">
        <v>200.0</v>
      </c>
      <c r="K4262" s="26">
        <v>90.0</v>
      </c>
      <c r="M4262" s="26" t="s">
        <v>449</v>
      </c>
      <c r="N4262" s="26" t="s">
        <v>708</v>
      </c>
    </row>
    <row r="4263">
      <c r="A4263" s="25">
        <v>43441.72383736111</v>
      </c>
      <c r="B4263" s="26" t="s">
        <v>119</v>
      </c>
      <c r="C4263" s="26" t="s">
        <v>2651</v>
      </c>
      <c r="D4263" s="26" t="s">
        <v>31</v>
      </c>
      <c r="E4263" s="26">
        <v>260.0</v>
      </c>
      <c r="F4263" s="26" t="s">
        <v>32</v>
      </c>
      <c r="G4263" s="26">
        <v>7.0</v>
      </c>
      <c r="H4263" s="26">
        <v>3.0</v>
      </c>
      <c r="M4263" s="26" t="s">
        <v>449</v>
      </c>
      <c r="N4263" s="26" t="s">
        <v>708</v>
      </c>
    </row>
    <row r="4264">
      <c r="A4264" s="25">
        <v>43441.73671222222</v>
      </c>
      <c r="B4264" s="26" t="s">
        <v>36</v>
      </c>
      <c r="C4264" s="26" t="s">
        <v>1366</v>
      </c>
      <c r="D4264" s="26" t="s">
        <v>31</v>
      </c>
      <c r="E4264" s="26">
        <v>371.0</v>
      </c>
      <c r="F4264" s="26" t="s">
        <v>32</v>
      </c>
      <c r="G4264" s="26">
        <v>11.0</v>
      </c>
      <c r="H4264" s="26">
        <v>2.0</v>
      </c>
      <c r="I4264" s="26">
        <v>213.0</v>
      </c>
      <c r="J4264" s="26">
        <v>126.0</v>
      </c>
      <c r="K4264" s="26">
        <v>31.0</v>
      </c>
      <c r="M4264" s="26" t="s">
        <v>449</v>
      </c>
      <c r="N4264" s="26" t="s">
        <v>685</v>
      </c>
    </row>
    <row r="4265">
      <c r="A4265" s="25">
        <v>43441.73788527778</v>
      </c>
      <c r="B4265" s="26" t="s">
        <v>48</v>
      </c>
      <c r="C4265" s="26" t="s">
        <v>69</v>
      </c>
      <c r="D4265" s="26" t="s">
        <v>31</v>
      </c>
      <c r="E4265" s="26">
        <v>182.0</v>
      </c>
      <c r="F4265" s="26" t="s">
        <v>50</v>
      </c>
      <c r="G4265" s="26">
        <v>1.0</v>
      </c>
      <c r="H4265" s="26">
        <v>0.0</v>
      </c>
      <c r="I4265" s="26">
        <v>110.0</v>
      </c>
      <c r="J4265" s="26">
        <v>38.0</v>
      </c>
      <c r="K4265" s="26">
        <v>35.0</v>
      </c>
      <c r="M4265" s="26" t="s">
        <v>449</v>
      </c>
      <c r="N4265" s="26" t="s">
        <v>201</v>
      </c>
    </row>
    <row r="4266">
      <c r="A4266" s="25">
        <v>43441.74509024306</v>
      </c>
      <c r="B4266" s="26" t="s">
        <v>40</v>
      </c>
      <c r="C4266" s="26">
        <v>66.0</v>
      </c>
      <c r="D4266" s="26" t="s">
        <v>31</v>
      </c>
      <c r="E4266" s="26">
        <v>288.0</v>
      </c>
      <c r="F4266" s="26" t="s">
        <v>75</v>
      </c>
      <c r="G4266" s="26">
        <v>20.0</v>
      </c>
      <c r="H4266" s="26">
        <v>15.5</v>
      </c>
      <c r="I4266" s="26">
        <v>189.0</v>
      </c>
      <c r="J4266" s="26">
        <v>50.0</v>
      </c>
      <c r="K4266" s="26">
        <v>48.0</v>
      </c>
      <c r="M4266" s="26" t="s">
        <v>449</v>
      </c>
      <c r="N4266" s="26" t="s">
        <v>685</v>
      </c>
    </row>
    <row r="4267">
      <c r="A4267" s="25">
        <v>43441.75243458334</v>
      </c>
      <c r="B4267" s="26" t="s">
        <v>48</v>
      </c>
      <c r="C4267" s="26" t="s">
        <v>70</v>
      </c>
      <c r="D4267" s="26" t="s">
        <v>31</v>
      </c>
      <c r="E4267" s="26">
        <v>563.0</v>
      </c>
      <c r="F4267" s="26" t="s">
        <v>50</v>
      </c>
      <c r="G4267" s="26">
        <v>15.0</v>
      </c>
      <c r="H4267" s="26">
        <v>2.0</v>
      </c>
      <c r="I4267" s="26">
        <v>198.0</v>
      </c>
      <c r="J4267" s="26">
        <v>325.0</v>
      </c>
      <c r="K4267" s="26">
        <v>40.0</v>
      </c>
      <c r="L4267" s="26" t="s">
        <v>2652</v>
      </c>
      <c r="M4267" s="26" t="s">
        <v>449</v>
      </c>
      <c r="N4267" s="26" t="s">
        <v>685</v>
      </c>
    </row>
    <row r="4268">
      <c r="A4268" s="25">
        <v>43441.76072185185</v>
      </c>
      <c r="B4268" s="26" t="s">
        <v>1968</v>
      </c>
      <c r="C4268" s="26" t="s">
        <v>427</v>
      </c>
      <c r="D4268" s="26" t="s">
        <v>31</v>
      </c>
      <c r="E4268" s="26">
        <v>110.0</v>
      </c>
      <c r="F4268" s="26" t="s">
        <v>94</v>
      </c>
      <c r="G4268" s="26">
        <v>1.0</v>
      </c>
      <c r="H4268" s="26">
        <v>0.0</v>
      </c>
      <c r="M4268" s="26" t="s">
        <v>458</v>
      </c>
      <c r="N4268" s="26" t="s">
        <v>685</v>
      </c>
    </row>
    <row r="4269">
      <c r="A4269" s="25">
        <v>43441.78577928241</v>
      </c>
      <c r="B4269" s="26" t="s">
        <v>974</v>
      </c>
      <c r="C4269" s="26" t="s">
        <v>545</v>
      </c>
      <c r="D4269" s="26" t="s">
        <v>31</v>
      </c>
      <c r="E4269" s="26">
        <v>330.0</v>
      </c>
      <c r="F4269" s="26" t="s">
        <v>238</v>
      </c>
      <c r="G4269" s="26">
        <v>7.0</v>
      </c>
      <c r="H4269" s="26">
        <v>2.0</v>
      </c>
      <c r="I4269" s="26">
        <v>195.0</v>
      </c>
      <c r="J4269" s="26">
        <v>135.0</v>
      </c>
      <c r="M4269" s="26" t="s">
        <v>449</v>
      </c>
      <c r="N4269" s="26" t="s">
        <v>685</v>
      </c>
    </row>
    <row r="4270">
      <c r="A4270" s="25">
        <v>43441.78984755787</v>
      </c>
      <c r="B4270" s="26" t="s">
        <v>80</v>
      </c>
      <c r="C4270" s="26" t="s">
        <v>43</v>
      </c>
      <c r="D4270" s="26" t="s">
        <v>2653</v>
      </c>
      <c r="E4270" s="26">
        <v>299.0</v>
      </c>
      <c r="F4270" s="26" t="s">
        <v>94</v>
      </c>
      <c r="G4270" s="26">
        <v>16.0</v>
      </c>
      <c r="H4270" s="26">
        <v>7.0</v>
      </c>
      <c r="I4270" s="26">
        <v>177.0</v>
      </c>
      <c r="J4270" s="26">
        <v>27.0</v>
      </c>
      <c r="K4270" s="26">
        <v>95.0</v>
      </c>
      <c r="M4270" s="26" t="s">
        <v>449</v>
      </c>
      <c r="N4270" s="26" t="s">
        <v>687</v>
      </c>
    </row>
    <row r="4271">
      <c r="A4271" s="25">
        <v>43441.815970717595</v>
      </c>
      <c r="B4271" s="26" t="s">
        <v>204</v>
      </c>
      <c r="C4271" s="26" t="s">
        <v>43</v>
      </c>
      <c r="D4271" s="26" t="s">
        <v>711</v>
      </c>
      <c r="E4271" s="26">
        <v>430.0</v>
      </c>
      <c r="F4271" s="26" t="s">
        <v>32</v>
      </c>
      <c r="G4271" s="26">
        <v>7.0</v>
      </c>
      <c r="H4271" s="26">
        <v>0.0</v>
      </c>
      <c r="I4271" s="26">
        <v>210.0</v>
      </c>
      <c r="J4271" s="26">
        <v>180.0</v>
      </c>
      <c r="K4271" s="26">
        <v>40.0</v>
      </c>
      <c r="M4271" s="26" t="s">
        <v>449</v>
      </c>
      <c r="N4271" s="26" t="s">
        <v>691</v>
      </c>
    </row>
    <row r="4272">
      <c r="A4272" s="25">
        <v>43441.81661113426</v>
      </c>
      <c r="B4272" s="26" t="s">
        <v>204</v>
      </c>
      <c r="C4272" s="26" t="s">
        <v>43</v>
      </c>
      <c r="D4272" s="26" t="s">
        <v>711</v>
      </c>
      <c r="E4272" s="26">
        <v>430.0</v>
      </c>
      <c r="F4272" s="26" t="s">
        <v>32</v>
      </c>
      <c r="G4272" s="26">
        <v>7.0</v>
      </c>
      <c r="H4272" s="26">
        <v>0.0</v>
      </c>
      <c r="I4272" s="26">
        <v>210.0</v>
      </c>
      <c r="J4272" s="26">
        <v>180.0</v>
      </c>
      <c r="K4272" s="26">
        <v>40.0</v>
      </c>
      <c r="M4272" s="26" t="s">
        <v>449</v>
      </c>
      <c r="N4272" s="26" t="s">
        <v>691</v>
      </c>
    </row>
    <row r="4273">
      <c r="A4273" s="22"/>
      <c r="B4273" s="22"/>
      <c r="C4273" s="22"/>
      <c r="D4273" s="22"/>
      <c r="E4273" s="22"/>
      <c r="F4273" s="22"/>
      <c r="G4273" s="22"/>
      <c r="H4273" s="22"/>
      <c r="I4273" s="22"/>
      <c r="J4273" s="22"/>
      <c r="K4273" s="22"/>
      <c r="L4273" s="22"/>
      <c r="M4273" s="22"/>
      <c r="N4273" s="22"/>
      <c r="O4273" s="22"/>
      <c r="P4273" s="22"/>
      <c r="Q4273" s="22"/>
      <c r="R4273" s="22"/>
    </row>
    <row r="4274">
      <c r="A4274" s="22"/>
      <c r="B4274" s="22"/>
      <c r="C4274" s="22"/>
      <c r="D4274" s="22"/>
      <c r="E4274" s="22"/>
      <c r="F4274" s="22"/>
      <c r="G4274" s="22"/>
      <c r="H4274" s="22"/>
      <c r="I4274" s="22"/>
      <c r="J4274" s="22"/>
      <c r="K4274" s="22"/>
      <c r="L4274" s="22"/>
      <c r="M4274" s="22"/>
      <c r="N4274" s="22"/>
      <c r="O4274" s="22"/>
      <c r="P4274" s="22"/>
      <c r="Q4274" s="22"/>
      <c r="R4274" s="22"/>
    </row>
    <row r="4275">
      <c r="A4275" s="22"/>
      <c r="B4275" s="22"/>
      <c r="C4275" s="22"/>
      <c r="D4275" s="22"/>
      <c r="E4275" s="22"/>
      <c r="F4275" s="22"/>
      <c r="G4275" s="22"/>
      <c r="H4275" s="22"/>
      <c r="I4275" s="22"/>
      <c r="J4275" s="22"/>
      <c r="K4275" s="22"/>
      <c r="L4275" s="22"/>
      <c r="M4275" s="22"/>
      <c r="N4275" s="22"/>
      <c r="O4275" s="22"/>
      <c r="P4275" s="22"/>
      <c r="Q4275" s="22"/>
      <c r="R4275" s="22"/>
    </row>
    <row r="4276">
      <c r="A4276" s="22"/>
      <c r="B4276" s="22"/>
      <c r="C4276" s="22"/>
      <c r="D4276" s="22"/>
      <c r="E4276" s="22"/>
      <c r="F4276" s="22"/>
      <c r="G4276" s="22"/>
      <c r="H4276" s="22"/>
      <c r="I4276" s="22"/>
      <c r="J4276" s="22"/>
      <c r="K4276" s="22"/>
      <c r="L4276" s="22"/>
      <c r="M4276" s="22"/>
      <c r="N4276" s="22"/>
      <c r="O4276" s="22"/>
      <c r="P4276" s="22"/>
      <c r="Q4276" s="22"/>
      <c r="R4276" s="22"/>
    </row>
    <row r="4277">
      <c r="A4277" s="22"/>
      <c r="B4277" s="22"/>
      <c r="C4277" s="22"/>
      <c r="D4277" s="22"/>
      <c r="E4277" s="22"/>
      <c r="F4277" s="22"/>
      <c r="G4277" s="22"/>
      <c r="H4277" s="22"/>
      <c r="I4277" s="22"/>
      <c r="J4277" s="22"/>
      <c r="K4277" s="22"/>
      <c r="L4277" s="22"/>
      <c r="M4277" s="22"/>
      <c r="N4277" s="22"/>
      <c r="O4277" s="22"/>
      <c r="P4277" s="22"/>
      <c r="Q4277" s="22"/>
      <c r="R4277" s="22"/>
    </row>
    <row r="4278">
      <c r="A4278" s="22"/>
      <c r="B4278" s="22"/>
      <c r="C4278" s="22"/>
      <c r="D4278" s="22"/>
      <c r="E4278" s="22"/>
      <c r="F4278" s="22"/>
      <c r="G4278" s="22"/>
      <c r="H4278" s="22"/>
      <c r="I4278" s="22"/>
      <c r="J4278" s="22"/>
      <c r="K4278" s="22"/>
      <c r="L4278" s="22"/>
      <c r="M4278" s="22"/>
      <c r="N4278" s="22"/>
      <c r="O4278" s="22"/>
      <c r="P4278" s="22"/>
      <c r="Q4278" s="22"/>
      <c r="R4278" s="22"/>
    </row>
    <row r="4279">
      <c r="A4279" s="22"/>
      <c r="B4279" s="22"/>
      <c r="C4279" s="22"/>
      <c r="D4279" s="22"/>
      <c r="E4279" s="22"/>
      <c r="F4279" s="22"/>
      <c r="G4279" s="22"/>
      <c r="H4279" s="22"/>
      <c r="I4279" s="22"/>
      <c r="J4279" s="22"/>
      <c r="K4279" s="22"/>
      <c r="L4279" s="22"/>
      <c r="M4279" s="22"/>
      <c r="N4279" s="22"/>
      <c r="O4279" s="22"/>
      <c r="P4279" s="22"/>
      <c r="Q4279" s="22"/>
      <c r="R4279" s="22"/>
    </row>
    <row r="4280">
      <c r="A4280" s="22"/>
      <c r="B4280" s="22"/>
      <c r="C4280" s="22"/>
      <c r="D4280" s="22"/>
      <c r="E4280" s="22"/>
      <c r="F4280" s="22"/>
      <c r="G4280" s="22"/>
      <c r="H4280" s="22"/>
      <c r="I4280" s="22"/>
      <c r="J4280" s="22"/>
      <c r="K4280" s="22"/>
      <c r="L4280" s="22"/>
      <c r="M4280" s="22"/>
      <c r="N4280" s="22"/>
      <c r="O4280" s="22"/>
      <c r="P4280" s="22"/>
      <c r="Q4280" s="22"/>
      <c r="R4280" s="22"/>
    </row>
    <row r="4281">
      <c r="A4281" s="22"/>
      <c r="B4281" s="22"/>
      <c r="C4281" s="22"/>
      <c r="D4281" s="22"/>
      <c r="E4281" s="22"/>
      <c r="F4281" s="22"/>
      <c r="G4281" s="22"/>
      <c r="H4281" s="22"/>
      <c r="I4281" s="22"/>
      <c r="J4281" s="22"/>
      <c r="K4281" s="22"/>
      <c r="L4281" s="22"/>
      <c r="M4281" s="22"/>
      <c r="N4281" s="22"/>
      <c r="O4281" s="22"/>
      <c r="P4281" s="22"/>
      <c r="Q4281" s="22"/>
      <c r="R4281" s="22"/>
    </row>
    <row r="4282">
      <c r="A4282" s="22"/>
      <c r="B4282" s="22"/>
      <c r="C4282" s="22"/>
      <c r="D4282" s="22"/>
      <c r="E4282" s="22"/>
      <c r="F4282" s="22"/>
      <c r="G4282" s="22"/>
      <c r="H4282" s="22"/>
      <c r="I4282" s="22"/>
      <c r="J4282" s="22"/>
      <c r="K4282" s="22"/>
      <c r="L4282" s="22"/>
      <c r="M4282" s="22"/>
      <c r="N4282" s="22"/>
      <c r="O4282" s="22"/>
      <c r="P4282" s="22"/>
      <c r="Q4282" s="22"/>
      <c r="R4282" s="22"/>
    </row>
    <row r="4283">
      <c r="A4283" s="22"/>
      <c r="B4283" s="22"/>
      <c r="C4283" s="22"/>
      <c r="D4283" s="22"/>
      <c r="E4283" s="22"/>
      <c r="F4283" s="22"/>
      <c r="G4283" s="22"/>
      <c r="H4283" s="22"/>
      <c r="I4283" s="22"/>
      <c r="J4283" s="22"/>
      <c r="K4283" s="22"/>
      <c r="L4283" s="22"/>
      <c r="M4283" s="22"/>
      <c r="N4283" s="22"/>
      <c r="O4283" s="22"/>
      <c r="P4283" s="22"/>
      <c r="Q4283" s="22"/>
      <c r="R4283" s="22"/>
    </row>
    <row r="4284">
      <c r="A4284" s="22"/>
      <c r="B4284" s="22"/>
      <c r="C4284" s="22"/>
      <c r="D4284" s="22"/>
      <c r="E4284" s="22"/>
      <c r="F4284" s="22"/>
      <c r="G4284" s="22"/>
      <c r="H4284" s="22"/>
      <c r="I4284" s="22"/>
      <c r="J4284" s="22"/>
      <c r="K4284" s="22"/>
      <c r="L4284" s="22"/>
      <c r="M4284" s="22"/>
      <c r="N4284" s="22"/>
      <c r="O4284" s="22"/>
      <c r="P4284" s="22"/>
      <c r="Q4284" s="22"/>
      <c r="R4284" s="22"/>
    </row>
    <row r="4285">
      <c r="A4285" s="22"/>
      <c r="B4285" s="22"/>
      <c r="C4285" s="22"/>
      <c r="D4285" s="22"/>
      <c r="E4285" s="22"/>
      <c r="F4285" s="22"/>
      <c r="G4285" s="22"/>
      <c r="H4285" s="22"/>
      <c r="I4285" s="22"/>
      <c r="J4285" s="22"/>
      <c r="K4285" s="22"/>
      <c r="L4285" s="22"/>
      <c r="M4285" s="22"/>
      <c r="N4285" s="22"/>
      <c r="O4285" s="22"/>
      <c r="P4285" s="22"/>
      <c r="Q4285" s="22"/>
      <c r="R4285" s="22"/>
    </row>
    <row r="4286">
      <c r="A4286" s="22"/>
      <c r="B4286" s="22"/>
      <c r="C4286" s="22"/>
      <c r="D4286" s="22"/>
      <c r="E4286" s="22"/>
      <c r="F4286" s="22"/>
      <c r="G4286" s="22"/>
      <c r="H4286" s="22"/>
      <c r="I4286" s="22"/>
      <c r="J4286" s="22"/>
      <c r="K4286" s="22"/>
      <c r="L4286" s="22"/>
      <c r="M4286" s="22"/>
      <c r="N4286" s="22"/>
      <c r="O4286" s="22"/>
      <c r="P4286" s="22"/>
      <c r="Q4286" s="22"/>
      <c r="R4286" s="22"/>
    </row>
    <row r="4287">
      <c r="A4287" s="22"/>
      <c r="B4287" s="22"/>
      <c r="C4287" s="22"/>
      <c r="D4287" s="22"/>
      <c r="E4287" s="22"/>
      <c r="F4287" s="22"/>
      <c r="G4287" s="22"/>
      <c r="H4287" s="22"/>
      <c r="I4287" s="22"/>
      <c r="J4287" s="22"/>
      <c r="K4287" s="22"/>
      <c r="L4287" s="22"/>
      <c r="M4287" s="22"/>
      <c r="N4287" s="22"/>
      <c r="O4287" s="22"/>
      <c r="P4287" s="22"/>
      <c r="Q4287" s="22"/>
      <c r="R4287" s="22"/>
    </row>
    <row r="4288">
      <c r="A4288" s="22"/>
      <c r="B4288" s="22"/>
      <c r="C4288" s="22"/>
      <c r="D4288" s="22"/>
      <c r="E4288" s="22"/>
      <c r="F4288" s="22"/>
      <c r="G4288" s="22"/>
      <c r="H4288" s="22"/>
      <c r="I4288" s="22"/>
      <c r="J4288" s="22"/>
      <c r="K4288" s="22"/>
      <c r="L4288" s="22"/>
      <c r="M4288" s="22"/>
      <c r="N4288" s="22"/>
      <c r="O4288" s="22"/>
      <c r="P4288" s="22"/>
      <c r="Q4288" s="22"/>
      <c r="R4288" s="22"/>
    </row>
    <row r="4289">
      <c r="A4289" s="22"/>
      <c r="B4289" s="22"/>
      <c r="C4289" s="22"/>
      <c r="D4289" s="22"/>
      <c r="E4289" s="22"/>
      <c r="F4289" s="22"/>
      <c r="G4289" s="22"/>
      <c r="H4289" s="22"/>
      <c r="I4289" s="22"/>
      <c r="J4289" s="22"/>
      <c r="K4289" s="22"/>
      <c r="L4289" s="22"/>
      <c r="M4289" s="22"/>
      <c r="N4289" s="22"/>
      <c r="O4289" s="22"/>
      <c r="P4289" s="22"/>
      <c r="Q4289" s="22"/>
      <c r="R4289" s="22"/>
    </row>
    <row r="4290">
      <c r="A4290" s="22"/>
      <c r="B4290" s="22"/>
      <c r="C4290" s="22"/>
      <c r="D4290" s="22"/>
      <c r="E4290" s="22"/>
      <c r="F4290" s="22"/>
      <c r="G4290" s="22"/>
      <c r="H4290" s="22"/>
      <c r="I4290" s="22"/>
      <c r="J4290" s="22"/>
      <c r="K4290" s="22"/>
      <c r="L4290" s="22"/>
      <c r="M4290" s="22"/>
      <c r="N4290" s="22"/>
      <c r="O4290" s="22"/>
      <c r="P4290" s="22"/>
      <c r="Q4290" s="22"/>
      <c r="R4290" s="22"/>
    </row>
    <row r="4291">
      <c r="A4291" s="22"/>
      <c r="B4291" s="22"/>
      <c r="C4291" s="22"/>
      <c r="D4291" s="22"/>
      <c r="E4291" s="22"/>
      <c r="F4291" s="22"/>
      <c r="G4291" s="22"/>
      <c r="H4291" s="22"/>
      <c r="I4291" s="22"/>
      <c r="J4291" s="22"/>
      <c r="K4291" s="22"/>
      <c r="L4291" s="22"/>
      <c r="M4291" s="22"/>
      <c r="N4291" s="22"/>
      <c r="O4291" s="22"/>
      <c r="P4291" s="22"/>
      <c r="Q4291" s="22"/>
      <c r="R4291" s="22"/>
    </row>
    <row r="4292">
      <c r="A4292" s="22"/>
      <c r="B4292" s="22"/>
      <c r="C4292" s="22"/>
      <c r="D4292" s="22"/>
      <c r="E4292" s="22"/>
      <c r="F4292" s="22"/>
      <c r="G4292" s="22"/>
      <c r="H4292" s="22"/>
      <c r="I4292" s="22"/>
      <c r="J4292" s="22"/>
      <c r="K4292" s="22"/>
      <c r="L4292" s="22"/>
      <c r="M4292" s="22"/>
      <c r="N4292" s="22"/>
      <c r="O4292" s="22"/>
      <c r="P4292" s="22"/>
      <c r="Q4292" s="22"/>
      <c r="R4292" s="22"/>
    </row>
    <row r="4293">
      <c r="A4293" s="22"/>
      <c r="B4293" s="22"/>
      <c r="C4293" s="22"/>
      <c r="D4293" s="22"/>
      <c r="E4293" s="22"/>
      <c r="F4293" s="22"/>
      <c r="G4293" s="22"/>
      <c r="H4293" s="22"/>
      <c r="I4293" s="22"/>
      <c r="J4293" s="22"/>
      <c r="K4293" s="22"/>
      <c r="L4293" s="22"/>
      <c r="M4293" s="22"/>
      <c r="N4293" s="22"/>
      <c r="O4293" s="22"/>
      <c r="P4293" s="22"/>
      <c r="Q4293" s="22"/>
      <c r="R4293" s="22"/>
    </row>
    <row r="4294">
      <c r="A4294" s="22"/>
      <c r="B4294" s="22"/>
      <c r="C4294" s="22"/>
      <c r="D4294" s="22"/>
      <c r="E4294" s="22"/>
      <c r="F4294" s="22"/>
      <c r="G4294" s="22"/>
      <c r="H4294" s="22"/>
      <c r="I4294" s="22"/>
      <c r="J4294" s="22"/>
      <c r="K4294" s="22"/>
      <c r="L4294" s="22"/>
      <c r="M4294" s="22"/>
      <c r="N4294" s="22"/>
      <c r="O4294" s="22"/>
      <c r="P4294" s="22"/>
      <c r="Q4294" s="22"/>
      <c r="R4294" s="22"/>
    </row>
    <row r="4295">
      <c r="A4295" s="22"/>
      <c r="B4295" s="22"/>
      <c r="C4295" s="22"/>
      <c r="D4295" s="22"/>
      <c r="E4295" s="22"/>
      <c r="F4295" s="22"/>
      <c r="G4295" s="22"/>
      <c r="H4295" s="22"/>
      <c r="I4295" s="22"/>
      <c r="J4295" s="22"/>
      <c r="K4295" s="22"/>
      <c r="L4295" s="22"/>
      <c r="M4295" s="22"/>
      <c r="N4295" s="22"/>
      <c r="O4295" s="22"/>
      <c r="P4295" s="22"/>
      <c r="Q4295" s="22"/>
      <c r="R4295" s="22"/>
    </row>
    <row r="4296">
      <c r="A4296" s="22"/>
      <c r="B4296" s="22"/>
      <c r="C4296" s="22"/>
      <c r="D4296" s="22"/>
      <c r="E4296" s="22"/>
      <c r="F4296" s="22"/>
      <c r="G4296" s="22"/>
      <c r="H4296" s="22"/>
      <c r="I4296" s="22"/>
      <c r="J4296" s="22"/>
      <c r="K4296" s="22"/>
      <c r="L4296" s="22"/>
      <c r="M4296" s="22"/>
      <c r="N4296" s="22"/>
      <c r="O4296" s="22"/>
      <c r="P4296" s="22"/>
      <c r="Q4296" s="22"/>
      <c r="R4296" s="22"/>
    </row>
    <row r="4297">
      <c r="A4297" s="22"/>
      <c r="B4297" s="22"/>
      <c r="C4297" s="22"/>
      <c r="D4297" s="22"/>
      <c r="E4297" s="22"/>
      <c r="F4297" s="22"/>
      <c r="G4297" s="22"/>
      <c r="H4297" s="22"/>
      <c r="I4297" s="22"/>
      <c r="J4297" s="22"/>
      <c r="K4297" s="22"/>
      <c r="L4297" s="22"/>
      <c r="M4297" s="22"/>
      <c r="N4297" s="22"/>
      <c r="O4297" s="22"/>
      <c r="P4297" s="22"/>
      <c r="Q4297" s="22"/>
      <c r="R4297" s="22"/>
    </row>
    <row r="4298">
      <c r="A4298" s="22"/>
      <c r="B4298" s="22"/>
      <c r="C4298" s="22"/>
      <c r="D4298" s="22"/>
      <c r="E4298" s="22"/>
      <c r="F4298" s="22"/>
      <c r="G4298" s="22"/>
      <c r="H4298" s="22"/>
      <c r="I4298" s="22"/>
      <c r="J4298" s="22"/>
      <c r="K4298" s="22"/>
      <c r="L4298" s="22"/>
      <c r="M4298" s="22"/>
      <c r="N4298" s="22"/>
      <c r="O4298" s="22"/>
      <c r="P4298" s="22"/>
      <c r="Q4298" s="22"/>
      <c r="R4298" s="22"/>
    </row>
    <row r="4299">
      <c r="A4299" s="22"/>
      <c r="B4299" s="22"/>
      <c r="C4299" s="22"/>
      <c r="D4299" s="22"/>
      <c r="E4299" s="22"/>
      <c r="F4299" s="22"/>
      <c r="G4299" s="22"/>
      <c r="H4299" s="22"/>
      <c r="I4299" s="22"/>
      <c r="J4299" s="22"/>
      <c r="K4299" s="22"/>
      <c r="L4299" s="22"/>
      <c r="M4299" s="22"/>
      <c r="N4299" s="22"/>
      <c r="O4299" s="22"/>
      <c r="P4299" s="22"/>
      <c r="Q4299" s="22"/>
      <c r="R4299" s="22"/>
    </row>
    <row r="4300">
      <c r="A4300" s="22"/>
      <c r="B4300" s="22"/>
      <c r="C4300" s="22"/>
      <c r="D4300" s="22"/>
      <c r="E4300" s="22"/>
      <c r="F4300" s="22"/>
      <c r="G4300" s="22"/>
      <c r="H4300" s="22"/>
      <c r="I4300" s="22"/>
      <c r="J4300" s="22"/>
      <c r="K4300" s="22"/>
      <c r="L4300" s="22"/>
      <c r="M4300" s="22"/>
      <c r="N4300" s="22"/>
      <c r="O4300" s="22"/>
      <c r="P4300" s="22"/>
      <c r="Q4300" s="22"/>
      <c r="R4300" s="22"/>
    </row>
    <row r="4301">
      <c r="A4301" s="22"/>
      <c r="B4301" s="22"/>
      <c r="C4301" s="22"/>
      <c r="D4301" s="22"/>
      <c r="E4301" s="22"/>
      <c r="F4301" s="22"/>
      <c r="G4301" s="22"/>
      <c r="H4301" s="22"/>
      <c r="I4301" s="22"/>
      <c r="J4301" s="22"/>
      <c r="K4301" s="22"/>
      <c r="L4301" s="22"/>
      <c r="M4301" s="22"/>
      <c r="N4301" s="22"/>
      <c r="O4301" s="22"/>
      <c r="P4301" s="22"/>
      <c r="Q4301" s="22"/>
      <c r="R4301" s="22"/>
    </row>
    <row r="4302">
      <c r="A4302" s="22"/>
      <c r="B4302" s="22"/>
      <c r="C4302" s="22"/>
      <c r="D4302" s="22"/>
      <c r="E4302" s="22"/>
      <c r="F4302" s="22"/>
      <c r="G4302" s="22"/>
      <c r="H4302" s="22"/>
      <c r="I4302" s="22"/>
      <c r="J4302" s="22"/>
      <c r="K4302" s="22"/>
      <c r="L4302" s="22"/>
      <c r="M4302" s="22"/>
      <c r="N4302" s="22"/>
      <c r="O4302" s="22"/>
      <c r="P4302" s="22"/>
      <c r="Q4302" s="22"/>
      <c r="R4302" s="22"/>
    </row>
    <row r="4303">
      <c r="A4303" s="22"/>
      <c r="B4303" s="22"/>
      <c r="C4303" s="22"/>
      <c r="D4303" s="22"/>
      <c r="E4303" s="22"/>
      <c r="F4303" s="22"/>
      <c r="G4303" s="22"/>
      <c r="H4303" s="22"/>
      <c r="I4303" s="22"/>
      <c r="J4303" s="22"/>
      <c r="K4303" s="22"/>
      <c r="L4303" s="22"/>
      <c r="M4303" s="22"/>
      <c r="N4303" s="22"/>
      <c r="O4303" s="22"/>
      <c r="P4303" s="22"/>
      <c r="Q4303" s="22"/>
      <c r="R4303" s="22"/>
    </row>
    <row r="4304">
      <c r="A4304" s="22"/>
      <c r="B4304" s="22"/>
      <c r="C4304" s="22"/>
      <c r="D4304" s="22"/>
      <c r="E4304" s="22"/>
      <c r="F4304" s="22"/>
      <c r="G4304" s="22"/>
      <c r="H4304" s="22"/>
      <c r="I4304" s="22"/>
      <c r="J4304" s="22"/>
      <c r="K4304" s="22"/>
      <c r="L4304" s="22"/>
      <c r="M4304" s="22"/>
      <c r="N4304" s="22"/>
      <c r="O4304" s="22"/>
      <c r="P4304" s="22"/>
      <c r="Q4304" s="22"/>
      <c r="R4304" s="22"/>
    </row>
    <row r="4305">
      <c r="A4305" s="22"/>
      <c r="B4305" s="22"/>
      <c r="C4305" s="22"/>
      <c r="D4305" s="22"/>
      <c r="E4305" s="22"/>
      <c r="F4305" s="22"/>
      <c r="G4305" s="22"/>
      <c r="H4305" s="22"/>
      <c r="I4305" s="22"/>
      <c r="J4305" s="22"/>
      <c r="K4305" s="22"/>
      <c r="L4305" s="22"/>
      <c r="M4305" s="22"/>
      <c r="N4305" s="22"/>
      <c r="O4305" s="22"/>
      <c r="P4305" s="22"/>
      <c r="Q4305" s="22"/>
      <c r="R4305" s="22"/>
    </row>
    <row r="4306">
      <c r="A4306" s="22"/>
      <c r="B4306" s="22"/>
      <c r="C4306" s="22"/>
      <c r="D4306" s="22"/>
      <c r="E4306" s="22"/>
      <c r="F4306" s="22"/>
      <c r="G4306" s="22"/>
      <c r="H4306" s="22"/>
      <c r="I4306" s="22"/>
      <c r="J4306" s="22"/>
      <c r="K4306" s="22"/>
      <c r="L4306" s="22"/>
      <c r="M4306" s="22"/>
      <c r="N4306" s="22"/>
      <c r="O4306" s="22"/>
      <c r="P4306" s="22"/>
      <c r="Q4306" s="22"/>
      <c r="R4306" s="22"/>
    </row>
    <row r="4307">
      <c r="A4307" s="22"/>
      <c r="B4307" s="22"/>
      <c r="C4307" s="22"/>
      <c r="D4307" s="22"/>
      <c r="E4307" s="22"/>
      <c r="F4307" s="22"/>
      <c r="G4307" s="22"/>
      <c r="H4307" s="22"/>
      <c r="I4307" s="22"/>
      <c r="J4307" s="22"/>
      <c r="K4307" s="22"/>
      <c r="L4307" s="22"/>
      <c r="M4307" s="22"/>
      <c r="N4307" s="22"/>
      <c r="O4307" s="22"/>
      <c r="P4307" s="22"/>
      <c r="Q4307" s="22"/>
      <c r="R4307" s="22"/>
    </row>
    <row r="4308">
      <c r="A4308" s="22"/>
      <c r="B4308" s="22"/>
      <c r="C4308" s="22"/>
      <c r="D4308" s="22"/>
      <c r="E4308" s="22"/>
      <c r="F4308" s="22"/>
      <c r="G4308" s="22"/>
      <c r="H4308" s="22"/>
      <c r="I4308" s="22"/>
      <c r="J4308" s="22"/>
      <c r="K4308" s="22"/>
      <c r="L4308" s="22"/>
      <c r="M4308" s="22"/>
      <c r="N4308" s="22"/>
      <c r="O4308" s="22"/>
      <c r="P4308" s="22"/>
      <c r="Q4308" s="22"/>
      <c r="R4308" s="22"/>
    </row>
    <row r="4309">
      <c r="A4309" s="22"/>
      <c r="B4309" s="22"/>
      <c r="C4309" s="22"/>
      <c r="D4309" s="22"/>
      <c r="E4309" s="22"/>
      <c r="F4309" s="22"/>
      <c r="G4309" s="22"/>
      <c r="H4309" s="22"/>
      <c r="I4309" s="22"/>
      <c r="J4309" s="22"/>
      <c r="K4309" s="22"/>
      <c r="L4309" s="22"/>
      <c r="M4309" s="22"/>
      <c r="N4309" s="22"/>
      <c r="O4309" s="22"/>
      <c r="P4309" s="22"/>
      <c r="Q4309" s="22"/>
      <c r="R4309" s="22"/>
    </row>
    <row r="4310">
      <c r="A4310" s="22"/>
      <c r="B4310" s="22"/>
      <c r="C4310" s="22"/>
      <c r="D4310" s="22"/>
      <c r="E4310" s="22"/>
      <c r="F4310" s="22"/>
      <c r="G4310" s="22"/>
      <c r="H4310" s="22"/>
      <c r="I4310" s="22"/>
      <c r="J4310" s="22"/>
      <c r="K4310" s="22"/>
      <c r="L4310" s="22"/>
      <c r="M4310" s="22"/>
      <c r="N4310" s="22"/>
      <c r="O4310" s="22"/>
      <c r="P4310" s="22"/>
      <c r="Q4310" s="22"/>
      <c r="R4310" s="22"/>
    </row>
    <row r="4311">
      <c r="A4311" s="22"/>
      <c r="B4311" s="22"/>
      <c r="C4311" s="22"/>
      <c r="D4311" s="22"/>
      <c r="E4311" s="22"/>
      <c r="F4311" s="22"/>
      <c r="G4311" s="22"/>
      <c r="H4311" s="22"/>
      <c r="I4311" s="22"/>
      <c r="J4311" s="22"/>
      <c r="K4311" s="22"/>
      <c r="L4311" s="22"/>
      <c r="M4311" s="22"/>
      <c r="N4311" s="22"/>
      <c r="O4311" s="22"/>
      <c r="P4311" s="22"/>
      <c r="Q4311" s="22"/>
      <c r="R4311" s="22"/>
    </row>
    <row r="4312">
      <c r="A4312" s="22"/>
      <c r="B4312" s="22"/>
      <c r="C4312" s="22"/>
      <c r="D4312" s="22"/>
      <c r="E4312" s="22"/>
      <c r="F4312" s="22"/>
      <c r="G4312" s="22"/>
      <c r="H4312" s="22"/>
      <c r="I4312" s="22"/>
      <c r="J4312" s="22"/>
      <c r="K4312" s="22"/>
      <c r="L4312" s="22"/>
      <c r="M4312" s="22"/>
      <c r="N4312" s="22"/>
      <c r="O4312" s="22"/>
      <c r="P4312" s="22"/>
      <c r="Q4312" s="22"/>
      <c r="R4312" s="22"/>
    </row>
    <row r="4313">
      <c r="A4313" s="22"/>
      <c r="B4313" s="22"/>
      <c r="C4313" s="22"/>
      <c r="D4313" s="22"/>
      <c r="E4313" s="22"/>
      <c r="F4313" s="22"/>
      <c r="G4313" s="22"/>
      <c r="H4313" s="22"/>
      <c r="I4313" s="22"/>
      <c r="J4313" s="22"/>
      <c r="K4313" s="22"/>
      <c r="L4313" s="22"/>
      <c r="M4313" s="22"/>
      <c r="N4313" s="22"/>
      <c r="O4313" s="22"/>
      <c r="P4313" s="22"/>
      <c r="Q4313" s="22"/>
      <c r="R4313" s="22"/>
    </row>
    <row r="4314">
      <c r="A4314" s="22"/>
      <c r="B4314" s="22"/>
      <c r="C4314" s="22"/>
      <c r="D4314" s="22"/>
      <c r="E4314" s="22"/>
      <c r="F4314" s="22"/>
      <c r="G4314" s="22"/>
      <c r="H4314" s="22"/>
      <c r="I4314" s="22"/>
      <c r="J4314" s="22"/>
      <c r="K4314" s="22"/>
      <c r="L4314" s="22"/>
      <c r="M4314" s="22"/>
      <c r="N4314" s="22"/>
      <c r="O4314" s="22"/>
      <c r="P4314" s="22"/>
      <c r="Q4314" s="22"/>
      <c r="R4314" s="22"/>
    </row>
    <row r="4315">
      <c r="A4315" s="22"/>
      <c r="B4315" s="22"/>
      <c r="C4315" s="22"/>
      <c r="D4315" s="22"/>
      <c r="E4315" s="22"/>
      <c r="F4315" s="22"/>
      <c r="G4315" s="22"/>
      <c r="H4315" s="22"/>
      <c r="I4315" s="22"/>
      <c r="J4315" s="22"/>
      <c r="K4315" s="22"/>
      <c r="L4315" s="22"/>
      <c r="M4315" s="22"/>
      <c r="N4315" s="22"/>
      <c r="O4315" s="22"/>
      <c r="P4315" s="22"/>
      <c r="Q4315" s="22"/>
      <c r="R4315" s="22"/>
    </row>
    <row r="4316">
      <c r="A4316" s="22"/>
      <c r="B4316" s="22"/>
      <c r="C4316" s="22"/>
      <c r="D4316" s="22"/>
      <c r="E4316" s="22"/>
      <c r="F4316" s="22"/>
      <c r="G4316" s="22"/>
      <c r="H4316" s="22"/>
      <c r="I4316" s="22"/>
      <c r="J4316" s="22"/>
      <c r="K4316" s="22"/>
      <c r="L4316" s="22"/>
      <c r="M4316" s="22"/>
      <c r="N4316" s="22"/>
      <c r="O4316" s="22"/>
      <c r="P4316" s="22"/>
      <c r="Q4316" s="22"/>
      <c r="R4316" s="22"/>
    </row>
    <row r="4317">
      <c r="A4317" s="22"/>
      <c r="B4317" s="22"/>
      <c r="C4317" s="22"/>
      <c r="D4317" s="22"/>
      <c r="E4317" s="22"/>
      <c r="F4317" s="22"/>
      <c r="G4317" s="22"/>
      <c r="H4317" s="22"/>
      <c r="I4317" s="22"/>
      <c r="J4317" s="22"/>
      <c r="K4317" s="22"/>
      <c r="L4317" s="22"/>
      <c r="M4317" s="22"/>
      <c r="N4317" s="22"/>
      <c r="O4317" s="22"/>
      <c r="P4317" s="22"/>
      <c r="Q4317" s="22"/>
      <c r="R4317" s="22"/>
    </row>
    <row r="4318">
      <c r="A4318" s="22"/>
      <c r="B4318" s="22"/>
      <c r="C4318" s="22"/>
      <c r="D4318" s="22"/>
      <c r="E4318" s="22"/>
      <c r="F4318" s="22"/>
      <c r="G4318" s="22"/>
      <c r="H4318" s="22"/>
      <c r="I4318" s="22"/>
      <c r="J4318" s="22"/>
      <c r="K4318" s="22"/>
      <c r="L4318" s="22"/>
      <c r="M4318" s="22"/>
      <c r="N4318" s="22"/>
      <c r="O4318" s="22"/>
      <c r="P4318" s="22"/>
      <c r="Q4318" s="22"/>
      <c r="R4318" s="22"/>
    </row>
    <row r="4319">
      <c r="A4319" s="22"/>
      <c r="B4319" s="22"/>
      <c r="C4319" s="22"/>
      <c r="D4319" s="22"/>
      <c r="E4319" s="22"/>
      <c r="F4319" s="22"/>
      <c r="G4319" s="22"/>
      <c r="H4319" s="22"/>
      <c r="I4319" s="22"/>
      <c r="J4319" s="22"/>
      <c r="K4319" s="22"/>
      <c r="L4319" s="22"/>
      <c r="M4319" s="22"/>
      <c r="N4319" s="22"/>
      <c r="O4319" s="22"/>
      <c r="P4319" s="22"/>
      <c r="Q4319" s="22"/>
      <c r="R4319" s="22"/>
    </row>
    <row r="4320">
      <c r="A4320" s="22"/>
      <c r="B4320" s="22"/>
      <c r="C4320" s="22"/>
      <c r="D4320" s="22"/>
      <c r="E4320" s="22"/>
      <c r="F4320" s="22"/>
      <c r="G4320" s="22"/>
      <c r="H4320" s="22"/>
      <c r="I4320" s="22"/>
      <c r="J4320" s="22"/>
      <c r="K4320" s="22"/>
      <c r="L4320" s="22"/>
      <c r="M4320" s="22"/>
      <c r="N4320" s="22"/>
      <c r="O4320" s="22"/>
      <c r="P4320" s="22"/>
      <c r="Q4320" s="22"/>
      <c r="R4320" s="22"/>
    </row>
    <row r="4321">
      <c r="A4321" s="22"/>
      <c r="B4321" s="22"/>
      <c r="C4321" s="22"/>
      <c r="D4321" s="22"/>
      <c r="E4321" s="22"/>
      <c r="F4321" s="22"/>
      <c r="G4321" s="22"/>
      <c r="H4321" s="22"/>
      <c r="I4321" s="22"/>
      <c r="J4321" s="22"/>
      <c r="K4321" s="22"/>
      <c r="L4321" s="22"/>
      <c r="M4321" s="22"/>
      <c r="N4321" s="22"/>
      <c r="O4321" s="22"/>
      <c r="P4321" s="22"/>
      <c r="Q4321" s="22"/>
      <c r="R4321" s="22"/>
    </row>
    <row r="4322">
      <c r="A4322" s="22"/>
      <c r="B4322" s="22"/>
      <c r="C4322" s="22"/>
      <c r="D4322" s="22"/>
      <c r="E4322" s="22"/>
      <c r="F4322" s="22"/>
      <c r="G4322" s="22"/>
      <c r="H4322" s="22"/>
      <c r="I4322" s="22"/>
      <c r="J4322" s="22"/>
      <c r="K4322" s="22"/>
      <c r="L4322" s="22"/>
      <c r="M4322" s="22"/>
      <c r="N4322" s="22"/>
      <c r="O4322" s="22"/>
      <c r="P4322" s="22"/>
      <c r="Q4322" s="22"/>
      <c r="R4322" s="22"/>
    </row>
    <row r="4323">
      <c r="A4323" s="22"/>
      <c r="B4323" s="22"/>
      <c r="C4323" s="22"/>
      <c r="D4323" s="22"/>
      <c r="E4323" s="22"/>
      <c r="F4323" s="22"/>
      <c r="G4323" s="22"/>
      <c r="H4323" s="22"/>
      <c r="I4323" s="22"/>
      <c r="J4323" s="22"/>
      <c r="K4323" s="22"/>
      <c r="L4323" s="22"/>
      <c r="M4323" s="22"/>
      <c r="N4323" s="22"/>
      <c r="O4323" s="22"/>
      <c r="P4323" s="22"/>
      <c r="Q4323" s="22"/>
      <c r="R4323" s="22"/>
    </row>
    <row r="4324">
      <c r="A4324" s="22"/>
      <c r="B4324" s="22"/>
      <c r="C4324" s="22"/>
      <c r="D4324" s="22"/>
      <c r="E4324" s="22"/>
      <c r="F4324" s="22"/>
      <c r="G4324" s="22"/>
      <c r="H4324" s="22"/>
      <c r="I4324" s="22"/>
      <c r="J4324" s="22"/>
      <c r="K4324" s="22"/>
      <c r="L4324" s="22"/>
      <c r="M4324" s="22"/>
      <c r="N4324" s="22"/>
      <c r="O4324" s="22"/>
      <c r="P4324" s="22"/>
      <c r="Q4324" s="22"/>
      <c r="R4324" s="22"/>
    </row>
    <row r="4325">
      <c r="A4325" s="22"/>
      <c r="B4325" s="22"/>
      <c r="C4325" s="22"/>
      <c r="D4325" s="22"/>
      <c r="E4325" s="22"/>
      <c r="F4325" s="22"/>
      <c r="G4325" s="22"/>
      <c r="H4325" s="22"/>
      <c r="I4325" s="22"/>
      <c r="J4325" s="22"/>
      <c r="K4325" s="22"/>
      <c r="L4325" s="22"/>
      <c r="M4325" s="22"/>
      <c r="N4325" s="22"/>
      <c r="O4325" s="22"/>
      <c r="P4325" s="22"/>
      <c r="Q4325" s="22"/>
      <c r="R4325" s="22"/>
    </row>
    <row r="4326">
      <c r="A4326" s="22"/>
      <c r="B4326" s="22"/>
      <c r="C4326" s="22"/>
      <c r="D4326" s="22"/>
      <c r="E4326" s="22"/>
      <c r="F4326" s="22"/>
      <c r="G4326" s="22"/>
      <c r="H4326" s="22"/>
      <c r="I4326" s="22"/>
      <c r="J4326" s="22"/>
      <c r="K4326" s="22"/>
      <c r="L4326" s="22"/>
      <c r="M4326" s="22"/>
      <c r="N4326" s="22"/>
      <c r="O4326" s="22"/>
      <c r="P4326" s="22"/>
      <c r="Q4326" s="22"/>
      <c r="R4326" s="22"/>
    </row>
    <row r="4327">
      <c r="A4327" s="22"/>
      <c r="B4327" s="22"/>
      <c r="C4327" s="22"/>
      <c r="D4327" s="22"/>
      <c r="E4327" s="22"/>
      <c r="F4327" s="22"/>
      <c r="G4327" s="22"/>
      <c r="H4327" s="22"/>
      <c r="I4327" s="22"/>
      <c r="J4327" s="22"/>
      <c r="K4327" s="22"/>
      <c r="L4327" s="22"/>
      <c r="M4327" s="22"/>
      <c r="N4327" s="22"/>
      <c r="O4327" s="22"/>
      <c r="P4327" s="22"/>
      <c r="Q4327" s="22"/>
      <c r="R4327" s="22"/>
    </row>
    <row r="4328">
      <c r="A4328" s="22"/>
      <c r="B4328" s="22"/>
      <c r="C4328" s="22"/>
      <c r="D4328" s="22"/>
      <c r="E4328" s="22"/>
      <c r="F4328" s="22"/>
      <c r="G4328" s="22"/>
      <c r="H4328" s="22"/>
      <c r="I4328" s="22"/>
      <c r="J4328" s="22"/>
      <c r="K4328" s="22"/>
      <c r="L4328" s="22"/>
      <c r="M4328" s="22"/>
      <c r="N4328" s="22"/>
      <c r="O4328" s="22"/>
      <c r="P4328" s="22"/>
      <c r="Q4328" s="22"/>
      <c r="R4328" s="22"/>
    </row>
    <row r="4329">
      <c r="A4329" s="22"/>
      <c r="B4329" s="22"/>
      <c r="C4329" s="22"/>
      <c r="D4329" s="22"/>
      <c r="E4329" s="22"/>
      <c r="F4329" s="22"/>
      <c r="G4329" s="22"/>
      <c r="H4329" s="22"/>
      <c r="I4329" s="22"/>
      <c r="J4329" s="22"/>
      <c r="K4329" s="22"/>
      <c r="L4329" s="22"/>
      <c r="M4329" s="22"/>
      <c r="N4329" s="22"/>
      <c r="O4329" s="22"/>
      <c r="P4329" s="22"/>
      <c r="Q4329" s="22"/>
      <c r="R4329" s="22"/>
    </row>
    <row r="4330">
      <c r="A4330" s="22"/>
      <c r="B4330" s="22"/>
      <c r="C4330" s="22"/>
      <c r="D4330" s="22"/>
      <c r="E4330" s="22"/>
      <c r="F4330" s="22"/>
      <c r="G4330" s="22"/>
      <c r="H4330" s="22"/>
      <c r="I4330" s="22"/>
      <c r="J4330" s="22"/>
      <c r="K4330" s="22"/>
      <c r="L4330" s="22"/>
      <c r="M4330" s="22"/>
      <c r="N4330" s="22"/>
      <c r="O4330" s="22"/>
      <c r="P4330" s="22"/>
      <c r="Q4330" s="22"/>
      <c r="R4330" s="22"/>
    </row>
    <row r="4331">
      <c r="A4331" s="22"/>
      <c r="B4331" s="22"/>
      <c r="C4331" s="22"/>
      <c r="D4331" s="22"/>
      <c r="E4331" s="22"/>
      <c r="F4331" s="22"/>
      <c r="G4331" s="22"/>
      <c r="H4331" s="22"/>
      <c r="I4331" s="22"/>
      <c r="J4331" s="22"/>
      <c r="K4331" s="22"/>
      <c r="L4331" s="22"/>
      <c r="M4331" s="22"/>
      <c r="N4331" s="22"/>
      <c r="O4331" s="22"/>
      <c r="P4331" s="22"/>
      <c r="Q4331" s="22"/>
      <c r="R4331" s="22"/>
    </row>
    <row r="4332">
      <c r="A4332" s="22"/>
      <c r="B4332" s="22"/>
      <c r="C4332" s="22"/>
      <c r="D4332" s="22"/>
      <c r="E4332" s="22"/>
      <c r="F4332" s="22"/>
      <c r="G4332" s="22"/>
      <c r="H4332" s="22"/>
      <c r="I4332" s="22"/>
      <c r="J4332" s="22"/>
      <c r="K4332" s="22"/>
      <c r="L4332" s="22"/>
      <c r="M4332" s="22"/>
      <c r="N4332" s="22"/>
      <c r="O4332" s="22"/>
      <c r="P4332" s="22"/>
      <c r="Q4332" s="22"/>
      <c r="R4332" s="22"/>
    </row>
    <row r="4333">
      <c r="A4333" s="22"/>
      <c r="B4333" s="22"/>
      <c r="C4333" s="22"/>
      <c r="D4333" s="22"/>
      <c r="E4333" s="22"/>
      <c r="F4333" s="22"/>
      <c r="G4333" s="22"/>
      <c r="H4333" s="22"/>
      <c r="I4333" s="22"/>
      <c r="J4333" s="22"/>
      <c r="K4333" s="22"/>
      <c r="L4333" s="22"/>
      <c r="M4333" s="22"/>
      <c r="N4333" s="22"/>
      <c r="O4333" s="22"/>
      <c r="P4333" s="22"/>
      <c r="Q4333" s="22"/>
      <c r="R4333" s="22"/>
    </row>
    <row r="4334">
      <c r="A4334" s="22"/>
      <c r="B4334" s="22"/>
      <c r="C4334" s="22"/>
      <c r="D4334" s="22"/>
      <c r="E4334" s="22"/>
      <c r="F4334" s="22"/>
      <c r="G4334" s="22"/>
      <c r="H4334" s="22"/>
      <c r="I4334" s="22"/>
      <c r="J4334" s="22"/>
      <c r="K4334" s="22"/>
      <c r="L4334" s="22"/>
      <c r="M4334" s="22"/>
      <c r="N4334" s="22"/>
      <c r="O4334" s="22"/>
      <c r="P4334" s="22"/>
      <c r="Q4334" s="22"/>
      <c r="R4334" s="22"/>
    </row>
    <row r="4335">
      <c r="A4335" s="22"/>
      <c r="B4335" s="22"/>
      <c r="C4335" s="22"/>
      <c r="D4335" s="22"/>
      <c r="E4335" s="22"/>
      <c r="F4335" s="22"/>
      <c r="G4335" s="22"/>
      <c r="H4335" s="22"/>
      <c r="I4335" s="22"/>
      <c r="J4335" s="22"/>
      <c r="K4335" s="22"/>
      <c r="L4335" s="22"/>
      <c r="M4335" s="22"/>
      <c r="N4335" s="22"/>
      <c r="O4335" s="22"/>
      <c r="P4335" s="22"/>
      <c r="Q4335" s="22"/>
      <c r="R4335" s="22"/>
    </row>
    <row r="4336">
      <c r="A4336" s="22"/>
      <c r="B4336" s="22"/>
      <c r="C4336" s="22"/>
      <c r="D4336" s="22"/>
      <c r="E4336" s="22"/>
      <c r="F4336" s="22"/>
      <c r="G4336" s="22"/>
      <c r="H4336" s="22"/>
      <c r="I4336" s="22"/>
      <c r="J4336" s="22"/>
      <c r="K4336" s="22"/>
      <c r="L4336" s="22"/>
      <c r="M4336" s="22"/>
      <c r="N4336" s="22"/>
      <c r="O4336" s="22"/>
      <c r="P4336" s="22"/>
      <c r="Q4336" s="22"/>
      <c r="R4336" s="22"/>
    </row>
    <row r="4337">
      <c r="A4337" s="22"/>
      <c r="B4337" s="22"/>
      <c r="C4337" s="22"/>
      <c r="D4337" s="22"/>
      <c r="E4337" s="22"/>
      <c r="F4337" s="22"/>
      <c r="G4337" s="22"/>
      <c r="H4337" s="22"/>
      <c r="I4337" s="22"/>
      <c r="J4337" s="22"/>
      <c r="K4337" s="22"/>
      <c r="L4337" s="22"/>
      <c r="M4337" s="22"/>
      <c r="N4337" s="22"/>
      <c r="O4337" s="22"/>
      <c r="P4337" s="22"/>
      <c r="Q4337" s="22"/>
      <c r="R4337" s="22"/>
    </row>
    <row r="4338">
      <c r="A4338" s="22"/>
      <c r="B4338" s="22"/>
      <c r="C4338" s="22"/>
      <c r="D4338" s="22"/>
      <c r="E4338" s="22"/>
      <c r="F4338" s="22"/>
      <c r="G4338" s="22"/>
      <c r="H4338" s="22"/>
      <c r="I4338" s="22"/>
      <c r="J4338" s="22"/>
      <c r="K4338" s="22"/>
      <c r="L4338" s="22"/>
      <c r="M4338" s="22"/>
      <c r="N4338" s="22"/>
      <c r="O4338" s="22"/>
      <c r="P4338" s="22"/>
      <c r="Q4338" s="22"/>
      <c r="R4338" s="22"/>
    </row>
    <row r="4339">
      <c r="A4339" s="22"/>
      <c r="B4339" s="22"/>
      <c r="C4339" s="22"/>
      <c r="D4339" s="22"/>
      <c r="E4339" s="22"/>
      <c r="F4339" s="22"/>
      <c r="G4339" s="22"/>
      <c r="H4339" s="22"/>
      <c r="I4339" s="22"/>
      <c r="J4339" s="22"/>
      <c r="K4339" s="22"/>
      <c r="L4339" s="22"/>
      <c r="M4339" s="22"/>
      <c r="N4339" s="22"/>
      <c r="O4339" s="22"/>
      <c r="P4339" s="22"/>
      <c r="Q4339" s="22"/>
      <c r="R4339" s="22"/>
    </row>
    <row r="4340">
      <c r="A4340" s="22"/>
      <c r="B4340" s="22"/>
      <c r="C4340" s="22"/>
      <c r="D4340" s="22"/>
      <c r="E4340" s="22"/>
      <c r="F4340" s="22"/>
      <c r="G4340" s="22"/>
      <c r="H4340" s="22"/>
      <c r="I4340" s="22"/>
      <c r="J4340" s="22"/>
      <c r="K4340" s="22"/>
      <c r="L4340" s="22"/>
      <c r="M4340" s="22"/>
      <c r="N4340" s="22"/>
      <c r="O4340" s="22"/>
      <c r="P4340" s="22"/>
      <c r="Q4340" s="22"/>
      <c r="R4340" s="22"/>
    </row>
    <row r="4341">
      <c r="A4341" s="22"/>
      <c r="B4341" s="22"/>
      <c r="C4341" s="22"/>
      <c r="D4341" s="22"/>
      <c r="E4341" s="22"/>
      <c r="F4341" s="22"/>
      <c r="G4341" s="22"/>
      <c r="H4341" s="22"/>
      <c r="I4341" s="22"/>
      <c r="J4341" s="22"/>
      <c r="K4341" s="22"/>
      <c r="L4341" s="22"/>
      <c r="M4341" s="22"/>
      <c r="N4341" s="22"/>
      <c r="O4341" s="22"/>
      <c r="P4341" s="22"/>
      <c r="Q4341" s="22"/>
      <c r="R4341" s="22"/>
    </row>
    <row r="4342">
      <c r="A4342" s="22"/>
      <c r="B4342" s="22"/>
      <c r="C4342" s="22"/>
      <c r="D4342" s="22"/>
      <c r="E4342" s="22"/>
      <c r="F4342" s="22"/>
      <c r="G4342" s="22"/>
      <c r="H4342" s="22"/>
      <c r="I4342" s="22"/>
      <c r="J4342" s="22"/>
      <c r="K4342" s="22"/>
      <c r="L4342" s="22"/>
      <c r="M4342" s="22"/>
      <c r="N4342" s="22"/>
      <c r="O4342" s="22"/>
      <c r="P4342" s="22"/>
      <c r="Q4342" s="22"/>
      <c r="R4342" s="22"/>
    </row>
    <row r="4343">
      <c r="A4343" s="22"/>
      <c r="B4343" s="22"/>
      <c r="C4343" s="22"/>
      <c r="D4343" s="22"/>
      <c r="E4343" s="22"/>
      <c r="F4343" s="22"/>
      <c r="G4343" s="22"/>
      <c r="H4343" s="22"/>
      <c r="I4343" s="22"/>
      <c r="J4343" s="22"/>
      <c r="K4343" s="22"/>
      <c r="L4343" s="22"/>
      <c r="M4343" s="22"/>
      <c r="N4343" s="22"/>
      <c r="O4343" s="22"/>
      <c r="P4343" s="22"/>
      <c r="Q4343" s="22"/>
      <c r="R4343" s="22"/>
    </row>
    <row r="4344">
      <c r="A4344" s="22"/>
      <c r="B4344" s="22"/>
      <c r="C4344" s="22"/>
      <c r="D4344" s="22"/>
      <c r="E4344" s="22"/>
      <c r="F4344" s="22"/>
      <c r="G4344" s="22"/>
      <c r="H4344" s="22"/>
      <c r="I4344" s="22"/>
      <c r="J4344" s="22"/>
      <c r="K4344" s="22"/>
      <c r="L4344" s="22"/>
      <c r="M4344" s="22"/>
      <c r="N4344" s="22"/>
      <c r="O4344" s="22"/>
      <c r="P4344" s="22"/>
      <c r="Q4344" s="22"/>
      <c r="R4344" s="22"/>
    </row>
    <row r="4345">
      <c r="A4345" s="22"/>
      <c r="B4345" s="22"/>
      <c r="C4345" s="22"/>
      <c r="D4345" s="22"/>
      <c r="E4345" s="22"/>
      <c r="F4345" s="22"/>
      <c r="G4345" s="22"/>
      <c r="H4345" s="22"/>
      <c r="I4345" s="22"/>
      <c r="J4345" s="22"/>
      <c r="K4345" s="22"/>
      <c r="L4345" s="22"/>
      <c r="M4345" s="22"/>
      <c r="N4345" s="22"/>
      <c r="O4345" s="22"/>
      <c r="P4345" s="22"/>
      <c r="Q4345" s="22"/>
      <c r="R4345" s="22"/>
    </row>
    <row r="4346">
      <c r="A4346" s="22"/>
      <c r="B4346" s="22"/>
      <c r="C4346" s="22"/>
      <c r="D4346" s="22"/>
      <c r="E4346" s="22"/>
      <c r="F4346" s="22"/>
      <c r="G4346" s="22"/>
      <c r="H4346" s="22"/>
      <c r="I4346" s="22"/>
      <c r="J4346" s="22"/>
      <c r="K4346" s="22"/>
      <c r="L4346" s="22"/>
      <c r="M4346" s="22"/>
      <c r="N4346" s="22"/>
      <c r="O4346" s="22"/>
      <c r="P4346" s="22"/>
      <c r="Q4346" s="22"/>
      <c r="R4346" s="22"/>
    </row>
    <row r="4347">
      <c r="A4347" s="22"/>
      <c r="B4347" s="22"/>
      <c r="C4347" s="22"/>
      <c r="D4347" s="22"/>
      <c r="E4347" s="22"/>
      <c r="F4347" s="22"/>
      <c r="G4347" s="22"/>
      <c r="H4347" s="22"/>
      <c r="I4347" s="22"/>
      <c r="J4347" s="22"/>
      <c r="K4347" s="22"/>
      <c r="L4347" s="22"/>
      <c r="M4347" s="22"/>
      <c r="N4347" s="22"/>
      <c r="O4347" s="22"/>
      <c r="P4347" s="22"/>
      <c r="Q4347" s="22"/>
      <c r="R4347" s="22"/>
    </row>
    <row r="4348">
      <c r="A4348" s="22"/>
      <c r="B4348" s="22"/>
      <c r="C4348" s="22"/>
      <c r="D4348" s="22"/>
      <c r="E4348" s="22"/>
      <c r="F4348" s="22"/>
      <c r="G4348" s="22"/>
      <c r="H4348" s="22"/>
      <c r="I4348" s="22"/>
      <c r="J4348" s="22"/>
      <c r="K4348" s="22"/>
      <c r="L4348" s="22"/>
      <c r="M4348" s="22"/>
      <c r="N4348" s="22"/>
      <c r="O4348" s="22"/>
      <c r="P4348" s="22"/>
      <c r="Q4348" s="22"/>
      <c r="R4348" s="22"/>
    </row>
    <row r="4349">
      <c r="A4349" s="22"/>
      <c r="B4349" s="22"/>
      <c r="C4349" s="22"/>
      <c r="D4349" s="22"/>
      <c r="E4349" s="22"/>
      <c r="F4349" s="22"/>
      <c r="G4349" s="22"/>
      <c r="H4349" s="22"/>
      <c r="I4349" s="22"/>
      <c r="J4349" s="22"/>
      <c r="K4349" s="22"/>
      <c r="L4349" s="22"/>
      <c r="M4349" s="22"/>
      <c r="N4349" s="22"/>
      <c r="O4349" s="22"/>
      <c r="P4349" s="22"/>
      <c r="Q4349" s="22"/>
      <c r="R4349" s="22"/>
    </row>
    <row r="4350">
      <c r="A4350" s="22"/>
      <c r="B4350" s="22"/>
      <c r="C4350" s="22"/>
      <c r="D4350" s="22"/>
      <c r="E4350" s="22"/>
      <c r="F4350" s="22"/>
      <c r="G4350" s="22"/>
      <c r="H4350" s="22"/>
      <c r="I4350" s="22"/>
      <c r="J4350" s="22"/>
      <c r="K4350" s="22"/>
      <c r="L4350" s="22"/>
      <c r="M4350" s="22"/>
      <c r="N4350" s="22"/>
      <c r="O4350" s="22"/>
      <c r="P4350" s="22"/>
      <c r="Q4350" s="22"/>
      <c r="R4350" s="22"/>
    </row>
    <row r="4351">
      <c r="A4351" s="22"/>
      <c r="B4351" s="22"/>
      <c r="C4351" s="22"/>
      <c r="D4351" s="22"/>
      <c r="E4351" s="22"/>
      <c r="F4351" s="22"/>
      <c r="G4351" s="22"/>
      <c r="H4351" s="22"/>
      <c r="I4351" s="22"/>
      <c r="J4351" s="22"/>
      <c r="K4351" s="22"/>
      <c r="L4351" s="22"/>
      <c r="M4351" s="22"/>
      <c r="N4351" s="22"/>
      <c r="O4351" s="22"/>
      <c r="P4351" s="22"/>
      <c r="Q4351" s="22"/>
      <c r="R4351" s="22"/>
    </row>
    <row r="4352">
      <c r="A4352" s="22"/>
      <c r="B4352" s="22"/>
      <c r="C4352" s="22"/>
      <c r="D4352" s="22"/>
      <c r="E4352" s="22"/>
      <c r="F4352" s="22"/>
      <c r="G4352" s="22"/>
      <c r="H4352" s="22"/>
      <c r="I4352" s="22"/>
      <c r="J4352" s="22"/>
      <c r="K4352" s="22"/>
      <c r="L4352" s="22"/>
      <c r="M4352" s="22"/>
      <c r="N4352" s="22"/>
      <c r="O4352" s="22"/>
      <c r="P4352" s="22"/>
      <c r="Q4352" s="22"/>
      <c r="R4352" s="22"/>
    </row>
    <row r="4353">
      <c r="A4353" s="22"/>
      <c r="B4353" s="22"/>
      <c r="C4353" s="22"/>
      <c r="D4353" s="22"/>
      <c r="E4353" s="22"/>
      <c r="F4353" s="22"/>
      <c r="G4353" s="22"/>
      <c r="H4353" s="22"/>
      <c r="I4353" s="22"/>
      <c r="J4353" s="22"/>
      <c r="K4353" s="22"/>
      <c r="L4353" s="22"/>
      <c r="M4353" s="22"/>
      <c r="N4353" s="22"/>
      <c r="O4353" s="22"/>
      <c r="P4353" s="22"/>
      <c r="Q4353" s="22"/>
      <c r="R4353" s="22"/>
    </row>
    <row r="4354">
      <c r="A4354" s="22"/>
      <c r="B4354" s="22"/>
      <c r="C4354" s="22"/>
      <c r="D4354" s="22"/>
      <c r="E4354" s="22"/>
      <c r="F4354" s="22"/>
      <c r="G4354" s="22"/>
      <c r="H4354" s="22"/>
      <c r="I4354" s="22"/>
      <c r="J4354" s="22"/>
      <c r="K4354" s="22"/>
      <c r="L4354" s="22"/>
      <c r="M4354" s="22"/>
      <c r="N4354" s="22"/>
      <c r="O4354" s="22"/>
      <c r="P4354" s="22"/>
      <c r="Q4354" s="22"/>
      <c r="R4354" s="22"/>
    </row>
    <row r="4355">
      <c r="A4355" s="22"/>
      <c r="B4355" s="22"/>
      <c r="C4355" s="22"/>
      <c r="D4355" s="22"/>
      <c r="E4355" s="22"/>
      <c r="F4355" s="22"/>
      <c r="G4355" s="22"/>
      <c r="H4355" s="22"/>
      <c r="I4355" s="22"/>
      <c r="J4355" s="22"/>
      <c r="K4355" s="22"/>
      <c r="L4355" s="22"/>
      <c r="M4355" s="22"/>
      <c r="N4355" s="22"/>
      <c r="O4355" s="22"/>
      <c r="P4355" s="22"/>
      <c r="Q4355" s="22"/>
      <c r="R4355" s="22"/>
    </row>
    <row r="4356">
      <c r="A4356" s="22"/>
      <c r="B4356" s="22"/>
      <c r="C4356" s="22"/>
      <c r="D4356" s="22"/>
      <c r="E4356" s="22"/>
      <c r="F4356" s="22"/>
      <c r="G4356" s="22"/>
      <c r="H4356" s="22"/>
      <c r="I4356" s="22"/>
      <c r="J4356" s="22"/>
      <c r="K4356" s="22"/>
      <c r="L4356" s="22"/>
      <c r="M4356" s="22"/>
      <c r="N4356" s="22"/>
      <c r="O4356" s="22"/>
      <c r="P4356" s="22"/>
      <c r="Q4356" s="22"/>
      <c r="R4356" s="22"/>
    </row>
    <row r="4357">
      <c r="A4357" s="22"/>
      <c r="B4357" s="22"/>
      <c r="C4357" s="22"/>
      <c r="D4357" s="22"/>
      <c r="E4357" s="22"/>
      <c r="F4357" s="22"/>
      <c r="G4357" s="22"/>
      <c r="H4357" s="22"/>
      <c r="I4357" s="22"/>
      <c r="J4357" s="22"/>
      <c r="K4357" s="22"/>
      <c r="L4357" s="22"/>
      <c r="M4357" s="22"/>
      <c r="N4357" s="22"/>
      <c r="O4357" s="22"/>
      <c r="P4357" s="22"/>
      <c r="Q4357" s="22"/>
      <c r="R4357" s="22"/>
    </row>
    <row r="4358">
      <c r="A4358" s="22"/>
      <c r="B4358" s="22"/>
      <c r="C4358" s="22"/>
      <c r="D4358" s="22"/>
      <c r="E4358" s="22"/>
      <c r="F4358" s="22"/>
      <c r="G4358" s="22"/>
      <c r="H4358" s="22"/>
      <c r="I4358" s="22"/>
      <c r="J4358" s="22"/>
      <c r="K4358" s="22"/>
      <c r="L4358" s="22"/>
      <c r="M4358" s="22"/>
      <c r="N4358" s="22"/>
      <c r="O4358" s="22"/>
      <c r="P4358" s="22"/>
      <c r="Q4358" s="22"/>
      <c r="R4358" s="22"/>
    </row>
    <row r="4359">
      <c r="A4359" s="22"/>
      <c r="B4359" s="22"/>
      <c r="C4359" s="22"/>
      <c r="D4359" s="22"/>
      <c r="E4359" s="22"/>
      <c r="F4359" s="22"/>
      <c r="G4359" s="22"/>
      <c r="H4359" s="22"/>
      <c r="I4359" s="22"/>
      <c r="J4359" s="22"/>
      <c r="K4359" s="22"/>
      <c r="L4359" s="22"/>
      <c r="M4359" s="22"/>
      <c r="N4359" s="22"/>
      <c r="O4359" s="22"/>
      <c r="P4359" s="22"/>
      <c r="Q4359" s="22"/>
      <c r="R4359" s="22"/>
    </row>
    <row r="4360">
      <c r="A4360" s="22"/>
      <c r="B4360" s="22"/>
      <c r="C4360" s="22"/>
      <c r="D4360" s="22"/>
      <c r="E4360" s="22"/>
      <c r="F4360" s="22"/>
      <c r="G4360" s="22"/>
      <c r="H4360" s="22"/>
      <c r="I4360" s="22"/>
      <c r="J4360" s="22"/>
      <c r="K4360" s="22"/>
      <c r="L4360" s="22"/>
      <c r="M4360" s="22"/>
      <c r="N4360" s="22"/>
      <c r="O4360" s="22"/>
      <c r="P4360" s="22"/>
      <c r="Q4360" s="22"/>
      <c r="R4360" s="22"/>
    </row>
    <row r="4361">
      <c r="A4361" s="22"/>
      <c r="B4361" s="22"/>
      <c r="C4361" s="22"/>
      <c r="D4361" s="22"/>
      <c r="E4361" s="22"/>
      <c r="F4361" s="22"/>
      <c r="G4361" s="22"/>
      <c r="H4361" s="22"/>
      <c r="I4361" s="22"/>
      <c r="J4361" s="22"/>
      <c r="K4361" s="22"/>
      <c r="L4361" s="22"/>
      <c r="M4361" s="22"/>
      <c r="N4361" s="22"/>
      <c r="O4361" s="22"/>
      <c r="P4361" s="22"/>
      <c r="Q4361" s="22"/>
      <c r="R4361" s="22"/>
    </row>
    <row r="4362">
      <c r="A4362" s="22"/>
      <c r="B4362" s="22"/>
      <c r="C4362" s="22"/>
      <c r="D4362" s="22"/>
      <c r="E4362" s="22"/>
      <c r="F4362" s="22"/>
      <c r="G4362" s="22"/>
      <c r="H4362" s="22"/>
      <c r="I4362" s="22"/>
      <c r="J4362" s="22"/>
      <c r="K4362" s="22"/>
      <c r="L4362" s="22"/>
      <c r="M4362" s="22"/>
      <c r="N4362" s="22"/>
      <c r="O4362" s="22"/>
      <c r="P4362" s="22"/>
      <c r="Q4362" s="22"/>
      <c r="R4362" s="22"/>
    </row>
    <row r="4363">
      <c r="A4363" s="22"/>
      <c r="B4363" s="22"/>
      <c r="C4363" s="22"/>
      <c r="D4363" s="22"/>
      <c r="E4363" s="22"/>
      <c r="F4363" s="22"/>
      <c r="G4363" s="22"/>
      <c r="H4363" s="22"/>
      <c r="I4363" s="22"/>
      <c r="J4363" s="22"/>
      <c r="K4363" s="22"/>
      <c r="L4363" s="22"/>
      <c r="M4363" s="22"/>
      <c r="N4363" s="22"/>
      <c r="O4363" s="22"/>
      <c r="P4363" s="22"/>
      <c r="Q4363" s="22"/>
      <c r="R4363" s="22"/>
    </row>
    <row r="4364">
      <c r="A4364" s="22"/>
      <c r="B4364" s="22"/>
      <c r="C4364" s="22"/>
      <c r="D4364" s="22"/>
      <c r="E4364" s="22"/>
      <c r="F4364" s="22"/>
      <c r="G4364" s="22"/>
      <c r="H4364" s="22"/>
      <c r="I4364" s="22"/>
      <c r="J4364" s="22"/>
      <c r="K4364" s="22"/>
      <c r="L4364" s="22"/>
      <c r="M4364" s="22"/>
      <c r="N4364" s="22"/>
      <c r="O4364" s="22"/>
      <c r="P4364" s="22"/>
      <c r="Q4364" s="22"/>
      <c r="R4364" s="22"/>
    </row>
    <row r="4365">
      <c r="A4365" s="22"/>
      <c r="B4365" s="22"/>
      <c r="C4365" s="22"/>
      <c r="D4365" s="22"/>
      <c r="E4365" s="22"/>
      <c r="F4365" s="22"/>
      <c r="G4365" s="22"/>
      <c r="H4365" s="22"/>
      <c r="I4365" s="22"/>
      <c r="J4365" s="22"/>
      <c r="K4365" s="22"/>
      <c r="L4365" s="22"/>
      <c r="M4365" s="22"/>
      <c r="N4365" s="22"/>
      <c r="O4365" s="22"/>
      <c r="P4365" s="22"/>
      <c r="Q4365" s="22"/>
      <c r="R4365" s="22"/>
    </row>
    <row r="4366">
      <c r="A4366" s="22"/>
      <c r="B4366" s="22"/>
      <c r="C4366" s="22"/>
      <c r="D4366" s="22"/>
      <c r="E4366" s="22"/>
      <c r="F4366" s="22"/>
      <c r="G4366" s="22"/>
      <c r="H4366" s="22"/>
      <c r="I4366" s="22"/>
      <c r="J4366" s="22"/>
      <c r="K4366" s="22"/>
      <c r="L4366" s="22"/>
      <c r="M4366" s="22"/>
      <c r="N4366" s="22"/>
      <c r="O4366" s="22"/>
      <c r="P4366" s="22"/>
      <c r="Q4366" s="22"/>
      <c r="R4366" s="22"/>
    </row>
    <row r="4367">
      <c r="A4367" s="22"/>
      <c r="B4367" s="22"/>
      <c r="C4367" s="22"/>
      <c r="D4367" s="22"/>
      <c r="E4367" s="22"/>
      <c r="F4367" s="22"/>
      <c r="G4367" s="22"/>
      <c r="H4367" s="22"/>
      <c r="I4367" s="22"/>
      <c r="J4367" s="22"/>
      <c r="K4367" s="22"/>
      <c r="L4367" s="22"/>
      <c r="M4367" s="22"/>
      <c r="N4367" s="22"/>
      <c r="O4367" s="22"/>
      <c r="P4367" s="22"/>
      <c r="Q4367" s="22"/>
      <c r="R4367" s="22"/>
    </row>
    <row r="4368">
      <c r="A4368" s="22"/>
      <c r="B4368" s="22"/>
      <c r="C4368" s="22"/>
      <c r="D4368" s="22"/>
      <c r="E4368" s="22"/>
      <c r="F4368" s="22"/>
      <c r="G4368" s="22"/>
      <c r="H4368" s="22"/>
      <c r="I4368" s="22"/>
      <c r="J4368" s="22"/>
      <c r="K4368" s="22"/>
      <c r="L4368" s="22"/>
      <c r="M4368" s="22"/>
      <c r="N4368" s="22"/>
      <c r="O4368" s="22"/>
      <c r="P4368" s="22"/>
      <c r="Q4368" s="22"/>
      <c r="R4368" s="22"/>
    </row>
    <row r="4369">
      <c r="A4369" s="22"/>
      <c r="B4369" s="22"/>
      <c r="C4369" s="22"/>
      <c r="D4369" s="22"/>
      <c r="E4369" s="22"/>
      <c r="F4369" s="22"/>
      <c r="G4369" s="22"/>
      <c r="H4369" s="22"/>
      <c r="I4369" s="22"/>
      <c r="J4369" s="22"/>
      <c r="K4369" s="22"/>
      <c r="L4369" s="22"/>
      <c r="M4369" s="22"/>
      <c r="N4369" s="22"/>
      <c r="O4369" s="22"/>
      <c r="P4369" s="22"/>
      <c r="Q4369" s="22"/>
      <c r="R4369" s="22"/>
    </row>
    <row r="4370">
      <c r="A4370" s="22"/>
      <c r="B4370" s="22"/>
      <c r="C4370" s="22"/>
      <c r="D4370" s="22"/>
      <c r="E4370" s="22"/>
      <c r="F4370" s="22"/>
      <c r="G4370" s="22"/>
      <c r="H4370" s="22"/>
      <c r="I4370" s="22"/>
      <c r="J4370" s="22"/>
      <c r="K4370" s="22"/>
      <c r="L4370" s="22"/>
      <c r="M4370" s="22"/>
      <c r="N4370" s="22"/>
      <c r="O4370" s="22"/>
      <c r="P4370" s="22"/>
      <c r="Q4370" s="22"/>
      <c r="R4370" s="22"/>
    </row>
    <row r="4371">
      <c r="A4371" s="22"/>
      <c r="B4371" s="22"/>
      <c r="C4371" s="22"/>
      <c r="D4371" s="22"/>
      <c r="E4371" s="22"/>
      <c r="F4371" s="22"/>
      <c r="G4371" s="22"/>
      <c r="H4371" s="22"/>
      <c r="I4371" s="22"/>
      <c r="J4371" s="22"/>
      <c r="K4371" s="22"/>
      <c r="L4371" s="22"/>
      <c r="M4371" s="22"/>
      <c r="N4371" s="22"/>
      <c r="O4371" s="22"/>
      <c r="P4371" s="22"/>
      <c r="Q4371" s="22"/>
      <c r="R4371" s="22"/>
    </row>
  </sheetData>
  <mergeCells count="4">
    <mergeCell ref="B4:L4"/>
    <mergeCell ref="B3:L3"/>
    <mergeCell ref="B2:C2"/>
    <mergeCell ref="E2:N2"/>
  </mergeCells>
  <hyperlinks>
    <hyperlink r:id="rId1" ref="B2"/>
    <hyperlink r:id="rId2" ref="E2"/>
    <hyperlink r:id="rId3" ref="B4"/>
    <hyperlink r:id="rId4" ref="B40"/>
    <hyperlink r:id="rId5" ref="B43"/>
    <hyperlink r:id="rId6" ref="B44"/>
    <hyperlink r:id="rId7" ref="B416"/>
    <hyperlink r:id="rId8" ref="B432"/>
    <hyperlink r:id="rId9" ref="B529"/>
    <hyperlink r:id="rId10" ref="B560"/>
    <hyperlink r:id="rId11" ref="B596"/>
    <hyperlink r:id="rId12" ref="B808"/>
    <hyperlink r:id="rId13" ref="B871"/>
    <hyperlink r:id="rId14" ref="L871"/>
    <hyperlink r:id="rId15" ref="B1099"/>
    <hyperlink r:id="rId16" ref="B1132"/>
    <hyperlink r:id="rId17" ref="B1869"/>
    <hyperlink r:id="rId18" ref="L2641"/>
    <hyperlink r:id="rId19" ref="B2733"/>
    <hyperlink r:id="rId20" ref="B2742"/>
    <hyperlink r:id="rId21" ref="B2806"/>
    <hyperlink r:id="rId22" ref="B2829"/>
    <hyperlink r:id="rId23" ref="L2894"/>
    <hyperlink r:id="rId24" ref="B2927"/>
    <hyperlink r:id="rId25" ref="B2928"/>
    <hyperlink r:id="rId26" ref="B2929"/>
    <hyperlink r:id="rId27" ref="B2974"/>
    <hyperlink r:id="rId28" ref="B3481"/>
    <hyperlink r:id="rId29" ref="B3596"/>
    <hyperlink r:id="rId30" ref="B3662"/>
    <hyperlink r:id="rId31" ref="B4063"/>
    <hyperlink r:id="rId32" ref="B4088"/>
  </hyperlinks>
  <drawing r:id="rId33"/>
  <tableParts count="1"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29.57"/>
    <col customWidth="1" min="3" max="3" width="14.14"/>
  </cols>
  <sheetData>
    <row r="1">
      <c r="A1" s="1" t="s">
        <v>0</v>
      </c>
      <c r="B1" s="2"/>
      <c r="D1" s="1"/>
    </row>
    <row r="2">
      <c r="A2" t="s">
        <v>2</v>
      </c>
      <c r="B2" s="2" t="s">
        <v>2654</v>
      </c>
      <c r="C2" t="s">
        <v>2655</v>
      </c>
    </row>
    <row r="3">
      <c r="A3" t="s">
        <v>40</v>
      </c>
      <c r="B3" s="2">
        <v>189.0</v>
      </c>
      <c r="C3">
        <v>615.0</v>
      </c>
    </row>
    <row r="4">
      <c r="A4" t="s">
        <v>33</v>
      </c>
      <c r="B4" s="2">
        <v>215.5</v>
      </c>
      <c r="C4">
        <v>608.0</v>
      </c>
    </row>
    <row r="5">
      <c r="A5" t="s">
        <v>80</v>
      </c>
      <c r="B5" s="2">
        <v>255.0</v>
      </c>
      <c r="C5">
        <v>434.0</v>
      </c>
    </row>
    <row r="6">
      <c r="A6" t="s">
        <v>48</v>
      </c>
      <c r="B6" s="2">
        <v>256.0</v>
      </c>
      <c r="C6">
        <v>216.0</v>
      </c>
    </row>
    <row r="7">
      <c r="A7" t="s">
        <v>45</v>
      </c>
      <c r="B7" s="2">
        <v>235.0</v>
      </c>
      <c r="C7">
        <v>199.0</v>
      </c>
    </row>
    <row r="8">
      <c r="A8" t="s">
        <v>119</v>
      </c>
      <c r="B8" s="2">
        <v>221.0</v>
      </c>
      <c r="C8">
        <v>135.0</v>
      </c>
    </row>
    <row r="9">
      <c r="A9" t="s">
        <v>371</v>
      </c>
      <c r="B9" s="2">
        <v>179.0</v>
      </c>
      <c r="C9">
        <v>105.0</v>
      </c>
    </row>
    <row r="10" hidden="1">
      <c r="A10" t="s">
        <v>36</v>
      </c>
      <c r="B10">
        <v>317.5</v>
      </c>
      <c r="C10">
        <v>104.0</v>
      </c>
    </row>
    <row r="11" hidden="1">
      <c r="A11" t="s">
        <v>123</v>
      </c>
      <c r="B11">
        <v>284.0</v>
      </c>
      <c r="C11">
        <v>93.0</v>
      </c>
    </row>
    <row r="12" hidden="1">
      <c r="A12" t="s">
        <v>170</v>
      </c>
      <c r="B12" s="2">
        <v>165.0</v>
      </c>
      <c r="C12">
        <v>75.0</v>
      </c>
    </row>
    <row r="13" hidden="1">
      <c r="A13" t="s">
        <v>268</v>
      </c>
      <c r="B13">
        <v>189.0</v>
      </c>
      <c r="C13">
        <v>69.0</v>
      </c>
    </row>
    <row r="14" hidden="1">
      <c r="A14" t="s">
        <v>25</v>
      </c>
      <c r="B14">
        <v>270.0</v>
      </c>
      <c r="C14">
        <v>65.0</v>
      </c>
    </row>
    <row r="15" hidden="1">
      <c r="A15" t="s">
        <v>319</v>
      </c>
      <c r="B15">
        <v>120.0</v>
      </c>
      <c r="C15">
        <v>53.0</v>
      </c>
    </row>
    <row r="16" hidden="1">
      <c r="A16" t="s">
        <v>29</v>
      </c>
      <c r="B16">
        <v>220.0</v>
      </c>
      <c r="C16">
        <v>44.0</v>
      </c>
    </row>
    <row r="17" hidden="1">
      <c r="A17" t="s">
        <v>350</v>
      </c>
      <c r="B17">
        <v>125.0</v>
      </c>
      <c r="C17">
        <v>39.0</v>
      </c>
    </row>
    <row r="18" hidden="1">
      <c r="A18" t="s">
        <v>64</v>
      </c>
      <c r="B18" s="2">
        <v>207.5</v>
      </c>
      <c r="C18">
        <v>38.0</v>
      </c>
    </row>
    <row r="19" hidden="1">
      <c r="A19" t="s">
        <v>124</v>
      </c>
      <c r="B19">
        <v>206.0</v>
      </c>
      <c r="C19">
        <v>35.0</v>
      </c>
    </row>
    <row r="20" hidden="1">
      <c r="A20" t="s">
        <v>204</v>
      </c>
      <c r="B20">
        <v>290.0</v>
      </c>
      <c r="C20">
        <v>35.0</v>
      </c>
    </row>
    <row r="21" hidden="1">
      <c r="A21" t="s">
        <v>139</v>
      </c>
      <c r="B21">
        <v>190.0</v>
      </c>
      <c r="C21">
        <v>34.0</v>
      </c>
    </row>
    <row r="22" hidden="1">
      <c r="A22" t="s">
        <v>256</v>
      </c>
      <c r="B22">
        <v>350.0</v>
      </c>
      <c r="C22">
        <v>33.0</v>
      </c>
    </row>
    <row r="23" hidden="1">
      <c r="A23" t="s">
        <v>95</v>
      </c>
      <c r="B23">
        <v>400.0</v>
      </c>
      <c r="C23">
        <v>29.0</v>
      </c>
    </row>
    <row r="24" hidden="1">
      <c r="A24" t="s">
        <v>187</v>
      </c>
      <c r="B24">
        <v>280.0</v>
      </c>
      <c r="C24">
        <v>25.0</v>
      </c>
    </row>
    <row r="25" hidden="1">
      <c r="A25" t="s">
        <v>258</v>
      </c>
      <c r="B25">
        <v>317.0</v>
      </c>
      <c r="C25">
        <v>23.0</v>
      </c>
    </row>
    <row r="26" hidden="1">
      <c r="A26" t="s">
        <v>380</v>
      </c>
      <c r="B26">
        <v>148.0</v>
      </c>
      <c r="C26">
        <v>21.0</v>
      </c>
    </row>
    <row r="27" hidden="1">
      <c r="A27" t="s">
        <v>538</v>
      </c>
      <c r="B27">
        <v>41.0</v>
      </c>
      <c r="C27">
        <v>20.0</v>
      </c>
    </row>
    <row r="28" hidden="1">
      <c r="A28" t="s">
        <v>168</v>
      </c>
      <c r="B28">
        <v>196.5</v>
      </c>
      <c r="C28">
        <v>20.0</v>
      </c>
    </row>
    <row r="29" hidden="1">
      <c r="A29" t="s">
        <v>188</v>
      </c>
      <c r="B29">
        <v>360.0</v>
      </c>
      <c r="C29">
        <v>19.0</v>
      </c>
    </row>
    <row r="30" hidden="1">
      <c r="A30" t="s">
        <v>387</v>
      </c>
      <c r="B30">
        <v>179.0</v>
      </c>
      <c r="C30">
        <v>18.0</v>
      </c>
    </row>
    <row r="31" hidden="1">
      <c r="A31" t="s">
        <v>1160</v>
      </c>
      <c r="B31">
        <v>170.0</v>
      </c>
      <c r="C31">
        <v>18.0</v>
      </c>
    </row>
    <row r="32" hidden="1">
      <c r="A32" t="s">
        <v>122</v>
      </c>
      <c r="B32">
        <v>333.0</v>
      </c>
      <c r="C32">
        <v>17.0</v>
      </c>
    </row>
    <row r="33" hidden="1">
      <c r="A33" t="s">
        <v>270</v>
      </c>
      <c r="B33">
        <v>327.5</v>
      </c>
      <c r="C33">
        <v>16.0</v>
      </c>
    </row>
    <row r="34" hidden="1">
      <c r="A34" t="s">
        <v>391</v>
      </c>
      <c r="B34">
        <v>187.5</v>
      </c>
      <c r="C34">
        <v>16.0</v>
      </c>
    </row>
    <row r="35" hidden="1">
      <c r="A35" t="s">
        <v>77</v>
      </c>
      <c r="B35">
        <v>198.0</v>
      </c>
      <c r="C35">
        <v>15.0</v>
      </c>
    </row>
    <row r="36" hidden="1">
      <c r="A36" t="s">
        <v>819</v>
      </c>
      <c r="B36">
        <v>181.0</v>
      </c>
      <c r="C36">
        <v>15.0</v>
      </c>
    </row>
    <row r="37" hidden="1">
      <c r="A37" t="s">
        <v>157</v>
      </c>
      <c r="B37">
        <v>170.0</v>
      </c>
      <c r="C37">
        <v>15.0</v>
      </c>
    </row>
    <row r="38" hidden="1">
      <c r="A38" t="s">
        <v>263</v>
      </c>
      <c r="B38">
        <v>296.5</v>
      </c>
      <c r="C38">
        <v>14.0</v>
      </c>
    </row>
    <row r="39" hidden="1">
      <c r="A39" t="s">
        <v>154</v>
      </c>
      <c r="B39">
        <v>232.5</v>
      </c>
      <c r="C39">
        <v>14.0</v>
      </c>
    </row>
    <row r="40" hidden="1">
      <c r="A40" t="s">
        <v>142</v>
      </c>
      <c r="B40">
        <v>245.0</v>
      </c>
      <c r="C40">
        <v>14.0</v>
      </c>
    </row>
    <row r="41" hidden="1">
      <c r="A41" t="s">
        <v>428</v>
      </c>
      <c r="B41">
        <v>250.0</v>
      </c>
      <c r="C41">
        <v>13.0</v>
      </c>
    </row>
    <row r="42" hidden="1">
      <c r="A42" t="s">
        <v>105</v>
      </c>
      <c r="B42">
        <v>153.0</v>
      </c>
      <c r="C42">
        <v>13.0</v>
      </c>
    </row>
    <row r="43" hidden="1">
      <c r="A43" t="s">
        <v>426</v>
      </c>
      <c r="B43">
        <v>167.5</v>
      </c>
      <c r="C43">
        <v>12.0</v>
      </c>
    </row>
    <row r="44" hidden="1">
      <c r="A44" t="s">
        <v>407</v>
      </c>
      <c r="B44">
        <v>280.0</v>
      </c>
      <c r="C44">
        <v>12.0</v>
      </c>
    </row>
    <row r="45" hidden="1">
      <c r="A45" s="30" t="s">
        <v>700</v>
      </c>
      <c r="B45">
        <v>105.0</v>
      </c>
      <c r="C45">
        <v>11.0</v>
      </c>
    </row>
    <row r="46" hidden="1">
      <c r="A46" t="s">
        <v>234</v>
      </c>
      <c r="B46">
        <v>175.0</v>
      </c>
      <c r="C46">
        <v>10.0</v>
      </c>
    </row>
    <row r="47" hidden="1">
      <c r="A47" t="s">
        <v>548</v>
      </c>
      <c r="B47" s="2">
        <v>117.0</v>
      </c>
      <c r="C47">
        <v>10.0</v>
      </c>
    </row>
    <row r="48" hidden="1">
      <c r="A48" t="s">
        <v>411</v>
      </c>
      <c r="B48">
        <v>145.0</v>
      </c>
      <c r="C48">
        <v>9.0</v>
      </c>
    </row>
    <row r="49" hidden="1">
      <c r="A49" t="s">
        <v>343</v>
      </c>
      <c r="B49">
        <v>175.0</v>
      </c>
      <c r="C49">
        <v>8.0</v>
      </c>
    </row>
    <row r="50" hidden="1">
      <c r="A50" t="s">
        <v>233</v>
      </c>
      <c r="B50">
        <v>207.5</v>
      </c>
      <c r="C50">
        <v>8.0</v>
      </c>
    </row>
    <row r="51" hidden="1">
      <c r="A51" t="s">
        <v>1196</v>
      </c>
      <c r="B51">
        <v>277.5</v>
      </c>
      <c r="C51">
        <v>8.0</v>
      </c>
    </row>
    <row r="52" hidden="1">
      <c r="A52" t="s">
        <v>1489</v>
      </c>
      <c r="B52">
        <v>170.0</v>
      </c>
      <c r="C52">
        <v>7.0</v>
      </c>
    </row>
    <row r="53" hidden="1">
      <c r="A53" t="s">
        <v>523</v>
      </c>
      <c r="B53">
        <v>207.75</v>
      </c>
      <c r="C53">
        <v>7.0</v>
      </c>
    </row>
    <row r="54" hidden="1">
      <c r="A54" t="s">
        <v>813</v>
      </c>
      <c r="B54">
        <v>292.0</v>
      </c>
      <c r="C54">
        <v>7.0</v>
      </c>
    </row>
    <row r="55" hidden="1">
      <c r="A55" t="s">
        <v>200</v>
      </c>
      <c r="B55">
        <v>240.0</v>
      </c>
      <c r="C55">
        <v>6.0</v>
      </c>
    </row>
    <row r="56" hidden="1">
      <c r="A56" t="s">
        <v>722</v>
      </c>
      <c r="B56">
        <v>138.5</v>
      </c>
      <c r="C56">
        <v>6.0</v>
      </c>
    </row>
    <row r="57" hidden="1">
      <c r="A57" t="s">
        <v>802</v>
      </c>
      <c r="B57" s="2">
        <v>157.5</v>
      </c>
      <c r="C57">
        <v>6.0</v>
      </c>
    </row>
    <row r="58" hidden="1">
      <c r="A58" t="s">
        <v>506</v>
      </c>
      <c r="B58">
        <v>200.0</v>
      </c>
      <c r="C58">
        <v>6.0</v>
      </c>
    </row>
    <row r="59" hidden="1">
      <c r="A59" t="s">
        <v>1867</v>
      </c>
      <c r="B59">
        <v>266.0</v>
      </c>
      <c r="C59">
        <v>6.0</v>
      </c>
    </row>
    <row r="60" hidden="1">
      <c r="A60" t="s">
        <v>880</v>
      </c>
      <c r="B60">
        <v>305.0</v>
      </c>
      <c r="C60">
        <v>6.0</v>
      </c>
    </row>
    <row r="61" hidden="1">
      <c r="A61" t="s">
        <v>420</v>
      </c>
      <c r="B61">
        <v>225.0</v>
      </c>
      <c r="C61">
        <v>6.0</v>
      </c>
    </row>
    <row r="62" hidden="1">
      <c r="A62" s="30" t="s">
        <v>87</v>
      </c>
      <c r="B62">
        <v>300.0</v>
      </c>
      <c r="C62">
        <v>6.0</v>
      </c>
    </row>
    <row r="63" hidden="1">
      <c r="A63" t="s">
        <v>109</v>
      </c>
      <c r="B63">
        <v>205.0</v>
      </c>
      <c r="C63">
        <v>5.0</v>
      </c>
    </row>
    <row r="64" hidden="1">
      <c r="A64" t="s">
        <v>664</v>
      </c>
      <c r="B64">
        <v>150.0</v>
      </c>
      <c r="C64">
        <v>5.0</v>
      </c>
    </row>
    <row r="65" hidden="1">
      <c r="A65" t="s">
        <v>249</v>
      </c>
      <c r="B65">
        <v>200.0</v>
      </c>
      <c r="C65">
        <v>5.0</v>
      </c>
    </row>
    <row r="66" hidden="1">
      <c r="A66" t="s">
        <v>409</v>
      </c>
      <c r="B66">
        <v>110.0</v>
      </c>
      <c r="C66">
        <v>5.0</v>
      </c>
    </row>
    <row r="67" hidden="1">
      <c r="A67" t="s">
        <v>1636</v>
      </c>
      <c r="B67">
        <v>90.0</v>
      </c>
      <c r="C67">
        <v>5.0</v>
      </c>
    </row>
    <row r="68" hidden="1">
      <c r="A68" t="s">
        <v>57</v>
      </c>
      <c r="B68">
        <v>210.0</v>
      </c>
      <c r="C68">
        <v>5.0</v>
      </c>
    </row>
    <row r="69" hidden="1">
      <c r="A69" t="s">
        <v>1325</v>
      </c>
      <c r="B69">
        <v>230.0</v>
      </c>
      <c r="C69">
        <v>5.0</v>
      </c>
    </row>
    <row r="70" hidden="1">
      <c r="A70" t="s">
        <v>790</v>
      </c>
      <c r="B70">
        <v>205.0</v>
      </c>
      <c r="C70">
        <v>5.0</v>
      </c>
    </row>
    <row r="71" hidden="1">
      <c r="A71" t="s">
        <v>944</v>
      </c>
      <c r="B71">
        <v>104.0</v>
      </c>
      <c r="C71">
        <v>5.0</v>
      </c>
    </row>
    <row r="72" hidden="1">
      <c r="A72" t="s">
        <v>241</v>
      </c>
      <c r="B72">
        <v>200.0</v>
      </c>
      <c r="C72">
        <v>5.0</v>
      </c>
    </row>
    <row r="73" hidden="1">
      <c r="A73" t="s">
        <v>705</v>
      </c>
      <c r="B73">
        <v>216.0</v>
      </c>
      <c r="C73">
        <v>5.0</v>
      </c>
    </row>
    <row r="74" hidden="1">
      <c r="A74" t="s">
        <v>130</v>
      </c>
      <c r="B74">
        <v>325.0</v>
      </c>
      <c r="C74">
        <v>5.0</v>
      </c>
    </row>
    <row r="75" hidden="1">
      <c r="A75" t="s">
        <v>452</v>
      </c>
      <c r="B75">
        <v>250.0</v>
      </c>
      <c r="C75">
        <v>5.0</v>
      </c>
    </row>
    <row r="76" hidden="1">
      <c r="A76" t="s">
        <v>332</v>
      </c>
      <c r="B76">
        <v>266.0</v>
      </c>
      <c r="C76">
        <v>4.0</v>
      </c>
    </row>
    <row r="77" hidden="1">
      <c r="A77" t="s">
        <v>1276</v>
      </c>
      <c r="B77" s="2">
        <v>247.5</v>
      </c>
      <c r="C77">
        <v>4.0</v>
      </c>
    </row>
    <row r="78" hidden="1">
      <c r="A78" t="s">
        <v>874</v>
      </c>
      <c r="B78">
        <v>188.5</v>
      </c>
      <c r="C78">
        <v>4.0</v>
      </c>
    </row>
    <row r="79" hidden="1">
      <c r="A79" t="s">
        <v>536</v>
      </c>
      <c r="B79">
        <v>132.5</v>
      </c>
      <c r="C79">
        <v>4.0</v>
      </c>
    </row>
    <row r="80" hidden="1">
      <c r="A80" t="s">
        <v>1371</v>
      </c>
      <c r="B80">
        <v>228.5</v>
      </c>
      <c r="C80">
        <v>4.0</v>
      </c>
    </row>
    <row r="81" hidden="1">
      <c r="A81" t="s">
        <v>873</v>
      </c>
      <c r="B81">
        <v>307.5</v>
      </c>
      <c r="C81">
        <v>4.0</v>
      </c>
    </row>
    <row r="82" hidden="1">
      <c r="A82" t="s">
        <v>1079</v>
      </c>
      <c r="B82">
        <v>192.5</v>
      </c>
      <c r="C82">
        <v>4.0</v>
      </c>
    </row>
    <row r="83" hidden="1">
      <c r="A83" t="s">
        <v>173</v>
      </c>
      <c r="B83">
        <v>177.5</v>
      </c>
      <c r="C83">
        <v>4.0</v>
      </c>
    </row>
    <row r="84" hidden="1">
      <c r="A84" t="s">
        <v>665</v>
      </c>
      <c r="B84">
        <v>179.0</v>
      </c>
      <c r="C84">
        <v>4.0</v>
      </c>
    </row>
    <row r="85" hidden="1">
      <c r="A85" t="s">
        <v>196</v>
      </c>
      <c r="B85">
        <v>282.5</v>
      </c>
      <c r="C85">
        <v>4.0</v>
      </c>
    </row>
    <row r="86" hidden="1">
      <c r="A86" t="s">
        <v>398</v>
      </c>
      <c r="B86" s="2">
        <v>215.5</v>
      </c>
      <c r="C86">
        <v>4.0</v>
      </c>
    </row>
    <row r="87" hidden="1">
      <c r="A87" t="s">
        <v>1600</v>
      </c>
      <c r="B87">
        <v>150.5</v>
      </c>
      <c r="C87">
        <v>4.0</v>
      </c>
    </row>
    <row r="88" hidden="1">
      <c r="A88" t="s">
        <v>1920</v>
      </c>
      <c r="B88">
        <v>168.5</v>
      </c>
      <c r="C88">
        <v>4.0</v>
      </c>
    </row>
    <row r="89" hidden="1">
      <c r="A89" t="s">
        <v>1769</v>
      </c>
      <c r="B89">
        <v>180.0</v>
      </c>
      <c r="C89">
        <v>3.0</v>
      </c>
    </row>
    <row r="90" hidden="1">
      <c r="A90" t="s">
        <v>286</v>
      </c>
      <c r="B90">
        <v>184.0</v>
      </c>
      <c r="C90">
        <v>3.0</v>
      </c>
    </row>
    <row r="91" hidden="1">
      <c r="A91" t="s">
        <v>1744</v>
      </c>
      <c r="B91">
        <v>154.0</v>
      </c>
      <c r="C91">
        <v>3.0</v>
      </c>
    </row>
    <row r="92" hidden="1">
      <c r="A92" t="s">
        <v>435</v>
      </c>
      <c r="B92">
        <v>100.0</v>
      </c>
      <c r="C92">
        <v>3.0</v>
      </c>
    </row>
    <row r="93" hidden="1">
      <c r="A93" t="s">
        <v>964</v>
      </c>
      <c r="B93">
        <v>270.0</v>
      </c>
      <c r="C93">
        <v>3.0</v>
      </c>
    </row>
    <row r="94" hidden="1">
      <c r="A94" t="s">
        <v>2237</v>
      </c>
      <c r="B94">
        <v>410.0</v>
      </c>
      <c r="C94">
        <v>3.0</v>
      </c>
    </row>
    <row r="95" hidden="1">
      <c r="A95" t="s">
        <v>473</v>
      </c>
      <c r="B95">
        <v>162.0</v>
      </c>
      <c r="C95">
        <v>3.0</v>
      </c>
    </row>
    <row r="96" hidden="1">
      <c r="A96" s="30" t="s">
        <v>81</v>
      </c>
      <c r="B96">
        <v>212.0</v>
      </c>
      <c r="C96">
        <v>3.0</v>
      </c>
    </row>
    <row r="97" hidden="1">
      <c r="A97" t="s">
        <v>2098</v>
      </c>
      <c r="B97">
        <v>215.0</v>
      </c>
      <c r="C97">
        <v>3.0</v>
      </c>
    </row>
    <row r="98" hidden="1">
      <c r="A98" t="s">
        <v>540</v>
      </c>
      <c r="B98">
        <v>160.0</v>
      </c>
      <c r="C98">
        <v>3.0</v>
      </c>
    </row>
    <row r="99" hidden="1">
      <c r="A99" t="s">
        <v>1502</v>
      </c>
      <c r="B99">
        <v>140.0</v>
      </c>
      <c r="C99">
        <v>3.0</v>
      </c>
    </row>
    <row r="100" hidden="1">
      <c r="A100" t="s">
        <v>574</v>
      </c>
      <c r="B100">
        <v>125.0</v>
      </c>
      <c r="C100">
        <v>3.0</v>
      </c>
    </row>
    <row r="101" hidden="1">
      <c r="A101" t="s">
        <v>557</v>
      </c>
      <c r="B101">
        <v>133.0</v>
      </c>
      <c r="C101">
        <v>3.0</v>
      </c>
    </row>
    <row r="102" hidden="1">
      <c r="A102" t="s">
        <v>2262</v>
      </c>
      <c r="B102">
        <v>225.0</v>
      </c>
      <c r="C102">
        <v>3.0</v>
      </c>
    </row>
    <row r="103" hidden="1">
      <c r="A103" t="s">
        <v>765</v>
      </c>
      <c r="B103">
        <v>475.0</v>
      </c>
      <c r="C103">
        <v>3.0</v>
      </c>
    </row>
    <row r="104" hidden="1">
      <c r="A104" t="s">
        <v>378</v>
      </c>
      <c r="B104">
        <v>155.0</v>
      </c>
      <c r="C104">
        <v>3.0</v>
      </c>
    </row>
    <row r="105" hidden="1">
      <c r="A105" t="s">
        <v>1484</v>
      </c>
      <c r="B105">
        <v>40.0</v>
      </c>
      <c r="C105">
        <v>3.0</v>
      </c>
    </row>
    <row r="106" hidden="1">
      <c r="A106" t="s">
        <v>1609</v>
      </c>
      <c r="B106">
        <v>142.0</v>
      </c>
      <c r="C106">
        <v>3.0</v>
      </c>
    </row>
    <row r="107" hidden="1">
      <c r="A107" t="s">
        <v>182</v>
      </c>
      <c r="B107">
        <v>255.0</v>
      </c>
      <c r="C107">
        <v>3.0</v>
      </c>
    </row>
    <row r="108" hidden="1">
      <c r="A108" t="s">
        <v>2190</v>
      </c>
      <c r="B108">
        <v>134.0</v>
      </c>
      <c r="C108">
        <v>3.0</v>
      </c>
    </row>
    <row r="109" hidden="1">
      <c r="A109" t="s">
        <v>1385</v>
      </c>
      <c r="B109">
        <v>115.0</v>
      </c>
      <c r="C109">
        <v>3.0</v>
      </c>
    </row>
    <row r="110" hidden="1">
      <c r="A110" t="s">
        <v>213</v>
      </c>
      <c r="B110">
        <v>123.0</v>
      </c>
      <c r="C110">
        <v>3.0</v>
      </c>
    </row>
    <row r="111" hidden="1">
      <c r="A111" t="s">
        <v>1001</v>
      </c>
      <c r="B111">
        <v>315.0</v>
      </c>
      <c r="C111">
        <v>3.0</v>
      </c>
    </row>
    <row r="112" hidden="1">
      <c r="A112" t="s">
        <v>1884</v>
      </c>
      <c r="B112">
        <v>260.0</v>
      </c>
      <c r="C112">
        <v>3.0</v>
      </c>
    </row>
    <row r="113" hidden="1">
      <c r="A113" t="s">
        <v>1135</v>
      </c>
      <c r="B113">
        <v>105.0</v>
      </c>
      <c r="C113">
        <v>3.0</v>
      </c>
    </row>
    <row r="114" hidden="1">
      <c r="A114" t="s">
        <v>1658</v>
      </c>
      <c r="B114">
        <v>95.0</v>
      </c>
      <c r="C114">
        <v>3.0</v>
      </c>
    </row>
    <row r="115" hidden="1">
      <c r="A115" t="s">
        <v>950</v>
      </c>
      <c r="B115">
        <v>280.0</v>
      </c>
      <c r="C115">
        <v>3.0</v>
      </c>
    </row>
    <row r="116" hidden="1">
      <c r="A116" t="s">
        <v>937</v>
      </c>
      <c r="B116">
        <v>185.0</v>
      </c>
      <c r="C116">
        <v>3.0</v>
      </c>
    </row>
    <row r="117" hidden="1">
      <c r="A117" t="s">
        <v>509</v>
      </c>
      <c r="B117">
        <v>183.5</v>
      </c>
      <c r="C117">
        <v>2.0</v>
      </c>
    </row>
    <row r="118" hidden="1">
      <c r="A118" t="s">
        <v>1677</v>
      </c>
      <c r="B118">
        <v>94.0</v>
      </c>
      <c r="C118">
        <v>2.0</v>
      </c>
    </row>
    <row r="119" hidden="1">
      <c r="A119" t="s">
        <v>1957</v>
      </c>
      <c r="B119">
        <v>534.5</v>
      </c>
      <c r="C119">
        <v>2.0</v>
      </c>
    </row>
    <row r="120" hidden="1">
      <c r="A120" t="s">
        <v>357</v>
      </c>
      <c r="B120">
        <v>133.16500000000002</v>
      </c>
      <c r="C120">
        <v>2.0</v>
      </c>
    </row>
    <row r="121" hidden="1">
      <c r="A121" t="s">
        <v>887</v>
      </c>
      <c r="B121">
        <v>102.5</v>
      </c>
      <c r="C121">
        <v>2.0</v>
      </c>
    </row>
    <row r="122" hidden="1">
      <c r="A122" t="s">
        <v>783</v>
      </c>
      <c r="B122">
        <v>262.5</v>
      </c>
      <c r="C122">
        <v>2.0</v>
      </c>
    </row>
    <row r="123" hidden="1">
      <c r="A123" t="s">
        <v>619</v>
      </c>
      <c r="B123">
        <v>227.5</v>
      </c>
      <c r="C123">
        <v>2.0</v>
      </c>
    </row>
    <row r="124" hidden="1">
      <c r="A124" t="s">
        <v>1012</v>
      </c>
      <c r="B124">
        <v>150.0</v>
      </c>
      <c r="C124">
        <v>2.0</v>
      </c>
    </row>
    <row r="125" hidden="1">
      <c r="A125" t="s">
        <v>1891</v>
      </c>
      <c r="B125">
        <v>159.5</v>
      </c>
      <c r="C125">
        <v>2.0</v>
      </c>
    </row>
    <row r="126" hidden="1">
      <c r="A126" t="s">
        <v>440</v>
      </c>
      <c r="B126">
        <v>110.0</v>
      </c>
      <c r="C126">
        <v>2.0</v>
      </c>
    </row>
    <row r="127" hidden="1">
      <c r="A127" t="s">
        <v>867</v>
      </c>
      <c r="B127">
        <v>192.5</v>
      </c>
      <c r="C127">
        <v>2.0</v>
      </c>
    </row>
    <row r="128" hidden="1">
      <c r="A128" t="s">
        <v>752</v>
      </c>
      <c r="B128">
        <v>170.0</v>
      </c>
      <c r="C128">
        <v>2.0</v>
      </c>
    </row>
    <row r="129" hidden="1">
      <c r="A129" t="s">
        <v>2583</v>
      </c>
      <c r="B129">
        <v>140.0</v>
      </c>
      <c r="C129">
        <v>2.0</v>
      </c>
    </row>
    <row r="130" hidden="1">
      <c r="A130" t="s">
        <v>1373</v>
      </c>
      <c r="B130">
        <v>175.0</v>
      </c>
      <c r="C130">
        <v>2.0</v>
      </c>
    </row>
    <row r="131" hidden="1">
      <c r="A131" t="s">
        <v>2423</v>
      </c>
      <c r="B131">
        <v>191.5</v>
      </c>
      <c r="C131">
        <v>2.0</v>
      </c>
    </row>
    <row r="132" hidden="1">
      <c r="A132" t="s">
        <v>1359</v>
      </c>
      <c r="B132">
        <v>62.5</v>
      </c>
      <c r="C132">
        <v>2.0</v>
      </c>
    </row>
    <row r="133" hidden="1">
      <c r="A133" t="s">
        <v>682</v>
      </c>
      <c r="B133">
        <v>230.0</v>
      </c>
      <c r="C133">
        <v>2.0</v>
      </c>
    </row>
    <row r="134" hidden="1">
      <c r="A134" t="s">
        <v>1240</v>
      </c>
      <c r="B134">
        <v>157.5</v>
      </c>
      <c r="C134">
        <v>2.0</v>
      </c>
    </row>
    <row r="135" hidden="1">
      <c r="A135" t="s">
        <v>293</v>
      </c>
      <c r="B135">
        <v>2587.5</v>
      </c>
      <c r="C135">
        <v>2.0</v>
      </c>
    </row>
    <row r="136" hidden="1">
      <c r="A136" t="s">
        <v>727</v>
      </c>
      <c r="B136">
        <v>330.0</v>
      </c>
      <c r="C136">
        <v>2.0</v>
      </c>
    </row>
    <row r="137" hidden="1">
      <c r="A137" t="s">
        <v>1434</v>
      </c>
      <c r="B137">
        <v>235.0</v>
      </c>
      <c r="C137">
        <v>2.0</v>
      </c>
    </row>
    <row r="138" hidden="1">
      <c r="A138" t="s">
        <v>2159</v>
      </c>
      <c r="B138">
        <v>102.5</v>
      </c>
      <c r="C138">
        <v>2.0</v>
      </c>
    </row>
    <row r="139" hidden="1">
      <c r="A139" t="s">
        <v>974</v>
      </c>
      <c r="B139">
        <v>340.0</v>
      </c>
      <c r="C139">
        <v>2.0</v>
      </c>
    </row>
    <row r="140" hidden="1">
      <c r="A140" t="s">
        <v>1313</v>
      </c>
      <c r="B140">
        <v>88.5</v>
      </c>
      <c r="C140">
        <v>2.0</v>
      </c>
    </row>
    <row r="141" hidden="1">
      <c r="A141" t="s">
        <v>468</v>
      </c>
      <c r="B141">
        <v>130.0</v>
      </c>
      <c r="C141">
        <v>2.0</v>
      </c>
    </row>
    <row r="142" hidden="1">
      <c r="A142" t="s">
        <v>1372</v>
      </c>
      <c r="B142">
        <v>86.5</v>
      </c>
      <c r="C142">
        <v>2.0</v>
      </c>
    </row>
    <row r="143" hidden="1">
      <c r="A143" t="s">
        <v>1968</v>
      </c>
      <c r="B143">
        <v>167.5</v>
      </c>
      <c r="C143">
        <v>2.0</v>
      </c>
    </row>
    <row r="144" hidden="1">
      <c r="A144" t="s">
        <v>1037</v>
      </c>
      <c r="B144">
        <v>191.5</v>
      </c>
      <c r="C144">
        <v>2.0</v>
      </c>
    </row>
    <row r="145" hidden="1">
      <c r="A145" t="s">
        <v>528</v>
      </c>
      <c r="B145">
        <v>130.0</v>
      </c>
      <c r="C145">
        <v>2.0</v>
      </c>
    </row>
    <row r="146" hidden="1">
      <c r="A146" t="s">
        <v>1452</v>
      </c>
      <c r="B146" s="2">
        <v>133.5</v>
      </c>
      <c r="C146">
        <v>2.0</v>
      </c>
    </row>
    <row r="147" hidden="1">
      <c r="A147" t="s">
        <v>2468</v>
      </c>
      <c r="B147">
        <v>211.0</v>
      </c>
      <c r="C147">
        <v>2.0</v>
      </c>
    </row>
    <row r="148" hidden="1">
      <c r="A148" t="s">
        <v>551</v>
      </c>
      <c r="B148">
        <v>145.25</v>
      </c>
      <c r="C148">
        <v>2.0</v>
      </c>
    </row>
    <row r="149" hidden="1">
      <c r="A149" t="s">
        <v>2638</v>
      </c>
      <c r="B149">
        <v>295.0</v>
      </c>
      <c r="C149">
        <v>2.0</v>
      </c>
    </row>
    <row r="150" hidden="1">
      <c r="A150" t="s">
        <v>2443</v>
      </c>
      <c r="B150">
        <v>300.0</v>
      </c>
      <c r="C150">
        <v>2.0</v>
      </c>
    </row>
    <row r="151" hidden="1">
      <c r="A151" t="s">
        <v>2171</v>
      </c>
      <c r="B151">
        <v>165.0</v>
      </c>
      <c r="C151">
        <v>2.0</v>
      </c>
    </row>
    <row r="152" hidden="1">
      <c r="A152" t="s">
        <v>852</v>
      </c>
      <c r="B152">
        <v>120.0</v>
      </c>
      <c r="C152">
        <v>2.0</v>
      </c>
    </row>
    <row r="153" hidden="1">
      <c r="A153" t="s">
        <v>223</v>
      </c>
      <c r="B153">
        <v>1775.0</v>
      </c>
      <c r="C153">
        <v>2.0</v>
      </c>
    </row>
    <row r="154" hidden="1">
      <c r="A154" t="s">
        <v>839</v>
      </c>
      <c r="B154">
        <v>293.5</v>
      </c>
      <c r="C154">
        <v>2.0</v>
      </c>
    </row>
    <row r="155" hidden="1">
      <c r="A155" t="s">
        <v>1238</v>
      </c>
      <c r="B155">
        <v>180.5</v>
      </c>
      <c r="C155">
        <v>2.0</v>
      </c>
    </row>
    <row r="156" hidden="1">
      <c r="A156" t="s">
        <v>1610</v>
      </c>
      <c r="B156">
        <v>305.0</v>
      </c>
      <c r="C156">
        <v>2.0</v>
      </c>
    </row>
    <row r="157" hidden="1">
      <c r="A157" t="s">
        <v>967</v>
      </c>
      <c r="B157">
        <v>201.5</v>
      </c>
      <c r="C157">
        <v>2.0</v>
      </c>
    </row>
    <row r="158" hidden="1">
      <c r="A158" t="s">
        <v>505</v>
      </c>
      <c r="B158">
        <v>115.5</v>
      </c>
      <c r="C158">
        <v>2.0</v>
      </c>
    </row>
    <row r="159" hidden="1">
      <c r="A159" t="s">
        <v>2147</v>
      </c>
      <c r="B159">
        <v>150.0</v>
      </c>
      <c r="C159">
        <v>2.0</v>
      </c>
    </row>
    <row r="160" hidden="1">
      <c r="A160" t="s">
        <v>1483</v>
      </c>
      <c r="B160">
        <v>165.0</v>
      </c>
      <c r="C160">
        <v>2.0</v>
      </c>
    </row>
    <row r="161" hidden="1">
      <c r="A161" t="s">
        <v>671</v>
      </c>
      <c r="B161">
        <v>184.0</v>
      </c>
      <c r="C161">
        <v>2.0</v>
      </c>
    </row>
    <row r="162" hidden="1">
      <c r="A162" t="s">
        <v>2235</v>
      </c>
      <c r="B162">
        <v>154.0</v>
      </c>
      <c r="C162">
        <v>2.0</v>
      </c>
    </row>
    <row r="163" hidden="1">
      <c r="A163" t="s">
        <v>1421</v>
      </c>
      <c r="B163">
        <v>120.0</v>
      </c>
      <c r="C163">
        <v>2.0</v>
      </c>
    </row>
    <row r="164" hidden="1">
      <c r="A164" t="s">
        <v>2073</v>
      </c>
      <c r="B164">
        <v>140.0</v>
      </c>
      <c r="C164">
        <v>2.0</v>
      </c>
    </row>
    <row r="165" hidden="1">
      <c r="A165" t="s">
        <v>1982</v>
      </c>
      <c r="B165">
        <v>153.0</v>
      </c>
      <c r="C165">
        <v>2.0</v>
      </c>
    </row>
    <row r="166">
      <c r="A166" t="s">
        <v>1574</v>
      </c>
      <c r="B166" s="2">
        <v>325.0</v>
      </c>
      <c r="C166">
        <v>2.0</v>
      </c>
    </row>
    <row r="167">
      <c r="A167" t="s">
        <v>1464</v>
      </c>
      <c r="B167" s="2">
        <v>208.5</v>
      </c>
      <c r="C167">
        <v>2.0</v>
      </c>
    </row>
    <row r="168">
      <c r="A168" t="s">
        <v>2</v>
      </c>
      <c r="B168" s="2">
        <v>90.5</v>
      </c>
      <c r="C168">
        <v>2.0</v>
      </c>
    </row>
    <row r="169">
      <c r="A169" t="s">
        <v>1603</v>
      </c>
      <c r="B169" s="2">
        <v>437.5</v>
      </c>
      <c r="C169">
        <v>2.0</v>
      </c>
    </row>
    <row r="170">
      <c r="A170" t="s">
        <v>513</v>
      </c>
      <c r="B170" s="2">
        <v>197.5</v>
      </c>
      <c r="C170">
        <v>2.0</v>
      </c>
    </row>
    <row r="171">
      <c r="A171" t="s">
        <v>911</v>
      </c>
      <c r="B171" s="2">
        <v>475.0</v>
      </c>
      <c r="C171">
        <v>2.0</v>
      </c>
    </row>
    <row r="172">
      <c r="A172" t="s">
        <v>1426</v>
      </c>
      <c r="B172" s="2">
        <v>69.5</v>
      </c>
      <c r="C172">
        <v>2.0</v>
      </c>
    </row>
    <row r="173">
      <c r="A173" t="s">
        <v>724</v>
      </c>
      <c r="B173" s="2">
        <v>160.0</v>
      </c>
      <c r="C173">
        <v>2.0</v>
      </c>
    </row>
    <row r="174">
      <c r="A174" t="s">
        <v>1346</v>
      </c>
      <c r="B174" s="2">
        <v>165.5</v>
      </c>
      <c r="C174">
        <v>2.0</v>
      </c>
    </row>
    <row r="175">
      <c r="A175" t="s">
        <v>1946</v>
      </c>
      <c r="B175" s="2">
        <v>97.5</v>
      </c>
      <c r="C175">
        <v>2.0</v>
      </c>
    </row>
    <row r="176">
      <c r="A176" t="s">
        <v>820</v>
      </c>
      <c r="B176" s="2">
        <v>120.5</v>
      </c>
      <c r="C176">
        <v>2.0</v>
      </c>
    </row>
    <row r="177">
      <c r="A177" t="s">
        <v>784</v>
      </c>
      <c r="B177" s="2">
        <v>240.0</v>
      </c>
      <c r="C177">
        <v>2.0</v>
      </c>
    </row>
    <row r="178">
      <c r="A178" t="s">
        <v>2027</v>
      </c>
      <c r="B178" s="2">
        <v>387.5</v>
      </c>
      <c r="C178">
        <v>2.0</v>
      </c>
    </row>
    <row r="179">
      <c r="A179" t="s">
        <v>291</v>
      </c>
      <c r="B179" s="2">
        <v>460.0</v>
      </c>
      <c r="C179">
        <v>1.0</v>
      </c>
    </row>
    <row r="180">
      <c r="A180" t="s">
        <v>2256</v>
      </c>
      <c r="B180" s="2">
        <v>145.0</v>
      </c>
      <c r="C180">
        <v>1.0</v>
      </c>
    </row>
    <row r="181">
      <c r="A181" t="s">
        <v>2056</v>
      </c>
      <c r="B181" s="2">
        <v>222.0</v>
      </c>
      <c r="C181">
        <v>1.0</v>
      </c>
    </row>
    <row r="182">
      <c r="A182" t="s">
        <v>2123</v>
      </c>
      <c r="B182" s="2">
        <v>100.0</v>
      </c>
      <c r="C182">
        <v>1.0</v>
      </c>
    </row>
    <row r="183">
      <c r="A183" t="s">
        <v>2404</v>
      </c>
      <c r="B183" s="2">
        <v>140.0</v>
      </c>
      <c r="C183">
        <v>1.0</v>
      </c>
    </row>
    <row r="184">
      <c r="A184" t="s">
        <v>305</v>
      </c>
      <c r="B184" s="2">
        <v>140.0</v>
      </c>
      <c r="C184">
        <v>1.0</v>
      </c>
    </row>
    <row r="185">
      <c r="A185" t="s">
        <v>2205</v>
      </c>
      <c r="B185" s="2">
        <v>100.0</v>
      </c>
      <c r="C185">
        <v>1.0</v>
      </c>
    </row>
    <row r="186">
      <c r="A186" t="s">
        <v>2558</v>
      </c>
      <c r="B186" s="2">
        <v>456.0</v>
      </c>
      <c r="C186">
        <v>1.0</v>
      </c>
    </row>
    <row r="187">
      <c r="A187" t="s">
        <v>1497</v>
      </c>
      <c r="B187" s="2">
        <v>215.0</v>
      </c>
      <c r="C187">
        <v>1.0</v>
      </c>
    </row>
    <row r="188">
      <c r="A188" t="s">
        <v>2286</v>
      </c>
      <c r="B188" s="2">
        <v>65.0</v>
      </c>
      <c r="C188">
        <v>1.0</v>
      </c>
    </row>
    <row r="189">
      <c r="A189" t="s">
        <v>2579</v>
      </c>
      <c r="B189" s="2">
        <v>100.0</v>
      </c>
      <c r="C189">
        <v>1.0</v>
      </c>
    </row>
    <row r="190">
      <c r="A190" t="s">
        <v>2084</v>
      </c>
      <c r="B190" s="2">
        <v>205.0</v>
      </c>
      <c r="C190">
        <v>1.0</v>
      </c>
    </row>
    <row r="191">
      <c r="A191" t="s">
        <v>835</v>
      </c>
      <c r="B191" s="2">
        <v>125.0</v>
      </c>
      <c r="C191">
        <v>1.0</v>
      </c>
    </row>
    <row r="192">
      <c r="A192" t="s">
        <v>613</v>
      </c>
      <c r="B192" s="2">
        <v>120.0</v>
      </c>
      <c r="C192">
        <v>1.0</v>
      </c>
    </row>
    <row r="193">
      <c r="A193" t="s">
        <v>644</v>
      </c>
      <c r="B193" s="2">
        <v>130.0</v>
      </c>
      <c r="C193">
        <v>1.0</v>
      </c>
    </row>
    <row r="194">
      <c r="A194" t="s">
        <v>1158</v>
      </c>
      <c r="B194" s="2">
        <v>120.0</v>
      </c>
      <c r="C194">
        <v>1.0</v>
      </c>
    </row>
    <row r="195">
      <c r="A195" t="s">
        <v>1382</v>
      </c>
      <c r="B195" s="2">
        <v>190.0</v>
      </c>
      <c r="C195">
        <v>1.0</v>
      </c>
    </row>
    <row r="196">
      <c r="A196" t="s">
        <v>2184</v>
      </c>
      <c r="B196" s="2">
        <v>95.0</v>
      </c>
      <c r="C196">
        <v>1.0</v>
      </c>
    </row>
    <row r="197">
      <c r="A197" t="s">
        <v>2395</v>
      </c>
      <c r="B197" s="2">
        <v>379.0</v>
      </c>
      <c r="C197">
        <v>1.0</v>
      </c>
    </row>
    <row r="198">
      <c r="A198" t="s">
        <v>1298</v>
      </c>
      <c r="B198" s="2">
        <v>208.0</v>
      </c>
      <c r="C198">
        <v>1.0</v>
      </c>
    </row>
    <row r="199">
      <c r="A199" t="s">
        <v>1156</v>
      </c>
      <c r="B199" s="2">
        <v>120.0</v>
      </c>
      <c r="C199">
        <v>1.0</v>
      </c>
    </row>
    <row r="200">
      <c r="A200" t="s">
        <v>2127</v>
      </c>
      <c r="B200" s="2">
        <v>202.0</v>
      </c>
      <c r="C200">
        <v>1.0</v>
      </c>
    </row>
    <row r="201">
      <c r="A201" t="s">
        <v>2551</v>
      </c>
      <c r="B201" s="2">
        <v>156.0</v>
      </c>
      <c r="C201">
        <v>1.0</v>
      </c>
    </row>
    <row r="202">
      <c r="A202" t="s">
        <v>978</v>
      </c>
      <c r="B202" s="2">
        <v>116.0</v>
      </c>
      <c r="C202">
        <v>1.0</v>
      </c>
    </row>
    <row r="203">
      <c r="A203" t="s">
        <v>1414</v>
      </c>
      <c r="B203" s="2">
        <v>67.0</v>
      </c>
      <c r="C203">
        <v>1.0</v>
      </c>
    </row>
    <row r="204">
      <c r="A204" t="s">
        <v>2290</v>
      </c>
      <c r="B204" s="2">
        <v>53.0</v>
      </c>
      <c r="C204">
        <v>1.0</v>
      </c>
    </row>
    <row r="205">
      <c r="A205" t="s">
        <v>2061</v>
      </c>
      <c r="B205" s="2">
        <v>800.0</v>
      </c>
      <c r="C205">
        <v>1.0</v>
      </c>
    </row>
    <row r="206">
      <c r="A206" t="s">
        <v>961</v>
      </c>
      <c r="B206" s="2">
        <v>97.0</v>
      </c>
      <c r="C206">
        <v>1.0</v>
      </c>
    </row>
    <row r="207">
      <c r="A207" t="s">
        <v>787</v>
      </c>
      <c r="B207" s="2">
        <v>195.0</v>
      </c>
      <c r="C207">
        <v>1.0</v>
      </c>
    </row>
    <row r="208">
      <c r="A208" t="s">
        <v>2590</v>
      </c>
      <c r="B208" s="2">
        <v>215.0</v>
      </c>
      <c r="C208">
        <v>1.0</v>
      </c>
    </row>
    <row r="209">
      <c r="A209" t="s">
        <v>1454</v>
      </c>
      <c r="B209" s="2">
        <v>132.0</v>
      </c>
      <c r="C209">
        <v>1.0</v>
      </c>
    </row>
    <row r="210">
      <c r="A210" t="s">
        <v>1265</v>
      </c>
      <c r="B210" s="2">
        <v>350.0</v>
      </c>
      <c r="C210">
        <v>1.0</v>
      </c>
    </row>
    <row r="211">
      <c r="A211" t="s">
        <v>1553</v>
      </c>
      <c r="B211" s="2">
        <v>235.0</v>
      </c>
      <c r="C211">
        <v>1.0</v>
      </c>
    </row>
    <row r="212">
      <c r="A212" t="s">
        <v>2207</v>
      </c>
      <c r="B212" s="2">
        <v>91.0</v>
      </c>
      <c r="C212">
        <v>1.0</v>
      </c>
    </row>
    <row r="213">
      <c r="A213" t="s">
        <v>487</v>
      </c>
      <c r="B213" s="2">
        <v>95.0</v>
      </c>
      <c r="C213">
        <v>1.0</v>
      </c>
    </row>
    <row r="214">
      <c r="A214" t="s">
        <v>645</v>
      </c>
      <c r="B214" s="2">
        <v>250.0</v>
      </c>
      <c r="C214">
        <v>1.0</v>
      </c>
    </row>
    <row r="215">
      <c r="A215" t="s">
        <v>405</v>
      </c>
      <c r="B215" s="2">
        <v>225.0</v>
      </c>
      <c r="C215">
        <v>1.0</v>
      </c>
    </row>
    <row r="216">
      <c r="A216" t="s">
        <v>923</v>
      </c>
      <c r="B216" s="2">
        <v>203.0</v>
      </c>
      <c r="C216">
        <v>1.0</v>
      </c>
    </row>
    <row r="217">
      <c r="A217" t="s">
        <v>368</v>
      </c>
      <c r="B217" s="2">
        <v>350.0</v>
      </c>
      <c r="C217">
        <v>1.0</v>
      </c>
    </row>
    <row r="218">
      <c r="A218" t="s">
        <v>1377</v>
      </c>
      <c r="B218" s="2">
        <v>100.0</v>
      </c>
      <c r="C218">
        <v>1.0</v>
      </c>
    </row>
    <row r="219">
      <c r="A219" t="s">
        <v>652</v>
      </c>
      <c r="B219" s="2">
        <v>135.0</v>
      </c>
      <c r="C219">
        <v>1.0</v>
      </c>
    </row>
    <row r="220">
      <c r="A220" t="s">
        <v>1962</v>
      </c>
      <c r="B220" s="2">
        <v>112.0</v>
      </c>
      <c r="C220">
        <v>1.0</v>
      </c>
    </row>
    <row r="221">
      <c r="A221" t="s">
        <v>1504</v>
      </c>
      <c r="B221" s="2">
        <v>130.0</v>
      </c>
      <c r="C221">
        <v>1.0</v>
      </c>
    </row>
    <row r="222">
      <c r="A222" t="s">
        <v>2618</v>
      </c>
      <c r="B222" s="2">
        <v>12.0</v>
      </c>
      <c r="C222">
        <v>1.0</v>
      </c>
    </row>
    <row r="223">
      <c r="A223" t="s">
        <v>990</v>
      </c>
      <c r="B223" s="2">
        <v>81.0</v>
      </c>
      <c r="C223">
        <v>1.0</v>
      </c>
    </row>
    <row r="224">
      <c r="A224" t="s">
        <v>2469</v>
      </c>
      <c r="B224" s="2">
        <v>170.0</v>
      </c>
      <c r="C224">
        <v>1.0</v>
      </c>
    </row>
    <row r="225">
      <c r="A225" t="s">
        <v>461</v>
      </c>
      <c r="B225" s="2">
        <v>189.0</v>
      </c>
      <c r="C225">
        <v>1.0</v>
      </c>
    </row>
    <row r="226">
      <c r="A226" t="s">
        <v>2624</v>
      </c>
      <c r="B226" s="2">
        <v>110.0</v>
      </c>
      <c r="C226">
        <v>1.0</v>
      </c>
    </row>
    <row r="227">
      <c r="A227" t="s">
        <v>1352</v>
      </c>
      <c r="B227" s="2">
        <v>150.0</v>
      </c>
      <c r="C227">
        <v>1.0</v>
      </c>
    </row>
    <row r="228">
      <c r="A228" t="s">
        <v>719</v>
      </c>
      <c r="B228" s="2">
        <v>165.0</v>
      </c>
      <c r="C228">
        <v>1.0</v>
      </c>
    </row>
    <row r="229">
      <c r="A229" t="s">
        <v>2214</v>
      </c>
      <c r="B229" s="2">
        <v>340.0</v>
      </c>
      <c r="C229">
        <v>1.0</v>
      </c>
    </row>
    <row r="230">
      <c r="A230" t="s">
        <v>1997</v>
      </c>
      <c r="B230" s="2">
        <v>90.0</v>
      </c>
      <c r="C230">
        <v>1.0</v>
      </c>
    </row>
    <row r="231">
      <c r="A231" t="s">
        <v>1686</v>
      </c>
      <c r="B231" s="2">
        <v>71.0</v>
      </c>
      <c r="C231">
        <v>1.0</v>
      </c>
    </row>
    <row r="232">
      <c r="A232" t="s">
        <v>2018</v>
      </c>
      <c r="B232" s="2">
        <v>120.0</v>
      </c>
      <c r="C232">
        <v>1.0</v>
      </c>
    </row>
    <row r="233">
      <c r="A233" t="s">
        <v>1937</v>
      </c>
      <c r="B233" s="2">
        <v>60.0</v>
      </c>
      <c r="C233">
        <v>1.0</v>
      </c>
    </row>
    <row r="234">
      <c r="A234" t="s">
        <v>1740</v>
      </c>
      <c r="B234" s="2">
        <v>60.0</v>
      </c>
      <c r="C234">
        <v>1.0</v>
      </c>
    </row>
    <row r="235">
      <c r="A235" t="s">
        <v>2120</v>
      </c>
      <c r="B235" s="2">
        <v>50.0</v>
      </c>
      <c r="C235">
        <v>1.0</v>
      </c>
    </row>
    <row r="236">
      <c r="A236" t="s">
        <v>1594</v>
      </c>
      <c r="B236" s="2">
        <v>92.0</v>
      </c>
      <c r="C236">
        <v>1.0</v>
      </c>
    </row>
    <row r="237">
      <c r="A237" t="s">
        <v>876</v>
      </c>
      <c r="B237" s="2">
        <v>145.0</v>
      </c>
      <c r="C237">
        <v>1.0</v>
      </c>
    </row>
    <row r="238">
      <c r="A238" t="s">
        <v>2142</v>
      </c>
      <c r="B238" s="2">
        <v>45.0</v>
      </c>
      <c r="C238">
        <v>1.0</v>
      </c>
    </row>
    <row r="239">
      <c r="A239" t="s">
        <v>2401</v>
      </c>
      <c r="B239" s="2">
        <v>330.0</v>
      </c>
      <c r="C239">
        <v>1.0</v>
      </c>
    </row>
    <row r="240">
      <c r="A240" t="s">
        <v>1389</v>
      </c>
      <c r="B240" s="2">
        <v>143.0</v>
      </c>
      <c r="C240">
        <v>1.0</v>
      </c>
    </row>
    <row r="241">
      <c r="A241" t="s">
        <v>313</v>
      </c>
      <c r="B241" s="2">
        <v>293.0</v>
      </c>
      <c r="C241">
        <v>1.0</v>
      </c>
    </row>
    <row r="242">
      <c r="A242" t="s">
        <v>2336</v>
      </c>
      <c r="B242" s="2">
        <v>260.0</v>
      </c>
      <c r="C242">
        <v>1.0</v>
      </c>
    </row>
    <row r="243">
      <c r="A243" t="s">
        <v>2536</v>
      </c>
      <c r="B243" s="2">
        <v>260.0</v>
      </c>
      <c r="C243">
        <v>1.0</v>
      </c>
    </row>
    <row r="244">
      <c r="A244" t="s">
        <v>997</v>
      </c>
      <c r="B244" s="2">
        <v>80.0</v>
      </c>
      <c r="C244">
        <v>1.0</v>
      </c>
    </row>
    <row r="245">
      <c r="A245" t="s">
        <v>2346</v>
      </c>
      <c r="B245" s="2">
        <v>65.0</v>
      </c>
      <c r="C245">
        <v>1.0</v>
      </c>
    </row>
    <row r="246">
      <c r="A246" t="s">
        <v>2105</v>
      </c>
      <c r="B246" s="2">
        <v>250.0</v>
      </c>
      <c r="C246">
        <v>1.0</v>
      </c>
    </row>
    <row r="247">
      <c r="A247" t="s">
        <v>2009</v>
      </c>
      <c r="B247" s="2">
        <v>280.0</v>
      </c>
      <c r="C247">
        <v>1.0</v>
      </c>
    </row>
    <row r="248">
      <c r="A248" t="s">
        <v>2029</v>
      </c>
      <c r="B248" s="2">
        <v>170.0</v>
      </c>
      <c r="C248">
        <v>1.0</v>
      </c>
    </row>
    <row r="249">
      <c r="A249" t="s">
        <v>2250</v>
      </c>
      <c r="B249" s="2">
        <v>117.0</v>
      </c>
      <c r="C249">
        <v>1.0</v>
      </c>
    </row>
    <row r="250">
      <c r="A250" t="s">
        <v>2416</v>
      </c>
      <c r="B250" s="2">
        <v>100.0</v>
      </c>
      <c r="C250">
        <v>1.0</v>
      </c>
    </row>
    <row r="251">
      <c r="A251" t="s">
        <v>190</v>
      </c>
      <c r="B251" s="2">
        <v>125.0</v>
      </c>
      <c r="C251">
        <v>1.0</v>
      </c>
    </row>
    <row r="252">
      <c r="A252" t="s">
        <v>2090</v>
      </c>
      <c r="B252" s="2">
        <v>90.0</v>
      </c>
      <c r="C252">
        <v>1.0</v>
      </c>
    </row>
    <row r="253">
      <c r="A253" t="s">
        <v>1320</v>
      </c>
      <c r="B253" s="2">
        <v>130.0</v>
      </c>
      <c r="C253">
        <v>1.0</v>
      </c>
    </row>
    <row r="254">
      <c r="A254" t="s">
        <v>755</v>
      </c>
      <c r="B254" s="2">
        <v>215.0</v>
      </c>
      <c r="C254">
        <v>1.0</v>
      </c>
    </row>
    <row r="255">
      <c r="A255" t="s">
        <v>1825</v>
      </c>
      <c r="B255" s="2">
        <v>120.0</v>
      </c>
      <c r="C255">
        <v>1.0</v>
      </c>
    </row>
    <row r="256">
      <c r="A256" t="s">
        <v>259</v>
      </c>
      <c r="B256" s="2">
        <v>171.5</v>
      </c>
      <c r="C256">
        <v>1.0</v>
      </c>
    </row>
    <row r="257">
      <c r="A257" t="s">
        <v>2293</v>
      </c>
      <c r="B257" s="2">
        <v>116.0</v>
      </c>
      <c r="C257">
        <v>1.0</v>
      </c>
    </row>
    <row r="258">
      <c r="A258" t="s">
        <v>1955</v>
      </c>
      <c r="B258" s="2">
        <v>121.0</v>
      </c>
      <c r="C258">
        <v>1.0</v>
      </c>
    </row>
    <row r="259">
      <c r="A259" t="s">
        <v>1029</v>
      </c>
      <c r="B259" s="2">
        <v>115.0</v>
      </c>
      <c r="C259">
        <v>1.0</v>
      </c>
    </row>
    <row r="260">
      <c r="A260" t="s">
        <v>323</v>
      </c>
      <c r="B260" s="2">
        <v>225.0</v>
      </c>
      <c r="C260">
        <v>1.0</v>
      </c>
    </row>
    <row r="261">
      <c r="A261" t="s">
        <v>2072</v>
      </c>
      <c r="B261" s="2">
        <v>175.0</v>
      </c>
      <c r="C261">
        <v>1.0</v>
      </c>
    </row>
    <row r="262">
      <c r="A262" t="s">
        <v>919</v>
      </c>
      <c r="B262" s="2">
        <v>120.0</v>
      </c>
      <c r="C262">
        <v>1.0</v>
      </c>
    </row>
    <row r="263">
      <c r="A263" t="s">
        <v>1655</v>
      </c>
      <c r="B263" s="2">
        <v>110.0</v>
      </c>
      <c r="C263">
        <v>1.0</v>
      </c>
    </row>
    <row r="264">
      <c r="A264" t="s">
        <v>2269</v>
      </c>
      <c r="B264" s="2">
        <v>95.0</v>
      </c>
      <c r="C264">
        <v>1.0</v>
      </c>
    </row>
    <row r="265">
      <c r="A265" t="s">
        <v>1971</v>
      </c>
      <c r="B265" s="2">
        <v>82.0</v>
      </c>
      <c r="C265">
        <v>1.0</v>
      </c>
    </row>
    <row r="266">
      <c r="A266" t="s">
        <v>1468</v>
      </c>
      <c r="B266" s="2">
        <v>50.0</v>
      </c>
      <c r="C266">
        <v>1.0</v>
      </c>
    </row>
    <row r="267">
      <c r="A267" t="s">
        <v>2598</v>
      </c>
      <c r="B267" s="2">
        <v>112.0</v>
      </c>
      <c r="C267">
        <v>1.0</v>
      </c>
    </row>
    <row r="268">
      <c r="A268" t="s">
        <v>1499</v>
      </c>
      <c r="B268" s="2">
        <v>150.0</v>
      </c>
      <c r="C268">
        <v>1.0</v>
      </c>
    </row>
    <row r="269">
      <c r="A269" t="s">
        <v>729</v>
      </c>
      <c r="B269" s="2">
        <v>102.0</v>
      </c>
      <c r="C269">
        <v>1.0</v>
      </c>
    </row>
    <row r="270">
      <c r="A270" t="s">
        <v>1430</v>
      </c>
      <c r="B270" s="2">
        <v>50.0</v>
      </c>
      <c r="C270">
        <v>1.0</v>
      </c>
    </row>
    <row r="271">
      <c r="A271" t="s">
        <v>2485</v>
      </c>
      <c r="B271" s="2">
        <v>115.0</v>
      </c>
      <c r="C271">
        <v>1.0</v>
      </c>
    </row>
    <row r="272">
      <c r="A272" t="s">
        <v>2430</v>
      </c>
      <c r="B272" s="2">
        <v>245.0</v>
      </c>
      <c r="C272">
        <v>1.0</v>
      </c>
    </row>
    <row r="273">
      <c r="A273" t="s">
        <v>1082</v>
      </c>
      <c r="B273" s="2">
        <v>21.0</v>
      </c>
      <c r="C273">
        <v>1.0</v>
      </c>
    </row>
    <row r="274">
      <c r="A274" t="s">
        <v>2431</v>
      </c>
      <c r="B274" s="2">
        <v>245.0</v>
      </c>
      <c r="C274">
        <v>1.0</v>
      </c>
    </row>
    <row r="275">
      <c r="A275" t="s">
        <v>2620</v>
      </c>
      <c r="B275" s="2">
        <v>160.0</v>
      </c>
      <c r="C275">
        <v>1.0</v>
      </c>
    </row>
    <row r="276">
      <c r="A276" t="s">
        <v>732</v>
      </c>
      <c r="B276" s="2">
        <v>120.0</v>
      </c>
      <c r="C276">
        <v>1.0</v>
      </c>
    </row>
    <row r="277">
      <c r="A277" t="s">
        <v>1199</v>
      </c>
      <c r="B277" s="2">
        <v>999.0</v>
      </c>
      <c r="C277">
        <v>1.0</v>
      </c>
    </row>
    <row r="278">
      <c r="A278" t="s">
        <v>1956</v>
      </c>
      <c r="B278" s="2">
        <v>205.0</v>
      </c>
      <c r="C278">
        <v>1.0</v>
      </c>
    </row>
    <row r="279">
      <c r="A279" t="s">
        <v>1699</v>
      </c>
      <c r="B279" s="2">
        <v>130.0</v>
      </c>
      <c r="C279">
        <v>1.0</v>
      </c>
    </row>
    <row r="280">
      <c r="A280" t="s">
        <v>2193</v>
      </c>
      <c r="B280" s="2">
        <v>135.0</v>
      </c>
      <c r="C280">
        <v>1.0</v>
      </c>
    </row>
    <row r="281">
      <c r="A281" t="s">
        <v>1887</v>
      </c>
      <c r="B281" s="2">
        <v>75.0</v>
      </c>
      <c r="C281">
        <v>1.0</v>
      </c>
    </row>
    <row r="282">
      <c r="A282" t="s">
        <v>2148</v>
      </c>
      <c r="B282" s="2">
        <v>146.0</v>
      </c>
      <c r="C282">
        <v>1.0</v>
      </c>
    </row>
    <row r="283">
      <c r="A283" t="s">
        <v>1897</v>
      </c>
      <c r="B283" s="2">
        <v>157.0</v>
      </c>
      <c r="C283">
        <v>1.0</v>
      </c>
    </row>
    <row r="284">
      <c r="A284" t="s">
        <v>2248</v>
      </c>
      <c r="B284" s="2">
        <v>120.0</v>
      </c>
      <c r="C284">
        <v>1.0</v>
      </c>
    </row>
    <row r="285">
      <c r="A285" s="30" t="s">
        <v>931</v>
      </c>
      <c r="B285" s="2">
        <v>305.0</v>
      </c>
      <c r="C285">
        <v>1.0</v>
      </c>
    </row>
    <row r="286">
      <c r="A286" t="s">
        <v>1569</v>
      </c>
      <c r="B286" s="2">
        <v>132.0</v>
      </c>
      <c r="C286">
        <v>1.0</v>
      </c>
    </row>
    <row r="287">
      <c r="A287" t="s">
        <v>2331</v>
      </c>
      <c r="B287" s="2">
        <v>300.0</v>
      </c>
      <c r="C287">
        <v>1.0</v>
      </c>
    </row>
    <row r="288">
      <c r="A288" t="s">
        <v>2167</v>
      </c>
      <c r="B288" s="2">
        <v>170.0</v>
      </c>
      <c r="C288">
        <v>1.0</v>
      </c>
    </row>
    <row r="289">
      <c r="A289" t="s">
        <v>2157</v>
      </c>
      <c r="B289" s="2">
        <v>150.0</v>
      </c>
      <c r="C289">
        <v>1.0</v>
      </c>
    </row>
    <row r="290">
      <c r="A290" t="s">
        <v>2236</v>
      </c>
      <c r="B290" s="2">
        <v>130.0</v>
      </c>
      <c r="C290">
        <v>1.0</v>
      </c>
    </row>
    <row r="291">
      <c r="A291" t="s">
        <v>2588</v>
      </c>
      <c r="B291" s="2">
        <v>275.0</v>
      </c>
      <c r="C291">
        <v>1.0</v>
      </c>
    </row>
    <row r="292">
      <c r="A292" t="s">
        <v>2634</v>
      </c>
      <c r="B292" s="2">
        <v>240.0</v>
      </c>
      <c r="C292">
        <v>1.0</v>
      </c>
    </row>
    <row r="293">
      <c r="A293" t="s">
        <v>1935</v>
      </c>
      <c r="B293" s="2">
        <v>168.0</v>
      </c>
      <c r="C293">
        <v>1.0</v>
      </c>
    </row>
    <row r="294">
      <c r="A294" t="s">
        <v>2106</v>
      </c>
      <c r="B294" s="2">
        <v>167.0</v>
      </c>
      <c r="C294">
        <v>1.0</v>
      </c>
    </row>
    <row r="295">
      <c r="A295" t="s">
        <v>1821</v>
      </c>
      <c r="B295" s="2">
        <v>171.0</v>
      </c>
      <c r="C295">
        <v>1.0</v>
      </c>
    </row>
    <row r="296">
      <c r="A296" t="s">
        <v>1321</v>
      </c>
      <c r="B296" s="2">
        <v>125.0</v>
      </c>
      <c r="C296">
        <v>1.0</v>
      </c>
    </row>
    <row r="297">
      <c r="A297" t="s">
        <v>1805</v>
      </c>
      <c r="B297" s="2">
        <v>290.0</v>
      </c>
      <c r="C297">
        <v>1.0</v>
      </c>
    </row>
    <row r="298">
      <c r="A298" s="30" t="s">
        <v>1398</v>
      </c>
      <c r="B298" s="2">
        <v>114.0</v>
      </c>
      <c r="C298">
        <v>1.0</v>
      </c>
    </row>
    <row r="299">
      <c r="A299" s="30" t="s">
        <v>2576</v>
      </c>
      <c r="B299" s="2">
        <v>100.0</v>
      </c>
      <c r="C299">
        <v>1.0</v>
      </c>
    </row>
    <row r="300">
      <c r="A300" t="s">
        <v>2253</v>
      </c>
      <c r="B300" s="2">
        <v>99.0</v>
      </c>
      <c r="C300">
        <v>1.0</v>
      </c>
    </row>
    <row r="301">
      <c r="A301" t="s">
        <v>1862</v>
      </c>
      <c r="B301" s="2">
        <v>95.0</v>
      </c>
      <c r="C301">
        <v>1.0</v>
      </c>
    </row>
    <row r="302">
      <c r="A302" t="s">
        <v>472</v>
      </c>
      <c r="B302" s="2">
        <v>160.0</v>
      </c>
      <c r="C302">
        <v>1.0</v>
      </c>
    </row>
    <row r="303">
      <c r="A303" t="s">
        <v>921</v>
      </c>
      <c r="B303" s="2">
        <v>333.0</v>
      </c>
      <c r="C303">
        <v>1.0</v>
      </c>
    </row>
    <row r="304">
      <c r="A304" t="s">
        <v>1894</v>
      </c>
      <c r="B304" s="2">
        <v>170.0</v>
      </c>
      <c r="C304">
        <v>1.0</v>
      </c>
    </row>
    <row r="305">
      <c r="A305" t="s">
        <v>2385</v>
      </c>
      <c r="B305" s="2">
        <v>59.0</v>
      </c>
      <c r="C305">
        <v>1.0</v>
      </c>
    </row>
    <row r="306">
      <c r="A306" t="s">
        <v>717</v>
      </c>
      <c r="B306" s="2">
        <v>175.0</v>
      </c>
      <c r="C306">
        <v>1.0</v>
      </c>
    </row>
    <row r="307">
      <c r="A307" t="s">
        <v>1459</v>
      </c>
      <c r="B307" s="2">
        <v>75.0</v>
      </c>
      <c r="C307">
        <v>1.0</v>
      </c>
    </row>
    <row r="308">
      <c r="A308" t="s">
        <v>2419</v>
      </c>
      <c r="B308" s="2">
        <v>192.0</v>
      </c>
      <c r="C308">
        <v>1.0</v>
      </c>
    </row>
    <row r="309">
      <c r="A309" t="s">
        <v>1977</v>
      </c>
      <c r="B309" s="2">
        <v>450.0</v>
      </c>
      <c r="C309">
        <v>1.0</v>
      </c>
    </row>
    <row r="310">
      <c r="A310" t="s">
        <v>1854</v>
      </c>
      <c r="B310" s="2">
        <v>115.0</v>
      </c>
      <c r="C310">
        <v>1.0</v>
      </c>
    </row>
    <row r="311">
      <c r="A311" t="s">
        <v>2002</v>
      </c>
      <c r="B311" s="2">
        <v>12.0</v>
      </c>
      <c r="C311">
        <v>1.0</v>
      </c>
    </row>
    <row r="312">
      <c r="A312" t="s">
        <v>1804</v>
      </c>
      <c r="B312" s="2">
        <v>115.0</v>
      </c>
      <c r="C312">
        <v>1.0</v>
      </c>
    </row>
    <row r="313">
      <c r="A313" t="s">
        <v>2575</v>
      </c>
      <c r="B313" s="2">
        <v>135.0</v>
      </c>
      <c r="C313">
        <v>1.0</v>
      </c>
    </row>
    <row r="314">
      <c r="A314" t="s">
        <v>603</v>
      </c>
      <c r="B314" s="2">
        <v>330.0</v>
      </c>
      <c r="C314">
        <v>1.0</v>
      </c>
    </row>
    <row r="315">
      <c r="A315" t="s">
        <v>564</v>
      </c>
      <c r="B315" s="2">
        <v>240.0</v>
      </c>
      <c r="C315">
        <v>1.0</v>
      </c>
    </row>
    <row r="316">
      <c r="A316" t="s">
        <v>1727</v>
      </c>
      <c r="B316" s="2">
        <v>125.0</v>
      </c>
      <c r="C316">
        <v>1.0</v>
      </c>
    </row>
    <row r="317">
      <c r="A317" t="s">
        <v>501</v>
      </c>
      <c r="B317" s="2">
        <v>100.0</v>
      </c>
      <c r="C317">
        <v>1.0</v>
      </c>
    </row>
    <row r="318">
      <c r="A318" t="s">
        <v>2224</v>
      </c>
      <c r="B318" s="2">
        <v>66.0</v>
      </c>
      <c r="C318">
        <v>1.0</v>
      </c>
    </row>
    <row r="319">
      <c r="A319" t="s">
        <v>1007</v>
      </c>
      <c r="B319" s="2">
        <v>140.0</v>
      </c>
      <c r="C319">
        <v>1.0</v>
      </c>
    </row>
    <row r="320">
      <c r="A320" t="s">
        <v>975</v>
      </c>
      <c r="B320" s="2">
        <v>57.0</v>
      </c>
      <c r="C320">
        <v>1.0</v>
      </c>
    </row>
    <row r="321">
      <c r="A321" t="s">
        <v>2054</v>
      </c>
      <c r="B321" s="2">
        <v>131.0</v>
      </c>
      <c r="C321">
        <v>1.0</v>
      </c>
    </row>
    <row r="322">
      <c r="A322" t="s">
        <v>2238</v>
      </c>
      <c r="B322" s="2">
        <v>365.0</v>
      </c>
      <c r="C322">
        <v>1.0</v>
      </c>
    </row>
    <row r="323">
      <c r="A323" t="s">
        <v>741</v>
      </c>
      <c r="B323" s="2">
        <v>111.0</v>
      </c>
      <c r="C323">
        <v>1.0</v>
      </c>
    </row>
    <row r="324">
      <c r="A324" t="s">
        <v>1235</v>
      </c>
      <c r="B324" s="2">
        <v>70.0</v>
      </c>
      <c r="C324">
        <v>1.0</v>
      </c>
    </row>
    <row r="325">
      <c r="A325" t="s">
        <v>2249</v>
      </c>
      <c r="B325" s="2">
        <v>190.0</v>
      </c>
      <c r="C325">
        <v>1.0</v>
      </c>
    </row>
    <row r="326">
      <c r="A326" t="s">
        <v>2254</v>
      </c>
      <c r="B326" s="2">
        <v>132.0</v>
      </c>
      <c r="C326">
        <v>1.0</v>
      </c>
    </row>
    <row r="327">
      <c r="A327" s="30" t="s">
        <v>2390</v>
      </c>
      <c r="B327" s="2">
        <v>53.0</v>
      </c>
      <c r="C327">
        <v>1.0</v>
      </c>
    </row>
    <row r="328">
      <c r="A328" t="s">
        <v>2273</v>
      </c>
      <c r="B328" s="2">
        <v>75.0</v>
      </c>
      <c r="C328">
        <v>1.0</v>
      </c>
    </row>
    <row r="329">
      <c r="A329" t="s">
        <v>822</v>
      </c>
      <c r="B329" s="2">
        <v>142.0</v>
      </c>
      <c r="C329">
        <v>1.0</v>
      </c>
    </row>
    <row r="330">
      <c r="A330" t="s">
        <v>1466</v>
      </c>
      <c r="B330" s="2">
        <v>110.0</v>
      </c>
      <c r="C330">
        <v>1.0</v>
      </c>
    </row>
    <row r="331">
      <c r="A331" t="s">
        <v>532</v>
      </c>
      <c r="B331" s="2">
        <v>195.0</v>
      </c>
      <c r="C331">
        <v>1.0</v>
      </c>
    </row>
    <row r="332">
      <c r="A332" t="s">
        <v>896</v>
      </c>
      <c r="B332" s="2">
        <v>360.0</v>
      </c>
      <c r="C332">
        <v>1.0</v>
      </c>
    </row>
    <row r="333">
      <c r="A333" t="s">
        <v>2329</v>
      </c>
      <c r="B333" s="2">
        <v>80.0</v>
      </c>
      <c r="C333">
        <v>1.0</v>
      </c>
    </row>
    <row r="334">
      <c r="A334" t="s">
        <v>2097</v>
      </c>
      <c r="B334" s="2">
        <v>160.0</v>
      </c>
      <c r="C334">
        <v>1.0</v>
      </c>
    </row>
    <row r="335">
      <c r="A335" t="s">
        <v>2512</v>
      </c>
      <c r="B335" s="2">
        <v>145.0</v>
      </c>
      <c r="C335">
        <v>1.0</v>
      </c>
    </row>
    <row r="336">
      <c r="A336" t="s">
        <v>2204</v>
      </c>
      <c r="B336" s="2">
        <v>125.0</v>
      </c>
      <c r="C336">
        <v>1.0</v>
      </c>
    </row>
    <row r="337">
      <c r="A337" t="s">
        <v>174</v>
      </c>
      <c r="B337" s="2">
        <v>292.0</v>
      </c>
      <c r="C337">
        <v>1.0</v>
      </c>
    </row>
    <row r="338">
      <c r="A338" t="s">
        <v>2393</v>
      </c>
      <c r="B338" s="2">
        <v>32.0</v>
      </c>
      <c r="C338">
        <v>1.0</v>
      </c>
    </row>
    <row r="339">
      <c r="A339" t="s">
        <v>660</v>
      </c>
      <c r="B339" s="2">
        <v>105.0</v>
      </c>
      <c r="C339">
        <v>1.0</v>
      </c>
    </row>
    <row r="340">
      <c r="A340" t="s">
        <v>2387</v>
      </c>
      <c r="B340" s="2">
        <v>100.0</v>
      </c>
      <c r="C340">
        <v>1.0</v>
      </c>
    </row>
    <row r="341">
      <c r="A341" t="s">
        <v>1551</v>
      </c>
      <c r="B341" s="2">
        <v>220.0</v>
      </c>
      <c r="C341">
        <v>1.0</v>
      </c>
    </row>
    <row r="342">
      <c r="A342" t="s">
        <v>2178</v>
      </c>
      <c r="B342" s="2">
        <v>125.0</v>
      </c>
      <c r="C342">
        <v>1.0</v>
      </c>
    </row>
    <row r="343">
      <c r="A343" t="s">
        <v>1540</v>
      </c>
      <c r="B343" s="2">
        <v>306.0</v>
      </c>
      <c r="C343">
        <v>1.0</v>
      </c>
    </row>
    <row r="344">
      <c r="A344" t="s">
        <v>2414</v>
      </c>
      <c r="B344" s="2">
        <v>165.0</v>
      </c>
      <c r="C344">
        <v>1.0</v>
      </c>
    </row>
    <row r="345">
      <c r="A345" t="s">
        <v>1548</v>
      </c>
      <c r="B345" s="2">
        <v>107.0</v>
      </c>
      <c r="C345">
        <v>1.0</v>
      </c>
    </row>
    <row r="346">
      <c r="A346" t="s">
        <v>1091</v>
      </c>
      <c r="B346" s="2">
        <v>450.0</v>
      </c>
      <c r="C346">
        <v>1.0</v>
      </c>
    </row>
    <row r="347">
      <c r="A347" t="s">
        <v>279</v>
      </c>
      <c r="B347" s="2">
        <v>127.0</v>
      </c>
      <c r="C347">
        <v>1.0</v>
      </c>
    </row>
    <row r="348">
      <c r="A348" t="s">
        <v>1392</v>
      </c>
      <c r="B348" s="2">
        <v>88.0</v>
      </c>
      <c r="C348">
        <v>1.0</v>
      </c>
    </row>
    <row r="349">
      <c r="A349" t="s">
        <v>1893</v>
      </c>
      <c r="B349" s="2">
        <v>105.0</v>
      </c>
      <c r="C349">
        <v>1.0</v>
      </c>
    </row>
    <row r="350">
      <c r="A350" t="s">
        <v>2279</v>
      </c>
      <c r="B350" s="2">
        <v>176.0</v>
      </c>
      <c r="C350">
        <v>1.0</v>
      </c>
    </row>
    <row r="351">
      <c r="A351" t="s">
        <v>2459</v>
      </c>
      <c r="B351" s="2">
        <v>162.0</v>
      </c>
      <c r="C351">
        <v>1.0</v>
      </c>
    </row>
    <row r="352">
      <c r="A352" t="s">
        <v>1479</v>
      </c>
      <c r="B352" s="2">
        <v>188.0</v>
      </c>
      <c r="C352">
        <v>1.0</v>
      </c>
    </row>
    <row r="353">
      <c r="A353" t="s">
        <v>560</v>
      </c>
      <c r="B353" s="2">
        <v>141.0</v>
      </c>
      <c r="C353">
        <v>1.0</v>
      </c>
    </row>
    <row r="354">
      <c r="A354" t="s">
        <v>1828</v>
      </c>
      <c r="B354" s="2">
        <v>244.0</v>
      </c>
      <c r="C354">
        <v>1.0</v>
      </c>
    </row>
    <row r="355">
      <c r="A355" t="s">
        <v>1069</v>
      </c>
      <c r="B355" s="2">
        <v>180.0</v>
      </c>
      <c r="C355">
        <v>1.0</v>
      </c>
    </row>
    <row r="356">
      <c r="A356" t="s">
        <v>1836</v>
      </c>
      <c r="B356" s="2">
        <v>185.0</v>
      </c>
      <c r="C356">
        <v>1.0</v>
      </c>
    </row>
    <row r="357">
      <c r="A357" t="s">
        <v>2276</v>
      </c>
      <c r="B357" s="2">
        <v>94.0</v>
      </c>
      <c r="C357">
        <v>1.0</v>
      </c>
    </row>
    <row r="358">
      <c r="A358" t="s">
        <v>1587</v>
      </c>
      <c r="B358" s="2">
        <v>194.0</v>
      </c>
      <c r="C358">
        <v>1.0</v>
      </c>
    </row>
    <row r="359">
      <c r="A359" t="s">
        <v>2582</v>
      </c>
      <c r="B359" s="2">
        <v>250.0</v>
      </c>
      <c r="C359">
        <v>1.0</v>
      </c>
    </row>
    <row r="360">
      <c r="A360" t="s">
        <v>580</v>
      </c>
      <c r="B360" s="2">
        <v>190.0</v>
      </c>
      <c r="C360">
        <v>1.0</v>
      </c>
    </row>
    <row r="361">
      <c r="A361" t="s">
        <v>1619</v>
      </c>
      <c r="B361" s="2">
        <v>205.0</v>
      </c>
      <c r="C361">
        <v>1.0</v>
      </c>
    </row>
    <row r="362">
      <c r="A362" t="s">
        <v>1577</v>
      </c>
      <c r="B362" s="2">
        <v>250.0</v>
      </c>
      <c r="C362">
        <v>1.0</v>
      </c>
    </row>
    <row r="363">
      <c r="A363" t="s">
        <v>2092</v>
      </c>
      <c r="B363" s="2">
        <v>55.0</v>
      </c>
      <c r="C363">
        <v>1.0</v>
      </c>
    </row>
    <row r="364">
      <c r="A364" t="s">
        <v>1154</v>
      </c>
      <c r="B364" s="2">
        <v>60.0</v>
      </c>
      <c r="C364">
        <v>1.0</v>
      </c>
    </row>
    <row r="365">
      <c r="A365" t="s">
        <v>1273</v>
      </c>
      <c r="B365" s="2">
        <v>105.0</v>
      </c>
      <c r="C365">
        <v>1.0</v>
      </c>
    </row>
    <row r="366">
      <c r="A366" t="s">
        <v>2492</v>
      </c>
      <c r="B366" s="2">
        <v>120.0</v>
      </c>
      <c r="C366">
        <v>1.0</v>
      </c>
    </row>
    <row r="367">
      <c r="A367" t="s">
        <v>777</v>
      </c>
      <c r="B367" s="2">
        <v>200.0</v>
      </c>
      <c r="C367">
        <v>1.0</v>
      </c>
    </row>
    <row r="368">
      <c r="A368" t="s">
        <v>1095</v>
      </c>
      <c r="B368" s="2">
        <v>86.0</v>
      </c>
      <c r="C368">
        <v>1.0</v>
      </c>
    </row>
    <row r="369">
      <c r="A369" t="s">
        <v>1103</v>
      </c>
      <c r="B369" s="2">
        <v>70.0</v>
      </c>
      <c r="C369">
        <v>1.0</v>
      </c>
    </row>
    <row r="370">
      <c r="A370" t="s">
        <v>1515</v>
      </c>
      <c r="B370" s="2">
        <v>66.0</v>
      </c>
      <c r="C370">
        <v>1.0</v>
      </c>
    </row>
    <row r="371">
      <c r="A371" t="s">
        <v>1344</v>
      </c>
      <c r="B371" s="2">
        <v>52.0</v>
      </c>
      <c r="C371">
        <v>1.0</v>
      </c>
    </row>
    <row r="372">
      <c r="A372" t="s">
        <v>2206</v>
      </c>
      <c r="B372" s="2">
        <v>160.0</v>
      </c>
      <c r="C372">
        <v>1.0</v>
      </c>
    </row>
    <row r="373">
      <c r="A373" t="s">
        <v>437</v>
      </c>
      <c r="B373" s="2">
        <v>195.0</v>
      </c>
      <c r="C373">
        <v>1.0</v>
      </c>
    </row>
    <row r="374">
      <c r="A374" t="s">
        <v>1295</v>
      </c>
      <c r="B374" s="2">
        <v>140.0</v>
      </c>
      <c r="C374">
        <v>1.0</v>
      </c>
    </row>
    <row r="375">
      <c r="A375" t="s">
        <v>2592</v>
      </c>
      <c r="B375" s="2">
        <v>100.0</v>
      </c>
      <c r="C375">
        <v>1.0</v>
      </c>
    </row>
    <row r="376">
      <c r="A376" t="s">
        <v>567</v>
      </c>
      <c r="B376" s="2">
        <v>251.0</v>
      </c>
      <c r="C376">
        <v>1.0</v>
      </c>
    </row>
    <row r="377">
      <c r="A377" t="s">
        <v>2271</v>
      </c>
      <c r="B377" s="2">
        <v>60.0</v>
      </c>
      <c r="C377">
        <v>1.0</v>
      </c>
    </row>
    <row r="378">
      <c r="A378" t="s">
        <v>636</v>
      </c>
      <c r="B378" s="2">
        <v>220.0</v>
      </c>
      <c r="C378">
        <v>1.0</v>
      </c>
    </row>
    <row r="379">
      <c r="A379" t="s">
        <v>1086</v>
      </c>
      <c r="B379" s="2">
        <v>280.0</v>
      </c>
      <c r="C379">
        <v>1.0</v>
      </c>
    </row>
    <row r="380">
      <c r="A380" t="s">
        <v>1585</v>
      </c>
      <c r="B380" s="2">
        <v>260.0</v>
      </c>
      <c r="C380">
        <v>1.0</v>
      </c>
    </row>
    <row r="381">
      <c r="A381" t="s">
        <v>1683</v>
      </c>
      <c r="B381" s="2">
        <v>154.0</v>
      </c>
      <c r="C381">
        <v>1.0</v>
      </c>
    </row>
    <row r="382">
      <c r="A382" t="s">
        <v>1418</v>
      </c>
      <c r="B382" s="2">
        <v>135.0</v>
      </c>
      <c r="C382">
        <v>1.0</v>
      </c>
    </row>
    <row r="383">
      <c r="A383" t="s">
        <v>1457</v>
      </c>
      <c r="B383" s="2">
        <v>18.0</v>
      </c>
      <c r="C383">
        <v>1.0</v>
      </c>
    </row>
    <row r="384">
      <c r="A384" t="s">
        <v>2075</v>
      </c>
      <c r="B384" s="2">
        <v>100.0</v>
      </c>
      <c r="C384">
        <v>1.0</v>
      </c>
    </row>
    <row r="385">
      <c r="A385" t="s">
        <v>73</v>
      </c>
      <c r="B385" s="2">
        <v>185.0</v>
      </c>
      <c r="C385">
        <v>1.0</v>
      </c>
    </row>
    <row r="386">
      <c r="A386" t="s">
        <v>445</v>
      </c>
      <c r="B386" s="2">
        <v>105.0</v>
      </c>
      <c r="C386">
        <v>1.0</v>
      </c>
    </row>
    <row r="387">
      <c r="A387" t="s">
        <v>1073</v>
      </c>
      <c r="B387" s="2">
        <v>102.0</v>
      </c>
      <c r="C387">
        <v>1.0</v>
      </c>
    </row>
    <row r="388">
      <c r="A388" t="s">
        <v>1306</v>
      </c>
      <c r="B388" s="2">
        <v>60.0</v>
      </c>
      <c r="C388">
        <v>1.0</v>
      </c>
    </row>
    <row r="389">
      <c r="A389" t="s">
        <v>1212</v>
      </c>
      <c r="B389" s="2">
        <v>90.0</v>
      </c>
      <c r="C389">
        <v>1.0</v>
      </c>
    </row>
    <row r="390">
      <c r="A390" t="s">
        <v>1397</v>
      </c>
      <c r="B390" s="2">
        <v>129.0</v>
      </c>
      <c r="C390">
        <v>1.0</v>
      </c>
    </row>
    <row r="391">
      <c r="A391" t="s">
        <v>2317</v>
      </c>
      <c r="B391" s="2">
        <v>92.0</v>
      </c>
      <c r="C391">
        <v>1.0</v>
      </c>
    </row>
    <row r="392">
      <c r="A392" t="s">
        <v>2425</v>
      </c>
      <c r="B392" s="2">
        <v>189.0</v>
      </c>
      <c r="C392">
        <v>1.0</v>
      </c>
    </row>
    <row r="393">
      <c r="A393" t="s">
        <v>669</v>
      </c>
      <c r="B393" s="2">
        <v>125.0</v>
      </c>
      <c r="C393">
        <v>1.0</v>
      </c>
    </row>
    <row r="394">
      <c r="A394" t="s">
        <v>1987</v>
      </c>
      <c r="B394" s="2">
        <v>120.0</v>
      </c>
      <c r="C394">
        <v>1.0</v>
      </c>
    </row>
    <row r="395">
      <c r="A395" t="s">
        <v>1691</v>
      </c>
      <c r="B395" s="2">
        <v>40.0</v>
      </c>
      <c r="C395">
        <v>1.0</v>
      </c>
    </row>
    <row r="396">
      <c r="A396" t="s">
        <v>2474</v>
      </c>
      <c r="B396" s="2">
        <v>96.0</v>
      </c>
      <c r="C396">
        <v>1.0</v>
      </c>
    </row>
    <row r="397">
      <c r="A397" t="s">
        <v>1878</v>
      </c>
      <c r="B397" s="2">
        <v>125.0</v>
      </c>
      <c r="C397">
        <v>1.0</v>
      </c>
    </row>
    <row r="398">
      <c r="A398" t="s">
        <v>475</v>
      </c>
      <c r="B398" s="2">
        <v>150.0</v>
      </c>
      <c r="C398">
        <v>1.0</v>
      </c>
    </row>
    <row r="399">
      <c r="A399" t="s">
        <v>2595</v>
      </c>
      <c r="B399" s="2">
        <v>145.0</v>
      </c>
      <c r="C399">
        <v>1.0</v>
      </c>
    </row>
    <row r="400">
      <c r="A400" t="s">
        <v>736</v>
      </c>
      <c r="B400" s="2">
        <v>205.0</v>
      </c>
      <c r="C400">
        <v>1.0</v>
      </c>
    </row>
    <row r="401">
      <c r="A401" t="s">
        <v>633</v>
      </c>
      <c r="B401" s="2">
        <v>189.0</v>
      </c>
      <c r="C401">
        <v>1.0</v>
      </c>
    </row>
    <row r="402">
      <c r="A402" t="s">
        <v>1808</v>
      </c>
      <c r="B402" s="2">
        <v>103.0</v>
      </c>
      <c r="C402">
        <v>1.0</v>
      </c>
    </row>
    <row r="403">
      <c r="A403" t="s">
        <v>2341</v>
      </c>
      <c r="B403" s="2">
        <v>175.0</v>
      </c>
      <c r="C403">
        <v>1.0</v>
      </c>
    </row>
    <row r="404">
      <c r="A404" t="s">
        <v>163</v>
      </c>
      <c r="B404" s="2">
        <v>110.0</v>
      </c>
      <c r="C404">
        <v>1.0</v>
      </c>
    </row>
    <row r="405">
      <c r="A405" t="s">
        <v>1905</v>
      </c>
      <c r="B405" s="2">
        <v>100.0</v>
      </c>
      <c r="C405">
        <v>1.0</v>
      </c>
    </row>
    <row r="406">
      <c r="A406" t="s">
        <v>2452</v>
      </c>
      <c r="B406" s="2">
        <v>196.0</v>
      </c>
      <c r="C406">
        <v>1.0</v>
      </c>
    </row>
    <row r="407">
      <c r="A407" t="s">
        <v>480</v>
      </c>
      <c r="B407" s="2">
        <v>210.0</v>
      </c>
      <c r="C407">
        <v>1.0</v>
      </c>
    </row>
    <row r="408">
      <c r="A408" t="s">
        <v>914</v>
      </c>
      <c r="B408" s="2">
        <v>107.0</v>
      </c>
      <c r="C408">
        <v>1.0</v>
      </c>
    </row>
    <row r="409">
      <c r="A409" t="s">
        <v>1606</v>
      </c>
      <c r="B409" s="2">
        <v>100.0</v>
      </c>
      <c r="C409">
        <v>1.0</v>
      </c>
    </row>
    <row r="410">
      <c r="A410" t="s">
        <v>1188</v>
      </c>
      <c r="B410" s="2">
        <v>175.0</v>
      </c>
      <c r="C410">
        <v>1.0</v>
      </c>
    </row>
    <row r="411">
      <c r="A411" t="s">
        <v>836</v>
      </c>
      <c r="B411" s="2">
        <v>85.0</v>
      </c>
      <c r="C411">
        <v>1.0</v>
      </c>
    </row>
    <row r="412">
      <c r="A412" t="s">
        <v>1788</v>
      </c>
      <c r="B412" s="2">
        <v>228.0</v>
      </c>
      <c r="C412">
        <v>1.0</v>
      </c>
    </row>
    <row r="413">
      <c r="A413" t="s">
        <v>1271</v>
      </c>
      <c r="B413" s="2">
        <v>11.0</v>
      </c>
      <c r="C413">
        <v>1.0</v>
      </c>
    </row>
    <row r="414">
      <c r="A414" t="s">
        <v>984</v>
      </c>
      <c r="B414" s="2">
        <v>235.0</v>
      </c>
      <c r="C414">
        <v>1.0</v>
      </c>
    </row>
    <row r="415">
      <c r="A415" t="s">
        <v>1364</v>
      </c>
      <c r="B415" s="2">
        <v>260.0</v>
      </c>
      <c r="C415">
        <v>1.0</v>
      </c>
    </row>
    <row r="416">
      <c r="A416" t="s">
        <v>1903</v>
      </c>
      <c r="B416" s="2">
        <v>60.0</v>
      </c>
      <c r="C416">
        <v>1.0</v>
      </c>
    </row>
    <row r="417">
      <c r="A417" t="s">
        <v>1509</v>
      </c>
      <c r="B417" s="2">
        <v>86.0</v>
      </c>
      <c r="C417">
        <v>1.0</v>
      </c>
    </row>
    <row r="418">
      <c r="A418" t="s">
        <v>1442</v>
      </c>
      <c r="B418" s="2">
        <v>126.0</v>
      </c>
      <c r="C418">
        <v>1.0</v>
      </c>
    </row>
    <row r="419">
      <c r="A419" t="s">
        <v>1288</v>
      </c>
      <c r="B419" s="2">
        <v>325.0</v>
      </c>
      <c r="C419">
        <v>1.0</v>
      </c>
    </row>
    <row r="420">
      <c r="A420" t="s">
        <v>2211</v>
      </c>
      <c r="B420" s="2">
        <v>111.0</v>
      </c>
      <c r="C420">
        <v>1.0</v>
      </c>
    </row>
    <row r="421">
      <c r="A421" t="s">
        <v>416</v>
      </c>
      <c r="B421" s="2">
        <v>130.0</v>
      </c>
      <c r="C421">
        <v>1.0</v>
      </c>
    </row>
    <row r="422">
      <c r="A422" t="s">
        <v>2051</v>
      </c>
      <c r="B422" s="2">
        <v>136.0</v>
      </c>
      <c r="C422">
        <v>1.0</v>
      </c>
    </row>
    <row r="423">
      <c r="A423" t="s">
        <v>1272</v>
      </c>
      <c r="B423" s="2">
        <v>11.0</v>
      </c>
      <c r="C423">
        <v>1.0</v>
      </c>
    </row>
    <row r="424">
      <c r="A424" t="s">
        <v>2220</v>
      </c>
      <c r="B424" s="2">
        <v>95.0</v>
      </c>
      <c r="C424">
        <v>1.0</v>
      </c>
    </row>
    <row r="425">
      <c r="A425" t="s">
        <v>1045</v>
      </c>
      <c r="B425" s="2">
        <v>55.0</v>
      </c>
      <c r="C425">
        <v>1.0</v>
      </c>
    </row>
    <row r="426">
      <c r="A426" t="s">
        <v>1562</v>
      </c>
      <c r="B426" s="2">
        <v>186.0</v>
      </c>
      <c r="C426">
        <v>1.0</v>
      </c>
    </row>
    <row r="427">
      <c r="A427" t="s">
        <v>2116</v>
      </c>
      <c r="B427" s="2">
        <v>94.0</v>
      </c>
      <c r="C427">
        <v>1.0</v>
      </c>
    </row>
    <row r="428">
      <c r="A428" t="s">
        <v>1286</v>
      </c>
      <c r="B428" s="2">
        <v>370.0</v>
      </c>
      <c r="C428">
        <v>1.0</v>
      </c>
    </row>
    <row r="429">
      <c r="A429" t="s">
        <v>2528</v>
      </c>
      <c r="B429" s="2">
        <v>64.0</v>
      </c>
      <c r="C429">
        <v>1.0</v>
      </c>
    </row>
    <row r="430">
      <c r="A430" t="s">
        <v>2066</v>
      </c>
      <c r="B430" s="2">
        <v>156.0</v>
      </c>
      <c r="C430">
        <v>1.0</v>
      </c>
    </row>
    <row r="431">
      <c r="A431" t="s">
        <v>298</v>
      </c>
      <c r="B431" s="2">
        <v>592.0</v>
      </c>
      <c r="C431">
        <v>1.0</v>
      </c>
    </row>
    <row r="432">
      <c r="A432" t="s">
        <v>1259</v>
      </c>
      <c r="B432" s="2">
        <v>427.0</v>
      </c>
      <c r="C432">
        <v>1.0</v>
      </c>
    </row>
    <row r="433">
      <c r="A433" t="s">
        <v>1707</v>
      </c>
      <c r="B433" s="2">
        <v>138.0</v>
      </c>
      <c r="C433">
        <v>1.0</v>
      </c>
    </row>
    <row r="434">
      <c r="A434" t="s">
        <v>2303</v>
      </c>
      <c r="B434" s="2">
        <v>400.0</v>
      </c>
      <c r="C434">
        <v>1.0</v>
      </c>
    </row>
    <row r="435">
      <c r="A435" t="s">
        <v>1929</v>
      </c>
      <c r="B435" s="2">
        <v>65.0</v>
      </c>
      <c r="C435">
        <v>1.0</v>
      </c>
    </row>
    <row r="436">
      <c r="A436" t="s">
        <v>1444</v>
      </c>
      <c r="B436" s="2">
        <v>47.0</v>
      </c>
      <c r="C436">
        <v>1.0</v>
      </c>
    </row>
    <row r="437">
      <c r="A437" t="s">
        <v>2326</v>
      </c>
      <c r="B437" s="2">
        <v>111.0</v>
      </c>
      <c r="C437">
        <v>1.0</v>
      </c>
    </row>
    <row r="438">
      <c r="A438" t="s">
        <v>1625</v>
      </c>
      <c r="B438" s="2">
        <v>147.0</v>
      </c>
      <c r="C438">
        <v>1.0</v>
      </c>
    </row>
    <row r="439">
      <c r="A439" t="s">
        <v>2285</v>
      </c>
      <c r="B439" s="2">
        <v>92.0</v>
      </c>
      <c r="C439">
        <v>1.0</v>
      </c>
    </row>
    <row r="440">
      <c r="A440" t="s">
        <v>769</v>
      </c>
      <c r="B440" s="2">
        <v>145.0</v>
      </c>
      <c r="C440">
        <v>1.0</v>
      </c>
    </row>
    <row r="441">
      <c r="A441" t="s">
        <v>1058</v>
      </c>
      <c r="B441" s="2">
        <v>230.0</v>
      </c>
      <c r="C441">
        <v>1.0</v>
      </c>
    </row>
    <row r="442">
      <c r="A442" t="s">
        <v>1050</v>
      </c>
      <c r="B442" s="2">
        <v>230.0</v>
      </c>
      <c r="C442">
        <v>1.0</v>
      </c>
    </row>
    <row r="443">
      <c r="A443" t="s">
        <v>1939</v>
      </c>
      <c r="B443" s="2">
        <v>79.0</v>
      </c>
      <c r="C443">
        <v>1.0</v>
      </c>
    </row>
    <row r="444">
      <c r="A444" t="s">
        <v>1486</v>
      </c>
      <c r="B444" s="2">
        <v>45.0</v>
      </c>
      <c r="C444">
        <v>1.0</v>
      </c>
    </row>
    <row r="445">
      <c r="A445" t="s">
        <v>2215</v>
      </c>
      <c r="B445" s="2">
        <v>100.0</v>
      </c>
      <c r="C445">
        <v>1.0</v>
      </c>
    </row>
    <row r="446">
      <c r="A446" t="s">
        <v>1698</v>
      </c>
      <c r="B446" s="2">
        <v>60.0</v>
      </c>
      <c r="C446">
        <v>1.0</v>
      </c>
    </row>
    <row r="447">
      <c r="A447" t="s">
        <v>1918</v>
      </c>
      <c r="B447" s="2">
        <v>105.0</v>
      </c>
      <c r="C447">
        <v>1.0</v>
      </c>
    </row>
    <row r="448">
      <c r="A448" t="s">
        <v>2549</v>
      </c>
      <c r="B448" s="2">
        <v>100.0</v>
      </c>
      <c r="C448">
        <v>1.0</v>
      </c>
    </row>
    <row r="449">
      <c r="A449" t="s">
        <v>1564</v>
      </c>
      <c r="B449" s="2">
        <v>76.0</v>
      </c>
      <c r="C449">
        <v>1.0</v>
      </c>
    </row>
    <row r="450">
      <c r="A450" t="s">
        <v>2557</v>
      </c>
      <c r="B450" s="2">
        <v>87.0</v>
      </c>
      <c r="C450">
        <v>1.0</v>
      </c>
    </row>
    <row r="451">
      <c r="A451" t="s">
        <v>254</v>
      </c>
      <c r="B451" s="2">
        <v>183.0</v>
      </c>
      <c r="C451">
        <v>1.0</v>
      </c>
    </row>
    <row r="452">
      <c r="A452" t="s">
        <v>1204</v>
      </c>
      <c r="B452" s="2">
        <v>245.0</v>
      </c>
      <c r="C452">
        <v>1.0</v>
      </c>
    </row>
    <row r="453">
      <c r="A453" t="s">
        <v>2505</v>
      </c>
      <c r="B453" s="2">
        <v>65.0</v>
      </c>
      <c r="C453">
        <v>1.0</v>
      </c>
    </row>
    <row r="454">
      <c r="A454" t="s">
        <v>2606</v>
      </c>
      <c r="B454" s="2">
        <v>140.0</v>
      </c>
      <c r="C454">
        <v>1.0</v>
      </c>
    </row>
    <row r="455">
      <c r="A455" t="s">
        <v>1324</v>
      </c>
      <c r="B455" s="2">
        <v>107.0</v>
      </c>
      <c r="C455">
        <v>1.0</v>
      </c>
    </row>
    <row r="456">
      <c r="A456" t="s">
        <v>385</v>
      </c>
      <c r="B456" s="2">
        <v>600.0</v>
      </c>
      <c r="C456">
        <v>1.0</v>
      </c>
    </row>
    <row r="457">
      <c r="A457" t="s">
        <v>768</v>
      </c>
      <c r="B457" s="2">
        <v>74.0</v>
      </c>
      <c r="C457">
        <v>1.0</v>
      </c>
    </row>
    <row r="458">
      <c r="A458" t="s">
        <v>845</v>
      </c>
      <c r="B458" s="2">
        <v>415.0</v>
      </c>
      <c r="C458">
        <v>1.0</v>
      </c>
    </row>
    <row r="459">
      <c r="A459" t="s">
        <v>67</v>
      </c>
      <c r="B459" s="2">
        <v>220.0</v>
      </c>
      <c r="C459">
        <v>1.0</v>
      </c>
    </row>
    <row r="460">
      <c r="A460" t="s">
        <v>2488</v>
      </c>
      <c r="B460" s="2">
        <v>178.0</v>
      </c>
      <c r="C460">
        <v>1.0</v>
      </c>
    </row>
    <row r="461">
      <c r="A461" t="s">
        <v>1303</v>
      </c>
      <c r="B461" s="2">
        <v>136.0</v>
      </c>
      <c r="C461">
        <v>1.0</v>
      </c>
    </row>
    <row r="462">
      <c r="A462" t="s">
        <v>1217</v>
      </c>
      <c r="B462" s="2">
        <v>375.0</v>
      </c>
      <c r="C462">
        <v>1.0</v>
      </c>
    </row>
    <row r="463">
      <c r="A463" t="s">
        <v>941</v>
      </c>
      <c r="B463" s="2">
        <v>260.0</v>
      </c>
      <c r="C463">
        <v>1.0</v>
      </c>
    </row>
    <row r="464">
      <c r="A464" t="s">
        <v>1559</v>
      </c>
      <c r="B464" s="2">
        <v>225.0</v>
      </c>
      <c r="C464">
        <v>1.0</v>
      </c>
    </row>
    <row r="465">
      <c r="A465" t="s">
        <v>1657</v>
      </c>
      <c r="B465" s="2">
        <v>165.0</v>
      </c>
      <c r="C465">
        <v>1.0</v>
      </c>
    </row>
    <row r="466">
      <c r="A466" t="s">
        <v>1642</v>
      </c>
      <c r="B466" s="2">
        <v>185.0</v>
      </c>
      <c r="C466">
        <v>1.0</v>
      </c>
    </row>
    <row r="467">
      <c r="A467" t="s">
        <v>1715</v>
      </c>
      <c r="B467" s="2">
        <v>60.0</v>
      </c>
      <c r="C467">
        <v>1.0</v>
      </c>
    </row>
    <row r="468">
      <c r="A468" t="s">
        <v>973</v>
      </c>
      <c r="B468" s="2">
        <v>90.0</v>
      </c>
      <c r="C468">
        <v>1.0</v>
      </c>
    </row>
    <row r="469">
      <c r="A469" t="s">
        <v>1054</v>
      </c>
      <c r="B469" s="2">
        <v>230.0</v>
      </c>
      <c r="C469">
        <v>1.0</v>
      </c>
    </row>
    <row r="470">
      <c r="A470" t="s">
        <v>2649</v>
      </c>
      <c r="B470" s="2">
        <v>129.0</v>
      </c>
      <c r="C470">
        <v>1.0</v>
      </c>
    </row>
    <row r="471">
      <c r="A471" t="s">
        <v>2324</v>
      </c>
      <c r="B471" s="2">
        <v>159.0</v>
      </c>
      <c r="C471">
        <v>1.0</v>
      </c>
    </row>
    <row r="472">
      <c r="A472" t="s">
        <v>1470</v>
      </c>
      <c r="B472" s="2">
        <v>50.0</v>
      </c>
      <c r="C472">
        <v>1.0</v>
      </c>
    </row>
    <row r="473">
      <c r="A473" t="s">
        <v>1731</v>
      </c>
      <c r="B473" s="2">
        <v>177.0</v>
      </c>
      <c r="C473">
        <v>1.0</v>
      </c>
    </row>
    <row r="474">
      <c r="A474" t="s">
        <v>1528</v>
      </c>
      <c r="B474" s="2">
        <v>105.0</v>
      </c>
      <c r="C474">
        <v>1.0</v>
      </c>
    </row>
    <row r="475">
      <c r="A475" t="s">
        <v>1531</v>
      </c>
      <c r="B475" s="2">
        <v>123.0</v>
      </c>
      <c r="C475">
        <v>1.0</v>
      </c>
    </row>
    <row r="476">
      <c r="A476" t="s">
        <v>1166</v>
      </c>
      <c r="B476" s="2">
        <v>138.0</v>
      </c>
      <c r="C476">
        <v>1.0</v>
      </c>
    </row>
    <row r="477">
      <c r="A477" t="s">
        <v>1328</v>
      </c>
      <c r="B477" s="2">
        <v>143.0</v>
      </c>
      <c r="C477">
        <v>1.0</v>
      </c>
    </row>
    <row r="478">
      <c r="A478" t="s">
        <v>1589</v>
      </c>
      <c r="B478" s="2">
        <v>190.0</v>
      </c>
      <c r="C478">
        <v>1.0</v>
      </c>
    </row>
    <row r="479">
      <c r="A479" t="s">
        <v>1193</v>
      </c>
      <c r="B479" s="2">
        <v>132.0</v>
      </c>
      <c r="C479">
        <v>1.0</v>
      </c>
    </row>
    <row r="480">
      <c r="A480" t="s">
        <v>1757</v>
      </c>
      <c r="B480" s="2">
        <v>115.0</v>
      </c>
      <c r="C480">
        <v>1.0</v>
      </c>
    </row>
    <row r="481">
      <c r="A481" t="s">
        <v>2244</v>
      </c>
      <c r="B481" s="2">
        <v>160.0</v>
      </c>
      <c r="C481">
        <v>1.0</v>
      </c>
    </row>
    <row r="482">
      <c r="A482" t="s">
        <v>2370</v>
      </c>
      <c r="B482" s="2">
        <v>200.0</v>
      </c>
      <c r="C482">
        <v>1.0</v>
      </c>
    </row>
    <row r="483">
      <c r="A483" t="s">
        <v>1991</v>
      </c>
      <c r="B483" s="2">
        <v>180.0</v>
      </c>
      <c r="C483">
        <v>1.0</v>
      </c>
    </row>
    <row r="484">
      <c r="A484" t="s">
        <v>1889</v>
      </c>
      <c r="B484" s="2">
        <v>100.0</v>
      </c>
      <c r="C484">
        <v>1.0</v>
      </c>
    </row>
    <row r="485">
      <c r="A485" t="s">
        <v>1282</v>
      </c>
      <c r="B485" s="2">
        <v>250.0</v>
      </c>
      <c r="C485">
        <v>1.0</v>
      </c>
    </row>
    <row r="486">
      <c r="A486" t="s">
        <v>2421</v>
      </c>
      <c r="B486" s="2">
        <v>119.0</v>
      </c>
      <c r="C486">
        <v>1.0</v>
      </c>
    </row>
    <row r="487">
      <c r="A487" t="s">
        <v>2353</v>
      </c>
      <c r="B487" s="2">
        <v>96.0</v>
      </c>
      <c r="C487">
        <v>1.0</v>
      </c>
    </row>
    <row r="488">
      <c r="A488" t="s">
        <v>1070</v>
      </c>
      <c r="B488" s="2">
        <v>215.0</v>
      </c>
      <c r="C488">
        <v>1.0</v>
      </c>
    </row>
    <row r="489">
      <c r="A489" t="s">
        <v>1612</v>
      </c>
      <c r="B489" s="2">
        <v>121.0</v>
      </c>
      <c r="C489">
        <v>1.0</v>
      </c>
    </row>
    <row r="490">
      <c r="A490" t="s">
        <v>1406</v>
      </c>
      <c r="B490" s="2">
        <v>60.0</v>
      </c>
      <c r="C490">
        <v>1.0</v>
      </c>
    </row>
    <row r="491">
      <c r="A491" t="s">
        <v>208</v>
      </c>
      <c r="B491" s="2">
        <v>94.0</v>
      </c>
      <c r="C491">
        <v>1.0</v>
      </c>
    </row>
    <row r="492">
      <c r="A492" t="s">
        <v>747</v>
      </c>
      <c r="B492" s="2">
        <v>145.0</v>
      </c>
      <c r="C492">
        <v>1.0</v>
      </c>
    </row>
    <row r="493">
      <c r="A493" t="s">
        <v>2454</v>
      </c>
      <c r="B493" s="2">
        <v>200.0</v>
      </c>
      <c r="C493">
        <v>1.0</v>
      </c>
    </row>
    <row r="494">
      <c r="A494" t="s">
        <v>1269</v>
      </c>
      <c r="B494" s="2">
        <v>11.0</v>
      </c>
      <c r="C494">
        <v>1.0</v>
      </c>
    </row>
    <row r="495">
      <c r="A495" t="s">
        <v>871</v>
      </c>
      <c r="B495" s="2">
        <v>90.0</v>
      </c>
      <c r="C495">
        <v>1.0</v>
      </c>
    </row>
    <row r="496">
      <c r="A496" t="s">
        <v>2042</v>
      </c>
      <c r="B496" s="2">
        <v>157.0</v>
      </c>
      <c r="C496">
        <v>1.0</v>
      </c>
    </row>
    <row r="497">
      <c r="A497" t="s">
        <v>1777</v>
      </c>
      <c r="B497" s="2">
        <v>130.0</v>
      </c>
      <c r="C497">
        <v>1.0</v>
      </c>
    </row>
    <row r="498">
      <c r="A498" t="s">
        <v>2218</v>
      </c>
      <c r="B498" s="2">
        <v>115.0</v>
      </c>
      <c r="C498">
        <v>1.0</v>
      </c>
    </row>
    <row r="499">
      <c r="A499" t="s">
        <v>1709</v>
      </c>
      <c r="B499" s="2">
        <v>150.0</v>
      </c>
      <c r="C499">
        <v>1.0</v>
      </c>
    </row>
    <row r="500">
      <c r="A500" t="s">
        <v>2502</v>
      </c>
      <c r="B500" s="2">
        <v>130.0</v>
      </c>
      <c r="C500">
        <v>1.0</v>
      </c>
    </row>
    <row r="501">
      <c r="A501" t="s">
        <v>2070</v>
      </c>
      <c r="B501" s="2">
        <v>120.0</v>
      </c>
      <c r="C501">
        <v>1.0</v>
      </c>
    </row>
    <row r="502">
      <c r="A502" t="s">
        <v>2172</v>
      </c>
      <c r="B502" s="2">
        <v>60.0</v>
      </c>
      <c r="C502">
        <v>1.0</v>
      </c>
    </row>
    <row r="503">
      <c r="A503" t="s">
        <v>1582</v>
      </c>
      <c r="B503" s="2">
        <v>160.0</v>
      </c>
      <c r="C503">
        <v>1.0</v>
      </c>
    </row>
    <row r="504">
      <c r="A504" t="s">
        <v>2195</v>
      </c>
      <c r="B504" s="2">
        <v>106.0</v>
      </c>
      <c r="C504">
        <v>1.0</v>
      </c>
    </row>
    <row r="505">
      <c r="A505" t="s">
        <v>2298</v>
      </c>
      <c r="B505" s="2">
        <v>72.0</v>
      </c>
      <c r="C505">
        <v>1.0</v>
      </c>
    </row>
    <row r="506">
      <c r="A506" t="s">
        <v>1399</v>
      </c>
      <c r="B506" s="2">
        <v>120.0</v>
      </c>
      <c r="C506">
        <v>1.0</v>
      </c>
    </row>
    <row r="507">
      <c r="A507" t="s">
        <v>1402</v>
      </c>
      <c r="B507" s="2">
        <v>120.0</v>
      </c>
      <c r="C507">
        <v>1.0</v>
      </c>
    </row>
    <row r="508">
      <c r="A508" t="s">
        <v>823</v>
      </c>
      <c r="B508" s="2">
        <v>93.0</v>
      </c>
      <c r="C508">
        <v>1.0</v>
      </c>
    </row>
    <row r="509">
      <c r="A509" t="s">
        <v>739</v>
      </c>
      <c r="B509" s="2">
        <v>65.0</v>
      </c>
      <c r="C509">
        <v>1.0</v>
      </c>
    </row>
    <row r="510">
      <c r="A510" t="s">
        <v>1482</v>
      </c>
      <c r="B510" s="2">
        <v>80.0</v>
      </c>
      <c r="C510">
        <v>1.0</v>
      </c>
    </row>
    <row r="511">
      <c r="A511" t="s">
        <v>1450</v>
      </c>
      <c r="B511" s="2">
        <v>85.0</v>
      </c>
      <c r="C511">
        <v>1.0</v>
      </c>
    </row>
    <row r="512">
      <c r="A512" t="s">
        <v>621</v>
      </c>
      <c r="B512" s="2">
        <v>240.0</v>
      </c>
      <c r="C512">
        <v>1.0</v>
      </c>
    </row>
    <row r="513">
      <c r="A513" t="s">
        <v>1379</v>
      </c>
      <c r="B513" s="2">
        <v>151.0</v>
      </c>
      <c r="C513">
        <v>1.0</v>
      </c>
    </row>
    <row r="514">
      <c r="A514" t="s">
        <v>1492</v>
      </c>
      <c r="B514" s="2">
        <v>75.0</v>
      </c>
      <c r="C514">
        <v>1.0</v>
      </c>
    </row>
    <row r="515">
      <c r="A515" t="s">
        <v>2644</v>
      </c>
      <c r="B515" s="2">
        <v>320.0</v>
      </c>
      <c r="C515">
        <v>1.0</v>
      </c>
    </row>
    <row r="516">
      <c r="A516" t="s">
        <v>2168</v>
      </c>
      <c r="B516" s="2">
        <v>120.0</v>
      </c>
      <c r="C516">
        <v>1.0</v>
      </c>
    </row>
    <row r="517">
      <c r="A517" t="s">
        <v>2280</v>
      </c>
      <c r="B517" s="2">
        <v>100.0</v>
      </c>
      <c r="C517">
        <v>1.0</v>
      </c>
    </row>
    <row r="518">
      <c r="A518" t="s">
        <v>2022</v>
      </c>
      <c r="B518" s="2">
        <v>410.0</v>
      </c>
      <c r="C518">
        <v>1.0</v>
      </c>
    </row>
    <row r="519">
      <c r="A519" t="s">
        <v>2514</v>
      </c>
      <c r="B519" s="2">
        <v>153.0</v>
      </c>
      <c r="C519">
        <v>1.0</v>
      </c>
    </row>
    <row r="520">
      <c r="A520" t="s">
        <v>1436</v>
      </c>
      <c r="B520" s="2">
        <v>38.0</v>
      </c>
      <c r="C520">
        <v>1.0</v>
      </c>
    </row>
    <row r="521">
      <c r="A521" t="s">
        <v>2079</v>
      </c>
      <c r="B521" s="2">
        <v>103.0</v>
      </c>
      <c r="C521">
        <v>1.0</v>
      </c>
    </row>
    <row r="522">
      <c r="A522" t="s">
        <v>1127</v>
      </c>
      <c r="B522" s="2">
        <v>120.0</v>
      </c>
      <c r="C522">
        <v>1.0</v>
      </c>
    </row>
    <row r="523">
      <c r="A523" s="30" t="s">
        <v>1948</v>
      </c>
      <c r="B523" s="2">
        <v>118.0</v>
      </c>
      <c r="C523">
        <v>1.0</v>
      </c>
    </row>
    <row r="524">
      <c r="A524" t="s">
        <v>1910</v>
      </c>
      <c r="B524" s="2">
        <v>999.0</v>
      </c>
      <c r="C524">
        <v>1.0</v>
      </c>
    </row>
    <row r="525">
      <c r="A525" t="s">
        <v>1985</v>
      </c>
      <c r="B525" s="2">
        <v>127.0</v>
      </c>
      <c r="C525">
        <v>1.0</v>
      </c>
    </row>
    <row r="526">
      <c r="A526" t="s">
        <v>2544</v>
      </c>
      <c r="B526" s="2">
        <v>87.0</v>
      </c>
      <c r="C526">
        <v>1.0</v>
      </c>
    </row>
    <row r="527">
      <c r="A527" t="s">
        <v>2386</v>
      </c>
      <c r="B527" s="2">
        <v>22.0</v>
      </c>
      <c r="C527">
        <v>1.0</v>
      </c>
    </row>
    <row r="528">
      <c r="A528" t="s">
        <v>1678</v>
      </c>
      <c r="B528" s="2">
        <v>485.0</v>
      </c>
      <c r="C528">
        <v>1.0</v>
      </c>
    </row>
    <row r="529">
      <c r="A529" t="s">
        <v>1394</v>
      </c>
      <c r="B529" s="2">
        <v>125.0</v>
      </c>
      <c r="C529">
        <v>1.0</v>
      </c>
    </row>
    <row r="530">
      <c r="A530" t="s">
        <v>640</v>
      </c>
      <c r="B530" s="2">
        <v>180.0</v>
      </c>
      <c r="C530">
        <v>1.0</v>
      </c>
    </row>
    <row r="531">
      <c r="A531" t="s">
        <v>2189</v>
      </c>
      <c r="B531" s="2">
        <v>165.0</v>
      </c>
      <c r="C531">
        <v>1.0</v>
      </c>
    </row>
    <row r="532">
      <c r="A532" t="s">
        <v>666</v>
      </c>
      <c r="B532" s="2">
        <v>150.0</v>
      </c>
      <c r="C532">
        <v>1.0</v>
      </c>
    </row>
    <row r="533">
      <c r="A533" t="s">
        <v>499</v>
      </c>
      <c r="B533" s="2">
        <v>72.0</v>
      </c>
      <c r="C533">
        <v>1.0</v>
      </c>
    </row>
    <row r="534">
      <c r="A534" t="s">
        <v>1446</v>
      </c>
      <c r="B534" s="2">
        <v>34.0</v>
      </c>
      <c r="C534">
        <v>1.0</v>
      </c>
    </row>
    <row r="535">
      <c r="A535" t="s">
        <v>927</v>
      </c>
      <c r="B535" s="2">
        <v>350.0</v>
      </c>
      <c r="C535">
        <v>1.0</v>
      </c>
    </row>
    <row r="536">
      <c r="A536" t="s">
        <v>1438</v>
      </c>
      <c r="B536" s="2">
        <v>78.0</v>
      </c>
      <c r="C536">
        <v>1.0</v>
      </c>
    </row>
    <row r="537">
      <c r="A537" t="s">
        <v>2013</v>
      </c>
      <c r="B537" s="2">
        <v>145.0</v>
      </c>
      <c r="C537">
        <v>1.0</v>
      </c>
    </row>
    <row r="538">
      <c r="A538" t="s">
        <v>395</v>
      </c>
      <c r="B538" s="2">
        <v>110.0</v>
      </c>
      <c r="C538">
        <v>1.0</v>
      </c>
    </row>
    <row r="539">
      <c r="A539" t="s">
        <v>1916</v>
      </c>
      <c r="B539" s="2">
        <v>110.0</v>
      </c>
      <c r="C539">
        <v>1.0</v>
      </c>
    </row>
    <row r="540">
      <c r="A540" t="s">
        <v>1519</v>
      </c>
      <c r="B540" s="2">
        <v>58.0</v>
      </c>
      <c r="C540">
        <v>1.0</v>
      </c>
    </row>
    <row r="541">
      <c r="A541" t="s">
        <v>375</v>
      </c>
      <c r="B541" s="2">
        <v>305.0</v>
      </c>
      <c r="C541">
        <v>1.0</v>
      </c>
    </row>
    <row r="542">
      <c r="A542" t="s">
        <v>2132</v>
      </c>
      <c r="B542" s="2">
        <v>140.0</v>
      </c>
      <c r="C542">
        <v>1.0</v>
      </c>
    </row>
    <row r="543">
      <c r="A543" t="s">
        <v>2572</v>
      </c>
      <c r="B543" s="2">
        <v>100.0</v>
      </c>
      <c r="C543">
        <v>1.0</v>
      </c>
    </row>
    <row r="544">
      <c r="A544" t="s">
        <v>2203</v>
      </c>
      <c r="B544" s="2">
        <v>245.0</v>
      </c>
      <c r="C544">
        <v>1.0</v>
      </c>
    </row>
    <row r="545">
      <c r="A545" t="s">
        <v>2233</v>
      </c>
      <c r="B545" s="2">
        <v>82.0</v>
      </c>
      <c r="C545">
        <v>1.0</v>
      </c>
    </row>
    <row r="546">
      <c r="A546" t="s">
        <v>1695</v>
      </c>
      <c r="B546" s="2">
        <v>97.0</v>
      </c>
      <c r="C546">
        <v>1.0</v>
      </c>
    </row>
    <row r="547">
      <c r="A547" t="s">
        <v>2046</v>
      </c>
      <c r="B547" s="2">
        <v>100.0</v>
      </c>
      <c r="C547">
        <v>1.0</v>
      </c>
    </row>
    <row r="548">
      <c r="A548" t="s">
        <v>832</v>
      </c>
      <c r="B548" s="2">
        <v>184.0</v>
      </c>
      <c r="C548">
        <v>1.0</v>
      </c>
    </row>
    <row r="549">
      <c r="A549" t="s">
        <v>843</v>
      </c>
      <c r="B549" s="2">
        <v>215.0</v>
      </c>
      <c r="C549">
        <v>1.0</v>
      </c>
    </row>
    <row r="550">
      <c r="A550" t="s">
        <v>2175</v>
      </c>
      <c r="B550" s="2">
        <v>256.0</v>
      </c>
      <c r="C550">
        <v>1.0</v>
      </c>
    </row>
    <row r="551">
      <c r="A551" t="s">
        <v>1031</v>
      </c>
      <c r="B551" s="2">
        <v>236.0</v>
      </c>
      <c r="C551">
        <v>1.0</v>
      </c>
    </row>
    <row r="552">
      <c r="A552" t="s">
        <v>1851</v>
      </c>
      <c r="B552" s="2">
        <v>187.0</v>
      </c>
      <c r="C552">
        <v>1.0</v>
      </c>
    </row>
    <row r="553">
      <c r="A553" t="s">
        <v>1473</v>
      </c>
      <c r="B553" s="2">
        <v>80.0</v>
      </c>
      <c r="C553">
        <v>1.0</v>
      </c>
    </row>
    <row r="554">
      <c r="A554" t="s">
        <v>689</v>
      </c>
      <c r="B554" s="2">
        <v>308.0</v>
      </c>
      <c r="C554">
        <v>1.0</v>
      </c>
    </row>
    <row r="555">
      <c r="A555" t="s">
        <v>1857</v>
      </c>
      <c r="B555" s="2">
        <v>100.0</v>
      </c>
      <c r="C555">
        <v>1.0</v>
      </c>
    </row>
    <row r="556">
      <c r="A556" t="s">
        <v>466</v>
      </c>
      <c r="B556" s="2">
        <v>245.0</v>
      </c>
      <c r="C556">
        <v>1.0</v>
      </c>
    </row>
    <row r="557">
      <c r="A557" t="s">
        <v>1521</v>
      </c>
      <c r="B557" s="2">
        <v>193.0</v>
      </c>
      <c r="C557">
        <v>1.0</v>
      </c>
    </row>
    <row r="558">
      <c r="A558" t="s">
        <v>2539</v>
      </c>
      <c r="B558" s="2">
        <v>170.0</v>
      </c>
      <c r="C558">
        <v>1.0</v>
      </c>
    </row>
    <row r="559">
      <c r="A559" t="s">
        <v>2496</v>
      </c>
      <c r="B559" s="2">
        <v>200.0</v>
      </c>
      <c r="C559">
        <v>1.0</v>
      </c>
    </row>
    <row r="560">
      <c r="A560" t="s">
        <v>2053</v>
      </c>
      <c r="B560" s="2">
        <v>122.0</v>
      </c>
      <c r="C560">
        <v>1.0</v>
      </c>
    </row>
    <row r="561">
      <c r="A561" t="s">
        <v>2552</v>
      </c>
      <c r="B561" s="2">
        <v>137.0</v>
      </c>
      <c r="C561">
        <v>1.0</v>
      </c>
    </row>
    <row r="562">
      <c r="A562" t="s">
        <v>2581</v>
      </c>
      <c r="B562" s="2">
        <v>200.0</v>
      </c>
      <c r="C562">
        <v>1.0</v>
      </c>
    </row>
    <row r="563">
      <c r="A563" t="s">
        <v>1524</v>
      </c>
      <c r="B563" s="2">
        <v>60.0</v>
      </c>
      <c r="C563">
        <v>1.0</v>
      </c>
    </row>
    <row r="564">
      <c r="A564" t="s">
        <v>2241</v>
      </c>
      <c r="B564" s="2">
        <v>130.0</v>
      </c>
      <c r="C564">
        <v>1.0</v>
      </c>
    </row>
    <row r="565">
      <c r="A565" s="30" t="s">
        <v>2355</v>
      </c>
      <c r="B565" s="2">
        <v>112.0</v>
      </c>
      <c r="C565">
        <v>1.0</v>
      </c>
    </row>
    <row r="566">
      <c r="A566" t="s">
        <v>779</v>
      </c>
      <c r="B566" s="2">
        <v>162.0</v>
      </c>
      <c r="C566">
        <v>1.0</v>
      </c>
    </row>
    <row r="567">
      <c r="A567" t="s">
        <v>2628</v>
      </c>
      <c r="B567" s="2">
        <v>220.0</v>
      </c>
      <c r="C567">
        <v>1.0</v>
      </c>
    </row>
    <row r="568">
      <c r="A568" t="s">
        <v>383</v>
      </c>
      <c r="B568" s="2">
        <v>94.0</v>
      </c>
      <c r="C568">
        <v>1.0</v>
      </c>
    </row>
    <row r="569">
      <c r="A569" t="s">
        <v>1726</v>
      </c>
      <c r="B569" s="2">
        <v>242.0</v>
      </c>
      <c r="C569">
        <v>1.0</v>
      </c>
    </row>
    <row r="570">
      <c r="A570" t="s">
        <v>469</v>
      </c>
      <c r="B570" s="2">
        <v>150.0</v>
      </c>
      <c r="C570">
        <v>1.0</v>
      </c>
    </row>
    <row r="571">
      <c r="A571" t="s">
        <v>2319</v>
      </c>
      <c r="B571" s="2">
        <v>150.0</v>
      </c>
      <c r="C571">
        <v>1.0</v>
      </c>
    </row>
    <row r="572">
      <c r="A572" t="s">
        <v>2614</v>
      </c>
      <c r="B572" s="2">
        <v>165.0</v>
      </c>
      <c r="C572">
        <v>1.0</v>
      </c>
    </row>
    <row r="573">
      <c r="A573" t="s">
        <v>1913</v>
      </c>
      <c r="B573" s="2">
        <v>230.0</v>
      </c>
      <c r="C573">
        <v>1.0</v>
      </c>
    </row>
    <row r="574">
      <c r="A574" t="s">
        <v>1491</v>
      </c>
      <c r="B574" s="2">
        <v>278.0</v>
      </c>
      <c r="C574">
        <v>1.0</v>
      </c>
    </row>
    <row r="575">
      <c r="A575" t="s">
        <v>2506</v>
      </c>
      <c r="B575" s="2">
        <v>121.0</v>
      </c>
      <c r="C575">
        <v>1.0</v>
      </c>
    </row>
    <row r="576">
      <c r="A576" t="s">
        <v>1229</v>
      </c>
      <c r="B576" s="2">
        <v>246.0</v>
      </c>
      <c r="C576">
        <v>1.0</v>
      </c>
    </row>
    <row r="577">
      <c r="A577" t="s">
        <v>1080</v>
      </c>
      <c r="B577" s="2">
        <v>150.0</v>
      </c>
      <c r="C577">
        <v>1.0</v>
      </c>
    </row>
    <row r="578">
      <c r="A578">
        <v>188000.0</v>
      </c>
      <c r="B578" s="2">
        <v>210.0</v>
      </c>
      <c r="C578">
        <v>1.0</v>
      </c>
    </row>
    <row r="579">
      <c r="B579" s="2" t="e">
        <v>#NUM!</v>
      </c>
      <c r="C579">
        <v>0.0</v>
      </c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autoFilter ref="$A$2:$C$165">
    <filterColumn colId="2">
      <customFilters>
        <customFilter operator="greaterThan" val="20"/>
      </customFilters>
    </filterColumn>
  </autoFilter>
  <hyperlinks>
    <hyperlink r:id="rId1" ref="A45"/>
    <hyperlink r:id="rId2" ref="A62"/>
    <hyperlink r:id="rId3" ref="A96"/>
    <hyperlink r:id="rId4" ref="A285"/>
    <hyperlink r:id="rId5" ref="A298"/>
    <hyperlink r:id="rId6" ref="A299"/>
    <hyperlink r:id="rId7" ref="A327"/>
    <hyperlink r:id="rId8" ref="A523"/>
    <hyperlink r:id="rId9" ref="A565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9.29"/>
    <col customWidth="1" min="2" max="2" width="29.57"/>
    <col customWidth="1" min="3" max="3" width="14.14"/>
  </cols>
  <sheetData>
    <row r="1">
      <c r="A1" s="1" t="s">
        <v>0</v>
      </c>
      <c r="B1" s="2"/>
      <c r="D1" s="1"/>
    </row>
    <row r="2">
      <c r="A2" t="s">
        <v>27</v>
      </c>
      <c r="B2" s="2" t="s">
        <v>2654</v>
      </c>
      <c r="C2" t="s">
        <v>2655</v>
      </c>
    </row>
    <row r="3">
      <c r="A3" t="s">
        <v>1692</v>
      </c>
      <c r="B3" s="2">
        <v>40.0</v>
      </c>
      <c r="C3">
        <v>1.0</v>
      </c>
    </row>
    <row r="4">
      <c r="A4" t="s">
        <v>2442</v>
      </c>
      <c r="B4" s="2">
        <v>40.0</v>
      </c>
      <c r="C4">
        <v>1.0</v>
      </c>
    </row>
    <row r="5">
      <c r="A5" t="s">
        <v>1487</v>
      </c>
      <c r="B5" s="2">
        <v>45.0</v>
      </c>
      <c r="C5">
        <v>1.0</v>
      </c>
    </row>
    <row r="6">
      <c r="A6" t="s">
        <v>2144</v>
      </c>
      <c r="B6" s="2">
        <v>45.0</v>
      </c>
      <c r="C6">
        <v>1.0</v>
      </c>
    </row>
    <row r="7">
      <c r="A7" t="s">
        <v>1422</v>
      </c>
      <c r="B7" s="2">
        <v>45.5</v>
      </c>
      <c r="C7">
        <v>2.0</v>
      </c>
    </row>
    <row r="8">
      <c r="A8" t="s">
        <v>2391</v>
      </c>
      <c r="B8" s="2">
        <v>53.0</v>
      </c>
      <c r="C8">
        <v>1.0</v>
      </c>
    </row>
    <row r="9" hidden="1">
      <c r="A9" t="s">
        <v>1408</v>
      </c>
      <c r="B9" s="2">
        <v>60.0</v>
      </c>
      <c r="C9">
        <v>1.0</v>
      </c>
    </row>
    <row r="10" hidden="1">
      <c r="A10" t="s">
        <v>2529</v>
      </c>
      <c r="B10" s="2">
        <v>64.0</v>
      </c>
      <c r="C10">
        <v>1.0</v>
      </c>
    </row>
    <row r="11" hidden="1">
      <c r="A11" t="s">
        <v>2509</v>
      </c>
      <c r="B11" s="2">
        <v>68.0</v>
      </c>
      <c r="C11">
        <v>1.0</v>
      </c>
    </row>
    <row r="12" hidden="1">
      <c r="A12" t="s">
        <v>2299</v>
      </c>
      <c r="B12" s="2">
        <v>72.0</v>
      </c>
      <c r="C12">
        <v>1.0</v>
      </c>
    </row>
    <row r="13" hidden="1">
      <c r="A13" t="s">
        <v>2094</v>
      </c>
      <c r="B13" s="2">
        <v>75.0</v>
      </c>
      <c r="C13">
        <v>1.0</v>
      </c>
    </row>
    <row r="14" hidden="1">
      <c r="A14" t="s">
        <v>2636</v>
      </c>
      <c r="B14" s="2">
        <v>75.0</v>
      </c>
      <c r="C14">
        <v>1.0</v>
      </c>
    </row>
    <row r="15" hidden="1">
      <c r="A15" t="s">
        <v>1909</v>
      </c>
      <c r="B15" s="2">
        <v>80.0</v>
      </c>
      <c r="C15">
        <v>1.0</v>
      </c>
    </row>
    <row r="16" hidden="1">
      <c r="A16" t="s">
        <v>1475</v>
      </c>
      <c r="B16" s="2">
        <v>80.0</v>
      </c>
      <c r="C16">
        <v>1.0</v>
      </c>
    </row>
    <row r="17" hidden="1">
      <c r="A17" t="s">
        <v>2366</v>
      </c>
      <c r="B17" s="2">
        <v>85.0</v>
      </c>
      <c r="C17">
        <v>1.0</v>
      </c>
    </row>
    <row r="18" hidden="1">
      <c r="A18" t="s">
        <v>1995</v>
      </c>
      <c r="B18" s="2">
        <v>87.0</v>
      </c>
      <c r="C18">
        <v>1.0</v>
      </c>
    </row>
    <row r="19" hidden="1">
      <c r="A19" t="s">
        <v>2065</v>
      </c>
      <c r="B19" s="2">
        <v>90.0</v>
      </c>
      <c r="C19">
        <v>1.0</v>
      </c>
    </row>
    <row r="20" hidden="1">
      <c r="A20" t="s">
        <v>2520</v>
      </c>
      <c r="B20" s="2">
        <v>90.0</v>
      </c>
      <c r="C20">
        <v>1.0</v>
      </c>
    </row>
    <row r="21" hidden="1">
      <c r="A21" t="s">
        <v>1543</v>
      </c>
      <c r="B21" s="2">
        <v>92.0</v>
      </c>
      <c r="C21">
        <v>1.0</v>
      </c>
    </row>
    <row r="22" hidden="1">
      <c r="A22" t="s">
        <v>2117</v>
      </c>
      <c r="B22" s="2">
        <v>94.0</v>
      </c>
      <c r="C22">
        <v>1.0</v>
      </c>
    </row>
    <row r="23" hidden="1">
      <c r="A23" t="s">
        <v>2354</v>
      </c>
      <c r="B23" s="2">
        <v>96.0</v>
      </c>
      <c r="C23">
        <v>1.0</v>
      </c>
    </row>
    <row r="24" hidden="1">
      <c r="A24" t="s">
        <v>1998</v>
      </c>
      <c r="B24" s="2">
        <v>99.0</v>
      </c>
      <c r="C24">
        <v>2.0</v>
      </c>
    </row>
    <row r="25" hidden="1">
      <c r="A25" t="s">
        <v>2245</v>
      </c>
      <c r="B25" s="2">
        <v>100.0</v>
      </c>
      <c r="C25">
        <v>1.0</v>
      </c>
    </row>
    <row r="26" hidden="1">
      <c r="A26" t="s">
        <v>2388</v>
      </c>
      <c r="B26" s="2">
        <v>100.0</v>
      </c>
      <c r="C26">
        <v>1.0</v>
      </c>
    </row>
    <row r="27" hidden="1">
      <c r="A27" t="s">
        <v>1149</v>
      </c>
      <c r="B27" s="2">
        <v>100.0</v>
      </c>
      <c r="C27">
        <v>1.0</v>
      </c>
    </row>
    <row r="28" hidden="1">
      <c r="A28" t="s">
        <v>2267</v>
      </c>
      <c r="B28" s="2">
        <v>100.0</v>
      </c>
      <c r="C28">
        <v>1.0</v>
      </c>
    </row>
    <row r="29" hidden="1">
      <c r="A29" t="s">
        <v>1858</v>
      </c>
      <c r="B29" s="2">
        <v>100.0</v>
      </c>
      <c r="C29">
        <v>1.0</v>
      </c>
    </row>
    <row r="30" hidden="1">
      <c r="A30" t="s">
        <v>1876</v>
      </c>
      <c r="B30" s="2">
        <v>100.0</v>
      </c>
      <c r="C30">
        <v>1.0</v>
      </c>
    </row>
    <row r="31" hidden="1">
      <c r="A31" t="s">
        <v>2573</v>
      </c>
      <c r="B31" s="2">
        <v>100.0</v>
      </c>
      <c r="C31">
        <v>1.0</v>
      </c>
    </row>
    <row r="32" hidden="1">
      <c r="A32" t="s">
        <v>2082</v>
      </c>
      <c r="B32" s="2">
        <v>104.0</v>
      </c>
      <c r="C32">
        <v>1.0</v>
      </c>
    </row>
    <row r="33" hidden="1">
      <c r="A33" t="s">
        <v>1362</v>
      </c>
      <c r="B33" s="2">
        <v>105.0</v>
      </c>
      <c r="C33">
        <v>1.0</v>
      </c>
    </row>
    <row r="34" hidden="1">
      <c r="A34" t="s">
        <v>2149</v>
      </c>
      <c r="B34" s="2">
        <v>108.0</v>
      </c>
      <c r="C34">
        <v>1.0</v>
      </c>
    </row>
    <row r="35" hidden="1">
      <c r="A35" t="s">
        <v>1236</v>
      </c>
      <c r="B35" s="2">
        <v>110.16666666666667</v>
      </c>
      <c r="C35">
        <v>6.0</v>
      </c>
    </row>
    <row r="36" hidden="1">
      <c r="A36" t="s">
        <v>1772</v>
      </c>
      <c r="B36" s="2">
        <v>115.0</v>
      </c>
      <c r="C36">
        <v>1.0</v>
      </c>
    </row>
    <row r="37" hidden="1">
      <c r="A37" t="s">
        <v>1592</v>
      </c>
      <c r="B37" s="2">
        <v>115.0</v>
      </c>
      <c r="C37">
        <v>1.0</v>
      </c>
    </row>
    <row r="38" hidden="1">
      <c r="A38" t="s">
        <v>1680</v>
      </c>
      <c r="B38" s="2">
        <v>119.0</v>
      </c>
      <c r="C38">
        <v>1.0</v>
      </c>
    </row>
    <row r="39" hidden="1">
      <c r="A39" t="s">
        <v>2100</v>
      </c>
      <c r="B39" s="2">
        <v>120.0</v>
      </c>
      <c r="C39">
        <v>1.0</v>
      </c>
    </row>
    <row r="40" hidden="1">
      <c r="A40" t="s">
        <v>2071</v>
      </c>
      <c r="B40" s="2">
        <v>120.0</v>
      </c>
      <c r="C40">
        <v>1.0</v>
      </c>
    </row>
    <row r="41" hidden="1">
      <c r="A41" t="s">
        <v>1826</v>
      </c>
      <c r="B41" s="2">
        <v>120.0</v>
      </c>
      <c r="C41">
        <v>1.0</v>
      </c>
    </row>
    <row r="42" hidden="1">
      <c r="A42" t="s">
        <v>2555</v>
      </c>
      <c r="B42" s="2">
        <v>120.0</v>
      </c>
      <c r="C42">
        <v>1.0</v>
      </c>
    </row>
    <row r="43" hidden="1">
      <c r="A43" t="s">
        <v>2507</v>
      </c>
      <c r="B43" s="2">
        <v>121.0</v>
      </c>
      <c r="C43">
        <v>1.0</v>
      </c>
    </row>
    <row r="44" hidden="1">
      <c r="A44" t="s">
        <v>2363</v>
      </c>
      <c r="B44" s="2">
        <v>124.0</v>
      </c>
      <c r="C44">
        <v>1.0</v>
      </c>
    </row>
    <row r="45" hidden="1">
      <c r="A45" t="s">
        <v>1706</v>
      </c>
      <c r="B45" s="2">
        <v>125.0</v>
      </c>
      <c r="C45">
        <v>1.0</v>
      </c>
    </row>
    <row r="46" hidden="1">
      <c r="A46" t="s">
        <v>2631</v>
      </c>
      <c r="B46" s="2">
        <v>128.0</v>
      </c>
      <c r="C46">
        <v>1.0</v>
      </c>
    </row>
    <row r="47" hidden="1">
      <c r="A47" t="s">
        <v>2436</v>
      </c>
      <c r="B47" s="2">
        <v>130.0</v>
      </c>
      <c r="C47">
        <v>1.0</v>
      </c>
    </row>
    <row r="48" hidden="1">
      <c r="A48" t="s">
        <v>1943</v>
      </c>
      <c r="B48" s="2">
        <v>130.0</v>
      </c>
      <c r="C48">
        <v>1.0</v>
      </c>
    </row>
    <row r="49" hidden="1">
      <c r="A49" t="s">
        <v>1571</v>
      </c>
      <c r="B49" s="2">
        <v>132.0</v>
      </c>
      <c r="C49">
        <v>1.0</v>
      </c>
    </row>
    <row r="50" hidden="1">
      <c r="A50" t="s">
        <v>1660</v>
      </c>
      <c r="B50" s="2">
        <v>132.0</v>
      </c>
      <c r="C50">
        <v>1.0</v>
      </c>
    </row>
    <row r="51" hidden="1">
      <c r="A51" t="s">
        <v>1896</v>
      </c>
      <c r="B51" s="2">
        <v>135.0</v>
      </c>
      <c r="C51">
        <v>2.0</v>
      </c>
    </row>
    <row r="52" hidden="1">
      <c r="A52" t="s">
        <v>1293</v>
      </c>
      <c r="B52" s="2">
        <v>135.5</v>
      </c>
      <c r="C52">
        <v>2.0</v>
      </c>
    </row>
    <row r="53" hidden="1">
      <c r="A53" t="s">
        <v>1315</v>
      </c>
      <c r="B53" s="2">
        <v>136.0</v>
      </c>
      <c r="C53">
        <v>1.0</v>
      </c>
    </row>
    <row r="54" hidden="1">
      <c r="A54" t="s">
        <v>952</v>
      </c>
      <c r="B54" s="2">
        <v>138.0</v>
      </c>
      <c r="C54">
        <v>1.0</v>
      </c>
    </row>
    <row r="55" hidden="1">
      <c r="A55" t="s">
        <v>1963</v>
      </c>
      <c r="B55" s="2">
        <v>140.0</v>
      </c>
      <c r="C55">
        <v>1.0</v>
      </c>
    </row>
    <row r="56" hidden="1">
      <c r="A56" t="s">
        <v>2130</v>
      </c>
      <c r="B56" s="2">
        <v>143.0</v>
      </c>
      <c r="C56">
        <v>1.0</v>
      </c>
    </row>
    <row r="57" hidden="1">
      <c r="A57" t="s">
        <v>2564</v>
      </c>
      <c r="B57" s="2">
        <v>145.0</v>
      </c>
      <c r="C57">
        <v>1.0</v>
      </c>
    </row>
    <row r="58" hidden="1">
      <c r="A58" t="s">
        <v>1741</v>
      </c>
      <c r="B58" s="2">
        <v>145.0</v>
      </c>
      <c r="C58">
        <v>2.0</v>
      </c>
    </row>
    <row r="59" hidden="1">
      <c r="A59" t="s">
        <v>1596</v>
      </c>
      <c r="B59" s="2">
        <v>146.0</v>
      </c>
      <c r="C59">
        <v>2.0</v>
      </c>
    </row>
    <row r="60" hidden="1">
      <c r="A60" t="s">
        <v>1626</v>
      </c>
      <c r="B60" s="2">
        <v>147.0</v>
      </c>
      <c r="C60">
        <v>1.0</v>
      </c>
    </row>
    <row r="61" hidden="1">
      <c r="A61" t="s">
        <v>1599</v>
      </c>
      <c r="B61" s="2">
        <v>147.66666666666666</v>
      </c>
      <c r="C61">
        <v>3.0</v>
      </c>
    </row>
    <row r="62" hidden="1">
      <c r="A62" t="s">
        <v>2108</v>
      </c>
      <c r="B62" s="2">
        <v>149.0</v>
      </c>
      <c r="C62">
        <v>1.0</v>
      </c>
    </row>
    <row r="63" hidden="1">
      <c r="A63" t="s">
        <v>1750</v>
      </c>
      <c r="B63" s="2">
        <v>149.0</v>
      </c>
      <c r="C63">
        <v>1.0</v>
      </c>
    </row>
    <row r="64" hidden="1">
      <c r="A64" t="s">
        <v>1774</v>
      </c>
      <c r="B64" s="2">
        <v>149.0</v>
      </c>
      <c r="C64">
        <v>1.0</v>
      </c>
    </row>
    <row r="65" hidden="1">
      <c r="A65" t="s">
        <v>1648</v>
      </c>
      <c r="B65" s="2">
        <v>150.0</v>
      </c>
      <c r="C65">
        <v>1.0</v>
      </c>
    </row>
    <row r="66" hidden="1">
      <c r="A66" t="s">
        <v>1793</v>
      </c>
      <c r="B66" s="2">
        <v>150.0</v>
      </c>
      <c r="C66">
        <v>1.0</v>
      </c>
    </row>
    <row r="67" hidden="1">
      <c r="A67" t="s">
        <v>2135</v>
      </c>
      <c r="B67" s="2">
        <v>150.0</v>
      </c>
      <c r="C67">
        <v>1.0</v>
      </c>
    </row>
    <row r="68" hidden="1">
      <c r="A68" t="s">
        <v>2602</v>
      </c>
      <c r="B68" s="2">
        <v>150.0</v>
      </c>
      <c r="C68">
        <v>1.0</v>
      </c>
    </row>
    <row r="69" hidden="1">
      <c r="A69" t="s">
        <v>306</v>
      </c>
      <c r="B69" s="2">
        <v>151.33333333333334</v>
      </c>
      <c r="C69">
        <v>3.0</v>
      </c>
    </row>
    <row r="70" hidden="1">
      <c r="A70" t="s">
        <v>1783</v>
      </c>
      <c r="B70" s="2">
        <v>152.0</v>
      </c>
      <c r="C70">
        <v>1.0</v>
      </c>
    </row>
    <row r="71" hidden="1">
      <c r="A71" t="s">
        <v>2515</v>
      </c>
      <c r="B71" s="2">
        <v>153.0</v>
      </c>
      <c r="C71">
        <v>1.0</v>
      </c>
    </row>
    <row r="72" hidden="1">
      <c r="A72" t="s">
        <v>2604</v>
      </c>
      <c r="B72" s="2">
        <v>159.0</v>
      </c>
      <c r="C72">
        <v>1.0</v>
      </c>
    </row>
    <row r="73" hidden="1">
      <c r="A73" t="s">
        <v>811</v>
      </c>
      <c r="B73" s="2">
        <v>159.0</v>
      </c>
      <c r="C73">
        <v>1.0</v>
      </c>
    </row>
    <row r="74" hidden="1">
      <c r="A74" t="s">
        <v>2450</v>
      </c>
      <c r="B74" s="2">
        <v>160.0</v>
      </c>
      <c r="C74">
        <v>1.0</v>
      </c>
    </row>
    <row r="75" hidden="1">
      <c r="A75" t="s">
        <v>2126</v>
      </c>
      <c r="B75" s="2">
        <v>160.0</v>
      </c>
      <c r="C75">
        <v>1.0</v>
      </c>
    </row>
    <row r="76" hidden="1">
      <c r="A76" t="s">
        <v>971</v>
      </c>
      <c r="B76" s="2">
        <v>161.5</v>
      </c>
      <c r="C76">
        <v>2.0</v>
      </c>
    </row>
    <row r="77" hidden="1">
      <c r="A77" t="s">
        <v>2460</v>
      </c>
      <c r="B77" s="2">
        <v>162.0</v>
      </c>
      <c r="C77">
        <v>1.0</v>
      </c>
    </row>
    <row r="78" hidden="1">
      <c r="A78" t="s">
        <v>2121</v>
      </c>
      <c r="B78" s="2">
        <v>163.0</v>
      </c>
      <c r="C78">
        <v>1.0</v>
      </c>
    </row>
    <row r="79" hidden="1">
      <c r="A79" t="s">
        <v>2059</v>
      </c>
      <c r="B79" s="2">
        <v>165.0</v>
      </c>
      <c r="C79">
        <v>1.0</v>
      </c>
    </row>
    <row r="80" hidden="1">
      <c r="A80" t="s">
        <v>903</v>
      </c>
      <c r="B80" s="2">
        <v>165.33333333333334</v>
      </c>
      <c r="C80">
        <v>3.0</v>
      </c>
    </row>
    <row r="81" hidden="1">
      <c r="A81" t="s">
        <v>2377</v>
      </c>
      <c r="B81" s="2">
        <v>166.0</v>
      </c>
      <c r="C81">
        <v>1.0</v>
      </c>
    </row>
    <row r="82" hidden="1">
      <c r="A82" t="s">
        <v>1992</v>
      </c>
      <c r="B82" s="2">
        <v>168.0</v>
      </c>
      <c r="C82">
        <v>2.0</v>
      </c>
    </row>
    <row r="83" hidden="1">
      <c r="A83" t="s">
        <v>529</v>
      </c>
      <c r="B83" s="2">
        <v>168.0</v>
      </c>
      <c r="C83">
        <v>1.0</v>
      </c>
    </row>
    <row r="84" hidden="1">
      <c r="A84" t="s">
        <v>2623</v>
      </c>
      <c r="B84" s="2">
        <v>168.0</v>
      </c>
      <c r="C84">
        <v>1.0</v>
      </c>
    </row>
    <row r="85" hidden="1">
      <c r="A85" t="s">
        <v>1278</v>
      </c>
      <c r="B85" s="2">
        <v>169.0</v>
      </c>
      <c r="C85">
        <v>1.0</v>
      </c>
    </row>
    <row r="86" hidden="1">
      <c r="A86" t="s">
        <v>1544</v>
      </c>
      <c r="B86" s="2">
        <v>169.6</v>
      </c>
      <c r="C86">
        <v>5.0</v>
      </c>
    </row>
    <row r="87" hidden="1">
      <c r="A87" t="s">
        <v>2030</v>
      </c>
      <c r="B87" s="2">
        <v>170.0</v>
      </c>
      <c r="C87">
        <v>1.0</v>
      </c>
    </row>
    <row r="88" hidden="1">
      <c r="A88" t="s">
        <v>1214</v>
      </c>
      <c r="B88" s="2">
        <v>170.0</v>
      </c>
      <c r="C88">
        <v>1.0</v>
      </c>
    </row>
    <row r="89" hidden="1">
      <c r="A89" t="s">
        <v>1672</v>
      </c>
      <c r="B89" s="2">
        <v>170.0</v>
      </c>
      <c r="C89">
        <v>1.0</v>
      </c>
    </row>
    <row r="90" hidden="1">
      <c r="A90" t="s">
        <v>1043</v>
      </c>
      <c r="B90" s="2">
        <v>171.0</v>
      </c>
      <c r="C90">
        <v>1.0</v>
      </c>
    </row>
    <row r="91" hidden="1">
      <c r="A91" t="s">
        <v>1311</v>
      </c>
      <c r="B91" s="2">
        <v>171.33333333333334</v>
      </c>
      <c r="C91">
        <v>3.0</v>
      </c>
    </row>
    <row r="92" hidden="1">
      <c r="A92" t="s">
        <v>2322</v>
      </c>
      <c r="B92" s="2">
        <v>174.0</v>
      </c>
      <c r="C92">
        <v>1.0</v>
      </c>
    </row>
    <row r="93" hidden="1">
      <c r="A93" t="s">
        <v>2139</v>
      </c>
      <c r="B93" s="2">
        <v>175.5</v>
      </c>
      <c r="C93">
        <v>2.0</v>
      </c>
    </row>
    <row r="94" hidden="1">
      <c r="A94" t="s">
        <v>1721</v>
      </c>
      <c r="B94" s="2">
        <v>176.0</v>
      </c>
      <c r="C94">
        <v>1.0</v>
      </c>
    </row>
    <row r="95" hidden="1">
      <c r="A95" t="s">
        <v>1933</v>
      </c>
      <c r="B95" s="2">
        <v>176.0</v>
      </c>
      <c r="C95">
        <v>1.0</v>
      </c>
    </row>
    <row r="96" hidden="1">
      <c r="A96" t="s">
        <v>1733</v>
      </c>
      <c r="B96" s="2">
        <v>179.0</v>
      </c>
      <c r="C96">
        <v>1.0</v>
      </c>
    </row>
    <row r="97" hidden="1">
      <c r="A97" t="s">
        <v>1813</v>
      </c>
      <c r="B97" s="2">
        <v>180.0</v>
      </c>
      <c r="C97">
        <v>1.0</v>
      </c>
    </row>
    <row r="98" hidden="1">
      <c r="A98" t="s">
        <v>2608</v>
      </c>
      <c r="B98" s="2">
        <v>185.0</v>
      </c>
      <c r="C98">
        <v>1.0</v>
      </c>
    </row>
    <row r="99" hidden="1">
      <c r="A99" t="s">
        <v>1348</v>
      </c>
      <c r="B99" s="2">
        <v>186.0</v>
      </c>
      <c r="C99">
        <v>1.0</v>
      </c>
    </row>
    <row r="100" hidden="1">
      <c r="A100" t="s">
        <v>1066</v>
      </c>
      <c r="B100" s="2">
        <v>186.5</v>
      </c>
      <c r="C100">
        <v>8.0</v>
      </c>
    </row>
    <row r="101" hidden="1">
      <c r="A101" t="s">
        <v>372</v>
      </c>
      <c r="B101" s="2">
        <v>188.0</v>
      </c>
      <c r="C101">
        <v>1.0</v>
      </c>
    </row>
    <row r="102" hidden="1">
      <c r="A102" t="s">
        <v>2001</v>
      </c>
      <c r="B102" s="2">
        <v>190.0</v>
      </c>
      <c r="C102">
        <v>1.0</v>
      </c>
    </row>
    <row r="103" hidden="1">
      <c r="A103" t="s">
        <v>1979</v>
      </c>
      <c r="B103" s="2">
        <v>190.0</v>
      </c>
      <c r="C103">
        <v>2.0</v>
      </c>
    </row>
    <row r="104" hidden="1">
      <c r="A104" t="s">
        <v>1798</v>
      </c>
      <c r="B104" s="2">
        <v>194.0</v>
      </c>
      <c r="C104">
        <v>1.0</v>
      </c>
    </row>
    <row r="105" hidden="1">
      <c r="A105" t="s">
        <v>1738</v>
      </c>
      <c r="B105" s="2">
        <v>194.0</v>
      </c>
      <c r="C105">
        <v>1.0</v>
      </c>
    </row>
    <row r="106" hidden="1">
      <c r="A106" t="s">
        <v>1225</v>
      </c>
      <c r="B106" s="2">
        <v>195.22033898305085</v>
      </c>
      <c r="C106">
        <v>59.0</v>
      </c>
    </row>
    <row r="107" hidden="1">
      <c r="A107" t="s">
        <v>1584</v>
      </c>
      <c r="B107" s="2">
        <v>200.0</v>
      </c>
      <c r="C107">
        <v>1.0</v>
      </c>
    </row>
    <row r="108" hidden="1">
      <c r="A108" t="s">
        <v>1556</v>
      </c>
      <c r="B108" s="2">
        <v>200.0</v>
      </c>
      <c r="C108">
        <v>1.0</v>
      </c>
    </row>
    <row r="109" hidden="1">
      <c r="A109" t="s">
        <v>1350</v>
      </c>
      <c r="B109" s="2">
        <v>202.0</v>
      </c>
      <c r="C109">
        <v>2.0</v>
      </c>
    </row>
    <row r="110" hidden="1">
      <c r="A110" t="s">
        <v>2038</v>
      </c>
      <c r="B110" s="2">
        <v>205.0</v>
      </c>
      <c r="C110">
        <v>1.0</v>
      </c>
    </row>
    <row r="111" hidden="1">
      <c r="A111" t="s">
        <v>708</v>
      </c>
      <c r="B111" s="2">
        <v>205.0</v>
      </c>
      <c r="C111">
        <v>1.0</v>
      </c>
    </row>
    <row r="112" hidden="1">
      <c r="A112" t="s">
        <v>1027</v>
      </c>
      <c r="B112" s="2">
        <v>205.0</v>
      </c>
      <c r="C112">
        <v>2.0</v>
      </c>
    </row>
    <row r="113" hidden="1">
      <c r="A113" t="s">
        <v>757</v>
      </c>
      <c r="B113" s="2">
        <v>208.0</v>
      </c>
      <c r="C113">
        <v>1.0</v>
      </c>
    </row>
    <row r="114" hidden="1">
      <c r="A114" t="s">
        <v>2376</v>
      </c>
      <c r="B114" s="2">
        <v>210.0</v>
      </c>
      <c r="C114">
        <v>1.0</v>
      </c>
    </row>
    <row r="115" hidden="1">
      <c r="A115" t="s">
        <v>2162</v>
      </c>
      <c r="B115" s="2">
        <v>210.0</v>
      </c>
      <c r="C115">
        <v>1.0</v>
      </c>
    </row>
    <row r="116" hidden="1">
      <c r="A116" t="s">
        <v>2088</v>
      </c>
      <c r="B116" s="2">
        <v>212.5</v>
      </c>
      <c r="C116">
        <v>2.0</v>
      </c>
    </row>
    <row r="117" hidden="1">
      <c r="A117" t="s">
        <v>2547</v>
      </c>
      <c r="B117" s="2">
        <v>213.0</v>
      </c>
      <c r="C117">
        <v>1.0</v>
      </c>
    </row>
    <row r="118" hidden="1">
      <c r="A118" t="s">
        <v>2432</v>
      </c>
      <c r="B118" s="2">
        <v>215.0</v>
      </c>
      <c r="C118">
        <v>2.0</v>
      </c>
    </row>
    <row r="119" hidden="1">
      <c r="A119" t="s">
        <v>2350</v>
      </c>
      <c r="B119" s="2">
        <v>215.0</v>
      </c>
      <c r="C119">
        <v>1.0</v>
      </c>
    </row>
    <row r="120" hidden="1">
      <c r="A120" t="s">
        <v>1797</v>
      </c>
      <c r="B120" s="2">
        <v>216.0</v>
      </c>
      <c r="C120">
        <v>1.0</v>
      </c>
    </row>
    <row r="121" hidden="1">
      <c r="A121" t="s">
        <v>2049</v>
      </c>
      <c r="B121" s="2">
        <v>220.0</v>
      </c>
      <c r="C121">
        <v>1.0</v>
      </c>
    </row>
    <row r="122" hidden="1">
      <c r="A122" t="s">
        <v>2392</v>
      </c>
      <c r="B122" s="2">
        <v>220.0</v>
      </c>
      <c r="C122">
        <v>1.0</v>
      </c>
    </row>
    <row r="123" hidden="1">
      <c r="A123" t="s">
        <v>2522</v>
      </c>
      <c r="B123" s="2">
        <v>220.0</v>
      </c>
      <c r="C123">
        <v>1.0</v>
      </c>
    </row>
    <row r="124" hidden="1">
      <c r="A124" t="s">
        <v>1969</v>
      </c>
      <c r="B124" s="2">
        <v>225.0</v>
      </c>
      <c r="C124">
        <v>1.0</v>
      </c>
    </row>
    <row r="125" hidden="1">
      <c r="A125" t="s">
        <v>1914</v>
      </c>
      <c r="B125" s="2">
        <v>225.0</v>
      </c>
      <c r="C125">
        <v>2.0</v>
      </c>
    </row>
    <row r="126" hidden="1">
      <c r="A126" t="s">
        <v>713</v>
      </c>
      <c r="B126" s="2">
        <v>226.29032258064515</v>
      </c>
      <c r="C126">
        <v>62.0</v>
      </c>
    </row>
    <row r="127" hidden="1">
      <c r="A127" t="s">
        <v>1267</v>
      </c>
      <c r="B127" s="2">
        <v>228.0</v>
      </c>
      <c r="C127">
        <v>1.0</v>
      </c>
    </row>
    <row r="128" hidden="1">
      <c r="A128" t="s">
        <v>1789</v>
      </c>
      <c r="B128" s="2">
        <v>228.0</v>
      </c>
      <c r="C128">
        <v>1.0</v>
      </c>
    </row>
    <row r="129" hidden="1">
      <c r="A129" t="s">
        <v>2258</v>
      </c>
      <c r="B129" s="2">
        <v>230.0</v>
      </c>
      <c r="C129">
        <v>2.0</v>
      </c>
    </row>
    <row r="130" hidden="1">
      <c r="A130" t="s">
        <v>2032</v>
      </c>
      <c r="B130" s="2">
        <v>230.0</v>
      </c>
      <c r="C130">
        <v>1.0</v>
      </c>
    </row>
    <row r="131" hidden="1">
      <c r="A131" t="s">
        <v>711</v>
      </c>
      <c r="B131" s="2">
        <v>231.48818897637796</v>
      </c>
      <c r="C131">
        <v>127.0</v>
      </c>
    </row>
    <row r="132" hidden="1">
      <c r="A132" t="s">
        <v>1332</v>
      </c>
      <c r="B132" s="2">
        <v>233.0</v>
      </c>
      <c r="C132">
        <v>1.0</v>
      </c>
    </row>
    <row r="133" hidden="1">
      <c r="A133" t="s">
        <v>31</v>
      </c>
      <c r="B133" s="2">
        <v>233.26676286579215</v>
      </c>
      <c r="C133">
        <v>2973.0</v>
      </c>
    </row>
    <row r="134" hidden="1">
      <c r="A134" t="s">
        <v>147</v>
      </c>
      <c r="B134" s="2">
        <v>234.5625</v>
      </c>
      <c r="C134">
        <v>8.0</v>
      </c>
    </row>
    <row r="135" hidden="1">
      <c r="A135" t="s">
        <v>2556</v>
      </c>
      <c r="B135" s="2">
        <v>235.0</v>
      </c>
      <c r="C135">
        <v>1.0</v>
      </c>
    </row>
    <row r="136" hidden="1">
      <c r="A136" t="s">
        <v>2096</v>
      </c>
      <c r="B136" s="2">
        <v>235.0</v>
      </c>
      <c r="C136">
        <v>1.0</v>
      </c>
    </row>
    <row r="137" hidden="1">
      <c r="A137" t="s">
        <v>1924</v>
      </c>
      <c r="B137" s="2">
        <v>240.0</v>
      </c>
      <c r="C137">
        <v>1.0</v>
      </c>
    </row>
    <row r="138" hidden="1">
      <c r="A138" t="s">
        <v>2394</v>
      </c>
      <c r="B138" s="2">
        <v>240.0</v>
      </c>
      <c r="C138">
        <v>1.0</v>
      </c>
    </row>
    <row r="139" hidden="1">
      <c r="A139" t="s">
        <v>2524</v>
      </c>
      <c r="B139" s="2">
        <v>240.0</v>
      </c>
      <c r="C139">
        <v>1.0</v>
      </c>
    </row>
    <row r="140" hidden="1">
      <c r="A140" t="s">
        <v>1780</v>
      </c>
      <c r="B140" s="2">
        <v>241.0</v>
      </c>
      <c r="C140">
        <v>1.0</v>
      </c>
    </row>
    <row r="141" hidden="1">
      <c r="A141" t="s">
        <v>2406</v>
      </c>
      <c r="B141" s="2">
        <v>245.0</v>
      </c>
      <c r="C141">
        <v>1.0</v>
      </c>
    </row>
    <row r="142" hidden="1">
      <c r="A142" t="s">
        <v>1084</v>
      </c>
      <c r="B142" s="2">
        <v>245.0</v>
      </c>
      <c r="C142">
        <v>2.0</v>
      </c>
    </row>
    <row r="143" hidden="1">
      <c r="A143" t="s">
        <v>1253</v>
      </c>
      <c r="B143" s="2">
        <v>248.5</v>
      </c>
      <c r="C143">
        <v>2.0</v>
      </c>
    </row>
    <row r="144" hidden="1">
      <c r="A144" t="s">
        <v>1616</v>
      </c>
      <c r="B144" s="2">
        <v>250.0</v>
      </c>
      <c r="C144">
        <v>1.0</v>
      </c>
    </row>
    <row r="145" hidden="1">
      <c r="A145" t="s">
        <v>1802</v>
      </c>
      <c r="B145" s="2">
        <v>250.0</v>
      </c>
      <c r="C145">
        <v>1.0</v>
      </c>
    </row>
    <row r="146" hidden="1">
      <c r="A146" t="s">
        <v>2612</v>
      </c>
      <c r="B146" s="2">
        <v>250.0</v>
      </c>
      <c r="C146">
        <v>1.0</v>
      </c>
    </row>
    <row r="147" hidden="1">
      <c r="A147" t="s">
        <v>2077</v>
      </c>
      <c r="B147" s="2">
        <v>250.0</v>
      </c>
      <c r="C147">
        <v>1.0</v>
      </c>
    </row>
    <row r="148" hidden="1">
      <c r="A148" t="s">
        <v>1927</v>
      </c>
      <c r="B148" s="2">
        <v>251.0</v>
      </c>
      <c r="C148">
        <v>1.0</v>
      </c>
    </row>
    <row r="149" hidden="1">
      <c r="A149" t="s">
        <v>1234</v>
      </c>
      <c r="B149" s="2">
        <v>252.4</v>
      </c>
      <c r="C149">
        <v>5.0</v>
      </c>
    </row>
    <row r="150" hidden="1">
      <c r="A150" t="s">
        <v>2458</v>
      </c>
      <c r="B150" s="2">
        <v>253.0</v>
      </c>
      <c r="C150">
        <v>1.0</v>
      </c>
    </row>
    <row r="151" hidden="1">
      <c r="A151" t="s">
        <v>299</v>
      </c>
      <c r="B151" s="2">
        <v>261.5</v>
      </c>
      <c r="C151">
        <v>2.0</v>
      </c>
    </row>
    <row r="152" hidden="1">
      <c r="A152" t="s">
        <v>1848</v>
      </c>
      <c r="B152" s="2">
        <v>271.5</v>
      </c>
      <c r="C152">
        <v>2.0</v>
      </c>
    </row>
    <row r="153" hidden="1">
      <c r="A153" t="s">
        <v>1761</v>
      </c>
      <c r="B153" s="2">
        <v>273.0</v>
      </c>
      <c r="C153">
        <v>1.0</v>
      </c>
    </row>
    <row r="154" hidden="1">
      <c r="A154" t="s">
        <v>27</v>
      </c>
      <c r="B154" s="2">
        <v>274.8568376068376</v>
      </c>
      <c r="C154">
        <v>468.0</v>
      </c>
    </row>
    <row r="155" hidden="1">
      <c r="A155" t="s">
        <v>2510</v>
      </c>
      <c r="B155" s="2">
        <v>275.0</v>
      </c>
      <c r="C155">
        <v>1.0</v>
      </c>
    </row>
    <row r="156" hidden="1">
      <c r="A156" t="s">
        <v>1142</v>
      </c>
      <c r="B156" s="2">
        <v>279.77777777777777</v>
      </c>
      <c r="C156">
        <v>9.0</v>
      </c>
    </row>
    <row r="157" hidden="1">
      <c r="A157" t="s">
        <v>1249</v>
      </c>
      <c r="B157" s="2">
        <v>280.0</v>
      </c>
      <c r="C157">
        <v>2.0</v>
      </c>
    </row>
    <row r="158" hidden="1">
      <c r="A158" t="s">
        <v>1949</v>
      </c>
      <c r="B158" s="2">
        <v>290.0</v>
      </c>
      <c r="C158">
        <v>1.0</v>
      </c>
    </row>
    <row r="159" hidden="1">
      <c r="A159" t="s">
        <v>2653</v>
      </c>
      <c r="B159" s="2">
        <v>299.0</v>
      </c>
      <c r="C159">
        <v>1.0</v>
      </c>
    </row>
    <row r="160" hidden="1">
      <c r="A160" t="s">
        <v>2034</v>
      </c>
      <c r="B160" s="2">
        <v>300.0</v>
      </c>
      <c r="C160">
        <v>1.0</v>
      </c>
    </row>
    <row r="161" hidden="1">
      <c r="A161" t="s">
        <v>2546</v>
      </c>
      <c r="B161" s="2">
        <v>300.0</v>
      </c>
      <c r="C161">
        <v>1.0</v>
      </c>
    </row>
    <row r="162" hidden="1">
      <c r="A162" t="s">
        <v>1647</v>
      </c>
      <c r="B162" s="2">
        <v>300.0</v>
      </c>
      <c r="C162">
        <v>2.0</v>
      </c>
    </row>
    <row r="163" hidden="1">
      <c r="A163" t="s">
        <v>1174</v>
      </c>
      <c r="B163" s="2">
        <v>300.0</v>
      </c>
      <c r="C163">
        <v>4.0</v>
      </c>
    </row>
    <row r="164" hidden="1">
      <c r="A164" t="s">
        <v>1830</v>
      </c>
      <c r="B164" s="2">
        <v>300.0</v>
      </c>
      <c r="C164">
        <v>1.0</v>
      </c>
    </row>
    <row r="165" hidden="1">
      <c r="A165" t="s">
        <v>1837</v>
      </c>
      <c r="B165" s="2">
        <v>309.0</v>
      </c>
      <c r="C165">
        <v>1.0</v>
      </c>
    </row>
    <row r="166">
      <c r="A166" t="s">
        <v>96</v>
      </c>
      <c r="B166" s="2">
        <v>309.0</v>
      </c>
      <c r="C166">
        <v>2.0</v>
      </c>
    </row>
    <row r="167">
      <c r="A167" t="s">
        <v>1218</v>
      </c>
      <c r="B167" s="2">
        <v>316.75</v>
      </c>
      <c r="C167">
        <v>8.0</v>
      </c>
    </row>
    <row r="168">
      <c r="A168" t="s">
        <v>1264</v>
      </c>
      <c r="B168" s="2">
        <v>320.0</v>
      </c>
      <c r="C168">
        <v>1.0</v>
      </c>
    </row>
    <row r="169">
      <c r="A169" t="s">
        <v>716</v>
      </c>
      <c r="B169" s="2">
        <v>320.0</v>
      </c>
      <c r="C169">
        <v>2.0</v>
      </c>
    </row>
    <row r="170">
      <c r="A170" t="s">
        <v>1210</v>
      </c>
      <c r="B170" s="2">
        <v>320.0</v>
      </c>
      <c r="C170">
        <v>1.0</v>
      </c>
    </row>
    <row r="171">
      <c r="A171" t="s">
        <v>1245</v>
      </c>
      <c r="B171" s="2">
        <v>322.5</v>
      </c>
      <c r="C171">
        <v>2.0</v>
      </c>
    </row>
    <row r="172">
      <c r="A172" t="s">
        <v>1287</v>
      </c>
      <c r="B172" s="2">
        <v>328.0</v>
      </c>
      <c r="C172">
        <v>1.0</v>
      </c>
    </row>
    <row r="173">
      <c r="A173" t="s">
        <v>1832</v>
      </c>
      <c r="B173" s="2">
        <v>335.0</v>
      </c>
      <c r="C173">
        <v>2.0</v>
      </c>
    </row>
    <row r="174">
      <c r="A174" t="s">
        <v>1539</v>
      </c>
      <c r="B174" s="2">
        <v>340.0</v>
      </c>
      <c r="C174">
        <v>1.0</v>
      </c>
    </row>
    <row r="175">
      <c r="A175" t="s">
        <v>1974</v>
      </c>
      <c r="B175" s="2">
        <v>350.0</v>
      </c>
      <c r="C175">
        <v>1.0</v>
      </c>
    </row>
    <row r="176">
      <c r="A176" t="s">
        <v>2625</v>
      </c>
      <c r="B176" s="2">
        <v>350.0</v>
      </c>
      <c r="C176">
        <v>1.0</v>
      </c>
    </row>
    <row r="177">
      <c r="A177" t="s">
        <v>1973</v>
      </c>
      <c r="B177" s="2">
        <v>355.0</v>
      </c>
      <c r="C177">
        <v>1.0</v>
      </c>
    </row>
    <row r="178">
      <c r="A178" t="s">
        <v>41</v>
      </c>
      <c r="B178" s="2">
        <v>361.09797297297297</v>
      </c>
      <c r="C178">
        <v>296.0</v>
      </c>
    </row>
    <row r="179">
      <c r="A179" t="s">
        <v>1869</v>
      </c>
      <c r="B179" s="2">
        <v>362.0</v>
      </c>
      <c r="C179">
        <v>1.0</v>
      </c>
    </row>
    <row r="180">
      <c r="A180" t="s">
        <v>2239</v>
      </c>
      <c r="B180" s="2">
        <v>365.0</v>
      </c>
      <c r="C180">
        <v>1.0</v>
      </c>
    </row>
    <row r="181">
      <c r="A181" t="s">
        <v>1368</v>
      </c>
      <c r="B181" s="2">
        <v>366.25</v>
      </c>
      <c r="C181">
        <v>4.0</v>
      </c>
    </row>
    <row r="182">
      <c r="A182" t="s">
        <v>2396</v>
      </c>
      <c r="B182" s="2">
        <v>379.0</v>
      </c>
      <c r="C182">
        <v>1.0</v>
      </c>
    </row>
    <row r="183">
      <c r="A183" t="s">
        <v>842</v>
      </c>
      <c r="B183" s="2">
        <v>380.0</v>
      </c>
      <c r="C183">
        <v>1.0</v>
      </c>
    </row>
    <row r="184">
      <c r="A184" t="s">
        <v>1824</v>
      </c>
      <c r="B184" s="2">
        <v>380.0</v>
      </c>
      <c r="C184">
        <v>1.0</v>
      </c>
    </row>
    <row r="185">
      <c r="A185" t="s">
        <v>1989</v>
      </c>
      <c r="B185" s="2">
        <v>385.0</v>
      </c>
      <c r="C185">
        <v>1.0</v>
      </c>
    </row>
    <row r="186">
      <c r="A186" t="s">
        <v>1846</v>
      </c>
      <c r="B186" s="2">
        <v>392.6666666666667</v>
      </c>
      <c r="C186">
        <v>3.0</v>
      </c>
    </row>
    <row r="187">
      <c r="A187" t="s">
        <v>1872</v>
      </c>
      <c r="B187" s="2">
        <v>412.5</v>
      </c>
      <c r="C187">
        <v>2.0</v>
      </c>
    </row>
    <row r="188">
      <c r="A188" t="s">
        <v>318</v>
      </c>
      <c r="B188" s="2">
        <v>413.0</v>
      </c>
      <c r="C188">
        <v>3.0</v>
      </c>
    </row>
    <row r="189">
      <c r="A189" t="s">
        <v>995</v>
      </c>
      <c r="B189" s="2">
        <v>427.0</v>
      </c>
      <c r="C189">
        <v>1.0</v>
      </c>
    </row>
    <row r="190">
      <c r="A190" t="s">
        <v>1498</v>
      </c>
      <c r="B190" s="2">
        <v>430.0</v>
      </c>
      <c r="C190">
        <v>1.0</v>
      </c>
    </row>
    <row r="191">
      <c r="A191" t="s">
        <v>2037</v>
      </c>
      <c r="B191" s="2">
        <v>430.0</v>
      </c>
      <c r="C191">
        <v>1.0</v>
      </c>
    </row>
    <row r="192">
      <c r="A192" t="s">
        <v>2375</v>
      </c>
      <c r="B192" s="2">
        <v>447.0</v>
      </c>
      <c r="C192">
        <v>1.0</v>
      </c>
    </row>
    <row r="193">
      <c r="A193" t="s">
        <v>1907</v>
      </c>
      <c r="B193" s="2">
        <v>470.0</v>
      </c>
      <c r="C193">
        <v>1.0</v>
      </c>
    </row>
    <row r="194">
      <c r="A194" t="s">
        <v>2428</v>
      </c>
      <c r="B194" s="2">
        <v>510.0</v>
      </c>
      <c r="C194">
        <v>1.0</v>
      </c>
    </row>
    <row r="195">
      <c r="A195" t="s">
        <v>1578</v>
      </c>
      <c r="B195" s="2">
        <v>550.0</v>
      </c>
      <c r="C195">
        <v>1.0</v>
      </c>
    </row>
    <row r="196">
      <c r="A196" t="s">
        <v>1653</v>
      </c>
      <c r="B196" s="2">
        <v>660.0</v>
      </c>
      <c r="C196">
        <v>1.0</v>
      </c>
    </row>
    <row r="197">
      <c r="A197" t="s">
        <v>2495</v>
      </c>
      <c r="B197" s="2">
        <v>716.0</v>
      </c>
      <c r="C197">
        <v>1.0</v>
      </c>
    </row>
    <row r="198">
      <c r="A198" t="s">
        <v>496</v>
      </c>
      <c r="B198" s="2">
        <v>717.0</v>
      </c>
      <c r="C198">
        <v>1.0</v>
      </c>
    </row>
    <row r="199">
      <c r="A199" t="s">
        <v>2063</v>
      </c>
      <c r="B199" s="2">
        <v>800.0</v>
      </c>
      <c r="C199">
        <v>1.0</v>
      </c>
    </row>
    <row r="200">
      <c r="A200" t="s">
        <v>2312</v>
      </c>
      <c r="B200" s="2">
        <v>800.0</v>
      </c>
      <c r="C200">
        <v>1.0</v>
      </c>
    </row>
    <row r="201">
      <c r="A201" t="s">
        <v>2314</v>
      </c>
      <c r="B201" s="2">
        <v>932.0</v>
      </c>
      <c r="C201">
        <v>1.0</v>
      </c>
    </row>
    <row r="202">
      <c r="A202" t="s">
        <v>2501</v>
      </c>
      <c r="B202" s="2">
        <v>975.0</v>
      </c>
      <c r="C202">
        <v>1.0</v>
      </c>
    </row>
    <row r="203">
      <c r="B203" s="2" t="e">
        <v>#DIV/0!</v>
      </c>
      <c r="C203">
        <v>0.0</v>
      </c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autoFilter ref="$A$2:$C$165">
    <filterColumn colId="0">
      <filters>
        <filter val="Investment Banker"/>
        <filter val="PR"/>
        <filter val="Support Engineering Manager"/>
        <filter val="Hardware Network Engineer"/>
        <filter val="Operations Manager"/>
        <filter val="Lead Data Engineer"/>
        <filter val="Product Marketing"/>
        <filter val="Developer"/>
        <filter val="Product"/>
        <filter val="Staff Engineer"/>
        <filter val="Security"/>
        <filter val="Senior Scientific Researcher"/>
        <filter val="Marketing Director"/>
        <filter val="QA"/>
        <filter val="Data Analytics Engineer"/>
        <filter val="Sr DevOps Engineer"/>
        <filter val="Tech Lead"/>
        <filter val="Data Scientist"/>
        <filter val="Project Manager"/>
        <filter val="Product Marketing Manager"/>
        <filter val="Asic Hardware"/>
        <filter val="Strategy Consultant"/>
        <filter val="Telecom Project Manager"/>
        <filter val="Sourcer"/>
        <filter val="Compliance Specialist "/>
        <filter val="Network Development Engineer"/>
        <filter val="Principal Network"/>
        <filter val="QA Analyst"/>
        <filter val="Geospatial Analyst"/>
        <filter val="Software enginner"/>
        <filter val="director"/>
        <filter val="Solution Engineer"/>
        <filter val="Senior Consultant"/>
        <filter val="Application Architect"/>
        <filter val="Principal PM Manager"/>
        <filter val="Systems Analyst"/>
        <filter val="Data engineering manager"/>
        <filter val="Reliability Engineer"/>
        <filter val="Employee"/>
        <filter val="Analog Design Engineer"/>
        <filter val="Test engineer"/>
        <filter val="Sr PMM"/>
        <filter val="HW engineer"/>
        <filter val="Business control manager "/>
        <filter val="Systems Design Engineer"/>
        <filter val="Principal Engineer"/>
        <filter val="Finance Manager"/>
        <filter val="Business Analyst"/>
        <filter val="Program Manager"/>
        <filter val="Senior product manager "/>
        <filter val="Manufacturing Engineering"/>
        <filter val="Software Engineer, Tools and Infrastructure"/>
        <filter val="Associate Product Manager"/>
        <filter val="Senior UX Engineer"/>
        <filter val="Product Design Engineer"/>
        <filter val="product engineer"/>
        <filter val="Data Engineer"/>
        <filter val="Technical Program Manager"/>
        <filter val="Financial Analyst"/>
        <filter val="ASIC Design"/>
        <filter val="Site Operations"/>
        <filter val="Site Reliability Engineer"/>
        <filter val="Cloud support engineer"/>
        <filter val="Senior Linux Engineer"/>
        <filter val="Sourcing manager "/>
        <filter val="Firmware Engineer"/>
        <filter val="Design Engineer"/>
        <filter val="Premier Field Engineer"/>
        <filter val="QA Engineer"/>
        <filter val="Systems Administrator"/>
        <filter val="Technical Leader"/>
        <filter val="Systems Engineer"/>
        <filter val="UX Engineer"/>
        <filter val="Business Intelligence Engineer"/>
        <filter val="Senior Vendor Manager"/>
        <filter val="Principle applications engineer"/>
        <filter val="UI / UX Designer"/>
        <filter val="Planner"/>
        <filter val="Lead Software Engineer"/>
        <filter val="Inventory Planner"/>
        <filter val="DBA"/>
        <filter val="Associate Consultant I"/>
        <filter val="CloudOps Engineer"/>
        <filter val="Network Engineer"/>
        <filter val="GPM"/>
        <filter val="TAS"/>
        <filter val="Senior Managet"/>
        <filter val="Manager"/>
        <filter val="Service Engineer"/>
        <filter val="Senior Software Test Engineer"/>
        <filter val="Senior business analyst ii"/>
        <filter val="Principal Architect"/>
        <filter val="Electrical Engineer"/>
        <filter val="People Ops"/>
        <filter val="Field Engineer"/>
        <filter val="Process Engineer"/>
        <filter val="Content Strategist"/>
        <filter val="Management Consultant"/>
        <filter val="Biomedical Engineer"/>
        <filter val="Battery Algorithm Engineer"/>
        <filter val="Member of Technical Staff 2 Quality"/>
        <filter val="Equity Research Associate"/>
        <filter val="Product Manager"/>
        <filter val="Telecom Engineer"/>
        <filter val="Change Management Consultant"/>
        <filter val="Component Design Engineer"/>
        <filter val="Software Design Engineer in Test (SDET)"/>
        <filter val="Senior Researcher"/>
        <filter val="mts"/>
        <filter val="Solution Architect"/>
        <filter val="Systems"/>
        <filter val="Economist"/>
        <filter val="DevOps"/>
        <filter val="Integration Engineer"/>
        <filter val="Principal Applied Researcher"/>
        <filter val="marketing manager"/>
        <filter val="Infrastructure Engineer"/>
        <filter val="Senior SDET"/>
        <filter val="Vice President"/>
        <filter val="Security Principal engineer"/>
        <filter val="Lead System Architect"/>
        <filter val="RF Hardware Engineer"/>
        <filter val="Silicon Architecture Engineer"/>
        <filter val="Hardware Eng"/>
        <filter val="Recruiter"/>
        <filter val="Solutions Engineer"/>
        <filter val="Staff systems test"/>
        <filter val="Analyst/Developer"/>
        <filter val="Senior Program Manager "/>
        <filter val="Computer Scientist "/>
        <filter val="SRE"/>
        <filter val="Hardware Engineer "/>
        <filter val="Product Designer"/>
        <filter val="HR Manager"/>
        <filter val="Marketing"/>
        <filter val="Research Staff Member"/>
        <filter val="Designer"/>
        <filter val="Senior Product Analyst"/>
        <filter val="Director of customer success"/>
        <filter val="Sr Operations Manager"/>
        <filter val="Production Owner"/>
        <filter val="System Validation Engineer"/>
        <filter val="Senior electrical engineer"/>
        <filter val="CSG"/>
        <filter val="Technical Recruiter "/>
        <filter val="Software Support Engineer"/>
        <filter val="Csm"/>
        <filter val="IT Engineer"/>
        <filter val="Applied Scientist"/>
        <filter val="Senior Software Developer"/>
        <filter val="Partner dev manager "/>
        <filter val="Computer Vision Scientist"/>
        <filter val="Sales Operations"/>
        <filter val="Sr Program Manager"/>
        <filter val="SRE Lead"/>
        <filter val="Recruiting Manager"/>
        <filter val="Director Engineering"/>
        <filter val="Software Development Manager"/>
        <filter val="Software Engineer"/>
        <filter val="Senior Mechanical Engineer"/>
        <filter val="Hardware engineer"/>
        <filter val="PM"/>
        <filter val="System Engineer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9.29"/>
    <col customWidth="1" min="2" max="2" width="29.57"/>
    <col customWidth="1" min="3" max="3" width="14.14"/>
  </cols>
  <sheetData>
    <row r="1">
      <c r="A1" s="1" t="s">
        <v>0</v>
      </c>
      <c r="B1" s="2"/>
      <c r="D1" s="1"/>
    </row>
    <row r="2">
      <c r="A2" t="s">
        <v>2656</v>
      </c>
      <c r="B2" s="2" t="s">
        <v>2654</v>
      </c>
      <c r="C2" t="s">
        <v>2655</v>
      </c>
    </row>
    <row r="3">
      <c r="A3" t="s">
        <v>1201</v>
      </c>
      <c r="B3" s="2">
        <v>999.0</v>
      </c>
      <c r="C3">
        <v>1.0</v>
      </c>
    </row>
    <row r="4" hidden="1">
      <c r="A4" t="s">
        <v>1912</v>
      </c>
      <c r="B4" s="2">
        <v>999.0</v>
      </c>
      <c r="C4">
        <v>1.0</v>
      </c>
    </row>
    <row r="5">
      <c r="A5" t="s">
        <v>1604</v>
      </c>
      <c r="B5" s="2">
        <v>745.0</v>
      </c>
      <c r="C5">
        <v>1.0</v>
      </c>
    </row>
    <row r="6">
      <c r="A6" t="s">
        <v>1493</v>
      </c>
      <c r="B6" s="2">
        <v>640.0</v>
      </c>
      <c r="C6">
        <v>1.0</v>
      </c>
    </row>
    <row r="7" hidden="1">
      <c r="A7" t="s">
        <v>2489</v>
      </c>
      <c r="B7" s="2">
        <v>550.0</v>
      </c>
      <c r="C7">
        <v>1.0</v>
      </c>
    </row>
    <row r="8" hidden="1">
      <c r="A8" t="s">
        <v>1712</v>
      </c>
      <c r="B8" s="2">
        <v>548.5</v>
      </c>
      <c r="C8">
        <v>2.0</v>
      </c>
    </row>
    <row r="9">
      <c r="A9" t="s">
        <v>1605</v>
      </c>
      <c r="B9" s="2">
        <v>510.0</v>
      </c>
      <c r="C9">
        <v>1.0</v>
      </c>
    </row>
    <row r="10">
      <c r="A10" t="s">
        <v>2223</v>
      </c>
      <c r="B10" s="2">
        <v>504.0</v>
      </c>
      <c r="C10">
        <v>1.0</v>
      </c>
    </row>
    <row r="11" hidden="1">
      <c r="A11" t="s">
        <v>2006</v>
      </c>
      <c r="B11" s="2">
        <v>488.0</v>
      </c>
      <c r="C11">
        <v>2.0</v>
      </c>
    </row>
    <row r="12" hidden="1">
      <c r="A12" t="s">
        <v>856</v>
      </c>
      <c r="B12" s="2">
        <v>462.0</v>
      </c>
      <c r="C12">
        <v>2.0</v>
      </c>
    </row>
    <row r="13" hidden="1">
      <c r="A13" t="s">
        <v>1747</v>
      </c>
      <c r="B13" s="2">
        <v>425.0</v>
      </c>
      <c r="C13">
        <v>1.0</v>
      </c>
    </row>
    <row r="14">
      <c r="A14" t="s">
        <v>1873</v>
      </c>
      <c r="B14" s="2">
        <v>425.0</v>
      </c>
      <c r="C14">
        <v>1.0</v>
      </c>
    </row>
    <row r="15">
      <c r="A15" t="s">
        <v>1724</v>
      </c>
      <c r="B15" s="2">
        <v>410.0</v>
      </c>
      <c r="C15">
        <v>1.0</v>
      </c>
    </row>
    <row r="16">
      <c r="A16" t="s">
        <v>2025</v>
      </c>
      <c r="B16" s="2">
        <v>410.0</v>
      </c>
      <c r="C16">
        <v>1.0</v>
      </c>
    </row>
    <row r="17" hidden="1">
      <c r="A17" t="s">
        <v>1384</v>
      </c>
      <c r="B17" s="2">
        <v>409.0</v>
      </c>
      <c r="C17">
        <v>1.0</v>
      </c>
    </row>
    <row r="18" hidden="1">
      <c r="A18" t="s">
        <v>1966</v>
      </c>
      <c r="B18" s="2">
        <v>400.0</v>
      </c>
      <c r="C18">
        <v>1.0</v>
      </c>
    </row>
    <row r="19">
      <c r="A19" t="s">
        <v>2445</v>
      </c>
      <c r="B19" s="2">
        <v>400.0</v>
      </c>
      <c r="C19">
        <v>1.0</v>
      </c>
    </row>
    <row r="20" hidden="1">
      <c r="A20" t="s">
        <v>1640</v>
      </c>
      <c r="B20" s="2">
        <v>391.0</v>
      </c>
      <c r="C20">
        <v>1.0</v>
      </c>
    </row>
    <row r="21" hidden="1">
      <c r="A21" t="s">
        <v>2540</v>
      </c>
      <c r="B21" s="2">
        <v>386.0</v>
      </c>
      <c r="C21">
        <v>1.0</v>
      </c>
    </row>
    <row r="22" hidden="1">
      <c r="A22" t="s">
        <v>1057</v>
      </c>
      <c r="B22" s="2">
        <v>385.0</v>
      </c>
      <c r="C22">
        <v>2.0</v>
      </c>
    </row>
    <row r="23" hidden="1">
      <c r="A23" t="s">
        <v>2151</v>
      </c>
      <c r="B23" s="2">
        <v>385.0</v>
      </c>
      <c r="C23">
        <v>1.0</v>
      </c>
    </row>
    <row r="24" hidden="1">
      <c r="A24" t="s">
        <v>1970</v>
      </c>
      <c r="B24" s="2">
        <v>380.0</v>
      </c>
      <c r="C24">
        <v>1.0</v>
      </c>
    </row>
    <row r="25" hidden="1">
      <c r="A25" t="s">
        <v>2397</v>
      </c>
      <c r="B25" s="2">
        <v>379.0</v>
      </c>
      <c r="C25">
        <v>1.0</v>
      </c>
    </row>
    <row r="26" hidden="1">
      <c r="A26" t="s">
        <v>1746</v>
      </c>
      <c r="B26" s="2">
        <v>374.0</v>
      </c>
      <c r="C26">
        <v>1.0</v>
      </c>
    </row>
    <row r="27" hidden="1">
      <c r="A27" t="s">
        <v>1368</v>
      </c>
      <c r="B27" s="2">
        <v>352.25</v>
      </c>
      <c r="C27">
        <v>4.0</v>
      </c>
    </row>
    <row r="28" hidden="1">
      <c r="A28" t="s">
        <v>1770</v>
      </c>
      <c r="B28" s="2">
        <v>350.0</v>
      </c>
      <c r="C28">
        <v>1.0</v>
      </c>
    </row>
    <row r="29" hidden="1">
      <c r="A29" t="s">
        <v>2627</v>
      </c>
      <c r="B29" s="2">
        <v>350.0</v>
      </c>
      <c r="C29">
        <v>1.0</v>
      </c>
    </row>
    <row r="30" hidden="1">
      <c r="A30" t="s">
        <v>1370</v>
      </c>
      <c r="B30" s="2">
        <v>347.5</v>
      </c>
      <c r="C30">
        <v>2.0</v>
      </c>
    </row>
    <row r="31" hidden="1">
      <c r="A31" t="s">
        <v>788</v>
      </c>
      <c r="B31" s="2">
        <v>345.0</v>
      </c>
      <c r="C31">
        <v>2.0</v>
      </c>
    </row>
    <row r="32" hidden="1">
      <c r="A32" t="s">
        <v>2566</v>
      </c>
      <c r="B32" s="2">
        <v>340.0</v>
      </c>
      <c r="C32">
        <v>1.0</v>
      </c>
    </row>
    <row r="33" hidden="1">
      <c r="A33" t="s">
        <v>1547</v>
      </c>
      <c r="B33" s="2">
        <v>331.0</v>
      </c>
      <c r="C33">
        <v>1.0</v>
      </c>
    </row>
    <row r="34" hidden="1">
      <c r="A34" t="s">
        <v>1554</v>
      </c>
      <c r="B34" s="2">
        <v>330.0</v>
      </c>
      <c r="C34">
        <v>2.0</v>
      </c>
    </row>
    <row r="35" hidden="1">
      <c r="A35" t="s">
        <v>1179</v>
      </c>
      <c r="B35" s="2">
        <v>330.0</v>
      </c>
      <c r="C35">
        <v>1.0</v>
      </c>
    </row>
    <row r="36" hidden="1">
      <c r="A36" t="s">
        <v>995</v>
      </c>
      <c r="B36" s="2">
        <v>329.5</v>
      </c>
      <c r="C36">
        <v>2.0</v>
      </c>
    </row>
    <row r="37" hidden="1">
      <c r="A37" t="s">
        <v>1391</v>
      </c>
      <c r="B37" s="2">
        <v>328.0</v>
      </c>
      <c r="C37">
        <v>1.0</v>
      </c>
    </row>
    <row r="38" hidden="1">
      <c r="A38" t="s">
        <v>2610</v>
      </c>
      <c r="B38" s="2">
        <v>325.0</v>
      </c>
      <c r="C38">
        <v>1.0</v>
      </c>
    </row>
    <row r="39" hidden="1">
      <c r="A39" t="s">
        <v>2400</v>
      </c>
      <c r="B39" s="2">
        <v>325.0</v>
      </c>
      <c r="C39">
        <v>1.0</v>
      </c>
    </row>
    <row r="40" hidden="1">
      <c r="A40" t="s">
        <v>1343</v>
      </c>
      <c r="B40" s="2">
        <v>324.5</v>
      </c>
      <c r="C40">
        <v>2.0</v>
      </c>
    </row>
    <row r="41" hidden="1">
      <c r="A41" t="s">
        <v>1211</v>
      </c>
      <c r="B41" s="2">
        <v>320.0</v>
      </c>
      <c r="C41">
        <v>1.0</v>
      </c>
    </row>
    <row r="42" hidden="1">
      <c r="A42" t="s">
        <v>1598</v>
      </c>
      <c r="B42" s="2">
        <v>320.0</v>
      </c>
      <c r="C42">
        <v>2.0</v>
      </c>
    </row>
    <row r="43" hidden="1">
      <c r="A43" t="s">
        <v>2645</v>
      </c>
      <c r="B43" s="2">
        <v>320.0</v>
      </c>
      <c r="C43">
        <v>1.0</v>
      </c>
    </row>
    <row r="44" hidden="1">
      <c r="A44" t="s">
        <v>1881</v>
      </c>
      <c r="B44" s="2">
        <v>320.0</v>
      </c>
      <c r="C44">
        <v>1.0</v>
      </c>
    </row>
    <row r="45" hidden="1">
      <c r="A45" t="s">
        <v>1786</v>
      </c>
      <c r="B45" s="2">
        <v>319.3333333333333</v>
      </c>
      <c r="C45">
        <v>3.0</v>
      </c>
    </row>
    <row r="46" hidden="1">
      <c r="A46" t="s">
        <v>1635</v>
      </c>
      <c r="B46" s="2">
        <v>315.0</v>
      </c>
      <c r="C46">
        <v>1.0</v>
      </c>
    </row>
    <row r="47" hidden="1">
      <c r="A47" t="s">
        <v>2179</v>
      </c>
      <c r="B47" s="2">
        <v>315.0</v>
      </c>
      <c r="C47">
        <v>1.0</v>
      </c>
    </row>
    <row r="48" hidden="1">
      <c r="A48" t="s">
        <v>2110</v>
      </c>
      <c r="B48" s="2">
        <v>310.0</v>
      </c>
      <c r="C48">
        <v>1.0</v>
      </c>
    </row>
    <row r="49" hidden="1">
      <c r="A49" t="s">
        <v>1501</v>
      </c>
      <c r="B49" s="2">
        <v>310.0</v>
      </c>
      <c r="C49">
        <v>1.0</v>
      </c>
    </row>
    <row r="50" hidden="1">
      <c r="A50" t="s">
        <v>907</v>
      </c>
      <c r="B50" s="2">
        <v>310.0</v>
      </c>
      <c r="C50">
        <v>2.0</v>
      </c>
    </row>
    <row r="51" hidden="1">
      <c r="A51" t="s">
        <v>811</v>
      </c>
      <c r="B51" s="2">
        <v>308.0</v>
      </c>
      <c r="C51">
        <v>3.0</v>
      </c>
    </row>
    <row r="52" hidden="1">
      <c r="A52" t="s">
        <v>781</v>
      </c>
      <c r="B52" s="2">
        <v>305.6666666666667</v>
      </c>
      <c r="C52">
        <v>3.0</v>
      </c>
    </row>
    <row r="53" hidden="1">
      <c r="A53" t="s">
        <v>687</v>
      </c>
      <c r="B53" s="2">
        <v>305.4931506849315</v>
      </c>
      <c r="C53">
        <v>73.0</v>
      </c>
    </row>
    <row r="54" hidden="1">
      <c r="A54" t="s">
        <v>1028</v>
      </c>
      <c r="B54" s="2">
        <v>305.0</v>
      </c>
      <c r="C54">
        <v>1.0</v>
      </c>
    </row>
    <row r="55" hidden="1">
      <c r="A55" t="s">
        <v>812</v>
      </c>
      <c r="B55" s="2">
        <v>300.0</v>
      </c>
      <c r="C55">
        <v>1.0</v>
      </c>
    </row>
    <row r="56" hidden="1">
      <c r="A56" t="s">
        <v>2640</v>
      </c>
      <c r="B56" s="2">
        <v>300.0</v>
      </c>
      <c r="C56">
        <v>1.0</v>
      </c>
    </row>
    <row r="57" hidden="1">
      <c r="A57" t="s">
        <v>119</v>
      </c>
      <c r="B57" s="2">
        <v>300.0</v>
      </c>
      <c r="C57">
        <v>1.0</v>
      </c>
    </row>
    <row r="58" hidden="1">
      <c r="A58" t="s">
        <v>1106</v>
      </c>
      <c r="B58" s="2">
        <v>300.0</v>
      </c>
      <c r="C58">
        <v>1.0</v>
      </c>
    </row>
    <row r="59" hidden="1">
      <c r="A59" t="s">
        <v>2035</v>
      </c>
      <c r="B59" s="2">
        <v>300.0</v>
      </c>
      <c r="C59">
        <v>1.0</v>
      </c>
    </row>
    <row r="60" hidden="1">
      <c r="A60" t="s">
        <v>1833</v>
      </c>
      <c r="B60" s="2">
        <v>298.0</v>
      </c>
      <c r="C60">
        <v>1.0</v>
      </c>
    </row>
    <row r="61" hidden="1">
      <c r="A61" t="s">
        <v>2359</v>
      </c>
      <c r="B61" s="2">
        <v>296.0</v>
      </c>
      <c r="C61">
        <v>1.0</v>
      </c>
    </row>
    <row r="62" hidden="1">
      <c r="A62" t="s">
        <v>1807</v>
      </c>
      <c r="B62" s="2">
        <v>296.0</v>
      </c>
      <c r="C62">
        <v>1.0</v>
      </c>
    </row>
    <row r="63" hidden="1">
      <c r="A63" t="s">
        <v>2129</v>
      </c>
      <c r="B63" s="2">
        <v>295.0</v>
      </c>
      <c r="C63">
        <v>1.0</v>
      </c>
    </row>
    <row r="64" hidden="1">
      <c r="A64" t="s">
        <v>1121</v>
      </c>
      <c r="B64" s="2">
        <v>294.3333333333333</v>
      </c>
      <c r="C64">
        <v>3.0</v>
      </c>
    </row>
    <row r="65" hidden="1">
      <c r="A65" t="s">
        <v>1815</v>
      </c>
      <c r="B65" s="2">
        <v>293.8</v>
      </c>
      <c r="C65">
        <v>5.0</v>
      </c>
    </row>
    <row r="66" hidden="1">
      <c r="A66" t="s">
        <v>2229</v>
      </c>
      <c r="B66" s="2">
        <v>292.0</v>
      </c>
      <c r="C66">
        <v>1.0</v>
      </c>
    </row>
    <row r="67" hidden="1">
      <c r="A67" t="s">
        <v>1297</v>
      </c>
      <c r="B67" s="2">
        <v>289.2857142857143</v>
      </c>
      <c r="C67">
        <v>7.0</v>
      </c>
    </row>
    <row r="68" hidden="1">
      <c r="A68" t="s">
        <v>1617</v>
      </c>
      <c r="B68" s="2">
        <v>289.25</v>
      </c>
      <c r="C68">
        <v>4.0</v>
      </c>
    </row>
    <row r="69" hidden="1">
      <c r="A69" t="s">
        <v>1428</v>
      </c>
      <c r="B69" s="2">
        <v>283.0</v>
      </c>
      <c r="C69">
        <v>4.0</v>
      </c>
    </row>
    <row r="70" hidden="1">
      <c r="A70" t="s">
        <v>1251</v>
      </c>
      <c r="B70" s="2">
        <v>282.5</v>
      </c>
      <c r="C70">
        <v>6.0</v>
      </c>
    </row>
    <row r="71" hidden="1">
      <c r="A71" t="s">
        <v>1546</v>
      </c>
      <c r="B71" s="2">
        <v>280.8333333333333</v>
      </c>
      <c r="C71">
        <v>6.0</v>
      </c>
    </row>
    <row r="72" hidden="1">
      <c r="A72" t="s">
        <v>2473</v>
      </c>
      <c r="B72" s="2">
        <v>280.0</v>
      </c>
      <c r="C72">
        <v>1.0</v>
      </c>
    </row>
    <row r="73" hidden="1">
      <c r="A73" t="s">
        <v>1036</v>
      </c>
      <c r="B73" s="2">
        <v>276.44444444444446</v>
      </c>
      <c r="C73">
        <v>9.0</v>
      </c>
    </row>
    <row r="74" hidden="1">
      <c r="A74" t="s">
        <v>751</v>
      </c>
      <c r="B74" s="2">
        <v>276.0135135135135</v>
      </c>
      <c r="C74">
        <v>74.0</v>
      </c>
    </row>
    <row r="75" hidden="1">
      <c r="A75" t="s">
        <v>1718</v>
      </c>
      <c r="B75" s="2">
        <v>275.5</v>
      </c>
      <c r="C75">
        <v>4.0</v>
      </c>
    </row>
    <row r="76" hidden="1">
      <c r="A76" t="s">
        <v>757</v>
      </c>
      <c r="B76" s="2">
        <v>275.3139534883721</v>
      </c>
      <c r="C76">
        <v>86.0</v>
      </c>
    </row>
    <row r="77" hidden="1">
      <c r="A77" t="s">
        <v>2559</v>
      </c>
      <c r="B77" s="2">
        <v>275.0</v>
      </c>
      <c r="C77">
        <v>1.0</v>
      </c>
    </row>
    <row r="78" hidden="1">
      <c r="B78" s="2">
        <v>274.67617380952385</v>
      </c>
      <c r="C78">
        <v>840.0</v>
      </c>
    </row>
    <row r="79" hidden="1">
      <c r="A79" t="s">
        <v>1720</v>
      </c>
      <c r="B79" s="2">
        <v>270.0</v>
      </c>
      <c r="C79">
        <v>1.0</v>
      </c>
    </row>
    <row r="80" hidden="1">
      <c r="A80" t="s">
        <v>1213</v>
      </c>
      <c r="B80" s="2">
        <v>269.0</v>
      </c>
      <c r="C80">
        <v>1.0</v>
      </c>
    </row>
    <row r="81" hidden="1">
      <c r="A81" t="s">
        <v>691</v>
      </c>
      <c r="B81" s="2">
        <v>266.46436781609196</v>
      </c>
      <c r="C81">
        <v>348.0</v>
      </c>
    </row>
    <row r="82" hidden="1">
      <c r="A82" t="s">
        <v>1100</v>
      </c>
      <c r="B82" s="2">
        <v>265.0</v>
      </c>
      <c r="C82">
        <v>1.0</v>
      </c>
    </row>
    <row r="83" hidden="1">
      <c r="A83" t="s">
        <v>2017</v>
      </c>
      <c r="B83" s="2">
        <v>265.0</v>
      </c>
      <c r="C83">
        <v>2.0</v>
      </c>
    </row>
    <row r="84" hidden="1">
      <c r="A84" t="s">
        <v>685</v>
      </c>
      <c r="B84" s="2">
        <v>264.33498583569406</v>
      </c>
      <c r="C84">
        <v>706.0</v>
      </c>
    </row>
    <row r="85" hidden="1">
      <c r="A85" t="s">
        <v>726</v>
      </c>
      <c r="B85" s="2">
        <v>263.27272727272725</v>
      </c>
      <c r="C85">
        <v>22.0</v>
      </c>
    </row>
    <row r="86" hidden="1">
      <c r="A86" t="s">
        <v>1252</v>
      </c>
      <c r="B86" s="2">
        <v>261.75</v>
      </c>
      <c r="C86">
        <v>4.0</v>
      </c>
    </row>
    <row r="87" hidden="1">
      <c r="A87" t="s">
        <v>715</v>
      </c>
      <c r="B87" s="2">
        <v>260.9011627906977</v>
      </c>
      <c r="C87">
        <v>86.0</v>
      </c>
    </row>
    <row r="88" hidden="1">
      <c r="A88" t="s">
        <v>1375</v>
      </c>
      <c r="B88" s="2">
        <v>260.0</v>
      </c>
      <c r="C88">
        <v>1.0</v>
      </c>
    </row>
    <row r="89" hidden="1">
      <c r="A89" t="s">
        <v>1192</v>
      </c>
      <c r="B89" s="2">
        <v>260.0</v>
      </c>
      <c r="C89">
        <v>2.0</v>
      </c>
    </row>
    <row r="90" hidden="1">
      <c r="A90" t="s">
        <v>699</v>
      </c>
      <c r="B90" s="2">
        <v>254.29901960784315</v>
      </c>
      <c r="C90">
        <v>102.0</v>
      </c>
    </row>
    <row r="91" hidden="1">
      <c r="A91" t="s">
        <v>2407</v>
      </c>
      <c r="B91" s="2">
        <v>252.5</v>
      </c>
      <c r="C91">
        <v>2.0</v>
      </c>
    </row>
    <row r="92" hidden="1">
      <c r="A92" t="s">
        <v>1928</v>
      </c>
      <c r="B92" s="2">
        <v>251.0</v>
      </c>
      <c r="C92">
        <v>1.0</v>
      </c>
    </row>
    <row r="93" hidden="1">
      <c r="A93" t="s">
        <v>1679</v>
      </c>
      <c r="B93" s="2">
        <v>250.0</v>
      </c>
      <c r="C93">
        <v>1.0</v>
      </c>
    </row>
    <row r="94" hidden="1">
      <c r="A94" t="s">
        <v>2089</v>
      </c>
      <c r="B94" s="2">
        <v>250.0</v>
      </c>
      <c r="C94">
        <v>1.0</v>
      </c>
    </row>
    <row r="95" hidden="1">
      <c r="A95" t="s">
        <v>2613</v>
      </c>
      <c r="B95" s="2">
        <v>250.0</v>
      </c>
      <c r="C95">
        <v>1.0</v>
      </c>
    </row>
    <row r="96" hidden="1">
      <c r="A96" t="s">
        <v>2113</v>
      </c>
      <c r="B96" s="2">
        <v>250.0</v>
      </c>
      <c r="C96">
        <v>1.0</v>
      </c>
    </row>
    <row r="97" hidden="1">
      <c r="A97" t="s">
        <v>996</v>
      </c>
      <c r="B97" s="2">
        <v>250.0</v>
      </c>
      <c r="C97">
        <v>1.0</v>
      </c>
    </row>
    <row r="98" hidden="1">
      <c r="A98" t="s">
        <v>2591</v>
      </c>
      <c r="B98" s="2">
        <v>250.0</v>
      </c>
      <c r="C98">
        <v>1.0</v>
      </c>
    </row>
    <row r="99" hidden="1">
      <c r="A99" t="s">
        <v>1112</v>
      </c>
      <c r="B99" s="2">
        <v>249.0</v>
      </c>
      <c r="C99">
        <v>1.0</v>
      </c>
    </row>
    <row r="100" hidden="1">
      <c r="A100" t="s">
        <v>859</v>
      </c>
      <c r="B100" s="2">
        <v>245.5</v>
      </c>
      <c r="C100">
        <v>4.0</v>
      </c>
    </row>
    <row r="101" hidden="1">
      <c r="A101" t="s">
        <v>2560</v>
      </c>
      <c r="B101" s="2">
        <v>244.0</v>
      </c>
      <c r="C101">
        <v>1.0</v>
      </c>
    </row>
    <row r="102" hidden="1">
      <c r="A102" t="s">
        <v>1134</v>
      </c>
      <c r="B102" s="2">
        <v>241.26666666666668</v>
      </c>
      <c r="C102">
        <v>15.0</v>
      </c>
    </row>
    <row r="103" hidden="1">
      <c r="A103" t="s">
        <v>2447</v>
      </c>
      <c r="B103" s="2">
        <v>240.0</v>
      </c>
      <c r="C103">
        <v>1.0</v>
      </c>
    </row>
    <row r="104" hidden="1">
      <c r="A104" t="s">
        <v>760</v>
      </c>
      <c r="B104" s="2">
        <v>240.0</v>
      </c>
      <c r="C104">
        <v>1.0</v>
      </c>
    </row>
    <row r="105" hidden="1">
      <c r="A105" t="s">
        <v>27</v>
      </c>
      <c r="B105" s="2">
        <v>240.0</v>
      </c>
      <c r="C105">
        <v>1.0</v>
      </c>
    </row>
    <row r="106" hidden="1">
      <c r="A106" t="s">
        <v>2309</v>
      </c>
      <c r="B106" s="2">
        <v>240.0</v>
      </c>
      <c r="C106">
        <v>1.0</v>
      </c>
    </row>
    <row r="107" hidden="1">
      <c r="A107" t="s">
        <v>1864</v>
      </c>
      <c r="B107" s="2">
        <v>238.0</v>
      </c>
      <c r="C107">
        <v>1.0</v>
      </c>
    </row>
    <row r="108" hidden="1">
      <c r="A108" t="s">
        <v>1363</v>
      </c>
      <c r="B108" s="2">
        <v>236.5</v>
      </c>
      <c r="C108">
        <v>8.0</v>
      </c>
    </row>
    <row r="109" hidden="1">
      <c r="A109" t="s">
        <v>1254</v>
      </c>
      <c r="B109" s="2">
        <v>235.6</v>
      </c>
      <c r="C109">
        <v>5.0</v>
      </c>
    </row>
    <row r="110" hidden="1">
      <c r="A110" t="s">
        <v>1163</v>
      </c>
      <c r="B110" s="2">
        <v>235.10526315789474</v>
      </c>
      <c r="C110">
        <v>19.0</v>
      </c>
    </row>
    <row r="111" hidden="1">
      <c r="A111" t="s">
        <v>901</v>
      </c>
      <c r="B111" s="2">
        <v>235.0</v>
      </c>
      <c r="C111">
        <v>1.0</v>
      </c>
    </row>
    <row r="112" hidden="1">
      <c r="A112" t="s">
        <v>2052</v>
      </c>
      <c r="B112" s="2">
        <v>235.0</v>
      </c>
      <c r="C112">
        <v>1.0</v>
      </c>
    </row>
    <row r="113" hidden="1">
      <c r="A113" t="s">
        <v>2516</v>
      </c>
      <c r="B113" s="2">
        <v>235.0</v>
      </c>
      <c r="C113">
        <v>1.0</v>
      </c>
    </row>
    <row r="114" hidden="1">
      <c r="A114" t="s">
        <v>2629</v>
      </c>
      <c r="B114" s="2">
        <v>234.0</v>
      </c>
      <c r="C114">
        <v>1.0</v>
      </c>
    </row>
    <row r="115" hidden="1">
      <c r="A115" t="s">
        <v>1662</v>
      </c>
      <c r="B115" s="2">
        <v>233.0</v>
      </c>
      <c r="C115">
        <v>1.0</v>
      </c>
    </row>
    <row r="116" hidden="1">
      <c r="A116" t="s">
        <v>712</v>
      </c>
      <c r="B116" s="2">
        <v>233.0</v>
      </c>
      <c r="C116">
        <v>1.0</v>
      </c>
    </row>
    <row r="117" hidden="1">
      <c r="A117" t="s">
        <v>2033</v>
      </c>
      <c r="B117" s="2">
        <v>230.0</v>
      </c>
      <c r="C117">
        <v>1.0</v>
      </c>
    </row>
    <row r="118" hidden="1">
      <c r="A118" t="s">
        <v>1053</v>
      </c>
      <c r="B118" s="2">
        <v>230.0</v>
      </c>
      <c r="C118">
        <v>1.0</v>
      </c>
    </row>
    <row r="119" hidden="1">
      <c r="A119" t="s">
        <v>1670</v>
      </c>
      <c r="B119" s="2">
        <v>230.0</v>
      </c>
      <c r="C119">
        <v>2.0</v>
      </c>
    </row>
    <row r="120" hidden="1">
      <c r="A120" t="s">
        <v>2200</v>
      </c>
      <c r="B120" s="2">
        <v>230.0</v>
      </c>
      <c r="C120">
        <v>1.0</v>
      </c>
    </row>
    <row r="121" hidden="1">
      <c r="A121" t="s">
        <v>1150</v>
      </c>
      <c r="B121" s="2">
        <v>229.0</v>
      </c>
      <c r="C121">
        <v>1.0</v>
      </c>
    </row>
    <row r="122" hidden="1">
      <c r="A122" t="s">
        <v>683</v>
      </c>
      <c r="B122" s="2">
        <v>227.2592</v>
      </c>
      <c r="C122">
        <v>625.0</v>
      </c>
    </row>
    <row r="123" hidden="1">
      <c r="A123" t="s">
        <v>1084</v>
      </c>
      <c r="B123" s="2">
        <v>226.5</v>
      </c>
      <c r="C123">
        <v>4.0</v>
      </c>
    </row>
    <row r="124" hidden="1">
      <c r="A124" t="s">
        <v>1027</v>
      </c>
      <c r="B124" s="2">
        <v>226.2</v>
      </c>
      <c r="C124">
        <v>10.0</v>
      </c>
    </row>
    <row r="125" hidden="1">
      <c r="A125" t="s">
        <v>2561</v>
      </c>
      <c r="B125" s="2">
        <v>225.0</v>
      </c>
      <c r="C125">
        <v>1.0</v>
      </c>
    </row>
    <row r="126" hidden="1">
      <c r="A126" t="s">
        <v>2480</v>
      </c>
      <c r="B126" s="2">
        <v>225.0</v>
      </c>
      <c r="C126">
        <v>1.0</v>
      </c>
    </row>
    <row r="127" hidden="1">
      <c r="A127" t="s">
        <v>1591</v>
      </c>
      <c r="B127" s="2">
        <v>222.0</v>
      </c>
      <c r="C127">
        <v>1.0</v>
      </c>
    </row>
    <row r="128" hidden="1">
      <c r="A128" t="s">
        <v>2050</v>
      </c>
      <c r="B128" s="2">
        <v>220.0</v>
      </c>
      <c r="C128">
        <v>1.0</v>
      </c>
    </row>
    <row r="129" hidden="1">
      <c r="A129" t="s">
        <v>2188</v>
      </c>
      <c r="B129" s="2">
        <v>220.0</v>
      </c>
      <c r="C129">
        <v>1.0</v>
      </c>
    </row>
    <row r="130" hidden="1">
      <c r="A130" t="s">
        <v>2523</v>
      </c>
      <c r="B130" s="2">
        <v>220.0</v>
      </c>
      <c r="C130">
        <v>1.0</v>
      </c>
    </row>
    <row r="131" hidden="1">
      <c r="A131" t="s">
        <v>1618</v>
      </c>
      <c r="B131" s="2">
        <v>220.0</v>
      </c>
      <c r="C131">
        <v>1.0</v>
      </c>
    </row>
    <row r="132" hidden="1">
      <c r="A132" t="s">
        <v>80</v>
      </c>
      <c r="B132" s="2">
        <v>219.0</v>
      </c>
      <c r="C132">
        <v>2.0</v>
      </c>
    </row>
    <row r="133" hidden="1">
      <c r="A133" t="s">
        <v>1316</v>
      </c>
      <c r="B133" s="2">
        <v>218.66666666666666</v>
      </c>
      <c r="C133">
        <v>3.0</v>
      </c>
    </row>
    <row r="134" hidden="1">
      <c r="A134" t="s">
        <v>1771</v>
      </c>
      <c r="B134" s="2">
        <v>218.5</v>
      </c>
      <c r="C134">
        <v>2.0</v>
      </c>
    </row>
    <row r="135" hidden="1">
      <c r="A135" t="s">
        <v>1641</v>
      </c>
      <c r="B135" s="2">
        <v>217.5</v>
      </c>
      <c r="C135">
        <v>2.0</v>
      </c>
    </row>
    <row r="136" hidden="1">
      <c r="A136" t="s">
        <v>1048</v>
      </c>
      <c r="B136" s="2">
        <v>215.0</v>
      </c>
      <c r="C136">
        <v>1.0</v>
      </c>
    </row>
    <row r="137" hidden="1">
      <c r="A137" t="s">
        <v>2166</v>
      </c>
      <c r="B137" s="2">
        <v>214.0</v>
      </c>
      <c r="C137">
        <v>1.0</v>
      </c>
    </row>
    <row r="138" hidden="1">
      <c r="A138" t="s">
        <v>1759</v>
      </c>
      <c r="B138" s="2">
        <v>214.0</v>
      </c>
      <c r="C138">
        <v>1.0</v>
      </c>
    </row>
    <row r="139" hidden="1">
      <c r="A139" t="s">
        <v>857</v>
      </c>
      <c r="B139" s="2">
        <v>214.0</v>
      </c>
      <c r="C139">
        <v>7.0</v>
      </c>
    </row>
    <row r="140" hidden="1">
      <c r="A140" t="s">
        <v>2548</v>
      </c>
      <c r="B140" s="2">
        <v>213.0</v>
      </c>
      <c r="C140">
        <v>1.0</v>
      </c>
    </row>
    <row r="141" hidden="1">
      <c r="A141" t="s">
        <v>1043</v>
      </c>
      <c r="B141" s="2">
        <v>212.06666666666666</v>
      </c>
      <c r="C141">
        <v>15.0</v>
      </c>
    </row>
    <row r="142" hidden="1">
      <c r="A142" t="s">
        <v>2156</v>
      </c>
      <c r="B142" s="2">
        <v>210.0</v>
      </c>
      <c r="C142">
        <v>1.0</v>
      </c>
    </row>
    <row r="143" hidden="1">
      <c r="A143" t="s">
        <v>1563</v>
      </c>
      <c r="B143" s="2">
        <v>210.0</v>
      </c>
      <c r="C143">
        <v>1.0</v>
      </c>
    </row>
    <row r="144" hidden="1">
      <c r="A144" t="s">
        <v>1300</v>
      </c>
      <c r="B144" s="2">
        <v>208.0</v>
      </c>
      <c r="C144">
        <v>1.0</v>
      </c>
    </row>
    <row r="145" hidden="1">
      <c r="A145" t="s">
        <v>2153</v>
      </c>
      <c r="B145" s="2">
        <v>207.0</v>
      </c>
      <c r="C145">
        <v>1.0</v>
      </c>
    </row>
    <row r="146" hidden="1">
      <c r="A146" t="s">
        <v>708</v>
      </c>
      <c r="B146" s="2">
        <v>205.6056338028169</v>
      </c>
      <c r="C146">
        <v>142.0</v>
      </c>
    </row>
    <row r="147" hidden="1">
      <c r="A147" t="s">
        <v>1331</v>
      </c>
      <c r="B147" s="2">
        <v>205.4</v>
      </c>
      <c r="C147">
        <v>5.0</v>
      </c>
    </row>
    <row r="148" hidden="1">
      <c r="A148" t="s">
        <v>1285</v>
      </c>
      <c r="B148" s="2">
        <v>205.0</v>
      </c>
      <c r="C148">
        <v>1.0</v>
      </c>
    </row>
    <row r="149" hidden="1">
      <c r="A149" t="s">
        <v>1621</v>
      </c>
      <c r="B149" s="2">
        <v>205.0</v>
      </c>
      <c r="C149">
        <v>1.0</v>
      </c>
    </row>
    <row r="150" hidden="1">
      <c r="A150" t="s">
        <v>2323</v>
      </c>
      <c r="B150" s="2">
        <v>205.0</v>
      </c>
      <c r="C150">
        <v>1.0</v>
      </c>
    </row>
    <row r="151" hidden="1">
      <c r="A151" t="s">
        <v>936</v>
      </c>
      <c r="B151" s="2">
        <v>205.0</v>
      </c>
      <c r="C151">
        <v>1.0</v>
      </c>
    </row>
    <row r="152" hidden="1">
      <c r="A152" t="s">
        <v>1993</v>
      </c>
      <c r="B152" s="2">
        <v>205.0</v>
      </c>
      <c r="C152">
        <v>1.0</v>
      </c>
    </row>
    <row r="153" hidden="1">
      <c r="A153" t="s">
        <v>2039</v>
      </c>
      <c r="B153" s="2">
        <v>205.0</v>
      </c>
      <c r="C153">
        <v>1.0</v>
      </c>
    </row>
    <row r="154" hidden="1">
      <c r="A154" t="s">
        <v>1336</v>
      </c>
      <c r="B154" s="2">
        <v>204.5</v>
      </c>
      <c r="C154">
        <v>2.0</v>
      </c>
    </row>
    <row r="155" hidden="1">
      <c r="A155" t="s">
        <v>696</v>
      </c>
      <c r="B155" s="2">
        <v>202.61111111111111</v>
      </c>
      <c r="C155">
        <v>198.0</v>
      </c>
    </row>
    <row r="156" hidden="1">
      <c r="A156" t="s">
        <v>1652</v>
      </c>
      <c r="B156" s="2">
        <v>202.0</v>
      </c>
      <c r="C156">
        <v>1.0</v>
      </c>
    </row>
    <row r="157" hidden="1">
      <c r="A157" t="s">
        <v>842</v>
      </c>
      <c r="B157" s="2">
        <v>201.33333333333334</v>
      </c>
      <c r="C157">
        <v>3.0</v>
      </c>
    </row>
    <row r="158" hidden="1">
      <c r="A158" t="s">
        <v>728</v>
      </c>
      <c r="B158" s="2">
        <v>200.72727272727272</v>
      </c>
      <c r="C158">
        <v>44.0</v>
      </c>
    </row>
    <row r="159" hidden="1">
      <c r="A159" t="s">
        <v>704</v>
      </c>
      <c r="B159" s="2">
        <v>200.43993993993993</v>
      </c>
      <c r="C159">
        <v>333.0</v>
      </c>
    </row>
    <row r="160" hidden="1">
      <c r="A160" t="s">
        <v>1088</v>
      </c>
      <c r="B160" s="2">
        <v>200.0</v>
      </c>
      <c r="C160">
        <v>3.0</v>
      </c>
    </row>
    <row r="161" hidden="1">
      <c r="A161" t="s">
        <v>1915</v>
      </c>
      <c r="B161" s="2">
        <v>200.0</v>
      </c>
      <c r="C161">
        <v>1.0</v>
      </c>
    </row>
    <row r="162" hidden="1">
      <c r="A162" t="s">
        <v>2125</v>
      </c>
      <c r="B162" s="2">
        <v>200.0</v>
      </c>
      <c r="C162">
        <v>1.0</v>
      </c>
    </row>
    <row r="163" hidden="1">
      <c r="A163" t="s">
        <v>1113</v>
      </c>
      <c r="B163" s="2">
        <v>200.0</v>
      </c>
      <c r="C163">
        <v>1.0</v>
      </c>
    </row>
    <row r="164" hidden="1">
      <c r="A164" t="s">
        <v>2372</v>
      </c>
      <c r="B164" s="2">
        <v>200.0</v>
      </c>
      <c r="C164">
        <v>1.0</v>
      </c>
    </row>
    <row r="165" hidden="1">
      <c r="A165" t="s">
        <v>2578</v>
      </c>
      <c r="B165" s="2">
        <v>200.0</v>
      </c>
      <c r="C165">
        <v>1.0</v>
      </c>
    </row>
    <row r="166">
      <c r="A166" t="s">
        <v>2433</v>
      </c>
      <c r="B166" s="2">
        <v>200.0</v>
      </c>
      <c r="C166">
        <v>1.0</v>
      </c>
    </row>
    <row r="167">
      <c r="A167" t="s">
        <v>1247</v>
      </c>
      <c r="B167" s="2">
        <v>199.86666666666667</v>
      </c>
      <c r="C167">
        <v>15.0</v>
      </c>
    </row>
    <row r="168">
      <c r="A168" t="s">
        <v>693</v>
      </c>
      <c r="B168" s="2">
        <v>199.5</v>
      </c>
      <c r="C168">
        <v>4.0</v>
      </c>
    </row>
    <row r="169">
      <c r="A169" t="s">
        <v>1555</v>
      </c>
      <c r="B169" s="2">
        <v>199.33333333333334</v>
      </c>
      <c r="C169">
        <v>3.0</v>
      </c>
    </row>
    <row r="170">
      <c r="A170" t="s">
        <v>1202</v>
      </c>
      <c r="B170" s="2">
        <v>197.0</v>
      </c>
      <c r="C170">
        <v>1.0</v>
      </c>
    </row>
    <row r="171">
      <c r="A171" t="s">
        <v>817</v>
      </c>
      <c r="B171" s="2">
        <v>196.83333333333334</v>
      </c>
      <c r="C171">
        <v>12.0</v>
      </c>
    </row>
    <row r="172">
      <c r="A172" t="s">
        <v>174</v>
      </c>
      <c r="B172" s="2">
        <v>196.0</v>
      </c>
      <c r="C172">
        <v>6.0</v>
      </c>
    </row>
    <row r="173">
      <c r="A173" t="s">
        <v>1132</v>
      </c>
      <c r="B173" s="2">
        <v>196.0</v>
      </c>
      <c r="C173">
        <v>1.0</v>
      </c>
    </row>
    <row r="174">
      <c r="A174" t="s">
        <v>2585</v>
      </c>
      <c r="B174" s="2">
        <v>195.0</v>
      </c>
      <c r="C174">
        <v>1.0</v>
      </c>
    </row>
    <row r="175">
      <c r="A175" t="s">
        <v>1839</v>
      </c>
      <c r="B175" s="2">
        <v>195.0</v>
      </c>
      <c r="C175">
        <v>1.0</v>
      </c>
    </row>
    <row r="176">
      <c r="A176" t="s">
        <v>2136</v>
      </c>
      <c r="B176" s="2">
        <v>195.0</v>
      </c>
      <c r="C176">
        <v>2.0</v>
      </c>
    </row>
    <row r="177">
      <c r="A177" t="s">
        <v>794</v>
      </c>
      <c r="B177" s="2">
        <v>194.0</v>
      </c>
      <c r="C177">
        <v>1.0</v>
      </c>
    </row>
    <row r="178">
      <c r="A178" t="s">
        <v>1799</v>
      </c>
      <c r="B178" s="2">
        <v>194.0</v>
      </c>
      <c r="C178">
        <v>1.0</v>
      </c>
    </row>
    <row r="179">
      <c r="A179" t="s">
        <v>904</v>
      </c>
      <c r="B179" s="2">
        <v>193.0</v>
      </c>
      <c r="C179">
        <v>6.0</v>
      </c>
    </row>
    <row r="180">
      <c r="A180" t="s">
        <v>1874</v>
      </c>
      <c r="B180" s="2">
        <v>190.0</v>
      </c>
      <c r="C180">
        <v>1.0</v>
      </c>
    </row>
    <row r="181">
      <c r="A181" t="s">
        <v>2490</v>
      </c>
      <c r="B181" s="2">
        <v>190.0</v>
      </c>
      <c r="C181">
        <v>1.0</v>
      </c>
    </row>
    <row r="182">
      <c r="A182" t="s">
        <v>1980</v>
      </c>
      <c r="B182" s="2">
        <v>190.0</v>
      </c>
      <c r="C182">
        <v>2.0</v>
      </c>
    </row>
    <row r="183">
      <c r="A183" t="s">
        <v>854</v>
      </c>
      <c r="B183" s="2">
        <v>190.0</v>
      </c>
      <c r="C183">
        <v>1.0</v>
      </c>
    </row>
    <row r="184">
      <c r="A184" t="s">
        <v>1149</v>
      </c>
      <c r="B184" s="2">
        <v>189.125</v>
      </c>
      <c r="C184">
        <v>8.0</v>
      </c>
    </row>
    <row r="185">
      <c r="A185" t="s">
        <v>1581</v>
      </c>
      <c r="B185" s="2">
        <v>189.0</v>
      </c>
      <c r="C185">
        <v>1.0</v>
      </c>
    </row>
    <row r="186">
      <c r="A186" t="s">
        <v>1304</v>
      </c>
      <c r="B186" s="2">
        <v>188.0</v>
      </c>
      <c r="C186">
        <v>1.0</v>
      </c>
    </row>
    <row r="187">
      <c r="A187" t="s">
        <v>1169</v>
      </c>
      <c r="B187" s="2">
        <v>188.0</v>
      </c>
      <c r="C187">
        <v>8.0</v>
      </c>
    </row>
    <row r="188">
      <c r="A188" t="s">
        <v>1261</v>
      </c>
      <c r="B188" s="2">
        <v>185.8</v>
      </c>
      <c r="C188">
        <v>5.0</v>
      </c>
    </row>
    <row r="189">
      <c r="A189" t="s">
        <v>940</v>
      </c>
      <c r="B189" s="2">
        <v>185.0</v>
      </c>
      <c r="C189">
        <v>1.0</v>
      </c>
    </row>
    <row r="190">
      <c r="A190" t="s">
        <v>1230</v>
      </c>
      <c r="B190" s="2">
        <v>185.0</v>
      </c>
      <c r="C190">
        <v>1.0</v>
      </c>
    </row>
    <row r="191">
      <c r="A191" t="s">
        <v>2609</v>
      </c>
      <c r="B191" s="2">
        <v>185.0</v>
      </c>
      <c r="C191">
        <v>1.0</v>
      </c>
    </row>
    <row r="192">
      <c r="A192" t="s">
        <v>1790</v>
      </c>
      <c r="B192" s="2">
        <v>185.0</v>
      </c>
      <c r="C192">
        <v>1.0</v>
      </c>
    </row>
    <row r="193">
      <c r="A193" t="s">
        <v>866</v>
      </c>
      <c r="B193" s="2">
        <v>183.1</v>
      </c>
      <c r="C193">
        <v>10.0</v>
      </c>
    </row>
    <row r="194">
      <c r="A194" t="s">
        <v>2111</v>
      </c>
      <c r="B194" s="2">
        <v>183.0</v>
      </c>
      <c r="C194">
        <v>1.0</v>
      </c>
    </row>
    <row r="195">
      <c r="A195" t="s">
        <v>970</v>
      </c>
      <c r="B195" s="2">
        <v>182.0</v>
      </c>
      <c r="C195">
        <v>1.0</v>
      </c>
    </row>
    <row r="196">
      <c r="A196" t="s">
        <v>1890</v>
      </c>
      <c r="B196" s="2">
        <v>180.0</v>
      </c>
      <c r="C196">
        <v>1.0</v>
      </c>
    </row>
    <row r="197">
      <c r="A197" t="s">
        <v>1133</v>
      </c>
      <c r="B197" s="2">
        <v>180.0</v>
      </c>
      <c r="C197">
        <v>1.0</v>
      </c>
    </row>
    <row r="198">
      <c r="A198" t="s">
        <v>1814</v>
      </c>
      <c r="B198" s="2">
        <v>180.0</v>
      </c>
      <c r="C198">
        <v>1.0</v>
      </c>
    </row>
    <row r="199">
      <c r="A199" t="s">
        <v>1039</v>
      </c>
      <c r="B199" s="2">
        <v>180.0</v>
      </c>
      <c r="C199">
        <v>1.0</v>
      </c>
    </row>
    <row r="200">
      <c r="A200" t="s">
        <v>1792</v>
      </c>
      <c r="B200" s="2">
        <v>179.5</v>
      </c>
      <c r="C200">
        <v>2.0</v>
      </c>
    </row>
    <row r="201">
      <c r="A201" t="s">
        <v>1734</v>
      </c>
      <c r="B201" s="2">
        <v>179.0</v>
      </c>
      <c r="C201">
        <v>1.0</v>
      </c>
    </row>
    <row r="202">
      <c r="A202" t="s">
        <v>1243</v>
      </c>
      <c r="B202" s="2">
        <v>178.66666666666666</v>
      </c>
      <c r="C202">
        <v>3.0</v>
      </c>
    </row>
    <row r="203">
      <c r="A203" t="s">
        <v>1245</v>
      </c>
      <c r="B203" s="2">
        <v>178.26666666666668</v>
      </c>
      <c r="C203">
        <v>15.0</v>
      </c>
    </row>
    <row r="204">
      <c r="A204" t="s">
        <v>1722</v>
      </c>
      <c r="B204" s="2">
        <v>176.0</v>
      </c>
      <c r="C204">
        <v>1.0</v>
      </c>
    </row>
    <row r="205">
      <c r="A205" t="s">
        <v>1934</v>
      </c>
      <c r="B205" s="2">
        <v>176.0</v>
      </c>
      <c r="C205">
        <v>1.0</v>
      </c>
    </row>
    <row r="206">
      <c r="A206" t="s">
        <v>201</v>
      </c>
      <c r="B206" s="2">
        <v>175.66666666666666</v>
      </c>
      <c r="C206">
        <v>3.0</v>
      </c>
    </row>
    <row r="207">
      <c r="A207" t="s">
        <v>1016</v>
      </c>
      <c r="B207" s="2">
        <v>175.0</v>
      </c>
      <c r="C207">
        <v>1.0</v>
      </c>
    </row>
    <row r="208">
      <c r="A208" t="s">
        <v>2567</v>
      </c>
      <c r="B208" s="2">
        <v>175.0</v>
      </c>
      <c r="C208">
        <v>1.0</v>
      </c>
    </row>
    <row r="209">
      <c r="A209" t="s">
        <v>1191</v>
      </c>
      <c r="B209" s="2">
        <v>175.0</v>
      </c>
      <c r="C209">
        <v>1.0</v>
      </c>
    </row>
    <row r="210">
      <c r="A210" t="s">
        <v>1181</v>
      </c>
      <c r="B210" s="2">
        <v>174.83333333333334</v>
      </c>
      <c r="C210">
        <v>6.0</v>
      </c>
    </row>
    <row r="211">
      <c r="A211" t="s">
        <v>1764</v>
      </c>
      <c r="B211" s="2">
        <v>174.0</v>
      </c>
      <c r="C211">
        <v>2.0</v>
      </c>
    </row>
    <row r="212">
      <c r="A212" t="s">
        <v>1449</v>
      </c>
      <c r="B212" s="2">
        <v>172.0</v>
      </c>
      <c r="C212">
        <v>1.0</v>
      </c>
    </row>
    <row r="213">
      <c r="A213" t="s">
        <v>1153</v>
      </c>
      <c r="B213" s="2">
        <v>171.5</v>
      </c>
      <c r="C213">
        <v>2.0</v>
      </c>
    </row>
    <row r="214">
      <c r="A214" t="s">
        <v>1644</v>
      </c>
      <c r="B214" s="2">
        <v>171.0</v>
      </c>
      <c r="C214">
        <v>3.0</v>
      </c>
    </row>
    <row r="215">
      <c r="A215" t="s">
        <v>1822</v>
      </c>
      <c r="B215" s="2">
        <v>171.0</v>
      </c>
      <c r="C215">
        <v>1.0</v>
      </c>
    </row>
    <row r="216">
      <c r="A216" t="s">
        <v>1226</v>
      </c>
      <c r="B216" s="2">
        <v>170.0</v>
      </c>
      <c r="C216">
        <v>1.0</v>
      </c>
    </row>
    <row r="217">
      <c r="A217" t="s">
        <v>1716</v>
      </c>
      <c r="B217" s="2">
        <v>170.0</v>
      </c>
      <c r="C217">
        <v>3.0</v>
      </c>
    </row>
    <row r="218">
      <c r="A218" t="s">
        <v>1215</v>
      </c>
      <c r="B218" s="2">
        <v>170.0</v>
      </c>
      <c r="C218">
        <v>1.0</v>
      </c>
    </row>
    <row r="219">
      <c r="A219" t="s">
        <v>2031</v>
      </c>
      <c r="B219" s="2">
        <v>170.0</v>
      </c>
      <c r="C219">
        <v>1.0</v>
      </c>
    </row>
    <row r="220">
      <c r="A220" t="s">
        <v>869</v>
      </c>
      <c r="B220" s="2">
        <v>170.0</v>
      </c>
      <c r="C220">
        <v>1.0</v>
      </c>
    </row>
    <row r="221">
      <c r="A221" t="s">
        <v>1337</v>
      </c>
      <c r="B221" s="2">
        <v>169.5</v>
      </c>
      <c r="C221">
        <v>2.0</v>
      </c>
    </row>
    <row r="222">
      <c r="A222" t="s">
        <v>1280</v>
      </c>
      <c r="B222" s="2">
        <v>169.0</v>
      </c>
      <c r="C222">
        <v>1.0</v>
      </c>
    </row>
    <row r="223">
      <c r="A223" t="s">
        <v>1244</v>
      </c>
      <c r="B223" s="2">
        <v>168.6</v>
      </c>
      <c r="C223">
        <v>10.0</v>
      </c>
    </row>
    <row r="224">
      <c r="A224" t="s">
        <v>828</v>
      </c>
      <c r="B224" s="2">
        <v>168.0</v>
      </c>
      <c r="C224">
        <v>1.0</v>
      </c>
    </row>
    <row r="225">
      <c r="A225" t="s">
        <v>1129</v>
      </c>
      <c r="B225" s="2">
        <v>165.0</v>
      </c>
      <c r="C225">
        <v>1.0</v>
      </c>
    </row>
    <row r="226">
      <c r="A226" t="s">
        <v>2616</v>
      </c>
      <c r="B226" s="2">
        <v>165.0</v>
      </c>
      <c r="C226">
        <v>1.0</v>
      </c>
    </row>
    <row r="227">
      <c r="A227" t="s">
        <v>1182</v>
      </c>
      <c r="B227" s="2">
        <v>165.0</v>
      </c>
      <c r="C227">
        <v>1.0</v>
      </c>
    </row>
    <row r="228">
      <c r="A228" t="s">
        <v>1066</v>
      </c>
      <c r="B228" s="2">
        <v>164.0</v>
      </c>
      <c r="C228">
        <v>1.0</v>
      </c>
    </row>
    <row r="229">
      <c r="A229" t="s">
        <v>1639</v>
      </c>
      <c r="B229" s="2">
        <v>163.5</v>
      </c>
      <c r="C229">
        <v>2.0</v>
      </c>
    </row>
    <row r="230">
      <c r="A230" t="s">
        <v>2461</v>
      </c>
      <c r="B230" s="2">
        <v>162.0</v>
      </c>
      <c r="C230">
        <v>1.0</v>
      </c>
    </row>
    <row r="231">
      <c r="A231" t="s">
        <v>780</v>
      </c>
      <c r="B231" s="2">
        <v>162.0</v>
      </c>
      <c r="C231">
        <v>1.0</v>
      </c>
    </row>
    <row r="232">
      <c r="A232" t="s">
        <v>1883</v>
      </c>
      <c r="B232" s="2">
        <v>162.0</v>
      </c>
      <c r="C232">
        <v>1.0</v>
      </c>
    </row>
    <row r="233">
      <c r="A233" t="s">
        <v>942</v>
      </c>
      <c r="B233" s="2">
        <v>162.0</v>
      </c>
      <c r="C233">
        <v>1.0</v>
      </c>
    </row>
    <row r="234">
      <c r="A234" t="s">
        <v>2451</v>
      </c>
      <c r="B234" s="2">
        <v>160.0</v>
      </c>
      <c r="C234">
        <v>1.0</v>
      </c>
    </row>
    <row r="235">
      <c r="A235" t="s">
        <v>2622</v>
      </c>
      <c r="B235" s="2">
        <v>160.0</v>
      </c>
      <c r="C235">
        <v>1.0</v>
      </c>
    </row>
    <row r="236">
      <c r="A236" t="s">
        <v>1530</v>
      </c>
      <c r="B236" s="2">
        <v>157.5</v>
      </c>
      <c r="C236">
        <v>2.0</v>
      </c>
    </row>
    <row r="237">
      <c r="A237" t="s">
        <v>1849</v>
      </c>
      <c r="B237" s="2">
        <v>157.5</v>
      </c>
      <c r="C237">
        <v>2.0</v>
      </c>
    </row>
    <row r="238">
      <c r="A238" t="s">
        <v>2045</v>
      </c>
      <c r="B238" s="2">
        <v>157.0</v>
      </c>
      <c r="C238">
        <v>1.0</v>
      </c>
    </row>
    <row r="239">
      <c r="A239" t="s">
        <v>2068</v>
      </c>
      <c r="B239" s="2">
        <v>156.0</v>
      </c>
      <c r="C239">
        <v>1.0</v>
      </c>
    </row>
    <row r="240">
      <c r="A240" t="s">
        <v>1246</v>
      </c>
      <c r="B240" s="2">
        <v>155.75</v>
      </c>
      <c r="C240">
        <v>4.0</v>
      </c>
    </row>
    <row r="241">
      <c r="A241" t="s">
        <v>1242</v>
      </c>
      <c r="B241" s="2">
        <v>155.0</v>
      </c>
      <c r="C241">
        <v>1.0</v>
      </c>
    </row>
    <row r="242">
      <c r="A242" t="s">
        <v>2122</v>
      </c>
      <c r="B242" s="2">
        <v>151.0</v>
      </c>
      <c r="C242">
        <v>3.0</v>
      </c>
    </row>
    <row r="243">
      <c r="A243" t="s">
        <v>1381</v>
      </c>
      <c r="B243" s="2">
        <v>151.0</v>
      </c>
      <c r="C243">
        <v>1.0</v>
      </c>
    </row>
    <row r="244">
      <c r="A244" t="s">
        <v>1817</v>
      </c>
      <c r="B244" s="2">
        <v>150.0</v>
      </c>
      <c r="C244">
        <v>1.0</v>
      </c>
    </row>
    <row r="245">
      <c r="A245" t="s">
        <v>1137</v>
      </c>
      <c r="B245" s="2">
        <v>150.0</v>
      </c>
      <c r="C245">
        <v>1.0</v>
      </c>
    </row>
    <row r="246">
      <c r="A246" t="s">
        <v>1268</v>
      </c>
      <c r="B246" s="2">
        <v>150.0</v>
      </c>
      <c r="C246">
        <v>1.0</v>
      </c>
    </row>
    <row r="247">
      <c r="A247" t="s">
        <v>2333</v>
      </c>
      <c r="B247" s="2">
        <v>150.0</v>
      </c>
      <c r="C247">
        <v>1.0</v>
      </c>
    </row>
    <row r="248">
      <c r="A248" t="s">
        <v>2603</v>
      </c>
      <c r="B248" s="2">
        <v>150.0</v>
      </c>
      <c r="C248">
        <v>1.0</v>
      </c>
    </row>
    <row r="249">
      <c r="A249" t="s">
        <v>1649</v>
      </c>
      <c r="B249" s="2">
        <v>150.0</v>
      </c>
      <c r="C249">
        <v>1.0</v>
      </c>
    </row>
    <row r="250">
      <c r="A250" t="s">
        <v>1795</v>
      </c>
      <c r="B250" s="2">
        <v>150.0</v>
      </c>
      <c r="C250">
        <v>1.0</v>
      </c>
    </row>
    <row r="251">
      <c r="A251" t="s">
        <v>1663</v>
      </c>
      <c r="B251" s="2">
        <v>148.0</v>
      </c>
      <c r="C251">
        <v>1.0</v>
      </c>
    </row>
    <row r="252">
      <c r="A252" t="s">
        <v>2565</v>
      </c>
      <c r="B252" s="2">
        <v>145.0</v>
      </c>
      <c r="C252">
        <v>1.0</v>
      </c>
    </row>
    <row r="253">
      <c r="A253" t="s">
        <v>879</v>
      </c>
      <c r="B253" s="2">
        <v>145.0</v>
      </c>
      <c r="C253">
        <v>1.0</v>
      </c>
    </row>
    <row r="254">
      <c r="A254" t="s">
        <v>2131</v>
      </c>
      <c r="B254" s="2">
        <v>143.0</v>
      </c>
      <c r="C254">
        <v>1.0</v>
      </c>
    </row>
    <row r="255">
      <c r="A255" t="s">
        <v>1026</v>
      </c>
      <c r="B255" s="2">
        <v>141.0</v>
      </c>
      <c r="C255">
        <v>2.0</v>
      </c>
    </row>
    <row r="256">
      <c r="A256" t="s">
        <v>2134</v>
      </c>
      <c r="B256" s="2">
        <v>140.0</v>
      </c>
      <c r="C256">
        <v>1.0</v>
      </c>
    </row>
    <row r="257">
      <c r="A257" t="s">
        <v>1183</v>
      </c>
      <c r="B257" s="2">
        <v>140.0</v>
      </c>
      <c r="C257">
        <v>2.0</v>
      </c>
    </row>
    <row r="258">
      <c r="A258" t="s">
        <v>1777</v>
      </c>
      <c r="B258" s="2">
        <v>137.33333333333334</v>
      </c>
      <c r="C258">
        <v>3.0</v>
      </c>
    </row>
    <row r="259">
      <c r="A259" t="s">
        <v>1517</v>
      </c>
      <c r="B259" s="2">
        <v>136.66666666666666</v>
      </c>
      <c r="C259">
        <v>3.0</v>
      </c>
    </row>
    <row r="260">
      <c r="A260" t="s">
        <v>1147</v>
      </c>
      <c r="B260" s="2">
        <v>135.0</v>
      </c>
      <c r="C260">
        <v>1.0</v>
      </c>
    </row>
    <row r="261">
      <c r="A261" t="s">
        <v>2373</v>
      </c>
      <c r="B261" s="2">
        <v>134.5</v>
      </c>
      <c r="C261">
        <v>2.0</v>
      </c>
    </row>
    <row r="262">
      <c r="A262" t="s">
        <v>1195</v>
      </c>
      <c r="B262" s="2">
        <v>132.0</v>
      </c>
      <c r="C262">
        <v>1.0</v>
      </c>
    </row>
    <row r="263">
      <c r="A263" t="s">
        <v>946</v>
      </c>
      <c r="B263" s="2">
        <v>132.0</v>
      </c>
      <c r="C263">
        <v>1.0</v>
      </c>
    </row>
    <row r="264">
      <c r="A264" t="s">
        <v>1456</v>
      </c>
      <c r="B264" s="2">
        <v>132.0</v>
      </c>
      <c r="C264">
        <v>1.0</v>
      </c>
    </row>
    <row r="265">
      <c r="A265" t="s">
        <v>1573</v>
      </c>
      <c r="B265" s="2">
        <v>132.0</v>
      </c>
      <c r="C265">
        <v>1.0</v>
      </c>
    </row>
    <row r="266">
      <c r="A266" t="s">
        <v>2155</v>
      </c>
      <c r="B266" s="2">
        <v>131.0</v>
      </c>
      <c r="C266">
        <v>1.0</v>
      </c>
    </row>
    <row r="267">
      <c r="A267" t="s">
        <v>1944</v>
      </c>
      <c r="B267" s="2">
        <v>130.0</v>
      </c>
      <c r="C267">
        <v>1.0</v>
      </c>
    </row>
    <row r="268">
      <c r="A268" t="s">
        <v>2633</v>
      </c>
      <c r="B268" s="2">
        <v>128.0</v>
      </c>
      <c r="C268">
        <v>1.0</v>
      </c>
    </row>
    <row r="269">
      <c r="A269" t="s">
        <v>1714</v>
      </c>
      <c r="B269" s="2">
        <v>125.0</v>
      </c>
      <c r="C269">
        <v>1.0</v>
      </c>
    </row>
    <row r="270">
      <c r="A270" t="s">
        <v>2498</v>
      </c>
      <c r="B270" s="2">
        <v>125.0</v>
      </c>
      <c r="C270">
        <v>1.0</v>
      </c>
    </row>
    <row r="271">
      <c r="A271" t="s">
        <v>1898</v>
      </c>
      <c r="B271" s="2">
        <v>125.0</v>
      </c>
      <c r="C271">
        <v>5.0</v>
      </c>
    </row>
    <row r="272">
      <c r="A272" t="s">
        <v>2457</v>
      </c>
      <c r="B272" s="2">
        <v>123.0</v>
      </c>
      <c r="C272">
        <v>1.0</v>
      </c>
    </row>
    <row r="273">
      <c r="A273" t="s">
        <v>1533</v>
      </c>
      <c r="B273" s="2">
        <v>123.0</v>
      </c>
      <c r="C273">
        <v>1.0</v>
      </c>
    </row>
    <row r="274">
      <c r="A274" t="s">
        <v>981</v>
      </c>
      <c r="B274" s="2">
        <v>122.5</v>
      </c>
      <c r="C274">
        <v>2.0</v>
      </c>
    </row>
    <row r="275">
      <c r="A275" t="s">
        <v>2140</v>
      </c>
      <c r="B275" s="2">
        <v>121.0</v>
      </c>
      <c r="C275">
        <v>1.0</v>
      </c>
    </row>
    <row r="276">
      <c r="A276" t="s">
        <v>2508</v>
      </c>
      <c r="B276" s="2">
        <v>121.0</v>
      </c>
      <c r="C276">
        <v>1.0</v>
      </c>
    </row>
    <row r="277">
      <c r="A277" t="s">
        <v>2555</v>
      </c>
      <c r="B277" s="2">
        <v>120.0</v>
      </c>
      <c r="C277">
        <v>1.0</v>
      </c>
    </row>
    <row r="278">
      <c r="A278" t="s">
        <v>2101</v>
      </c>
      <c r="B278" s="2">
        <v>120.0</v>
      </c>
      <c r="C278">
        <v>1.0</v>
      </c>
    </row>
    <row r="279">
      <c r="A279" t="s">
        <v>2074</v>
      </c>
      <c r="B279" s="2">
        <v>120.0</v>
      </c>
      <c r="C279">
        <v>2.0</v>
      </c>
    </row>
    <row r="280">
      <c r="A280" t="s">
        <v>1827</v>
      </c>
      <c r="B280" s="2">
        <v>120.0</v>
      </c>
      <c r="C280">
        <v>1.0</v>
      </c>
    </row>
    <row r="281">
      <c r="A281" t="s">
        <v>1675</v>
      </c>
      <c r="B281" s="2">
        <v>120.0</v>
      </c>
      <c r="C281">
        <v>1.0</v>
      </c>
    </row>
    <row r="282">
      <c r="A282" t="s">
        <v>1682</v>
      </c>
      <c r="B282" s="2">
        <v>119.0</v>
      </c>
      <c r="C282">
        <v>1.0</v>
      </c>
    </row>
    <row r="283">
      <c r="A283" t="s">
        <v>1323</v>
      </c>
      <c r="B283" s="2">
        <v>116.0</v>
      </c>
      <c r="C283">
        <v>2.0</v>
      </c>
    </row>
    <row r="284">
      <c r="A284" t="s">
        <v>711</v>
      </c>
      <c r="B284" s="2">
        <v>115.0</v>
      </c>
      <c r="C284">
        <v>1.0</v>
      </c>
    </row>
    <row r="285">
      <c r="A285" t="s">
        <v>1593</v>
      </c>
      <c r="B285" s="2">
        <v>115.0</v>
      </c>
      <c r="C285">
        <v>1.0</v>
      </c>
    </row>
    <row r="286">
      <c r="A286" t="s">
        <v>2296</v>
      </c>
      <c r="B286" s="2">
        <v>113.0</v>
      </c>
      <c r="C286">
        <v>1.0</v>
      </c>
    </row>
    <row r="287">
      <c r="A287" t="s">
        <v>1535</v>
      </c>
      <c r="B287" s="2">
        <v>110.0</v>
      </c>
      <c r="C287">
        <v>1.0</v>
      </c>
    </row>
    <row r="288">
      <c r="A288" t="s">
        <v>1945</v>
      </c>
      <c r="B288" s="2">
        <v>110.0</v>
      </c>
      <c r="C288">
        <v>1.0</v>
      </c>
    </row>
    <row r="289">
      <c r="A289" t="s">
        <v>1810</v>
      </c>
      <c r="B289" s="2">
        <v>108.0</v>
      </c>
      <c r="C289">
        <v>1.0</v>
      </c>
    </row>
    <row r="290">
      <c r="A290" t="s">
        <v>2150</v>
      </c>
      <c r="B290" s="2">
        <v>108.0</v>
      </c>
      <c r="C290">
        <v>1.0</v>
      </c>
    </row>
    <row r="291">
      <c r="A291" t="s">
        <v>480</v>
      </c>
      <c r="B291" s="2">
        <v>107.0</v>
      </c>
      <c r="C291">
        <v>1.0</v>
      </c>
    </row>
    <row r="292">
      <c r="A292" t="s">
        <v>1697</v>
      </c>
      <c r="B292" s="2">
        <v>104.0</v>
      </c>
      <c r="C292">
        <v>1.0</v>
      </c>
    </row>
    <row r="293">
      <c r="A293" t="s">
        <v>2080</v>
      </c>
      <c r="B293" s="2">
        <v>103.0</v>
      </c>
      <c r="C293">
        <v>1.0</v>
      </c>
    </row>
    <row r="294">
      <c r="A294" t="s">
        <v>2268</v>
      </c>
      <c r="B294" s="2">
        <v>100.0</v>
      </c>
      <c r="C294">
        <v>1.0</v>
      </c>
    </row>
    <row r="295">
      <c r="A295" t="s">
        <v>1877</v>
      </c>
      <c r="B295" s="2">
        <v>100.0</v>
      </c>
      <c r="C295">
        <v>1.0</v>
      </c>
    </row>
    <row r="296">
      <c r="A296" t="s">
        <v>2246</v>
      </c>
      <c r="B296" s="2">
        <v>100.0</v>
      </c>
      <c r="C296">
        <v>1.0</v>
      </c>
    </row>
    <row r="297">
      <c r="A297" t="s">
        <v>1608</v>
      </c>
      <c r="B297" s="2">
        <v>100.0</v>
      </c>
      <c r="C297">
        <v>1.0</v>
      </c>
    </row>
    <row r="298">
      <c r="A298" t="s">
        <v>1863</v>
      </c>
      <c r="B298" s="2">
        <v>95.0</v>
      </c>
      <c r="C298">
        <v>1.0</v>
      </c>
    </row>
    <row r="299">
      <c r="A299" t="s">
        <v>2278</v>
      </c>
      <c r="B299" s="2">
        <v>94.0</v>
      </c>
      <c r="C299">
        <v>1.0</v>
      </c>
    </row>
    <row r="300">
      <c r="A300" t="s">
        <v>1597</v>
      </c>
      <c r="B300" s="2">
        <v>92.0</v>
      </c>
      <c r="C300">
        <v>1.0</v>
      </c>
    </row>
    <row r="301">
      <c r="A301" t="s">
        <v>791</v>
      </c>
      <c r="B301" s="2">
        <v>91.0</v>
      </c>
      <c r="C301">
        <v>2.0</v>
      </c>
    </row>
    <row r="302">
      <c r="A302" t="s">
        <v>1996</v>
      </c>
      <c r="B302" s="2">
        <v>87.0</v>
      </c>
      <c r="C302">
        <v>1.0</v>
      </c>
    </row>
    <row r="303">
      <c r="A303" t="s">
        <v>1441</v>
      </c>
      <c r="B303" s="2">
        <v>78.0</v>
      </c>
      <c r="C303">
        <v>1.0</v>
      </c>
    </row>
    <row r="304">
      <c r="A304" t="s">
        <v>2095</v>
      </c>
      <c r="B304" s="2">
        <v>75.0</v>
      </c>
      <c r="C304">
        <v>1.0</v>
      </c>
    </row>
    <row r="305">
      <c r="A305" t="s">
        <v>1689</v>
      </c>
      <c r="B305" s="2">
        <v>71.0</v>
      </c>
      <c r="C305">
        <v>1.0</v>
      </c>
    </row>
    <row r="306">
      <c r="A306" t="s">
        <v>1237</v>
      </c>
      <c r="B306" s="2">
        <v>70.0</v>
      </c>
      <c r="C306">
        <v>1.0</v>
      </c>
    </row>
    <row r="307">
      <c r="A307" t="s">
        <v>2530</v>
      </c>
      <c r="B307" s="2">
        <v>64.0</v>
      </c>
      <c r="C307">
        <v>1.0</v>
      </c>
    </row>
    <row r="308">
      <c r="A308" t="s">
        <v>2174</v>
      </c>
      <c r="B308" s="2">
        <v>60.0</v>
      </c>
      <c r="C308">
        <v>1.0</v>
      </c>
    </row>
    <row r="309">
      <c r="A309" t="s">
        <v>1743</v>
      </c>
      <c r="B309" s="2">
        <v>60.0</v>
      </c>
      <c r="C309">
        <v>1.0</v>
      </c>
    </row>
    <row r="310">
      <c r="A310" t="s">
        <v>1527</v>
      </c>
      <c r="B310" s="2">
        <v>60.0</v>
      </c>
      <c r="C310">
        <v>1.0</v>
      </c>
    </row>
    <row r="311">
      <c r="A311" t="s">
        <v>1474</v>
      </c>
      <c r="B311" s="2">
        <v>50.0</v>
      </c>
      <c r="C311">
        <v>1.0</v>
      </c>
    </row>
    <row r="312">
      <c r="A312" t="s">
        <v>1693</v>
      </c>
      <c r="B312" s="2">
        <v>40.0</v>
      </c>
      <c r="C312">
        <v>1.0</v>
      </c>
    </row>
    <row r="313">
      <c r="A313" t="s">
        <v>2283</v>
      </c>
      <c r="B313" s="2">
        <v>40.0</v>
      </c>
      <c r="C313">
        <v>1.0</v>
      </c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autoFilter ref="$A$2:$C$165">
    <filterColumn colId="2">
      <customFilters>
        <customFilter operator="greaterThan" val="3"/>
      </customFilters>
    </filterColumn>
    <filterColumn colId="0">
      <filters>
        <filter val="Software "/>
        <filter val="Platform"/>
        <filter val="Cloud Services"/>
        <filter val="Design "/>
        <filter val="HW Architect"/>
        <filter val="Awesome"/>
        <filter val="PaaS "/>
        <filter val="Payments"/>
        <filter val="Product"/>
        <filter val="Security"/>
        <filter val="iOS"/>
        <filter val="HW"/>
        <filter val="Modem HW"/>
        <filter val="Last Mile Experience"/>
        <filter val="Sales Operation"/>
        <filter val="Self Driving"/>
        <filter val="Application development"/>
        <filter val="Operating System"/>
        <filter val="Business Development"/>
        <filter val="WDG"/>
        <filter val="UX Manager"/>
        <filter val="Hi"/>
        <filter val="Google"/>
        <filter val="Strategist"/>
        <filter val="devices"/>
        <filter val="AI"/>
        <filter val="System design"/>
        <filter val="IT"/>
        <filter val="Logic Design"/>
        <filter val="API Development (Back-End)"/>
        <filter val="Product management"/>
        <filter val="AR"/>
        <filter val="Game"/>
        <filter val="Real Estate"/>
        <filter val="Product manager "/>
        <filter val="Embedded Development"/>
        <filter val="Computer Vision"/>
        <filter val="IT App Dev Engineer"/>
        <filter val="Compilers"/>
        <filter val="Dev Tools"/>
        <filter val="BD"/>
        <filter val="other"/>
        <filter val="consumer electronics"/>
        <filter val="Networking"/>
        <filter val="Traffic"/>
        <filter val="Research"/>
        <filter val="Machine Learning"/>
        <filter val="Data Science"/>
        <filter val="ML / AI"/>
        <filter val="Innovation"/>
        <filter val="Sales"/>
        <filter val="PM, TPM"/>
        <filter val="Enterprise Software"/>
        <filter val="IT "/>
        <filter val="Infrastructure"/>
        <filter val="Dev infra"/>
        <filter val="Web Development (Front-End)"/>
        <filter val="Systems Design"/>
        <filter val="Hardware Manufacturing"/>
        <filter val="Tools"/>
        <filter val="Full Stack"/>
        <filter val="System SW"/>
        <filter val="Operating Systems"/>
        <filter val="Distributed Systems (Back-End)"/>
        <filter val="Telecom"/>
        <filter val="Program Management"/>
        <filter val="Marketplace"/>
        <filter val="Hardware Infrastructure"/>
        <filter val="CX"/>
        <filter val="Rendering"/>
        <filter val="Industry Cloud"/>
        <filter val="Enterprise"/>
        <filter val="Data Analysis"/>
        <filter val="Healthcare"/>
        <filter val="Virtual Reality"/>
        <filter val="Power"/>
        <filter val="Wireless"/>
        <filter val="Ad measurement "/>
        <filter val="self driving, simulation"/>
        <filter val="Sales and Marketing"/>
        <filter val="Infra"/>
        <filter val="CPU"/>
        <filter val="Anti-Abuse"/>
        <filter val="Ads "/>
        <filter val="Consumer "/>
        <filter val="Ads"/>
        <filter val="Retail"/>
        <filter val="eCommerce"/>
        <filter val="Field Application Engineering"/>
        <filter val="Education"/>
        <filter val="Technology"/>
        <filter val="Data Science Manager"/>
        <filter val="Product leader"/>
        <filter val="Future stuff"/>
        <filter val="ML"/>
        <filter val="Tech Recruiting "/>
        <filter val="Azure"/>
        <filter val="Product Manager"/>
        <filter val="Architecture"/>
        <filter val="System Software"/>
        <filter val="Technical Product Management "/>
        <filter val="Dj"/>
        <filter val="Systems"/>
        <filter val="Android"/>
        <filter val="Testing (SDET)"/>
        <filter val="DevOps"/>
        <filter val="Storage"/>
        <filter val="Games"/>
        <filter val="Design Management"/>
        <filter val="Digital Design"/>
        <filter val="Logistics"/>
        <filter val="Memberships"/>
        <filter val="Database Administration"/>
        <filter val="Product Owner"/>
        <filter val="Data Engineering"/>
        <filter val="SRE"/>
        <filter val="System Programming"/>
        <filter val="Engineering"/>
        <filter val="Cloud "/>
        <filter val="Director of IT"/>
        <filter val="Azure Cloud"/>
        <filter val="snapdragon"/>
        <filter val="alliances"/>
        <filter val="Desktop development"/>
        <filter val="Hardware"/>
        <filter val="Aws"/>
        <filter val="Platform Tools"/>
        <filter val="Salesforce"/>
        <filter val="AR/VR"/>
        <filter val="Product management "/>
        <filter val="Mobile (iOS + Android)"/>
        <filter val="Systems software"/>
        <filter val="Product Design"/>
        <filter val="AV Eng"/>
        <filter val="Finance"/>
        <filter val="BAG"/>
        <filter val="General Software Engineering"/>
        <filter val="Product Analytics"/>
        <filter val="Data"/>
        <filter val="Management"/>
        <filter val="analog circuit"/>
        <filter val="Business Development "/>
        <filter val="Analytics"/>
        <filter val="Hardware/Sys/FW"/>
        <filter val="Mechanical Engineer"/>
        <filter val="special"/>
        <filter val="ECONOMETRICS"/>
        <filter val="Solution Mgt"/>
        <filter val="sensors"/>
        <filter val="PC"/>
        <filter val="Desktop"/>
        <filter val="Web Design"/>
        <filter val="Cloud"/>
        <filter val="Hardware Engineering"/>
        <filter val="Oracle applications"/>
        <filter val="IT Program Manager"/>
        <filter val="Exp"/>
        <filter val="PL"/>
        <filter val="Voice"/>
        <filter val="Game Development"/>
        <filter val="PM"/>
        <filter val="Software engineering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" t="s">
        <v>2739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2657</v>
      </c>
      <c r="B1" s="19" t="s">
        <v>2</v>
      </c>
    </row>
    <row r="2" hidden="1">
      <c r="A2" s="32">
        <f>IFERROR(__xludf.DUMMYFUNCTION("Arrayformula(TO_DATE('Form Responses'!A6:A4506))"),42893.48156550926)</f>
        <v>42893.48157</v>
      </c>
      <c r="B2" s="33" t="str">
        <f t="array" ref="B2:B4367">PROPER(TRIM(SUBSTITUTE(LOWER('Form Responses'!B6:B4506), ".com", "")))</f>
        <v>Oracle</v>
      </c>
    </row>
    <row r="3" hidden="1">
      <c r="A3" s="32">
        <f>IFERROR(__xludf.DUMMYFUNCTION("""COMPUTED_VALUE"""),42896.7163134838)</f>
        <v>42896.71631</v>
      </c>
      <c r="B3" t="s">
        <v>282</v>
      </c>
    </row>
    <row r="4" hidden="1">
      <c r="A4" s="32">
        <f>IFERROR(__xludf.DUMMYFUNCTION("""COMPUTED_VALUE"""),42897.62079364584)</f>
        <v>42897.62079</v>
      </c>
      <c r="B4" t="s">
        <v>33</v>
      </c>
    </row>
    <row r="5" hidden="1">
      <c r="A5" s="32">
        <f>IFERROR(__xludf.DUMMYFUNCTION("""COMPUTED_VALUE"""),42899.233059907405)</f>
        <v>42899.23306</v>
      </c>
      <c r="B5" t="s">
        <v>36</v>
      </c>
    </row>
    <row r="6" hidden="1">
      <c r="A6" s="32">
        <f>IFERROR(__xludf.DUMMYFUNCTION("""COMPUTED_VALUE"""),42900.89056260417)</f>
        <v>42900.89056</v>
      </c>
      <c r="B6" t="s">
        <v>40</v>
      </c>
    </row>
    <row r="7" hidden="1">
      <c r="A7" s="32">
        <f>IFERROR(__xludf.DUMMYFUNCTION("""COMPUTED_VALUE"""),42902.44723494213)</f>
        <v>42902.44723</v>
      </c>
      <c r="B7" t="s">
        <v>33</v>
      </c>
    </row>
    <row r="8" hidden="1">
      <c r="A8" s="32">
        <f>IFERROR(__xludf.DUMMYFUNCTION("""COMPUTED_VALUE"""),42903.01613089121)</f>
        <v>42903.01613</v>
      </c>
      <c r="B8" t="s">
        <v>45</v>
      </c>
    </row>
    <row r="9" hidden="1">
      <c r="A9" s="32">
        <f>IFERROR(__xludf.DUMMYFUNCTION("""COMPUTED_VALUE"""),42904.98426611111)</f>
        <v>42904.98427</v>
      </c>
      <c r="B9" t="s">
        <v>48</v>
      </c>
    </row>
    <row r="10" hidden="1">
      <c r="A10" s="32">
        <f>IFERROR(__xludf.DUMMYFUNCTION("""COMPUTED_VALUE"""),42906.45753542824)</f>
        <v>42906.45754</v>
      </c>
      <c r="B10" t="s">
        <v>40</v>
      </c>
    </row>
    <row r="11" hidden="1">
      <c r="A11" s="32">
        <f>IFERROR(__xludf.DUMMYFUNCTION("""COMPUTED_VALUE"""),42906.784706817125)</f>
        <v>42906.78471</v>
      </c>
      <c r="B11" t="s">
        <v>33</v>
      </c>
    </row>
    <row r="12" hidden="1">
      <c r="A12" s="32">
        <f>IFERROR(__xludf.DUMMYFUNCTION("""COMPUTED_VALUE"""),42907.72762908565)</f>
        <v>42907.72763</v>
      </c>
      <c r="B12" t="s">
        <v>40</v>
      </c>
    </row>
    <row r="13" hidden="1">
      <c r="A13" s="32">
        <f>IFERROR(__xludf.DUMMYFUNCTION("""COMPUTED_VALUE"""),42908.52628917824)</f>
        <v>42908.52629</v>
      </c>
      <c r="B13" t="s">
        <v>40</v>
      </c>
    </row>
    <row r="14" hidden="1">
      <c r="A14" s="32">
        <f>IFERROR(__xludf.DUMMYFUNCTION("""COMPUTED_VALUE"""),42908.580163819446)</f>
        <v>42908.58016</v>
      </c>
      <c r="B14" t="s">
        <v>40</v>
      </c>
    </row>
    <row r="15" hidden="1">
      <c r="A15" s="32">
        <f>IFERROR(__xludf.DUMMYFUNCTION("""COMPUTED_VALUE"""),42908.90263420139)</f>
        <v>42908.90263</v>
      </c>
      <c r="B15" t="s">
        <v>36</v>
      </c>
    </row>
    <row r="16" hidden="1">
      <c r="A16" s="32">
        <f>IFERROR(__xludf.DUMMYFUNCTION("""COMPUTED_VALUE"""),42908.96406857639)</f>
        <v>42908.96407</v>
      </c>
      <c r="B16" t="s">
        <v>40</v>
      </c>
    </row>
    <row r="17" hidden="1">
      <c r="A17" s="32">
        <f>IFERROR(__xludf.DUMMYFUNCTION("""COMPUTED_VALUE"""),42912.89288005787)</f>
        <v>42912.89288</v>
      </c>
      <c r="B17" t="s">
        <v>40</v>
      </c>
    </row>
    <row r="18" hidden="1">
      <c r="A18" s="32">
        <f>IFERROR(__xludf.DUMMYFUNCTION("""COMPUTED_VALUE"""),42915.634910162036)</f>
        <v>42915.63491</v>
      </c>
      <c r="B18" t="s">
        <v>40</v>
      </c>
    </row>
    <row r="19" hidden="1">
      <c r="A19" s="32">
        <f>IFERROR(__xludf.DUMMYFUNCTION("""COMPUTED_VALUE"""),42916.68738912037)</f>
        <v>42916.68739</v>
      </c>
      <c r="B19" t="s">
        <v>119</v>
      </c>
    </row>
    <row r="20" hidden="1">
      <c r="A20" s="32">
        <f>IFERROR(__xludf.DUMMYFUNCTION("""COMPUTED_VALUE"""),42918.59504039352)</f>
        <v>42918.59504</v>
      </c>
      <c r="B20" t="s">
        <v>40</v>
      </c>
    </row>
    <row r="21" hidden="1">
      <c r="A21" s="32">
        <f>IFERROR(__xludf.DUMMYFUNCTION("""COMPUTED_VALUE"""),42919.81121290509)</f>
        <v>42919.81121</v>
      </c>
      <c r="B21" t="s">
        <v>40</v>
      </c>
    </row>
    <row r="22" hidden="1">
      <c r="A22" s="32">
        <f>IFERROR(__xludf.DUMMYFUNCTION("""COMPUTED_VALUE"""),42923.93719703704)</f>
        <v>42923.9372</v>
      </c>
      <c r="B22" t="s">
        <v>40</v>
      </c>
    </row>
    <row r="23" hidden="1">
      <c r="A23" s="32">
        <f>IFERROR(__xludf.DUMMYFUNCTION("""COMPUTED_VALUE"""),42924.61224957176)</f>
        <v>42924.61225</v>
      </c>
      <c r="B23" t="s">
        <v>40</v>
      </c>
    </row>
    <row r="24" hidden="1">
      <c r="A24" s="32">
        <f>IFERROR(__xludf.DUMMYFUNCTION("""COMPUTED_VALUE"""),42930.900174016206)</f>
        <v>42930.90017</v>
      </c>
      <c r="B24" t="s">
        <v>33</v>
      </c>
    </row>
    <row r="25" hidden="1">
      <c r="A25" s="32">
        <f>IFERROR(__xludf.DUMMYFUNCTION("""COMPUTED_VALUE"""),42932.00273532407)</f>
        <v>42932.00274</v>
      </c>
      <c r="B25" t="s">
        <v>2658</v>
      </c>
    </row>
    <row r="26" hidden="1">
      <c r="A26" s="32">
        <f>IFERROR(__xludf.DUMMYFUNCTION("""COMPUTED_VALUE"""),42932.70192148148)</f>
        <v>42932.70192</v>
      </c>
      <c r="B26" t="s">
        <v>33</v>
      </c>
    </row>
    <row r="27" hidden="1">
      <c r="A27" s="32">
        <f>IFERROR(__xludf.DUMMYFUNCTION("""COMPUTED_VALUE"""),42933.910321944444)</f>
        <v>42933.91032</v>
      </c>
      <c r="B27" t="s">
        <v>48</v>
      </c>
    </row>
    <row r="28" hidden="1">
      <c r="A28" s="32">
        <f>IFERROR(__xludf.DUMMYFUNCTION("""COMPUTED_VALUE"""),42936.94153696759)</f>
        <v>42936.94154</v>
      </c>
      <c r="B28" t="s">
        <v>48</v>
      </c>
    </row>
    <row r="29" hidden="1">
      <c r="A29" s="32">
        <f>IFERROR(__xludf.DUMMYFUNCTION("""COMPUTED_VALUE"""),42937.64922681713)</f>
        <v>42937.64923</v>
      </c>
      <c r="B29" t="s">
        <v>48</v>
      </c>
    </row>
    <row r="30" hidden="1">
      <c r="A30" s="32">
        <f>IFERROR(__xludf.DUMMYFUNCTION("""COMPUTED_VALUE"""),42938.930755775466)</f>
        <v>42938.93076</v>
      </c>
      <c r="B30" t="s">
        <v>36</v>
      </c>
    </row>
    <row r="31" hidden="1">
      <c r="A31" s="32">
        <f>IFERROR(__xludf.DUMMYFUNCTION("""COMPUTED_VALUE"""),42940.514669236116)</f>
        <v>42940.51467</v>
      </c>
      <c r="B31" t="s">
        <v>45</v>
      </c>
    </row>
    <row r="32" hidden="1">
      <c r="A32" s="32">
        <f>IFERROR(__xludf.DUMMYFUNCTION("""COMPUTED_VALUE"""),42940.96850732639)</f>
        <v>42940.96851</v>
      </c>
      <c r="B32" t="s">
        <v>40</v>
      </c>
    </row>
    <row r="33" hidden="1">
      <c r="A33" s="32">
        <f>IFERROR(__xludf.DUMMYFUNCTION("""COMPUTED_VALUE"""),42941.45941328704)</f>
        <v>42941.45941</v>
      </c>
      <c r="B33" t="s">
        <v>33</v>
      </c>
    </row>
    <row r="34" hidden="1">
      <c r="A34" s="32">
        <f>IFERROR(__xludf.DUMMYFUNCTION("""COMPUTED_VALUE"""),42941.614500578704)</f>
        <v>42941.6145</v>
      </c>
      <c r="B34" t="s">
        <v>77</v>
      </c>
    </row>
    <row r="35" hidden="1">
      <c r="A35" s="32">
        <f>IFERROR(__xludf.DUMMYFUNCTION("""COMPUTED_VALUE"""),42941.807371574076)</f>
        <v>42941.80737</v>
      </c>
      <c r="B35" t="s">
        <v>80</v>
      </c>
    </row>
    <row r="36" hidden="1">
      <c r="A36" s="32">
        <f>IFERROR(__xludf.DUMMYFUNCTION("""COMPUTED_VALUE"""),42944.649097511574)</f>
        <v>42944.6491</v>
      </c>
      <c r="B36" t="s">
        <v>119</v>
      </c>
    </row>
    <row r="37" hidden="1">
      <c r="A37" s="32">
        <f>IFERROR(__xludf.DUMMYFUNCTION("""COMPUTED_VALUE"""),42945.81754553241)</f>
        <v>42945.81755</v>
      </c>
      <c r="B37" t="s">
        <v>40</v>
      </c>
    </row>
    <row r="38" hidden="1">
      <c r="A38" s="32">
        <f>IFERROR(__xludf.DUMMYFUNCTION("""COMPUTED_VALUE"""),42945.83065204861)</f>
        <v>42945.83065</v>
      </c>
      <c r="B38" t="s">
        <v>40</v>
      </c>
    </row>
    <row r="39" hidden="1">
      <c r="A39" s="32">
        <f>IFERROR(__xludf.DUMMYFUNCTION("""COMPUTED_VALUE"""),42947.662698796295)</f>
        <v>42947.6627</v>
      </c>
      <c r="B39" t="s">
        <v>33</v>
      </c>
    </row>
    <row r="40" hidden="1">
      <c r="A40" s="32">
        <f>IFERROR(__xludf.DUMMYFUNCTION("""COMPUTED_VALUE"""),42947.66321012731)</f>
        <v>42947.66321</v>
      </c>
      <c r="B40" t="s">
        <v>33</v>
      </c>
    </row>
    <row r="41" hidden="1">
      <c r="A41" s="32">
        <f>IFERROR(__xludf.DUMMYFUNCTION("""COMPUTED_VALUE"""),42948.53826702546)</f>
        <v>42948.53827</v>
      </c>
      <c r="B41" t="s">
        <v>40</v>
      </c>
    </row>
    <row r="42" hidden="1">
      <c r="A42" s="32">
        <f>IFERROR(__xludf.DUMMYFUNCTION("""COMPUTED_VALUE"""),42948.57423641204)</f>
        <v>42948.57424</v>
      </c>
      <c r="B42" t="s">
        <v>40</v>
      </c>
    </row>
    <row r="43" hidden="1">
      <c r="A43" s="32">
        <f>IFERROR(__xludf.DUMMYFUNCTION("""COMPUTED_VALUE"""),42951.11319172454)</f>
        <v>42951.11319</v>
      </c>
      <c r="B43" t="s">
        <v>25</v>
      </c>
    </row>
    <row r="44" hidden="1">
      <c r="A44" s="32">
        <f>IFERROR(__xludf.DUMMYFUNCTION("""COMPUTED_VALUE"""),42951.46114800926)</f>
        <v>42951.46115</v>
      </c>
      <c r="B44" t="s">
        <v>40</v>
      </c>
    </row>
    <row r="45" hidden="1">
      <c r="A45" s="32">
        <f>IFERROR(__xludf.DUMMYFUNCTION("""COMPUTED_VALUE"""),42953.5164634838)</f>
        <v>42953.51646</v>
      </c>
      <c r="B45" t="s">
        <v>40</v>
      </c>
    </row>
    <row r="46" hidden="1">
      <c r="A46" s="32">
        <f>IFERROR(__xludf.DUMMYFUNCTION("""COMPUTED_VALUE"""),42953.932664340275)</f>
        <v>42953.93266</v>
      </c>
      <c r="B46" t="s">
        <v>45</v>
      </c>
    </row>
    <row r="47" hidden="1">
      <c r="A47" s="32">
        <f>IFERROR(__xludf.DUMMYFUNCTION("""COMPUTED_VALUE"""),42953.93515734954)</f>
        <v>42953.93516</v>
      </c>
      <c r="B47" t="s">
        <v>40</v>
      </c>
    </row>
    <row r="48" hidden="1">
      <c r="A48" s="32">
        <f>IFERROR(__xludf.DUMMYFUNCTION("""COMPUTED_VALUE"""),42953.98160372685)</f>
        <v>42953.9816</v>
      </c>
      <c r="B48" t="s">
        <v>33</v>
      </c>
    </row>
    <row r="49" hidden="1">
      <c r="A49" s="32">
        <f>IFERROR(__xludf.DUMMYFUNCTION("""COMPUTED_VALUE"""),42954.08944001158)</f>
        <v>42954.08944</v>
      </c>
      <c r="B49" t="s">
        <v>80</v>
      </c>
    </row>
    <row r="50" hidden="1">
      <c r="A50" s="32">
        <f>IFERROR(__xludf.DUMMYFUNCTION("""COMPUTED_VALUE"""),42954.47217591435)</f>
        <v>42954.47218</v>
      </c>
      <c r="B50" t="s">
        <v>80</v>
      </c>
    </row>
    <row r="51" hidden="1">
      <c r="A51" s="32">
        <f>IFERROR(__xludf.DUMMYFUNCTION("""COMPUTED_VALUE"""),42955.24612321759)</f>
        <v>42955.24612</v>
      </c>
      <c r="B51" t="s">
        <v>33</v>
      </c>
    </row>
    <row r="52" hidden="1">
      <c r="A52" s="32">
        <f>IFERROR(__xludf.DUMMYFUNCTION("""COMPUTED_VALUE"""),42955.593357199075)</f>
        <v>42955.59336</v>
      </c>
      <c r="B52" t="s">
        <v>95</v>
      </c>
    </row>
    <row r="53" hidden="1">
      <c r="A53" s="32">
        <f>IFERROR(__xludf.DUMMYFUNCTION("""COMPUTED_VALUE"""),42957.75397556713)</f>
        <v>42957.75398</v>
      </c>
      <c r="B53" t="s">
        <v>45</v>
      </c>
    </row>
    <row r="54" hidden="1">
      <c r="A54" s="32">
        <f>IFERROR(__xludf.DUMMYFUNCTION("""COMPUTED_VALUE"""),42960.45690251158)</f>
        <v>42960.4569</v>
      </c>
      <c r="B54" t="s">
        <v>33</v>
      </c>
    </row>
    <row r="55" hidden="1">
      <c r="A55" s="32">
        <f>IFERROR(__xludf.DUMMYFUNCTION("""COMPUTED_VALUE"""),42963.809604814815)</f>
        <v>42963.8096</v>
      </c>
      <c r="B55" t="s">
        <v>33</v>
      </c>
    </row>
    <row r="56" hidden="1">
      <c r="A56" s="32">
        <f>IFERROR(__xludf.DUMMYFUNCTION("""COMPUTED_VALUE"""),42964.53141939815)</f>
        <v>42964.53142</v>
      </c>
      <c r="B56" t="s">
        <v>40</v>
      </c>
    </row>
    <row r="57" hidden="1">
      <c r="A57" s="32">
        <f>IFERROR(__xludf.DUMMYFUNCTION("""COMPUTED_VALUE"""),42964.859245416665)</f>
        <v>42964.85925</v>
      </c>
      <c r="B57" t="s">
        <v>36</v>
      </c>
    </row>
    <row r="58" hidden="1">
      <c r="A58" s="32">
        <f>IFERROR(__xludf.DUMMYFUNCTION("""COMPUTED_VALUE"""),42965.91497596065)</f>
        <v>42965.91498</v>
      </c>
      <c r="B58" t="s">
        <v>45</v>
      </c>
    </row>
    <row r="59" hidden="1">
      <c r="A59" s="32">
        <f>IFERROR(__xludf.DUMMYFUNCTION("""COMPUTED_VALUE"""),42967.05615766204)</f>
        <v>42967.05616</v>
      </c>
      <c r="B59" t="s">
        <v>119</v>
      </c>
    </row>
    <row r="60" hidden="1">
      <c r="A60" s="32">
        <f>IFERROR(__xludf.DUMMYFUNCTION("""COMPUTED_VALUE"""),42967.41172452546)</f>
        <v>42967.41172</v>
      </c>
      <c r="B60" t="s">
        <v>40</v>
      </c>
    </row>
    <row r="61" hidden="1">
      <c r="A61" s="32">
        <f>IFERROR(__xludf.DUMMYFUNCTION("""COMPUTED_VALUE"""),42967.80314236111)</f>
        <v>42967.80314</v>
      </c>
      <c r="B61" t="s">
        <v>45</v>
      </c>
    </row>
    <row r="62" hidden="1">
      <c r="A62" s="32">
        <f>IFERROR(__xludf.DUMMYFUNCTION("""COMPUTED_VALUE"""),42968.55493266204)</f>
        <v>42968.55493</v>
      </c>
      <c r="B62" t="s">
        <v>105</v>
      </c>
    </row>
    <row r="63" hidden="1">
      <c r="A63" s="32">
        <f>IFERROR(__xludf.DUMMYFUNCTION("""COMPUTED_VALUE"""),42969.77958649305)</f>
        <v>42969.77959</v>
      </c>
      <c r="B63" t="s">
        <v>40</v>
      </c>
    </row>
    <row r="64" hidden="1">
      <c r="A64" s="32">
        <f>IFERROR(__xludf.DUMMYFUNCTION("""COMPUTED_VALUE"""),42970.701116412034)</f>
        <v>42970.70112</v>
      </c>
      <c r="B64" t="s">
        <v>40</v>
      </c>
    </row>
    <row r="65" hidden="1">
      <c r="A65" s="32">
        <f>IFERROR(__xludf.DUMMYFUNCTION("""COMPUTED_VALUE"""),42970.99591238426)</f>
        <v>42970.99591</v>
      </c>
      <c r="B65" t="s">
        <v>33</v>
      </c>
    </row>
    <row r="66" hidden="1">
      <c r="A66" s="32">
        <f>IFERROR(__xludf.DUMMYFUNCTION("""COMPUTED_VALUE"""),42971.30744517361)</f>
        <v>42971.30745</v>
      </c>
      <c r="B66" t="s">
        <v>33</v>
      </c>
    </row>
    <row r="67" hidden="1">
      <c r="A67" s="32">
        <f>IFERROR(__xludf.DUMMYFUNCTION("""COMPUTED_VALUE"""),42971.471040868055)</f>
        <v>42971.47104</v>
      </c>
      <c r="B67" t="s">
        <v>109</v>
      </c>
    </row>
    <row r="68" hidden="1">
      <c r="A68" s="32">
        <f>IFERROR(__xludf.DUMMYFUNCTION("""COMPUTED_VALUE"""),42971.751340069444)</f>
        <v>42971.75134</v>
      </c>
      <c r="B68" t="s">
        <v>36</v>
      </c>
    </row>
    <row r="69" hidden="1">
      <c r="A69" s="32">
        <f>IFERROR(__xludf.DUMMYFUNCTION("""COMPUTED_VALUE"""),42971.96794340278)</f>
        <v>42971.96794</v>
      </c>
      <c r="B69" t="s">
        <v>33</v>
      </c>
    </row>
    <row r="70" hidden="1">
      <c r="A70" s="32">
        <f>IFERROR(__xludf.DUMMYFUNCTION("""COMPUTED_VALUE"""),42971.99348319444)</f>
        <v>42971.99348</v>
      </c>
      <c r="B70" t="s">
        <v>25</v>
      </c>
    </row>
    <row r="71" hidden="1">
      <c r="A71" s="32">
        <f>IFERROR(__xludf.DUMMYFUNCTION("""COMPUTED_VALUE"""),42971.99686565972)</f>
        <v>42971.99687</v>
      </c>
      <c r="B71" t="s">
        <v>282</v>
      </c>
    </row>
    <row r="72" hidden="1">
      <c r="A72" s="32">
        <f>IFERROR(__xludf.DUMMYFUNCTION("""COMPUTED_VALUE"""),42976.92616592592)</f>
        <v>42976.92617</v>
      </c>
      <c r="B72" t="s">
        <v>77</v>
      </c>
    </row>
    <row r="73" hidden="1">
      <c r="A73" s="32">
        <f>IFERROR(__xludf.DUMMYFUNCTION("""COMPUTED_VALUE"""),42977.35481884259)</f>
        <v>42977.35482</v>
      </c>
      <c r="B73" t="s">
        <v>45</v>
      </c>
    </row>
    <row r="74" hidden="1">
      <c r="A74" s="32">
        <f>IFERROR(__xludf.DUMMYFUNCTION("""COMPUTED_VALUE"""),42978.363835219905)</f>
        <v>42978.36384</v>
      </c>
      <c r="B74" t="s">
        <v>77</v>
      </c>
    </row>
    <row r="75" hidden="1">
      <c r="A75" s="32">
        <f>IFERROR(__xludf.DUMMYFUNCTION("""COMPUTED_VALUE"""),42979.0677924537)</f>
        <v>42979.06779</v>
      </c>
      <c r="B75" t="s">
        <v>40</v>
      </c>
    </row>
    <row r="76" hidden="1">
      <c r="A76" s="32">
        <f>IFERROR(__xludf.DUMMYFUNCTION("""COMPUTED_VALUE"""),42979.50659506944)</f>
        <v>42979.5066</v>
      </c>
      <c r="B76" t="s">
        <v>119</v>
      </c>
    </row>
    <row r="77" hidden="1">
      <c r="A77" s="32">
        <f>IFERROR(__xludf.DUMMYFUNCTION("""COMPUTED_VALUE"""),42979.970421481485)</f>
        <v>42979.97042</v>
      </c>
      <c r="B77" t="s">
        <v>122</v>
      </c>
    </row>
    <row r="78" hidden="1">
      <c r="A78" s="32">
        <f>IFERROR(__xludf.DUMMYFUNCTION("""COMPUTED_VALUE"""),42982.595219282404)</f>
        <v>42982.59522</v>
      </c>
      <c r="B78" t="s">
        <v>48</v>
      </c>
    </row>
    <row r="79" hidden="1">
      <c r="A79" s="32">
        <f>IFERROR(__xludf.DUMMYFUNCTION("""COMPUTED_VALUE"""),42982.77920077546)</f>
        <v>42982.7792</v>
      </c>
      <c r="B79" t="s">
        <v>33</v>
      </c>
    </row>
    <row r="80" hidden="1">
      <c r="A80" s="32">
        <f>IFERROR(__xludf.DUMMYFUNCTION("""COMPUTED_VALUE"""),42984.65158524306)</f>
        <v>42984.65159</v>
      </c>
      <c r="B80" t="s">
        <v>33</v>
      </c>
    </row>
    <row r="81" hidden="1">
      <c r="A81" s="32">
        <f>IFERROR(__xludf.DUMMYFUNCTION("""COMPUTED_VALUE"""),42985.66358983796)</f>
        <v>42985.66359</v>
      </c>
      <c r="B81" t="s">
        <v>45</v>
      </c>
    </row>
    <row r="82" hidden="1">
      <c r="A82" s="32">
        <f>IFERROR(__xludf.DUMMYFUNCTION("""COMPUTED_VALUE"""),42986.58014164351)</f>
        <v>42986.58014</v>
      </c>
      <c r="B82" t="s">
        <v>33</v>
      </c>
    </row>
    <row r="83" hidden="1">
      <c r="A83" s="32">
        <f>IFERROR(__xludf.DUMMYFUNCTION("""COMPUTED_VALUE"""),42986.58155920139)</f>
        <v>42986.58156</v>
      </c>
      <c r="B83" t="s">
        <v>123</v>
      </c>
    </row>
    <row r="84" hidden="1">
      <c r="A84" s="32">
        <f>IFERROR(__xludf.DUMMYFUNCTION("""COMPUTED_VALUE"""),42986.613806863425)</f>
        <v>42986.61381</v>
      </c>
      <c r="B84" t="s">
        <v>124</v>
      </c>
    </row>
    <row r="85" hidden="1">
      <c r="A85" s="32">
        <f>IFERROR(__xludf.DUMMYFUNCTION("""COMPUTED_VALUE"""),42986.695358310186)</f>
        <v>42986.69536</v>
      </c>
      <c r="B85" t="s">
        <v>33</v>
      </c>
    </row>
    <row r="86" hidden="1">
      <c r="A86" s="32">
        <f>IFERROR(__xludf.DUMMYFUNCTION("""COMPUTED_VALUE"""),42986.75640109954)</f>
        <v>42986.7564</v>
      </c>
      <c r="B86" t="s">
        <v>33</v>
      </c>
    </row>
    <row r="87" hidden="1">
      <c r="A87" s="32">
        <f>IFERROR(__xludf.DUMMYFUNCTION("""COMPUTED_VALUE"""),42986.75823100694)</f>
        <v>42986.75823</v>
      </c>
      <c r="B87" t="s">
        <v>33</v>
      </c>
    </row>
    <row r="88" hidden="1">
      <c r="A88" s="32">
        <f>IFERROR(__xludf.DUMMYFUNCTION("""COMPUTED_VALUE"""),42986.84371851852)</f>
        <v>42986.84372</v>
      </c>
      <c r="B88" t="s">
        <v>33</v>
      </c>
    </row>
    <row r="89" hidden="1">
      <c r="A89" s="32">
        <f>IFERROR(__xludf.DUMMYFUNCTION("""COMPUTED_VALUE"""),42986.85583854167)</f>
        <v>42986.85584</v>
      </c>
      <c r="B89" t="s">
        <v>33</v>
      </c>
    </row>
    <row r="90" hidden="1">
      <c r="A90" s="32">
        <f>IFERROR(__xludf.DUMMYFUNCTION("""COMPUTED_VALUE"""),42986.92031134259)</f>
        <v>42986.92031</v>
      </c>
      <c r="B90" t="s">
        <v>33</v>
      </c>
    </row>
    <row r="91" hidden="1">
      <c r="A91" s="32">
        <f>IFERROR(__xludf.DUMMYFUNCTION("""COMPUTED_VALUE"""),42986.94644530093)</f>
        <v>42986.94645</v>
      </c>
      <c r="B91" t="s">
        <v>33</v>
      </c>
    </row>
    <row r="92" hidden="1">
      <c r="A92" s="32">
        <f>IFERROR(__xludf.DUMMYFUNCTION("""COMPUTED_VALUE"""),42986.98627789352)</f>
        <v>42986.98628</v>
      </c>
      <c r="B92" t="s">
        <v>33</v>
      </c>
    </row>
    <row r="93" hidden="1">
      <c r="A93" s="32">
        <f>IFERROR(__xludf.DUMMYFUNCTION("""COMPUTED_VALUE"""),42987.26396430556)</f>
        <v>42987.26396</v>
      </c>
      <c r="B93" t="s">
        <v>33</v>
      </c>
    </row>
    <row r="94" hidden="1">
      <c r="A94" s="32">
        <f>IFERROR(__xludf.DUMMYFUNCTION("""COMPUTED_VALUE"""),42987.372350578706)</f>
        <v>42987.37235</v>
      </c>
      <c r="B94" t="s">
        <v>33</v>
      </c>
    </row>
    <row r="95" hidden="1">
      <c r="A95" s="32">
        <f>IFERROR(__xludf.DUMMYFUNCTION("""COMPUTED_VALUE"""),42987.67767359954)</f>
        <v>42987.67767</v>
      </c>
      <c r="B95" t="s">
        <v>33</v>
      </c>
    </row>
    <row r="96" hidden="1">
      <c r="A96" s="32">
        <f>IFERROR(__xludf.DUMMYFUNCTION("""COMPUTED_VALUE"""),42988.434361631946)</f>
        <v>42988.43436</v>
      </c>
      <c r="B96" t="s">
        <v>33</v>
      </c>
    </row>
    <row r="97" hidden="1">
      <c r="A97" s="32">
        <f>IFERROR(__xludf.DUMMYFUNCTION("""COMPUTED_VALUE"""),42988.81144464121)</f>
        <v>42988.81144</v>
      </c>
      <c r="B97" t="s">
        <v>33</v>
      </c>
    </row>
    <row r="98" hidden="1">
      <c r="A98" s="32">
        <f>IFERROR(__xludf.DUMMYFUNCTION("""COMPUTED_VALUE"""),42989.0420659375)</f>
        <v>42989.04207</v>
      </c>
      <c r="B98" t="s">
        <v>40</v>
      </c>
    </row>
    <row r="99" hidden="1">
      <c r="A99" s="32">
        <f>IFERROR(__xludf.DUMMYFUNCTION("""COMPUTED_VALUE"""),42989.57766928241)</f>
        <v>42989.57767</v>
      </c>
      <c r="B99" t="s">
        <v>45</v>
      </c>
    </row>
    <row r="100" hidden="1">
      <c r="A100" s="32">
        <f>IFERROR(__xludf.DUMMYFUNCTION("""COMPUTED_VALUE"""),42990.87858127315)</f>
        <v>42990.87858</v>
      </c>
      <c r="B100" t="s">
        <v>123</v>
      </c>
    </row>
    <row r="101" hidden="1">
      <c r="A101" s="32">
        <f>IFERROR(__xludf.DUMMYFUNCTION("""COMPUTED_VALUE"""),42991.631289108795)</f>
        <v>42991.63129</v>
      </c>
      <c r="B101" t="s">
        <v>123</v>
      </c>
    </row>
    <row r="102" hidden="1">
      <c r="A102" s="32">
        <f>IFERROR(__xludf.DUMMYFUNCTION("""COMPUTED_VALUE"""),42992.840373032406)</f>
        <v>42992.84037</v>
      </c>
      <c r="B102" t="s">
        <v>139</v>
      </c>
    </row>
    <row r="103" hidden="1">
      <c r="A103" s="32">
        <f>IFERROR(__xludf.DUMMYFUNCTION("""COMPUTED_VALUE"""),42997.96142685185)</f>
        <v>42997.96143</v>
      </c>
      <c r="B103" t="s">
        <v>122</v>
      </c>
    </row>
    <row r="104" hidden="1">
      <c r="A104" s="32">
        <f>IFERROR(__xludf.DUMMYFUNCTION("""COMPUTED_VALUE"""),43004.02139797454)</f>
        <v>43004.0214</v>
      </c>
      <c r="B104" t="s">
        <v>33</v>
      </c>
    </row>
    <row r="105" hidden="1">
      <c r="A105" s="32">
        <f>IFERROR(__xludf.DUMMYFUNCTION("""COMPUTED_VALUE"""),43006.94809644676)</f>
        <v>43006.9481</v>
      </c>
      <c r="B105" t="s">
        <v>40</v>
      </c>
    </row>
    <row r="106" hidden="1">
      <c r="A106" s="32">
        <f>IFERROR(__xludf.DUMMYFUNCTION("""COMPUTED_VALUE"""),43010.42910511574)</f>
        <v>43010.42911</v>
      </c>
      <c r="B106" t="s">
        <v>142</v>
      </c>
    </row>
    <row r="107" hidden="1">
      <c r="A107" s="32">
        <f>IFERROR(__xludf.DUMMYFUNCTION("""COMPUTED_VALUE"""),43011.46906069445)</f>
        <v>43011.46906</v>
      </c>
      <c r="B107" t="s">
        <v>40</v>
      </c>
    </row>
    <row r="108" hidden="1">
      <c r="A108" s="32">
        <f>IFERROR(__xludf.DUMMYFUNCTION("""COMPUTED_VALUE"""),43011.53932768518)</f>
        <v>43011.53933</v>
      </c>
      <c r="B108" t="s">
        <v>123</v>
      </c>
    </row>
    <row r="109" hidden="1">
      <c r="A109" s="32">
        <f>IFERROR(__xludf.DUMMYFUNCTION("""COMPUTED_VALUE"""),43012.756847129625)</f>
        <v>43012.75685</v>
      </c>
      <c r="B109" t="s">
        <v>40</v>
      </c>
    </row>
    <row r="110" hidden="1">
      <c r="A110" s="32">
        <f>IFERROR(__xludf.DUMMYFUNCTION("""COMPUTED_VALUE"""),43014.48980084491)</f>
        <v>43014.4898</v>
      </c>
      <c r="B110" t="s">
        <v>123</v>
      </c>
    </row>
    <row r="111" hidden="1">
      <c r="A111" s="32">
        <f>IFERROR(__xludf.DUMMYFUNCTION("""COMPUTED_VALUE"""),43014.73117918981)</f>
        <v>43014.73118</v>
      </c>
      <c r="B111" t="s">
        <v>45</v>
      </c>
    </row>
    <row r="112" hidden="1">
      <c r="A112" s="32">
        <f>IFERROR(__xludf.DUMMYFUNCTION("""COMPUTED_VALUE"""),43014.732501516206)</f>
        <v>43014.7325</v>
      </c>
      <c r="B112" t="s">
        <v>45</v>
      </c>
    </row>
    <row r="113" hidden="1">
      <c r="A113" s="32">
        <f>IFERROR(__xludf.DUMMYFUNCTION("""COMPUTED_VALUE"""),43014.92305030093)</f>
        <v>43014.92305</v>
      </c>
      <c r="B113" t="s">
        <v>33</v>
      </c>
    </row>
    <row r="114" hidden="1">
      <c r="A114" s="32">
        <f>IFERROR(__xludf.DUMMYFUNCTION("""COMPUTED_VALUE"""),43014.96441731481)</f>
        <v>43014.96442</v>
      </c>
      <c r="B114" t="s">
        <v>33</v>
      </c>
    </row>
    <row r="115" hidden="1">
      <c r="A115" s="32">
        <f>IFERROR(__xludf.DUMMYFUNCTION("""COMPUTED_VALUE"""),43016.99962449074)</f>
        <v>43016.99962</v>
      </c>
      <c r="B115" t="s">
        <v>33</v>
      </c>
    </row>
    <row r="116" hidden="1">
      <c r="A116" s="32">
        <f>IFERROR(__xludf.DUMMYFUNCTION("""COMPUTED_VALUE"""),43018.83123833333)</f>
        <v>43018.83124</v>
      </c>
      <c r="B116" t="s">
        <v>119</v>
      </c>
    </row>
    <row r="117" hidden="1">
      <c r="A117" s="32">
        <f>IFERROR(__xludf.DUMMYFUNCTION("""COMPUTED_VALUE"""),43019.26726729167)</f>
        <v>43019.26727</v>
      </c>
      <c r="B117" t="s">
        <v>154</v>
      </c>
    </row>
    <row r="118" hidden="1">
      <c r="A118" s="32">
        <f>IFERROR(__xludf.DUMMYFUNCTION("""COMPUTED_VALUE"""),43019.60233364583)</f>
        <v>43019.60233</v>
      </c>
      <c r="B118" t="s">
        <v>157</v>
      </c>
    </row>
    <row r="119" hidden="1">
      <c r="A119" s="32">
        <f>IFERROR(__xludf.DUMMYFUNCTION("""COMPUTED_VALUE"""),43020.831140532406)</f>
        <v>43020.83114</v>
      </c>
      <c r="B119" t="s">
        <v>33</v>
      </c>
    </row>
    <row r="120" hidden="1">
      <c r="A120" s="32">
        <f>IFERROR(__xludf.DUMMYFUNCTION("""COMPUTED_VALUE"""),43021.481865925925)</f>
        <v>43021.48187</v>
      </c>
      <c r="B120" t="s">
        <v>40</v>
      </c>
    </row>
    <row r="121" hidden="1">
      <c r="A121" s="32">
        <f>IFERROR(__xludf.DUMMYFUNCTION("""COMPUTED_VALUE"""),43023.50599232639)</f>
        <v>43023.50599</v>
      </c>
      <c r="B121" t="s">
        <v>45</v>
      </c>
    </row>
    <row r="122" hidden="1">
      <c r="A122" s="32">
        <f>IFERROR(__xludf.DUMMYFUNCTION("""COMPUTED_VALUE"""),43023.99813862269)</f>
        <v>43023.99814</v>
      </c>
      <c r="B122" t="s">
        <v>40</v>
      </c>
    </row>
    <row r="123" hidden="1">
      <c r="A123" s="32">
        <f>IFERROR(__xludf.DUMMYFUNCTION("""COMPUTED_VALUE"""),43025.94492109954)</f>
        <v>43025.94492</v>
      </c>
      <c r="B123" t="s">
        <v>2658</v>
      </c>
    </row>
    <row r="124" hidden="1">
      <c r="A124" s="32">
        <f>IFERROR(__xludf.DUMMYFUNCTION("""COMPUTED_VALUE"""),43025.95669958333)</f>
        <v>43025.9567</v>
      </c>
      <c r="B124" t="s">
        <v>48</v>
      </c>
    </row>
    <row r="125" hidden="1">
      <c r="A125" s="32">
        <f>IFERROR(__xludf.DUMMYFUNCTION("""COMPUTED_VALUE"""),43027.063604826384)</f>
        <v>43027.0636</v>
      </c>
      <c r="B125" t="s">
        <v>48</v>
      </c>
    </row>
    <row r="126" hidden="1">
      <c r="A126" s="32">
        <f>IFERROR(__xludf.DUMMYFUNCTION("""COMPUTED_VALUE"""),43027.5999478125)</f>
        <v>43027.59995</v>
      </c>
      <c r="B126" t="s">
        <v>163</v>
      </c>
    </row>
    <row r="127" hidden="1">
      <c r="A127" s="32">
        <f>IFERROR(__xludf.DUMMYFUNCTION("""COMPUTED_VALUE"""),43027.648965960645)</f>
        <v>43027.64897</v>
      </c>
      <c r="B127" t="s">
        <v>36</v>
      </c>
    </row>
    <row r="128" hidden="1">
      <c r="A128" s="32">
        <f>IFERROR(__xludf.DUMMYFUNCTION("""COMPUTED_VALUE"""),43028.313401747684)</f>
        <v>43028.3134</v>
      </c>
      <c r="B128" t="s">
        <v>33</v>
      </c>
    </row>
    <row r="129" hidden="1">
      <c r="A129" s="32">
        <f>IFERROR(__xludf.DUMMYFUNCTION("""COMPUTED_VALUE"""),43029.550874374996)</f>
        <v>43029.55087</v>
      </c>
      <c r="B129" t="s">
        <v>48</v>
      </c>
    </row>
    <row r="130" hidden="1">
      <c r="A130" s="32">
        <f>IFERROR(__xludf.DUMMYFUNCTION("""COMPUTED_VALUE"""),43030.48804899305)</f>
        <v>43030.48805</v>
      </c>
      <c r="B130" t="s">
        <v>48</v>
      </c>
    </row>
    <row r="131" hidden="1">
      <c r="A131" s="32">
        <f>IFERROR(__xludf.DUMMYFUNCTION("""COMPUTED_VALUE"""),43030.99488416666)</f>
        <v>43030.99488</v>
      </c>
      <c r="B131" t="s">
        <v>33</v>
      </c>
    </row>
    <row r="132" hidden="1">
      <c r="A132" s="32">
        <f>IFERROR(__xludf.DUMMYFUNCTION("""COMPUTED_VALUE"""),43033.43812931713)</f>
        <v>43033.43813</v>
      </c>
      <c r="B132" t="s">
        <v>80</v>
      </c>
    </row>
    <row r="133" hidden="1">
      <c r="A133" s="32">
        <f>IFERROR(__xludf.DUMMYFUNCTION("""COMPUTED_VALUE"""),43034.49438263889)</f>
        <v>43034.49438</v>
      </c>
      <c r="B133" t="s">
        <v>119</v>
      </c>
    </row>
    <row r="134" hidden="1">
      <c r="A134" s="32">
        <f>IFERROR(__xludf.DUMMYFUNCTION("""COMPUTED_VALUE"""),43036.04344760417)</f>
        <v>43036.04345</v>
      </c>
      <c r="B134" t="s">
        <v>40</v>
      </c>
    </row>
    <row r="135" hidden="1">
      <c r="A135" s="32">
        <f>IFERROR(__xludf.DUMMYFUNCTION("""COMPUTED_VALUE"""),43037.465139328706)</f>
        <v>43037.46514</v>
      </c>
      <c r="B135" t="s">
        <v>33</v>
      </c>
    </row>
    <row r="136" hidden="1">
      <c r="A136" s="32">
        <f>IFERROR(__xludf.DUMMYFUNCTION("""COMPUTED_VALUE"""),43039.391993831014)</f>
        <v>43039.39199</v>
      </c>
      <c r="B136" t="s">
        <v>33</v>
      </c>
    </row>
    <row r="137" hidden="1">
      <c r="A137" s="32">
        <f>IFERROR(__xludf.DUMMYFUNCTION("""COMPUTED_VALUE"""),43039.96224230324)</f>
        <v>43039.96224</v>
      </c>
      <c r="B137" t="s">
        <v>170</v>
      </c>
    </row>
    <row r="138" hidden="1">
      <c r="A138" s="32">
        <f>IFERROR(__xludf.DUMMYFUNCTION("""COMPUTED_VALUE"""),43040.93014837963)</f>
        <v>43040.93015</v>
      </c>
      <c r="B138" t="s">
        <v>33</v>
      </c>
    </row>
    <row r="139" hidden="1">
      <c r="A139" s="32">
        <f>IFERROR(__xludf.DUMMYFUNCTION("""COMPUTED_VALUE"""),43042.81444747685)</f>
        <v>43042.81445</v>
      </c>
      <c r="B139" t="s">
        <v>40</v>
      </c>
    </row>
    <row r="140" hidden="1">
      <c r="A140" s="32">
        <f>IFERROR(__xludf.DUMMYFUNCTION("""COMPUTED_VALUE"""),43042.96269263889)</f>
        <v>43042.96269</v>
      </c>
      <c r="B140" t="s">
        <v>173</v>
      </c>
    </row>
    <row r="141" hidden="1">
      <c r="A141" s="32">
        <f>IFERROR(__xludf.DUMMYFUNCTION("""COMPUTED_VALUE"""),43044.05994821759)</f>
        <v>43044.05995</v>
      </c>
      <c r="B141" t="s">
        <v>36</v>
      </c>
    </row>
    <row r="142" hidden="1">
      <c r="A142" s="32">
        <f>IFERROR(__xludf.DUMMYFUNCTION("""COMPUTED_VALUE"""),43046.943082997685)</f>
        <v>43046.94308</v>
      </c>
      <c r="B142" t="s">
        <v>80</v>
      </c>
    </row>
    <row r="143" hidden="1">
      <c r="A143" s="32">
        <f>IFERROR(__xludf.DUMMYFUNCTION("""COMPUTED_VALUE"""),43047.88240209491)</f>
        <v>43047.8824</v>
      </c>
      <c r="B143" t="s">
        <v>40</v>
      </c>
    </row>
    <row r="144" hidden="1">
      <c r="A144" s="32">
        <f>IFERROR(__xludf.DUMMYFUNCTION("""COMPUTED_VALUE"""),43048.550215752315)</f>
        <v>43048.55022</v>
      </c>
      <c r="B144" t="s">
        <v>33</v>
      </c>
    </row>
    <row r="145" hidden="1">
      <c r="A145" s="32">
        <f>IFERROR(__xludf.DUMMYFUNCTION("""COMPUTED_VALUE"""),43048.793699131944)</f>
        <v>43048.7937</v>
      </c>
      <c r="B145" t="s">
        <v>33</v>
      </c>
    </row>
    <row r="146" hidden="1">
      <c r="A146" s="32">
        <f>IFERROR(__xludf.DUMMYFUNCTION("""COMPUTED_VALUE"""),43053.24858144676)</f>
        <v>43053.24858</v>
      </c>
      <c r="B146" t="s">
        <v>45</v>
      </c>
    </row>
    <row r="147" hidden="1">
      <c r="A147" s="32">
        <f>IFERROR(__xludf.DUMMYFUNCTION("""COMPUTED_VALUE"""),43053.860918402774)</f>
        <v>43053.86092</v>
      </c>
      <c r="B147" t="s">
        <v>80</v>
      </c>
    </row>
    <row r="148" hidden="1">
      <c r="A148" s="32">
        <f>IFERROR(__xludf.DUMMYFUNCTION("""COMPUTED_VALUE"""),43054.43454141203)</f>
        <v>43054.43454</v>
      </c>
      <c r="B148" t="s">
        <v>33</v>
      </c>
    </row>
    <row r="149" hidden="1">
      <c r="A149" s="32">
        <f>IFERROR(__xludf.DUMMYFUNCTION("""COMPUTED_VALUE"""),43055.234066689816)</f>
        <v>43055.23407</v>
      </c>
      <c r="B149" t="s">
        <v>40</v>
      </c>
    </row>
    <row r="150" hidden="1">
      <c r="A150" s="32">
        <f>IFERROR(__xludf.DUMMYFUNCTION("""COMPUTED_VALUE"""),43055.77819423611)</f>
        <v>43055.77819</v>
      </c>
      <c r="B150" t="s">
        <v>80</v>
      </c>
    </row>
    <row r="151" hidden="1">
      <c r="A151" s="32">
        <f>IFERROR(__xludf.DUMMYFUNCTION("""COMPUTED_VALUE"""),43055.97876799769)</f>
        <v>43055.97877</v>
      </c>
      <c r="B151" t="s">
        <v>40</v>
      </c>
    </row>
    <row r="152" hidden="1">
      <c r="A152" s="32">
        <f>IFERROR(__xludf.DUMMYFUNCTION("""COMPUTED_VALUE"""),43056.487247199075)</f>
        <v>43056.48725</v>
      </c>
      <c r="B152" t="s">
        <v>25</v>
      </c>
    </row>
    <row r="153" hidden="1">
      <c r="A153" s="32">
        <f>IFERROR(__xludf.DUMMYFUNCTION("""COMPUTED_VALUE"""),43057.532015358796)</f>
        <v>43057.53202</v>
      </c>
      <c r="B153" t="s">
        <v>40</v>
      </c>
    </row>
    <row r="154" hidden="1">
      <c r="A154" s="32">
        <f>IFERROR(__xludf.DUMMYFUNCTION("""COMPUTED_VALUE"""),43058.94166851851)</f>
        <v>43058.94167</v>
      </c>
      <c r="B154" t="s">
        <v>45</v>
      </c>
    </row>
    <row r="155" hidden="1">
      <c r="A155" s="32">
        <f>IFERROR(__xludf.DUMMYFUNCTION("""COMPUTED_VALUE"""),43058.955279444446)</f>
        <v>43058.95528</v>
      </c>
      <c r="B155" t="s">
        <v>187</v>
      </c>
    </row>
    <row r="156" hidden="1">
      <c r="A156" s="32">
        <f>IFERROR(__xludf.DUMMYFUNCTION("""COMPUTED_VALUE"""),43059.6155324537)</f>
        <v>43059.61553</v>
      </c>
      <c r="B156" t="s">
        <v>80</v>
      </c>
    </row>
    <row r="157" hidden="1">
      <c r="A157" s="32">
        <f>IFERROR(__xludf.DUMMYFUNCTION("""COMPUTED_VALUE"""),43059.61977634259)</f>
        <v>43059.61978</v>
      </c>
      <c r="B157" t="s">
        <v>188</v>
      </c>
    </row>
    <row r="158" hidden="1">
      <c r="A158" s="32">
        <f>IFERROR(__xludf.DUMMYFUNCTION("""COMPUTED_VALUE"""),43063.009147372686)</f>
        <v>43063.00915</v>
      </c>
      <c r="B158" t="s">
        <v>80</v>
      </c>
    </row>
    <row r="159" hidden="1">
      <c r="A159" s="32">
        <f>IFERROR(__xludf.DUMMYFUNCTION("""COMPUTED_VALUE"""),43063.57847678241)</f>
        <v>43063.57848</v>
      </c>
      <c r="B159" t="s">
        <v>33</v>
      </c>
    </row>
    <row r="160" hidden="1">
      <c r="A160" s="32">
        <f>IFERROR(__xludf.DUMMYFUNCTION("""COMPUTED_VALUE"""),43064.940997233796)</f>
        <v>43064.941</v>
      </c>
      <c r="B160" t="s">
        <v>40</v>
      </c>
    </row>
    <row r="161" hidden="1">
      <c r="A161" s="32">
        <f>IFERROR(__xludf.DUMMYFUNCTION("""COMPUTED_VALUE"""),43065.433532152776)</f>
        <v>43065.43353</v>
      </c>
      <c r="B161" t="s">
        <v>187</v>
      </c>
    </row>
    <row r="162" hidden="1">
      <c r="A162" s="32">
        <f>IFERROR(__xludf.DUMMYFUNCTION("""COMPUTED_VALUE"""),43068.44206614583)</f>
        <v>43068.44207</v>
      </c>
      <c r="B162" t="s">
        <v>190</v>
      </c>
    </row>
    <row r="163" hidden="1">
      <c r="A163" s="32">
        <f>IFERROR(__xludf.DUMMYFUNCTION("""COMPUTED_VALUE"""),43068.55515295139)</f>
        <v>43068.55515</v>
      </c>
      <c r="B163" t="s">
        <v>40</v>
      </c>
    </row>
    <row r="164" hidden="1">
      <c r="A164" s="32">
        <f>IFERROR(__xludf.DUMMYFUNCTION("""COMPUTED_VALUE"""),43068.70243474537)</f>
        <v>43068.70243</v>
      </c>
      <c r="B164" t="s">
        <v>40</v>
      </c>
    </row>
    <row r="165" hidden="1">
      <c r="A165" s="32">
        <f>IFERROR(__xludf.DUMMYFUNCTION("""COMPUTED_VALUE"""),43069.23273336806)</f>
        <v>43069.23273</v>
      </c>
      <c r="B165" t="s">
        <v>40</v>
      </c>
    </row>
    <row r="166" hidden="1">
      <c r="A166" s="32">
        <f>IFERROR(__xludf.DUMMYFUNCTION("""COMPUTED_VALUE"""),43069.79824802083)</f>
        <v>43069.79825</v>
      </c>
      <c r="B166" t="s">
        <v>40</v>
      </c>
    </row>
    <row r="167" hidden="1">
      <c r="A167" s="32">
        <f>IFERROR(__xludf.DUMMYFUNCTION("""COMPUTED_VALUE"""),43069.94977601852)</f>
        <v>43069.94978</v>
      </c>
      <c r="B167" t="s">
        <v>33</v>
      </c>
    </row>
    <row r="168" hidden="1">
      <c r="A168" s="32">
        <f>IFERROR(__xludf.DUMMYFUNCTION("""COMPUTED_VALUE"""),43072.56748484954)</f>
        <v>43072.56748</v>
      </c>
      <c r="B168" t="s">
        <v>36</v>
      </c>
    </row>
    <row r="169" hidden="1">
      <c r="A169" s="32">
        <f>IFERROR(__xludf.DUMMYFUNCTION("""COMPUTED_VALUE"""),43072.981708935185)</f>
        <v>43072.98171</v>
      </c>
      <c r="B169" t="s">
        <v>80</v>
      </c>
    </row>
    <row r="170" hidden="1">
      <c r="A170" s="32">
        <f>IFERROR(__xludf.DUMMYFUNCTION("""COMPUTED_VALUE"""),43074.74402302083)</f>
        <v>43074.74402</v>
      </c>
      <c r="B170" t="s">
        <v>123</v>
      </c>
    </row>
    <row r="171" hidden="1">
      <c r="A171" s="32">
        <f>IFERROR(__xludf.DUMMYFUNCTION("""COMPUTED_VALUE"""),43075.43049010416)</f>
        <v>43075.43049</v>
      </c>
      <c r="B171" t="s">
        <v>142</v>
      </c>
    </row>
    <row r="172" hidden="1">
      <c r="A172" s="32">
        <f>IFERROR(__xludf.DUMMYFUNCTION("""COMPUTED_VALUE"""),43075.63148931713)</f>
        <v>43075.63149</v>
      </c>
      <c r="B172" t="s">
        <v>48</v>
      </c>
    </row>
    <row r="173" hidden="1">
      <c r="A173" s="32">
        <f>IFERROR(__xludf.DUMMYFUNCTION("""COMPUTED_VALUE"""),43075.901206828705)</f>
        <v>43075.90121</v>
      </c>
      <c r="B173" t="s">
        <v>196</v>
      </c>
    </row>
    <row r="174" hidden="1">
      <c r="A174" s="32">
        <f>IFERROR(__xludf.DUMMYFUNCTION("""COMPUTED_VALUE"""),43076.164795185185)</f>
        <v>43076.1648</v>
      </c>
      <c r="B174" t="s">
        <v>33</v>
      </c>
    </row>
    <row r="175" hidden="1">
      <c r="A175" s="32">
        <f>IFERROR(__xludf.DUMMYFUNCTION("""COMPUTED_VALUE"""),43077.70033320602)</f>
        <v>43077.70033</v>
      </c>
      <c r="B175" t="s">
        <v>48</v>
      </c>
    </row>
    <row r="176" hidden="1">
      <c r="A176" s="32">
        <f>IFERROR(__xludf.DUMMYFUNCTION("""COMPUTED_VALUE"""),43083.93472538194)</f>
        <v>43083.93473</v>
      </c>
      <c r="B176" t="s">
        <v>33</v>
      </c>
    </row>
    <row r="177" hidden="1">
      <c r="A177" s="32">
        <f>IFERROR(__xludf.DUMMYFUNCTION("""COMPUTED_VALUE"""),43084.65036393519)</f>
        <v>43084.65036</v>
      </c>
      <c r="B177" t="s">
        <v>80</v>
      </c>
    </row>
    <row r="178" hidden="1">
      <c r="A178" s="32">
        <f>IFERROR(__xludf.DUMMYFUNCTION("""COMPUTED_VALUE"""),43087.70252167824)</f>
        <v>43087.70252</v>
      </c>
      <c r="B178" t="s">
        <v>200</v>
      </c>
    </row>
    <row r="179" hidden="1">
      <c r="A179" s="32">
        <f>IFERROR(__xludf.DUMMYFUNCTION("""COMPUTED_VALUE"""),43087.90948030092)</f>
        <v>43087.90948</v>
      </c>
      <c r="B179" t="s">
        <v>40</v>
      </c>
    </row>
    <row r="180" hidden="1">
      <c r="A180" s="32">
        <f>IFERROR(__xludf.DUMMYFUNCTION("""COMPUTED_VALUE"""),43089.782896550925)</f>
        <v>43089.7829</v>
      </c>
      <c r="B180" t="s">
        <v>80</v>
      </c>
    </row>
    <row r="181" hidden="1">
      <c r="A181" s="32">
        <f>IFERROR(__xludf.DUMMYFUNCTION("""COMPUTED_VALUE"""),43091.72765774306)</f>
        <v>43091.72766</v>
      </c>
      <c r="B181" t="s">
        <v>40</v>
      </c>
    </row>
    <row r="182" hidden="1">
      <c r="A182" s="32">
        <f>IFERROR(__xludf.DUMMYFUNCTION("""COMPUTED_VALUE"""),43092.44686818287)</f>
        <v>43092.44687</v>
      </c>
      <c r="B182" t="s">
        <v>40</v>
      </c>
    </row>
    <row r="183" hidden="1">
      <c r="A183" s="32">
        <f>IFERROR(__xludf.DUMMYFUNCTION("""COMPUTED_VALUE"""),43092.48078219907)</f>
        <v>43092.48078</v>
      </c>
      <c r="B183" t="s">
        <v>40</v>
      </c>
    </row>
    <row r="184" hidden="1">
      <c r="A184" s="32">
        <f>IFERROR(__xludf.DUMMYFUNCTION("""COMPUTED_VALUE"""),43092.75617165509)</f>
        <v>43092.75617</v>
      </c>
      <c r="B184" t="s">
        <v>33</v>
      </c>
    </row>
    <row r="185" hidden="1">
      <c r="A185" s="32">
        <f>IFERROR(__xludf.DUMMYFUNCTION("""COMPUTED_VALUE"""),43092.9663719213)</f>
        <v>43092.96637</v>
      </c>
      <c r="B185" t="s">
        <v>204</v>
      </c>
    </row>
    <row r="186" hidden="1">
      <c r="A186" s="32">
        <f>IFERROR(__xludf.DUMMYFUNCTION("""COMPUTED_VALUE"""),43095.90098561342)</f>
        <v>43095.90099</v>
      </c>
      <c r="B186" t="s">
        <v>2658</v>
      </c>
    </row>
    <row r="187" hidden="1">
      <c r="A187" s="32">
        <f>IFERROR(__xludf.DUMMYFUNCTION("""COMPUTED_VALUE"""),43096.502675717595)</f>
        <v>43096.50268</v>
      </c>
      <c r="B187" t="s">
        <v>33</v>
      </c>
    </row>
    <row r="188" hidden="1">
      <c r="A188" s="32">
        <f>IFERROR(__xludf.DUMMYFUNCTION("""COMPUTED_VALUE"""),43096.50495876158)</f>
        <v>43096.50496</v>
      </c>
      <c r="B188" t="s">
        <v>80</v>
      </c>
    </row>
    <row r="189" hidden="1">
      <c r="A189" s="32">
        <f>IFERROR(__xludf.DUMMYFUNCTION("""COMPUTED_VALUE"""),43096.71354239583)</f>
        <v>43096.71354</v>
      </c>
      <c r="B189" t="s">
        <v>48</v>
      </c>
    </row>
    <row r="190" hidden="1">
      <c r="A190" s="32">
        <f>IFERROR(__xludf.DUMMYFUNCTION("""COMPUTED_VALUE"""),43096.86100104167)</f>
        <v>43096.861</v>
      </c>
      <c r="B190" t="s">
        <v>33</v>
      </c>
    </row>
    <row r="191" hidden="1">
      <c r="A191" s="32">
        <f>IFERROR(__xludf.DUMMYFUNCTION("""COMPUTED_VALUE"""),43096.95935160879)</f>
        <v>43096.95935</v>
      </c>
      <c r="B191" t="s">
        <v>2659</v>
      </c>
    </row>
    <row r="192" hidden="1">
      <c r="A192" s="32">
        <f>IFERROR(__xludf.DUMMYFUNCTION("""COMPUTED_VALUE"""),43097.07208912037)</f>
        <v>43097.07209</v>
      </c>
      <c r="B192" t="s">
        <v>40</v>
      </c>
    </row>
    <row r="193" hidden="1">
      <c r="A193" s="32">
        <f>IFERROR(__xludf.DUMMYFUNCTION("""COMPUTED_VALUE"""),43097.54339103009)</f>
        <v>43097.54339</v>
      </c>
      <c r="B193" t="s">
        <v>33</v>
      </c>
    </row>
    <row r="194" hidden="1">
      <c r="A194" s="32">
        <f>IFERROR(__xludf.DUMMYFUNCTION("""COMPUTED_VALUE"""),43097.56373353009)</f>
        <v>43097.56373</v>
      </c>
      <c r="B194" t="s">
        <v>48</v>
      </c>
    </row>
    <row r="195" hidden="1">
      <c r="A195" s="32">
        <f>IFERROR(__xludf.DUMMYFUNCTION("""COMPUTED_VALUE"""),43098.60962391204)</f>
        <v>43098.60962</v>
      </c>
      <c r="B195" t="s">
        <v>1255</v>
      </c>
    </row>
    <row r="196" hidden="1">
      <c r="A196" s="32">
        <f>IFERROR(__xludf.DUMMYFUNCTION("""COMPUTED_VALUE"""),43099.55528140046)</f>
        <v>43099.55528</v>
      </c>
      <c r="B196" t="s">
        <v>80</v>
      </c>
    </row>
    <row r="197" hidden="1">
      <c r="A197" s="32">
        <f>IFERROR(__xludf.DUMMYFUNCTION("""COMPUTED_VALUE"""),43102.468030613425)</f>
        <v>43102.46803</v>
      </c>
      <c r="B197" t="s">
        <v>204</v>
      </c>
    </row>
    <row r="198" hidden="1">
      <c r="A198" s="32">
        <f>IFERROR(__xludf.DUMMYFUNCTION("""COMPUTED_VALUE"""),43102.469318738425)</f>
        <v>43102.46932</v>
      </c>
      <c r="B198" t="s">
        <v>40</v>
      </c>
    </row>
    <row r="199" hidden="1">
      <c r="A199" s="32">
        <f>IFERROR(__xludf.DUMMYFUNCTION("""COMPUTED_VALUE"""),43102.862644444445)</f>
        <v>43102.86264</v>
      </c>
      <c r="B199" t="s">
        <v>48</v>
      </c>
    </row>
    <row r="200" hidden="1">
      <c r="A200" s="32">
        <f>IFERROR(__xludf.DUMMYFUNCTION("""COMPUTED_VALUE"""),43102.976851053245)</f>
        <v>43102.97685</v>
      </c>
      <c r="B200" t="s">
        <v>80</v>
      </c>
    </row>
    <row r="201" hidden="1">
      <c r="A201" s="32">
        <f>IFERROR(__xludf.DUMMYFUNCTION("""COMPUTED_VALUE"""),43103.363057002316)</f>
        <v>43103.36306</v>
      </c>
      <c r="B201" t="s">
        <v>33</v>
      </c>
    </row>
    <row r="202" hidden="1">
      <c r="A202" s="32">
        <f>IFERROR(__xludf.DUMMYFUNCTION("""COMPUTED_VALUE"""),43103.86150625)</f>
        <v>43103.86151</v>
      </c>
      <c r="B202" t="s">
        <v>33</v>
      </c>
    </row>
    <row r="203" hidden="1">
      <c r="A203" s="32">
        <f>IFERROR(__xludf.DUMMYFUNCTION("""COMPUTED_VALUE"""),43103.86279798611)</f>
        <v>43103.8628</v>
      </c>
      <c r="B203" t="s">
        <v>48</v>
      </c>
    </row>
    <row r="204" hidden="1">
      <c r="A204" s="32">
        <f>IFERROR(__xludf.DUMMYFUNCTION("""COMPUTED_VALUE"""),43104.02883753472)</f>
        <v>43104.02884</v>
      </c>
      <c r="B204" t="s">
        <v>48</v>
      </c>
    </row>
    <row r="205" hidden="1">
      <c r="A205" s="32">
        <f>IFERROR(__xludf.DUMMYFUNCTION("""COMPUTED_VALUE"""),43104.33350982639)</f>
        <v>43104.33351</v>
      </c>
      <c r="B205" t="s">
        <v>2660</v>
      </c>
    </row>
    <row r="206" hidden="1">
      <c r="A206" s="32">
        <f>IFERROR(__xludf.DUMMYFUNCTION("""COMPUTED_VALUE"""),43104.41388721065)</f>
        <v>43104.41389</v>
      </c>
      <c r="B206" t="s">
        <v>80</v>
      </c>
    </row>
    <row r="207" hidden="1">
      <c r="A207" s="32">
        <f>IFERROR(__xludf.DUMMYFUNCTION("""COMPUTED_VALUE"""),43104.5097709838)</f>
        <v>43104.50977</v>
      </c>
      <c r="B207" t="s">
        <v>80</v>
      </c>
    </row>
    <row r="208" hidden="1">
      <c r="A208" s="32">
        <f>IFERROR(__xludf.DUMMYFUNCTION("""COMPUTED_VALUE"""),43104.76172388889)</f>
        <v>43104.76172</v>
      </c>
      <c r="B208" t="s">
        <v>40</v>
      </c>
    </row>
    <row r="209" hidden="1">
      <c r="A209" s="32">
        <f>IFERROR(__xludf.DUMMYFUNCTION("""COMPUTED_VALUE"""),43104.78967219907)</f>
        <v>43104.78967</v>
      </c>
      <c r="B209" t="s">
        <v>33</v>
      </c>
    </row>
    <row r="210" hidden="1">
      <c r="A210" s="32">
        <f>IFERROR(__xludf.DUMMYFUNCTION("""COMPUTED_VALUE"""),43104.95128405093)</f>
        <v>43104.95128</v>
      </c>
      <c r="B210" t="s">
        <v>80</v>
      </c>
    </row>
    <row r="211" hidden="1">
      <c r="A211" s="32">
        <f>IFERROR(__xludf.DUMMYFUNCTION("""COMPUTED_VALUE"""),43105.38184444445)</f>
        <v>43105.38184</v>
      </c>
      <c r="B211" t="s">
        <v>40</v>
      </c>
    </row>
    <row r="212" hidden="1">
      <c r="A212" s="32">
        <f>IFERROR(__xludf.DUMMYFUNCTION("""COMPUTED_VALUE"""),43105.56374994213)</f>
        <v>43105.56375</v>
      </c>
      <c r="B212" t="s">
        <v>139</v>
      </c>
    </row>
    <row r="213" hidden="1">
      <c r="A213" s="32">
        <f>IFERROR(__xludf.DUMMYFUNCTION("""COMPUTED_VALUE"""),43105.567176261575)</f>
        <v>43105.56718</v>
      </c>
      <c r="B213" t="s">
        <v>48</v>
      </c>
    </row>
    <row r="214" hidden="1">
      <c r="A214" s="32">
        <f>IFERROR(__xludf.DUMMYFUNCTION("""COMPUTED_VALUE"""),43105.583314143514)</f>
        <v>43105.58331</v>
      </c>
      <c r="B214" t="s">
        <v>40</v>
      </c>
    </row>
    <row r="215" hidden="1">
      <c r="A215" s="32">
        <f>IFERROR(__xludf.DUMMYFUNCTION("""COMPUTED_VALUE"""),43106.99436913195)</f>
        <v>43106.99437</v>
      </c>
      <c r="B215" t="s">
        <v>139</v>
      </c>
    </row>
    <row r="216" hidden="1">
      <c r="A216" s="32">
        <f>IFERROR(__xludf.DUMMYFUNCTION("""COMPUTED_VALUE"""),43108.58051020833)</f>
        <v>43108.58051</v>
      </c>
      <c r="B216" t="s">
        <v>2661</v>
      </c>
    </row>
    <row r="217" hidden="1">
      <c r="A217" s="32">
        <f>IFERROR(__xludf.DUMMYFUNCTION("""COMPUTED_VALUE"""),43108.582175567135)</f>
        <v>43108.58218</v>
      </c>
      <c r="B217" t="s">
        <v>463</v>
      </c>
    </row>
    <row r="218" hidden="1">
      <c r="A218" s="32">
        <f>IFERROR(__xludf.DUMMYFUNCTION("""COMPUTED_VALUE"""),43109.972905902774)</f>
        <v>43109.97291</v>
      </c>
      <c r="B218" t="s">
        <v>2662</v>
      </c>
    </row>
    <row r="219" hidden="1">
      <c r="A219" s="32">
        <f>IFERROR(__xludf.DUMMYFUNCTION("""COMPUTED_VALUE"""),43111.000469652776)</f>
        <v>43111.00047</v>
      </c>
      <c r="B219" t="s">
        <v>48</v>
      </c>
    </row>
    <row r="220" hidden="1">
      <c r="A220" s="32">
        <f>IFERROR(__xludf.DUMMYFUNCTION("""COMPUTED_VALUE"""),43111.65579991898)</f>
        <v>43111.6558</v>
      </c>
      <c r="B220" t="s">
        <v>33</v>
      </c>
    </row>
    <row r="221" hidden="1">
      <c r="A221" s="32">
        <f>IFERROR(__xludf.DUMMYFUNCTION("""COMPUTED_VALUE"""),43112.03631753472)</f>
        <v>43112.03632</v>
      </c>
      <c r="B221" t="s">
        <v>33</v>
      </c>
    </row>
    <row r="222" hidden="1">
      <c r="A222" s="32">
        <f>IFERROR(__xludf.DUMMYFUNCTION("""COMPUTED_VALUE"""),43112.70704418981)</f>
        <v>43112.70704</v>
      </c>
      <c r="B222" t="s">
        <v>80</v>
      </c>
    </row>
    <row r="223" hidden="1">
      <c r="A223" s="32">
        <f>IFERROR(__xludf.DUMMYFUNCTION("""COMPUTED_VALUE"""),43112.87909916667)</f>
        <v>43112.8791</v>
      </c>
      <c r="B223" t="s">
        <v>80</v>
      </c>
    </row>
    <row r="224" hidden="1">
      <c r="A224" s="32">
        <f>IFERROR(__xludf.DUMMYFUNCTION("""COMPUTED_VALUE"""),43113.74659427084)</f>
        <v>43113.74659</v>
      </c>
      <c r="B224" t="s">
        <v>45</v>
      </c>
    </row>
    <row r="225" hidden="1">
      <c r="A225" s="32">
        <f>IFERROR(__xludf.DUMMYFUNCTION("""COMPUTED_VALUE"""),43113.747241018515)</f>
        <v>43113.74724</v>
      </c>
      <c r="B225" t="s">
        <v>45</v>
      </c>
    </row>
    <row r="226" hidden="1">
      <c r="A226" s="32">
        <f>IFERROR(__xludf.DUMMYFUNCTION("""COMPUTED_VALUE"""),43113.77641063658)</f>
        <v>43113.77641</v>
      </c>
      <c r="B226" t="s">
        <v>33</v>
      </c>
    </row>
    <row r="227" hidden="1">
      <c r="A227" s="32">
        <f>IFERROR(__xludf.DUMMYFUNCTION("""COMPUTED_VALUE"""),43114.93290506944)</f>
        <v>43114.93291</v>
      </c>
      <c r="B227" t="s">
        <v>80</v>
      </c>
    </row>
    <row r="228" hidden="1">
      <c r="A228" s="32">
        <f>IFERROR(__xludf.DUMMYFUNCTION("""COMPUTED_VALUE"""),43115.86112241898)</f>
        <v>43115.86112</v>
      </c>
      <c r="B228" t="s">
        <v>241</v>
      </c>
    </row>
    <row r="229" hidden="1">
      <c r="A229" s="32">
        <f>IFERROR(__xludf.DUMMYFUNCTION("""COMPUTED_VALUE"""),43117.592726296294)</f>
        <v>43117.59273</v>
      </c>
      <c r="B229" t="s">
        <v>40</v>
      </c>
    </row>
    <row r="230" hidden="1">
      <c r="A230" s="32">
        <f>IFERROR(__xludf.DUMMYFUNCTION("""COMPUTED_VALUE"""),43117.76628207176)</f>
        <v>43117.76628</v>
      </c>
      <c r="B230" t="s">
        <v>80</v>
      </c>
    </row>
    <row r="231" hidden="1">
      <c r="A231" s="32">
        <f>IFERROR(__xludf.DUMMYFUNCTION("""COMPUTED_VALUE"""),43117.77830276621)</f>
        <v>43117.7783</v>
      </c>
      <c r="B231" t="s">
        <v>33</v>
      </c>
    </row>
    <row r="232" hidden="1">
      <c r="A232" s="32">
        <f>IFERROR(__xludf.DUMMYFUNCTION("""COMPUTED_VALUE"""),43117.88669834491)</f>
        <v>43117.8867</v>
      </c>
      <c r="B232" t="s">
        <v>45</v>
      </c>
    </row>
    <row r="233" hidden="1">
      <c r="A233" s="32">
        <f>IFERROR(__xludf.DUMMYFUNCTION("""COMPUTED_VALUE"""),43118.03359068287)</f>
        <v>43118.03359</v>
      </c>
      <c r="B233" t="s">
        <v>200</v>
      </c>
    </row>
    <row r="234" hidden="1">
      <c r="A234" s="32">
        <f>IFERROR(__xludf.DUMMYFUNCTION("""COMPUTED_VALUE"""),43118.98824805555)</f>
        <v>43118.98825</v>
      </c>
      <c r="B234" t="s">
        <v>33</v>
      </c>
    </row>
    <row r="235" hidden="1">
      <c r="A235" s="32">
        <f>IFERROR(__xludf.DUMMYFUNCTION("""COMPUTED_VALUE"""),43120.94116253473)</f>
        <v>43120.94116</v>
      </c>
      <c r="B235" t="s">
        <v>33</v>
      </c>
    </row>
    <row r="236" hidden="1">
      <c r="A236" s="32">
        <f>IFERROR(__xludf.DUMMYFUNCTION("""COMPUTED_VALUE"""),43122.658320057875)</f>
        <v>43122.65832</v>
      </c>
      <c r="B236" t="s">
        <v>249</v>
      </c>
    </row>
    <row r="237" hidden="1">
      <c r="A237" s="32">
        <f>IFERROR(__xludf.DUMMYFUNCTION("""COMPUTED_VALUE"""),43122.99894076389)</f>
        <v>43122.99894</v>
      </c>
      <c r="B237" t="s">
        <v>25</v>
      </c>
    </row>
    <row r="238" hidden="1">
      <c r="A238" s="32">
        <f>IFERROR(__xludf.DUMMYFUNCTION("""COMPUTED_VALUE"""),43123.4522205324)</f>
        <v>43123.45222</v>
      </c>
      <c r="B238" t="s">
        <v>48</v>
      </c>
    </row>
    <row r="239" hidden="1">
      <c r="A239" s="32">
        <f>IFERROR(__xludf.DUMMYFUNCTION("""COMPUTED_VALUE"""),43123.516065034724)</f>
        <v>43123.51607</v>
      </c>
      <c r="B239" t="s">
        <v>2658</v>
      </c>
    </row>
    <row r="240" hidden="1">
      <c r="A240" s="32">
        <f>IFERROR(__xludf.DUMMYFUNCTION("""COMPUTED_VALUE"""),43123.551076840275)</f>
        <v>43123.55108</v>
      </c>
      <c r="B240" t="s">
        <v>123</v>
      </c>
    </row>
    <row r="241" hidden="1">
      <c r="A241" s="32">
        <f>IFERROR(__xludf.DUMMYFUNCTION("""COMPUTED_VALUE"""),43123.61279825232)</f>
        <v>43123.6128</v>
      </c>
      <c r="B241" t="s">
        <v>254</v>
      </c>
    </row>
    <row r="242" hidden="1">
      <c r="A242" s="32">
        <f>IFERROR(__xludf.DUMMYFUNCTION("""COMPUTED_VALUE"""),43123.815598877314)</f>
        <v>43123.8156</v>
      </c>
      <c r="B242" t="s">
        <v>45</v>
      </c>
    </row>
    <row r="243" hidden="1">
      <c r="A243" s="32">
        <f>IFERROR(__xludf.DUMMYFUNCTION("""COMPUTED_VALUE"""),43124.20249390046)</f>
        <v>43124.20249</v>
      </c>
      <c r="B243" t="s">
        <v>80</v>
      </c>
    </row>
    <row r="244" hidden="1">
      <c r="A244" s="32">
        <f>IFERROR(__xludf.DUMMYFUNCTION("""COMPUTED_VALUE"""),43124.77688123843)</f>
        <v>43124.77688</v>
      </c>
      <c r="B244" t="s">
        <v>256</v>
      </c>
    </row>
    <row r="245" hidden="1">
      <c r="A245" s="32">
        <f>IFERROR(__xludf.DUMMYFUNCTION("""COMPUTED_VALUE"""),43124.96727835648)</f>
        <v>43124.96728</v>
      </c>
      <c r="B245" t="s">
        <v>48</v>
      </c>
    </row>
    <row r="246" hidden="1">
      <c r="A246" s="32">
        <f>IFERROR(__xludf.DUMMYFUNCTION("""COMPUTED_VALUE"""),43125.38576041667)</f>
        <v>43125.38576</v>
      </c>
      <c r="B246" t="s">
        <v>187</v>
      </c>
    </row>
    <row r="247" hidden="1">
      <c r="A247" s="32">
        <f>IFERROR(__xludf.DUMMYFUNCTION("""COMPUTED_VALUE"""),43125.44332385417)</f>
        <v>43125.44332</v>
      </c>
      <c r="B247" t="s">
        <v>48</v>
      </c>
    </row>
    <row r="248" hidden="1">
      <c r="A248" s="32">
        <f>IFERROR(__xludf.DUMMYFUNCTION("""COMPUTED_VALUE"""),43125.74702951389)</f>
        <v>43125.74703</v>
      </c>
      <c r="B248" t="s">
        <v>33</v>
      </c>
    </row>
    <row r="249" hidden="1">
      <c r="A249" s="32">
        <f>IFERROR(__xludf.DUMMYFUNCTION("""COMPUTED_VALUE"""),43127.31214903935)</f>
        <v>43127.31215</v>
      </c>
      <c r="B249" t="s">
        <v>36</v>
      </c>
    </row>
    <row r="250" hidden="1">
      <c r="A250" s="32">
        <f>IFERROR(__xludf.DUMMYFUNCTION("""COMPUTED_VALUE"""),43127.38520481481)</f>
        <v>43127.3852</v>
      </c>
      <c r="B250" t="s">
        <v>258</v>
      </c>
    </row>
    <row r="251" hidden="1">
      <c r="A251" s="32">
        <f>IFERROR(__xludf.DUMMYFUNCTION("""COMPUTED_VALUE"""),43127.39167950231)</f>
        <v>43127.39168</v>
      </c>
      <c r="B251" t="s">
        <v>122</v>
      </c>
    </row>
    <row r="252" hidden="1">
      <c r="A252" s="32">
        <f>IFERROR(__xludf.DUMMYFUNCTION("""COMPUTED_VALUE"""),43128.830144155094)</f>
        <v>43128.83014</v>
      </c>
      <c r="B252" t="s">
        <v>259</v>
      </c>
    </row>
    <row r="253" hidden="1">
      <c r="A253" s="32">
        <f>IFERROR(__xludf.DUMMYFUNCTION("""COMPUTED_VALUE"""),43128.896059328705)</f>
        <v>43128.89606</v>
      </c>
      <c r="B253" t="s">
        <v>95</v>
      </c>
    </row>
    <row r="254" hidden="1">
      <c r="A254" s="32">
        <f>IFERROR(__xludf.DUMMYFUNCTION("""COMPUTED_VALUE"""),43129.36962162037)</f>
        <v>43129.36962</v>
      </c>
      <c r="B254" t="s">
        <v>80</v>
      </c>
    </row>
    <row r="255" hidden="1">
      <c r="A255" s="32">
        <f>IFERROR(__xludf.DUMMYFUNCTION("""COMPUTED_VALUE"""),43129.643938124995)</f>
        <v>43129.64394</v>
      </c>
      <c r="B255" t="s">
        <v>204</v>
      </c>
    </row>
    <row r="256" hidden="1">
      <c r="A256" s="32">
        <f>IFERROR(__xludf.DUMMYFUNCTION("""COMPUTED_VALUE"""),43130.60671071759)</f>
        <v>43130.60671</v>
      </c>
      <c r="B256" t="s">
        <v>2658</v>
      </c>
    </row>
    <row r="257" hidden="1">
      <c r="A257" s="32">
        <f>IFERROR(__xludf.DUMMYFUNCTION("""COMPUTED_VALUE"""),43130.873176284724)</f>
        <v>43130.87318</v>
      </c>
      <c r="B257" t="s">
        <v>80</v>
      </c>
    </row>
    <row r="258" hidden="1">
      <c r="A258" s="32">
        <f>IFERROR(__xludf.DUMMYFUNCTION("""COMPUTED_VALUE"""),43131.254048738425)</f>
        <v>43131.25405</v>
      </c>
      <c r="B258" t="s">
        <v>119</v>
      </c>
    </row>
    <row r="259" hidden="1">
      <c r="A259" s="32">
        <f>IFERROR(__xludf.DUMMYFUNCTION("""COMPUTED_VALUE"""),43131.41398570602)</f>
        <v>43131.41399</v>
      </c>
      <c r="B259" t="s">
        <v>80</v>
      </c>
    </row>
    <row r="260" hidden="1">
      <c r="A260" s="32">
        <f>IFERROR(__xludf.DUMMYFUNCTION("""COMPUTED_VALUE"""),43131.48161635417)</f>
        <v>43131.48162</v>
      </c>
      <c r="B260" t="s">
        <v>263</v>
      </c>
    </row>
    <row r="261" hidden="1">
      <c r="A261" s="32">
        <f>IFERROR(__xludf.DUMMYFUNCTION("""COMPUTED_VALUE"""),43131.589555011575)</f>
        <v>43131.58956</v>
      </c>
      <c r="B261" t="s">
        <v>45</v>
      </c>
    </row>
    <row r="262" hidden="1">
      <c r="A262" s="32">
        <f>IFERROR(__xludf.DUMMYFUNCTION("""COMPUTED_VALUE"""),43131.69008195602)</f>
        <v>43131.69008</v>
      </c>
      <c r="B262" t="s">
        <v>139</v>
      </c>
    </row>
    <row r="263" hidden="1">
      <c r="A263" s="32">
        <f>IFERROR(__xludf.DUMMYFUNCTION("""COMPUTED_VALUE"""),43132.38299454861)</f>
        <v>43132.38299</v>
      </c>
      <c r="B263" t="s">
        <v>48</v>
      </c>
    </row>
    <row r="264" hidden="1">
      <c r="A264" s="32">
        <f>IFERROR(__xludf.DUMMYFUNCTION("""COMPUTED_VALUE"""),43132.48646476852)</f>
        <v>43132.48646</v>
      </c>
      <c r="B264" t="s">
        <v>33</v>
      </c>
    </row>
    <row r="265" hidden="1">
      <c r="A265" s="32">
        <f>IFERROR(__xludf.DUMMYFUNCTION("""COMPUTED_VALUE"""),43132.550154675926)</f>
        <v>43132.55015</v>
      </c>
      <c r="B265" t="s">
        <v>25</v>
      </c>
    </row>
    <row r="266" hidden="1">
      <c r="A266" s="32">
        <f>IFERROR(__xludf.DUMMYFUNCTION("""COMPUTED_VALUE"""),43132.56703711806)</f>
        <v>43132.56704</v>
      </c>
      <c r="B266" t="s">
        <v>33</v>
      </c>
    </row>
    <row r="267" hidden="1">
      <c r="A267" s="32">
        <f>IFERROR(__xludf.DUMMYFUNCTION("""COMPUTED_VALUE"""),43132.8846408449)</f>
        <v>43132.88464</v>
      </c>
      <c r="B267" t="s">
        <v>40</v>
      </c>
    </row>
    <row r="268" hidden="1">
      <c r="A268" s="32">
        <f>IFERROR(__xludf.DUMMYFUNCTION("""COMPUTED_VALUE"""),43133.73334224537)</f>
        <v>43133.73334</v>
      </c>
      <c r="B268" t="s">
        <v>268</v>
      </c>
    </row>
    <row r="269" hidden="1">
      <c r="A269" s="32">
        <f>IFERROR(__xludf.DUMMYFUNCTION("""COMPUTED_VALUE"""),43133.880478125)</f>
        <v>43133.88048</v>
      </c>
      <c r="B269" t="s">
        <v>80</v>
      </c>
    </row>
    <row r="270" hidden="1">
      <c r="A270" s="32">
        <f>IFERROR(__xludf.DUMMYFUNCTION("""COMPUTED_VALUE"""),43134.348510185184)</f>
        <v>43134.34851</v>
      </c>
      <c r="B270" t="s">
        <v>270</v>
      </c>
    </row>
    <row r="271" hidden="1">
      <c r="A271" s="32">
        <f>IFERROR(__xludf.DUMMYFUNCTION("""COMPUTED_VALUE"""),43134.65426523148)</f>
        <v>43134.65427</v>
      </c>
      <c r="B271" t="s">
        <v>80</v>
      </c>
    </row>
    <row r="272" hidden="1">
      <c r="A272" s="32">
        <f>IFERROR(__xludf.DUMMYFUNCTION("""COMPUTED_VALUE"""),43134.920467233795)</f>
        <v>43134.92047</v>
      </c>
      <c r="B272" t="s">
        <v>33</v>
      </c>
    </row>
    <row r="273" hidden="1">
      <c r="A273" s="32">
        <f>IFERROR(__xludf.DUMMYFUNCTION("""COMPUTED_VALUE"""),43135.50359659722)</f>
        <v>43135.5036</v>
      </c>
      <c r="B273" t="s">
        <v>40</v>
      </c>
    </row>
    <row r="274" hidden="1">
      <c r="A274" s="32">
        <f>IFERROR(__xludf.DUMMYFUNCTION("""COMPUTED_VALUE"""),43135.545533530094)</f>
        <v>43135.54553</v>
      </c>
      <c r="B274" t="s">
        <v>80</v>
      </c>
    </row>
    <row r="275" hidden="1">
      <c r="A275" s="32">
        <f>IFERROR(__xludf.DUMMYFUNCTION("""COMPUTED_VALUE"""),43135.65700331019)</f>
        <v>43135.657</v>
      </c>
      <c r="B275" t="s">
        <v>33</v>
      </c>
    </row>
    <row r="276" hidden="1">
      <c r="A276" s="32">
        <f>IFERROR(__xludf.DUMMYFUNCTION("""COMPUTED_VALUE"""),43135.66181576389)</f>
        <v>43135.66182</v>
      </c>
      <c r="B276" t="s">
        <v>40</v>
      </c>
    </row>
    <row r="277" hidden="1">
      <c r="A277" s="32">
        <f>IFERROR(__xludf.DUMMYFUNCTION("""COMPUTED_VALUE"""),43136.54883083333)</f>
        <v>43136.54883</v>
      </c>
      <c r="B277" t="s">
        <v>36</v>
      </c>
    </row>
    <row r="278" hidden="1">
      <c r="A278" s="32">
        <f>IFERROR(__xludf.DUMMYFUNCTION("""COMPUTED_VALUE"""),43136.79496046296)</f>
        <v>43136.79496</v>
      </c>
      <c r="B278" t="s">
        <v>270</v>
      </c>
    </row>
    <row r="279" hidden="1">
      <c r="A279" s="32">
        <f>IFERROR(__xludf.DUMMYFUNCTION("""COMPUTED_VALUE"""),43137.610902789354)</f>
        <v>43137.6109</v>
      </c>
      <c r="B279" t="s">
        <v>33</v>
      </c>
    </row>
    <row r="280" hidden="1">
      <c r="A280" s="32">
        <f>IFERROR(__xludf.DUMMYFUNCTION("""COMPUTED_VALUE"""),43137.70893005787)</f>
        <v>43137.70893</v>
      </c>
      <c r="B280" t="s">
        <v>204</v>
      </c>
    </row>
    <row r="281" hidden="1">
      <c r="A281" s="32">
        <f>IFERROR(__xludf.DUMMYFUNCTION("""COMPUTED_VALUE"""),43137.77547729167)</f>
        <v>43137.77548</v>
      </c>
      <c r="B281" t="s">
        <v>33</v>
      </c>
    </row>
    <row r="282" hidden="1">
      <c r="A282" s="32">
        <f>IFERROR(__xludf.DUMMYFUNCTION("""COMPUTED_VALUE"""),43137.82100236111)</f>
        <v>43137.821</v>
      </c>
      <c r="B282" t="s">
        <v>33</v>
      </c>
    </row>
    <row r="283" hidden="1">
      <c r="A283" s="32">
        <f>IFERROR(__xludf.DUMMYFUNCTION("""COMPUTED_VALUE"""),43137.950805127315)</f>
        <v>43137.95081</v>
      </c>
      <c r="B283" t="s">
        <v>279</v>
      </c>
    </row>
    <row r="284" hidden="1">
      <c r="A284" s="32">
        <f>IFERROR(__xludf.DUMMYFUNCTION("""COMPUTED_VALUE"""),43138.32600313658)</f>
        <v>43138.326</v>
      </c>
      <c r="B284" t="s">
        <v>282</v>
      </c>
    </row>
    <row r="285" hidden="1">
      <c r="A285" s="32">
        <f>IFERROR(__xludf.DUMMYFUNCTION("""COMPUTED_VALUE"""),43138.64764252315)</f>
        <v>43138.64764</v>
      </c>
      <c r="B285" t="s">
        <v>2658</v>
      </c>
    </row>
    <row r="286" hidden="1">
      <c r="A286" s="32">
        <f>IFERROR(__xludf.DUMMYFUNCTION("""COMPUTED_VALUE"""),43138.74034704861)</f>
        <v>43138.74035</v>
      </c>
      <c r="B286" t="s">
        <v>33</v>
      </c>
    </row>
    <row r="287" hidden="1">
      <c r="A287" s="32">
        <f>IFERROR(__xludf.DUMMYFUNCTION("""COMPUTED_VALUE"""),43138.90154799768)</f>
        <v>43138.90155</v>
      </c>
      <c r="B287" t="s">
        <v>286</v>
      </c>
    </row>
    <row r="288" hidden="1">
      <c r="A288" s="32">
        <f>IFERROR(__xludf.DUMMYFUNCTION("""COMPUTED_VALUE"""),43139.323853298614)</f>
        <v>43139.32385</v>
      </c>
      <c r="B288" t="s">
        <v>80</v>
      </c>
    </row>
    <row r="289" hidden="1">
      <c r="A289" s="32">
        <f>IFERROR(__xludf.DUMMYFUNCTION("""COMPUTED_VALUE"""),43139.4307083912)</f>
        <v>43139.43071</v>
      </c>
      <c r="B289" t="s">
        <v>95</v>
      </c>
    </row>
    <row r="290" hidden="1">
      <c r="A290" s="32">
        <f>IFERROR(__xludf.DUMMYFUNCTION("""COMPUTED_VALUE"""),43139.65272438657)</f>
        <v>43139.65272</v>
      </c>
      <c r="B290" t="s">
        <v>40</v>
      </c>
    </row>
    <row r="291" hidden="1">
      <c r="A291" s="32">
        <f>IFERROR(__xludf.DUMMYFUNCTION("""COMPUTED_VALUE"""),43140.0369283912)</f>
        <v>43140.03693</v>
      </c>
      <c r="B291" t="s">
        <v>25</v>
      </c>
    </row>
    <row r="292" hidden="1">
      <c r="A292" s="32">
        <f>IFERROR(__xludf.DUMMYFUNCTION("""COMPUTED_VALUE"""),43140.629392013885)</f>
        <v>43140.62939</v>
      </c>
      <c r="B292" t="s">
        <v>291</v>
      </c>
    </row>
    <row r="293" hidden="1">
      <c r="A293" s="32">
        <f>IFERROR(__xludf.DUMMYFUNCTION("""COMPUTED_VALUE"""),43140.67123866898)</f>
        <v>43140.67124</v>
      </c>
      <c r="B293" t="s">
        <v>45</v>
      </c>
    </row>
    <row r="294" hidden="1">
      <c r="A294" s="32">
        <f>IFERROR(__xludf.DUMMYFUNCTION("""COMPUTED_VALUE"""),43141.248037847225)</f>
        <v>43141.24804</v>
      </c>
      <c r="B294" t="s">
        <v>2500</v>
      </c>
    </row>
    <row r="295" hidden="1">
      <c r="A295" s="32">
        <f>IFERROR(__xludf.DUMMYFUNCTION("""COMPUTED_VALUE"""),43141.55819885417)</f>
        <v>43141.5582</v>
      </c>
      <c r="B295" t="s">
        <v>45</v>
      </c>
    </row>
    <row r="296" hidden="1">
      <c r="A296" s="32">
        <f>IFERROR(__xludf.DUMMYFUNCTION("""COMPUTED_VALUE"""),43141.711631921295)</f>
        <v>43141.71163</v>
      </c>
      <c r="B296" t="s">
        <v>40</v>
      </c>
    </row>
    <row r="297" hidden="1">
      <c r="A297" s="32">
        <f>IFERROR(__xludf.DUMMYFUNCTION("""COMPUTED_VALUE"""),43141.72325833333)</f>
        <v>43141.72326</v>
      </c>
      <c r="B297" t="s">
        <v>36</v>
      </c>
    </row>
    <row r="298" hidden="1">
      <c r="A298" s="32">
        <f>IFERROR(__xludf.DUMMYFUNCTION("""COMPUTED_VALUE"""),43141.92841709491)</f>
        <v>43141.92842</v>
      </c>
      <c r="B298" t="s">
        <v>298</v>
      </c>
    </row>
    <row r="299" hidden="1">
      <c r="A299" s="32">
        <f>IFERROR(__xludf.DUMMYFUNCTION("""COMPUTED_VALUE"""),43141.93495138889)</f>
        <v>43141.93495</v>
      </c>
      <c r="B299" t="s">
        <v>80</v>
      </c>
    </row>
    <row r="300" hidden="1">
      <c r="A300" s="32">
        <f>IFERROR(__xludf.DUMMYFUNCTION("""COMPUTED_VALUE"""),43141.95754480324)</f>
        <v>43141.95754</v>
      </c>
      <c r="B300" t="s">
        <v>263</v>
      </c>
    </row>
    <row r="301" hidden="1">
      <c r="A301" s="32">
        <f>IFERROR(__xludf.DUMMYFUNCTION("""COMPUTED_VALUE"""),43141.96516229167)</f>
        <v>43141.96516</v>
      </c>
      <c r="B301" t="s">
        <v>282</v>
      </c>
    </row>
    <row r="302" hidden="1">
      <c r="A302" s="32">
        <f>IFERROR(__xludf.DUMMYFUNCTION("""COMPUTED_VALUE"""),43143.84374115741)</f>
        <v>43143.84374</v>
      </c>
      <c r="B302" t="s">
        <v>40</v>
      </c>
    </row>
    <row r="303" hidden="1">
      <c r="A303" s="32">
        <f>IFERROR(__xludf.DUMMYFUNCTION("""COMPUTED_VALUE"""),43143.944307708334)</f>
        <v>43143.94431</v>
      </c>
      <c r="B303" t="s">
        <v>40</v>
      </c>
    </row>
    <row r="304" hidden="1">
      <c r="A304" s="32">
        <f>IFERROR(__xludf.DUMMYFUNCTION("""COMPUTED_VALUE"""),43144.2868753125)</f>
        <v>43144.28688</v>
      </c>
      <c r="B304" t="s">
        <v>305</v>
      </c>
    </row>
    <row r="305" hidden="1">
      <c r="A305" s="32">
        <f>IFERROR(__xludf.DUMMYFUNCTION("""COMPUTED_VALUE"""),43144.40808299769)</f>
        <v>43144.40808</v>
      </c>
      <c r="B305" t="s">
        <v>33</v>
      </c>
    </row>
    <row r="306" hidden="1">
      <c r="A306" s="32">
        <f>IFERROR(__xludf.DUMMYFUNCTION("""COMPUTED_VALUE"""),43144.55395615741)</f>
        <v>43144.55396</v>
      </c>
      <c r="B306" t="s">
        <v>80</v>
      </c>
    </row>
    <row r="307" hidden="1">
      <c r="A307" s="32">
        <f>IFERROR(__xludf.DUMMYFUNCTION("""COMPUTED_VALUE"""),43144.65954728009)</f>
        <v>43144.65955</v>
      </c>
      <c r="B307" t="s">
        <v>33</v>
      </c>
    </row>
    <row r="308" hidden="1">
      <c r="A308" s="32">
        <f>IFERROR(__xludf.DUMMYFUNCTION("""COMPUTED_VALUE"""),43144.841144375)</f>
        <v>43144.84114</v>
      </c>
      <c r="B308" t="s">
        <v>77</v>
      </c>
    </row>
    <row r="309" hidden="1">
      <c r="A309" s="32">
        <f>IFERROR(__xludf.DUMMYFUNCTION("""COMPUTED_VALUE"""),43145.581320717596)</f>
        <v>43145.58132</v>
      </c>
      <c r="B309" t="s">
        <v>33</v>
      </c>
    </row>
    <row r="310" hidden="1">
      <c r="A310" s="32">
        <f>IFERROR(__xludf.DUMMYFUNCTION("""COMPUTED_VALUE"""),43145.78642364583)</f>
        <v>43145.78642</v>
      </c>
      <c r="B310" t="s">
        <v>263</v>
      </c>
    </row>
    <row r="311" hidden="1">
      <c r="A311" s="32">
        <f>IFERROR(__xludf.DUMMYFUNCTION("""COMPUTED_VALUE"""),43145.85908549769)</f>
        <v>43145.85909</v>
      </c>
      <c r="B311" t="s">
        <v>204</v>
      </c>
    </row>
    <row r="312" hidden="1">
      <c r="A312" s="32">
        <f>IFERROR(__xludf.DUMMYFUNCTION("""COMPUTED_VALUE"""),43146.10409518519)</f>
        <v>43146.1041</v>
      </c>
      <c r="B312" t="s">
        <v>256</v>
      </c>
    </row>
    <row r="313" hidden="1">
      <c r="A313" s="32">
        <f>IFERROR(__xludf.DUMMYFUNCTION("""COMPUTED_VALUE"""),43146.383875659725)</f>
        <v>43146.38388</v>
      </c>
      <c r="B313" t="s">
        <v>80</v>
      </c>
    </row>
    <row r="314" hidden="1">
      <c r="A314" s="32">
        <f>IFERROR(__xludf.DUMMYFUNCTION("""COMPUTED_VALUE"""),43146.75192202546)</f>
        <v>43146.75192</v>
      </c>
      <c r="B314" t="s">
        <v>48</v>
      </c>
    </row>
    <row r="315" hidden="1">
      <c r="A315" s="32">
        <f>IFERROR(__xludf.DUMMYFUNCTION("""COMPUTED_VALUE"""),43146.97452884259)</f>
        <v>43146.97453</v>
      </c>
      <c r="B315" t="s">
        <v>48</v>
      </c>
    </row>
    <row r="316" hidden="1">
      <c r="A316" s="32">
        <f>IFERROR(__xludf.DUMMYFUNCTION("""COMPUTED_VALUE"""),43147.411205324075)</f>
        <v>43147.41121</v>
      </c>
      <c r="B316" t="s">
        <v>33</v>
      </c>
    </row>
    <row r="317" hidden="1">
      <c r="A317" s="32">
        <f>IFERROR(__xludf.DUMMYFUNCTION("""COMPUTED_VALUE"""),43147.451068379625)</f>
        <v>43147.45107</v>
      </c>
      <c r="B317" t="s">
        <v>2424</v>
      </c>
    </row>
    <row r="318" hidden="1">
      <c r="A318" s="32">
        <f>IFERROR(__xludf.DUMMYFUNCTION("""COMPUTED_VALUE"""),43147.47213796296)</f>
        <v>43147.47214</v>
      </c>
      <c r="B318" t="s">
        <v>282</v>
      </c>
    </row>
    <row r="319" hidden="1">
      <c r="A319" s="32">
        <f>IFERROR(__xludf.DUMMYFUNCTION("""COMPUTED_VALUE"""),43149.469858958335)</f>
        <v>43149.46986</v>
      </c>
      <c r="B319" t="s">
        <v>33</v>
      </c>
    </row>
    <row r="320" hidden="1">
      <c r="A320" s="32">
        <f>IFERROR(__xludf.DUMMYFUNCTION("""COMPUTED_VALUE"""),43149.8964274537)</f>
        <v>43149.89643</v>
      </c>
      <c r="B320" t="s">
        <v>33</v>
      </c>
    </row>
    <row r="321" hidden="1">
      <c r="A321" s="32">
        <f>IFERROR(__xludf.DUMMYFUNCTION("""COMPUTED_VALUE"""),43150.774111238425)</f>
        <v>43150.77411</v>
      </c>
      <c r="B321" t="s">
        <v>2424</v>
      </c>
    </row>
    <row r="322" hidden="1">
      <c r="A322" s="32">
        <f>IFERROR(__xludf.DUMMYFUNCTION("""COMPUTED_VALUE"""),43150.77459568287)</f>
        <v>43150.7746</v>
      </c>
      <c r="B322" t="s">
        <v>2424</v>
      </c>
    </row>
    <row r="323" hidden="1">
      <c r="A323" s="32">
        <f>IFERROR(__xludf.DUMMYFUNCTION("""COMPUTED_VALUE"""),43150.801719270836)</f>
        <v>43150.80172</v>
      </c>
      <c r="B323" t="s">
        <v>170</v>
      </c>
    </row>
    <row r="324" hidden="1">
      <c r="A324" s="32">
        <f>IFERROR(__xludf.DUMMYFUNCTION("""COMPUTED_VALUE"""),43151.22682267361)</f>
        <v>43151.22682</v>
      </c>
      <c r="B324" t="s">
        <v>2072</v>
      </c>
    </row>
    <row r="325" hidden="1">
      <c r="A325" s="32">
        <f>IFERROR(__xludf.DUMMYFUNCTION("""COMPUTED_VALUE"""),43151.45018486111)</f>
        <v>43151.45018</v>
      </c>
      <c r="B325" t="s">
        <v>45</v>
      </c>
    </row>
    <row r="326" hidden="1">
      <c r="A326" s="32">
        <f>IFERROR(__xludf.DUMMYFUNCTION("""COMPUTED_VALUE"""),43151.45738836806)</f>
        <v>43151.45739</v>
      </c>
      <c r="B326" t="s">
        <v>48</v>
      </c>
    </row>
    <row r="327" hidden="1">
      <c r="A327" s="32">
        <f>IFERROR(__xludf.DUMMYFUNCTION("""COMPUTED_VALUE"""),43151.87748232639)</f>
        <v>43151.87748</v>
      </c>
      <c r="B327" t="s">
        <v>80</v>
      </c>
    </row>
    <row r="328" hidden="1">
      <c r="A328" s="32">
        <f>IFERROR(__xludf.DUMMYFUNCTION("""COMPUTED_VALUE"""),43151.95661480324)</f>
        <v>43151.95661</v>
      </c>
      <c r="B328" t="s">
        <v>33</v>
      </c>
    </row>
    <row r="329" hidden="1">
      <c r="A329" s="32">
        <f>IFERROR(__xludf.DUMMYFUNCTION("""COMPUTED_VALUE"""),43152.980659953704)</f>
        <v>43152.98066</v>
      </c>
      <c r="B329" t="s">
        <v>249</v>
      </c>
    </row>
    <row r="330" hidden="1">
      <c r="A330" s="32">
        <f>IFERROR(__xludf.DUMMYFUNCTION("""COMPUTED_VALUE"""),43154.31744222222)</f>
        <v>43154.31744</v>
      </c>
      <c r="B330" t="s">
        <v>123</v>
      </c>
    </row>
    <row r="331" hidden="1">
      <c r="A331" s="32">
        <f>IFERROR(__xludf.DUMMYFUNCTION("""COMPUTED_VALUE"""),43154.533975196755)</f>
        <v>43154.53398</v>
      </c>
      <c r="B331" t="s">
        <v>256</v>
      </c>
    </row>
    <row r="332" hidden="1">
      <c r="A332" s="32">
        <f>IFERROR(__xludf.DUMMYFUNCTION("""COMPUTED_VALUE"""),43154.82886840278)</f>
        <v>43154.82887</v>
      </c>
      <c r="B332" t="s">
        <v>124</v>
      </c>
    </row>
    <row r="333" hidden="1">
      <c r="A333" s="32">
        <f>IFERROR(__xludf.DUMMYFUNCTION("""COMPUTED_VALUE"""),43155.42996140046)</f>
        <v>43155.42996</v>
      </c>
      <c r="B333" t="s">
        <v>48</v>
      </c>
    </row>
    <row r="334" hidden="1">
      <c r="A334" s="32">
        <f>IFERROR(__xludf.DUMMYFUNCTION("""COMPUTED_VALUE"""),43156.30039366898)</f>
        <v>43156.30039</v>
      </c>
      <c r="B334" t="s">
        <v>33</v>
      </c>
    </row>
    <row r="335" hidden="1">
      <c r="A335" s="32">
        <f>IFERROR(__xludf.DUMMYFUNCTION("""COMPUTED_VALUE"""),43156.5853100463)</f>
        <v>43156.58531</v>
      </c>
      <c r="B335" t="s">
        <v>33</v>
      </c>
    </row>
    <row r="336" hidden="1">
      <c r="A336" s="32">
        <f>IFERROR(__xludf.DUMMYFUNCTION("""COMPUTED_VALUE"""),43156.75017832176)</f>
        <v>43156.75018</v>
      </c>
      <c r="B336" t="s">
        <v>282</v>
      </c>
    </row>
    <row r="337" hidden="1">
      <c r="A337" s="32">
        <f>IFERROR(__xludf.DUMMYFUNCTION("""COMPUTED_VALUE"""),43157.09752009259)</f>
        <v>43157.09752</v>
      </c>
      <c r="B337" t="s">
        <v>33</v>
      </c>
    </row>
    <row r="338" hidden="1">
      <c r="A338" s="32">
        <f>IFERROR(__xludf.DUMMYFUNCTION("""COMPUTED_VALUE"""),43157.263222361114)</f>
        <v>43157.26322</v>
      </c>
      <c r="B338" t="s">
        <v>119</v>
      </c>
    </row>
    <row r="339" hidden="1">
      <c r="A339" s="32">
        <f>IFERROR(__xludf.DUMMYFUNCTION("""COMPUTED_VALUE"""),43157.55694115741)</f>
        <v>43157.55694</v>
      </c>
      <c r="B339" t="s">
        <v>2255</v>
      </c>
    </row>
    <row r="340" hidden="1">
      <c r="A340" s="32">
        <f>IFERROR(__xludf.DUMMYFUNCTION("""COMPUTED_VALUE"""),43157.58149737268)</f>
        <v>43157.5815</v>
      </c>
      <c r="B340" t="s">
        <v>48</v>
      </c>
    </row>
    <row r="341" hidden="1">
      <c r="A341" s="32">
        <f>IFERROR(__xludf.DUMMYFUNCTION("""COMPUTED_VALUE"""),43158.52972648148)</f>
        <v>43158.52973</v>
      </c>
      <c r="B341" t="s">
        <v>123</v>
      </c>
    </row>
    <row r="342" hidden="1">
      <c r="A342" s="32">
        <f>IFERROR(__xludf.DUMMYFUNCTION("""COMPUTED_VALUE"""),43158.581546030095)</f>
        <v>43158.58155</v>
      </c>
      <c r="B342" t="s">
        <v>33</v>
      </c>
    </row>
    <row r="343" hidden="1">
      <c r="A343" s="32">
        <f>IFERROR(__xludf.DUMMYFUNCTION("""COMPUTED_VALUE"""),43159.439532476856)</f>
        <v>43159.43953</v>
      </c>
      <c r="B343" t="s">
        <v>40</v>
      </c>
    </row>
    <row r="344" hidden="1">
      <c r="A344" s="32">
        <f>IFERROR(__xludf.DUMMYFUNCTION("""COMPUTED_VALUE"""),43159.45766223379)</f>
        <v>43159.45766</v>
      </c>
      <c r="B344" t="s">
        <v>123</v>
      </c>
    </row>
    <row r="345" hidden="1">
      <c r="A345" s="32">
        <f>IFERROR(__xludf.DUMMYFUNCTION("""COMPUTED_VALUE"""),43159.86699563658)</f>
        <v>43159.867</v>
      </c>
      <c r="B345" t="s">
        <v>123</v>
      </c>
    </row>
    <row r="346" hidden="1">
      <c r="A346" s="32">
        <f>IFERROR(__xludf.DUMMYFUNCTION("""COMPUTED_VALUE"""),43159.91162704861)</f>
        <v>43159.91163</v>
      </c>
      <c r="B346" t="s">
        <v>40</v>
      </c>
    </row>
    <row r="347" hidden="1">
      <c r="A347" s="32">
        <f>IFERROR(__xludf.DUMMYFUNCTION("""COMPUTED_VALUE"""),43160.552778136574)</f>
        <v>43160.55278</v>
      </c>
      <c r="B347" t="s">
        <v>40</v>
      </c>
    </row>
    <row r="348" hidden="1">
      <c r="A348" s="32">
        <f>IFERROR(__xludf.DUMMYFUNCTION("""COMPUTED_VALUE"""),43160.84730101852)</f>
        <v>43160.8473</v>
      </c>
      <c r="B348" t="s">
        <v>123</v>
      </c>
    </row>
    <row r="349" hidden="1">
      <c r="A349" s="32">
        <f>IFERROR(__xludf.DUMMYFUNCTION("""COMPUTED_VALUE"""),43160.88757025463)</f>
        <v>43160.88757</v>
      </c>
      <c r="B349" t="s">
        <v>282</v>
      </c>
    </row>
    <row r="350" hidden="1">
      <c r="A350" s="32">
        <f>IFERROR(__xludf.DUMMYFUNCTION("""COMPUTED_VALUE"""),43161.702577731485)</f>
        <v>43161.70258</v>
      </c>
      <c r="B350" t="s">
        <v>343</v>
      </c>
    </row>
    <row r="351" hidden="1">
      <c r="A351" s="32">
        <f>IFERROR(__xludf.DUMMYFUNCTION("""COMPUTED_VALUE"""),43161.88179393519)</f>
        <v>43161.88179</v>
      </c>
      <c r="B351" t="s">
        <v>33</v>
      </c>
    </row>
    <row r="352" hidden="1">
      <c r="A352" s="32">
        <f>IFERROR(__xludf.DUMMYFUNCTION("""COMPUTED_VALUE"""),43161.926904884254)</f>
        <v>43161.9269</v>
      </c>
      <c r="B352" t="s">
        <v>33</v>
      </c>
    </row>
    <row r="353" hidden="1">
      <c r="A353" s="32">
        <f>IFERROR(__xludf.DUMMYFUNCTION("""COMPUTED_VALUE"""),43162.68618870371)</f>
        <v>43162.68619</v>
      </c>
      <c r="B353" t="s">
        <v>40</v>
      </c>
    </row>
    <row r="354" hidden="1">
      <c r="A354" s="32">
        <f>IFERROR(__xludf.DUMMYFUNCTION("""COMPUTED_VALUE"""),43162.95118081018)</f>
        <v>43162.95118</v>
      </c>
      <c r="B354" t="s">
        <v>119</v>
      </c>
    </row>
    <row r="355" hidden="1">
      <c r="A355" s="32">
        <f>IFERROR(__xludf.DUMMYFUNCTION("""COMPUTED_VALUE"""),43162.99577214121)</f>
        <v>43162.99577</v>
      </c>
      <c r="B355" t="s">
        <v>45</v>
      </c>
    </row>
    <row r="356" hidden="1">
      <c r="A356" s="32">
        <f>IFERROR(__xludf.DUMMYFUNCTION("""COMPUTED_VALUE"""),43163.730592314816)</f>
        <v>43163.73059</v>
      </c>
      <c r="B356" t="s">
        <v>350</v>
      </c>
    </row>
    <row r="357" hidden="1">
      <c r="A357" s="32">
        <f>IFERROR(__xludf.DUMMYFUNCTION("""COMPUTED_VALUE"""),43164.43024556713)</f>
        <v>43164.43025</v>
      </c>
      <c r="B357" t="s">
        <v>40</v>
      </c>
    </row>
    <row r="358" hidden="1">
      <c r="A358" s="32">
        <f>IFERROR(__xludf.DUMMYFUNCTION("""COMPUTED_VALUE"""),43164.50598844908)</f>
        <v>43164.50599</v>
      </c>
      <c r="B358" t="s">
        <v>188</v>
      </c>
    </row>
    <row r="359" hidden="1">
      <c r="A359" s="32">
        <f>IFERROR(__xludf.DUMMYFUNCTION("""COMPUTED_VALUE"""),43164.815223425925)</f>
        <v>43164.81522</v>
      </c>
      <c r="B359" t="s">
        <v>48</v>
      </c>
    </row>
    <row r="360" hidden="1">
      <c r="A360" s="32">
        <f>IFERROR(__xludf.DUMMYFUNCTION("""COMPUTED_VALUE"""),43164.89184762731)</f>
        <v>43164.89185</v>
      </c>
      <c r="B360" t="s">
        <v>357</v>
      </c>
    </row>
    <row r="361" hidden="1">
      <c r="A361" s="32">
        <f>IFERROR(__xludf.DUMMYFUNCTION("""COMPUTED_VALUE"""),43165.41358054398)</f>
        <v>43165.41358</v>
      </c>
      <c r="B361" t="s">
        <v>33</v>
      </c>
    </row>
    <row r="362" hidden="1">
      <c r="A362" s="32">
        <f>IFERROR(__xludf.DUMMYFUNCTION("""COMPUTED_VALUE"""),43165.71204135417)</f>
        <v>43165.71204</v>
      </c>
      <c r="B362" t="s">
        <v>33</v>
      </c>
    </row>
    <row r="363" hidden="1">
      <c r="A363" s="32">
        <f>IFERROR(__xludf.DUMMYFUNCTION("""COMPUTED_VALUE"""),43165.73188306713)</f>
        <v>43165.73188</v>
      </c>
      <c r="B363" t="s">
        <v>40</v>
      </c>
    </row>
    <row r="364" hidden="1">
      <c r="A364" s="32">
        <f>IFERROR(__xludf.DUMMYFUNCTION("""COMPUTED_VALUE"""),43165.784929201385)</f>
        <v>43165.78493</v>
      </c>
      <c r="B364" t="s">
        <v>33</v>
      </c>
    </row>
    <row r="365" hidden="1">
      <c r="A365" s="32">
        <f>IFERROR(__xludf.DUMMYFUNCTION("""COMPUTED_VALUE"""),43165.83510509259)</f>
        <v>43165.83511</v>
      </c>
      <c r="B365" t="s">
        <v>45</v>
      </c>
    </row>
    <row r="366" hidden="1">
      <c r="A366" s="32">
        <f>IFERROR(__xludf.DUMMYFUNCTION("""COMPUTED_VALUE"""),43165.88311388889)</f>
        <v>43165.88311</v>
      </c>
      <c r="B366" t="s">
        <v>48</v>
      </c>
    </row>
    <row r="367" hidden="1">
      <c r="A367" s="32">
        <f>IFERROR(__xludf.DUMMYFUNCTION("""COMPUTED_VALUE"""),43166.517434988426)</f>
        <v>43166.51743</v>
      </c>
      <c r="B367" t="s">
        <v>33</v>
      </c>
    </row>
    <row r="368" hidden="1">
      <c r="A368" s="32">
        <f>IFERROR(__xludf.DUMMYFUNCTION("""COMPUTED_VALUE"""),43166.84323846065)</f>
        <v>43166.84324</v>
      </c>
      <c r="B368" t="s">
        <v>40</v>
      </c>
    </row>
    <row r="369" hidden="1">
      <c r="A369" s="32">
        <f>IFERROR(__xludf.DUMMYFUNCTION("""COMPUTED_VALUE"""),43166.871845092595)</f>
        <v>43166.87185</v>
      </c>
      <c r="B369" t="s">
        <v>48</v>
      </c>
    </row>
    <row r="370" hidden="1">
      <c r="A370" s="32">
        <f>IFERROR(__xludf.DUMMYFUNCTION("""COMPUTED_VALUE"""),43166.982123483795)</f>
        <v>43166.98212</v>
      </c>
      <c r="B370" t="s">
        <v>268</v>
      </c>
    </row>
    <row r="371" hidden="1">
      <c r="A371" s="32">
        <f>IFERROR(__xludf.DUMMYFUNCTION("""COMPUTED_VALUE"""),43167.00340746528)</f>
        <v>43167.00341</v>
      </c>
      <c r="B371" t="s">
        <v>105</v>
      </c>
    </row>
    <row r="372" hidden="1">
      <c r="A372" s="32">
        <f>IFERROR(__xludf.DUMMYFUNCTION("""COMPUTED_VALUE"""),43167.22027049768)</f>
        <v>43167.22027</v>
      </c>
      <c r="B372" t="s">
        <v>45</v>
      </c>
    </row>
    <row r="373" hidden="1">
      <c r="A373" s="32">
        <f>IFERROR(__xludf.DUMMYFUNCTION("""COMPUTED_VALUE"""),43167.22153304398)</f>
        <v>43167.22153</v>
      </c>
      <c r="B373" t="s">
        <v>25</v>
      </c>
    </row>
    <row r="374" hidden="1">
      <c r="A374" s="32">
        <f>IFERROR(__xludf.DUMMYFUNCTION("""COMPUTED_VALUE"""),43167.5209678588)</f>
        <v>43167.52097</v>
      </c>
      <c r="B374" t="s">
        <v>368</v>
      </c>
    </row>
    <row r="375" hidden="1">
      <c r="A375" s="32">
        <f>IFERROR(__xludf.DUMMYFUNCTION("""COMPUTED_VALUE"""),43167.588353935185)</f>
        <v>43167.58835</v>
      </c>
      <c r="B375" t="s">
        <v>263</v>
      </c>
    </row>
    <row r="376" hidden="1">
      <c r="A376" s="32">
        <f>IFERROR(__xludf.DUMMYFUNCTION("""COMPUTED_VALUE"""),43167.6250978125)</f>
        <v>43167.6251</v>
      </c>
      <c r="B376" t="s">
        <v>371</v>
      </c>
    </row>
    <row r="377" hidden="1">
      <c r="A377" s="32">
        <f>IFERROR(__xludf.DUMMYFUNCTION("""COMPUTED_VALUE"""),43167.9452790162)</f>
        <v>43167.94528</v>
      </c>
      <c r="B377" t="s">
        <v>40</v>
      </c>
    </row>
    <row r="378" hidden="1">
      <c r="A378" s="32">
        <f>IFERROR(__xludf.DUMMYFUNCTION("""COMPUTED_VALUE"""),43168.38569943287)</f>
        <v>43168.3857</v>
      </c>
      <c r="B378" t="s">
        <v>33</v>
      </c>
    </row>
    <row r="379" hidden="1">
      <c r="A379" s="32">
        <f>IFERROR(__xludf.DUMMYFUNCTION("""COMPUTED_VALUE"""),43169.37226743056)</f>
        <v>43169.37227</v>
      </c>
      <c r="B379" t="s">
        <v>95</v>
      </c>
    </row>
    <row r="380" hidden="1">
      <c r="A380" s="32">
        <f>IFERROR(__xludf.DUMMYFUNCTION("""COMPUTED_VALUE"""),43170.061273935185)</f>
        <v>43170.06127</v>
      </c>
      <c r="B380" t="s">
        <v>123</v>
      </c>
    </row>
    <row r="381" hidden="1">
      <c r="A381" s="32">
        <f>IFERROR(__xludf.DUMMYFUNCTION("""COMPUTED_VALUE"""),43170.51335616898)</f>
        <v>43170.51336</v>
      </c>
      <c r="B381" t="s">
        <v>80</v>
      </c>
    </row>
    <row r="382" hidden="1">
      <c r="A382" s="32">
        <f>IFERROR(__xludf.DUMMYFUNCTION("""COMPUTED_VALUE"""),43170.51400869213)</f>
        <v>43170.51401</v>
      </c>
      <c r="B382" t="s">
        <v>80</v>
      </c>
    </row>
    <row r="383" hidden="1">
      <c r="A383" s="32">
        <f>IFERROR(__xludf.DUMMYFUNCTION("""COMPUTED_VALUE"""),43170.51619945602)</f>
        <v>43170.5162</v>
      </c>
      <c r="B383" t="s">
        <v>48</v>
      </c>
    </row>
    <row r="384" hidden="1">
      <c r="A384" s="32">
        <f>IFERROR(__xludf.DUMMYFUNCTION("""COMPUTED_VALUE"""),43170.517729722225)</f>
        <v>43170.51773</v>
      </c>
      <c r="B384" t="s">
        <v>378</v>
      </c>
    </row>
    <row r="385" hidden="1">
      <c r="A385" s="32">
        <f>IFERROR(__xludf.DUMMYFUNCTION("""COMPUTED_VALUE"""),43170.52246309028)</f>
        <v>43170.52246</v>
      </c>
      <c r="B385" t="s">
        <v>380</v>
      </c>
    </row>
    <row r="386" hidden="1">
      <c r="A386" s="32">
        <f>IFERROR(__xludf.DUMMYFUNCTION("""COMPUTED_VALUE"""),43170.89549137732)</f>
        <v>43170.89549</v>
      </c>
      <c r="B386" t="s">
        <v>80</v>
      </c>
    </row>
    <row r="387" hidden="1">
      <c r="A387" s="32">
        <f>IFERROR(__xludf.DUMMYFUNCTION("""COMPUTED_VALUE"""),43171.85372050926)</f>
        <v>43171.85372</v>
      </c>
      <c r="B387" t="s">
        <v>383</v>
      </c>
    </row>
    <row r="388" hidden="1">
      <c r="A388" s="32">
        <f>IFERROR(__xludf.DUMMYFUNCTION("""COMPUTED_VALUE"""),43172.05653253473)</f>
        <v>43172.05653</v>
      </c>
      <c r="B388" t="s">
        <v>33</v>
      </c>
    </row>
    <row r="389" hidden="1">
      <c r="A389" s="32">
        <f>IFERROR(__xludf.DUMMYFUNCTION("""COMPUTED_VALUE"""),43172.270060173614)</f>
        <v>43172.27006</v>
      </c>
      <c r="B389" t="s">
        <v>48</v>
      </c>
    </row>
    <row r="390" hidden="1">
      <c r="A390" s="32">
        <f>IFERROR(__xludf.DUMMYFUNCTION("""COMPUTED_VALUE"""),43172.76208883102)</f>
        <v>43172.76209</v>
      </c>
      <c r="B390" t="s">
        <v>123</v>
      </c>
    </row>
    <row r="391" hidden="1">
      <c r="A391" s="32">
        <f>IFERROR(__xludf.DUMMYFUNCTION("""COMPUTED_VALUE"""),43172.86315885417)</f>
        <v>43172.86316</v>
      </c>
      <c r="B391" t="s">
        <v>40</v>
      </c>
    </row>
    <row r="392" hidden="1">
      <c r="A392" s="32">
        <f>IFERROR(__xludf.DUMMYFUNCTION("""COMPUTED_VALUE"""),43173.64098454861)</f>
        <v>43173.64098</v>
      </c>
      <c r="B392" t="s">
        <v>80</v>
      </c>
    </row>
    <row r="393" hidden="1">
      <c r="A393" s="32">
        <f>IFERROR(__xludf.DUMMYFUNCTION("""COMPUTED_VALUE"""),43173.71343321759)</f>
        <v>43173.71343</v>
      </c>
      <c r="B393" t="s">
        <v>256</v>
      </c>
    </row>
    <row r="394" hidden="1">
      <c r="A394" s="32">
        <f>IFERROR(__xludf.DUMMYFUNCTION("""COMPUTED_VALUE"""),43174.332406608795)</f>
        <v>43174.33241</v>
      </c>
      <c r="B394" t="s">
        <v>80</v>
      </c>
    </row>
    <row r="395" hidden="1">
      <c r="A395" s="32">
        <f>IFERROR(__xludf.DUMMYFUNCTION("""COMPUTED_VALUE"""),43174.55166950231)</f>
        <v>43174.55167</v>
      </c>
      <c r="B395" t="s">
        <v>2663</v>
      </c>
    </row>
    <row r="396" hidden="1">
      <c r="A396" s="32">
        <f>IFERROR(__xludf.DUMMYFUNCTION("""COMPUTED_VALUE"""),43174.922084571765)</f>
        <v>43174.92208</v>
      </c>
      <c r="B396" t="s">
        <v>48</v>
      </c>
    </row>
    <row r="397" hidden="1">
      <c r="A397" s="32">
        <f>IFERROR(__xludf.DUMMYFUNCTION("""COMPUTED_VALUE"""),43175.43205752315)</f>
        <v>43175.43206</v>
      </c>
      <c r="B397" t="s">
        <v>2255</v>
      </c>
    </row>
    <row r="398" hidden="1">
      <c r="A398" s="32">
        <f>IFERROR(__xludf.DUMMYFUNCTION("""COMPUTED_VALUE"""),43177.07763295139)</f>
        <v>43177.07763</v>
      </c>
      <c r="B398" t="s">
        <v>387</v>
      </c>
    </row>
    <row r="399" hidden="1">
      <c r="A399" s="32">
        <f>IFERROR(__xludf.DUMMYFUNCTION("""COMPUTED_VALUE"""),43177.43902521991)</f>
        <v>43177.43903</v>
      </c>
      <c r="B399" t="s">
        <v>40</v>
      </c>
    </row>
    <row r="400" hidden="1">
      <c r="A400" s="32">
        <f>IFERROR(__xludf.DUMMYFUNCTION("""COMPUTED_VALUE"""),43177.58061142361)</f>
        <v>43177.58061</v>
      </c>
      <c r="B400" t="s">
        <v>658</v>
      </c>
    </row>
    <row r="401" hidden="1">
      <c r="A401" s="32">
        <f>IFERROR(__xludf.DUMMYFUNCTION("""COMPUTED_VALUE"""),43177.64214146991)</f>
        <v>43177.64214</v>
      </c>
      <c r="B401" t="s">
        <v>25</v>
      </c>
    </row>
    <row r="402" hidden="1">
      <c r="A402" s="32">
        <f>IFERROR(__xludf.DUMMYFUNCTION("""COMPUTED_VALUE"""),43178.412731006945)</f>
        <v>43178.41273</v>
      </c>
      <c r="B402" t="s">
        <v>40</v>
      </c>
    </row>
    <row r="403" hidden="1">
      <c r="A403" s="32">
        <f>IFERROR(__xludf.DUMMYFUNCTION("""COMPUTED_VALUE"""),43178.45876245371)</f>
        <v>43178.45876</v>
      </c>
      <c r="B403" t="s">
        <v>40</v>
      </c>
    </row>
    <row r="404" hidden="1">
      <c r="A404" s="32">
        <f>IFERROR(__xludf.DUMMYFUNCTION("""COMPUTED_VALUE"""),43178.751179548606)</f>
        <v>43178.75118</v>
      </c>
      <c r="B404" t="s">
        <v>282</v>
      </c>
    </row>
    <row r="405" hidden="1">
      <c r="A405" s="32">
        <f>IFERROR(__xludf.DUMMYFUNCTION("""COMPUTED_VALUE"""),43178.77515783565)</f>
        <v>43178.77516</v>
      </c>
      <c r="B405" t="s">
        <v>282</v>
      </c>
    </row>
    <row r="406" hidden="1">
      <c r="A406" s="32">
        <f>IFERROR(__xludf.DUMMYFUNCTION("""COMPUTED_VALUE"""),43179.97472414352)</f>
        <v>43179.97472</v>
      </c>
      <c r="B406" t="s">
        <v>33</v>
      </c>
    </row>
    <row r="407" hidden="1">
      <c r="A407" s="32">
        <f>IFERROR(__xludf.DUMMYFUNCTION("""COMPUTED_VALUE"""),43179.996540555556)</f>
        <v>43179.99654</v>
      </c>
      <c r="B407" t="s">
        <v>33</v>
      </c>
    </row>
    <row r="408" hidden="1">
      <c r="A408" s="32">
        <f>IFERROR(__xludf.DUMMYFUNCTION("""COMPUTED_VALUE"""),43180.074246516204)</f>
        <v>43180.07425</v>
      </c>
      <c r="B408" t="s">
        <v>45</v>
      </c>
    </row>
    <row r="409" hidden="1">
      <c r="A409" s="32">
        <f>IFERROR(__xludf.DUMMYFUNCTION("""COMPUTED_VALUE"""),43180.32172420139)</f>
        <v>43180.32172</v>
      </c>
      <c r="B409" t="s">
        <v>2664</v>
      </c>
    </row>
    <row r="410" hidden="1">
      <c r="A410" s="32">
        <f>IFERROR(__xludf.DUMMYFUNCTION("""COMPUTED_VALUE"""),43180.37013027778)</f>
        <v>43180.37013</v>
      </c>
      <c r="B410" t="s">
        <v>33</v>
      </c>
    </row>
    <row r="411" hidden="1">
      <c r="A411" s="32">
        <f>IFERROR(__xludf.DUMMYFUNCTION("""COMPUTED_VALUE"""),43180.59452119213)</f>
        <v>43180.59452</v>
      </c>
      <c r="B411" t="s">
        <v>268</v>
      </c>
    </row>
    <row r="412" hidden="1">
      <c r="A412" s="32">
        <f>IFERROR(__xludf.DUMMYFUNCTION("""COMPUTED_VALUE"""),43181.658024282406)</f>
        <v>43181.65802</v>
      </c>
      <c r="B412" t="s">
        <v>33</v>
      </c>
    </row>
    <row r="413" hidden="1">
      <c r="A413" s="32">
        <f>IFERROR(__xludf.DUMMYFUNCTION("""COMPUTED_VALUE"""),43182.53565096065)</f>
        <v>43182.53565</v>
      </c>
      <c r="B413" t="s">
        <v>80</v>
      </c>
    </row>
    <row r="414" hidden="1">
      <c r="A414" s="32">
        <f>IFERROR(__xludf.DUMMYFUNCTION("""COMPUTED_VALUE"""),43183.34198414352)</f>
        <v>43183.34198</v>
      </c>
      <c r="B414" t="s">
        <v>33</v>
      </c>
    </row>
    <row r="415" hidden="1">
      <c r="A415" s="32">
        <f>IFERROR(__xludf.DUMMYFUNCTION("""COMPUTED_VALUE"""),43183.53269260417)</f>
        <v>43183.53269</v>
      </c>
      <c r="B415" t="s">
        <v>80</v>
      </c>
    </row>
    <row r="416" hidden="1">
      <c r="A416" s="32">
        <f>IFERROR(__xludf.DUMMYFUNCTION("""COMPUTED_VALUE"""),43183.831183981485)</f>
        <v>43183.83118</v>
      </c>
      <c r="B416" t="s">
        <v>80</v>
      </c>
    </row>
    <row r="417" hidden="1">
      <c r="A417" s="32">
        <f>IFERROR(__xludf.DUMMYFUNCTION("""COMPUTED_VALUE"""),43184.78144673611)</f>
        <v>43184.78145</v>
      </c>
      <c r="B417" t="s">
        <v>40</v>
      </c>
    </row>
    <row r="418" hidden="1">
      <c r="A418" s="32">
        <f>IFERROR(__xludf.DUMMYFUNCTION("""COMPUTED_VALUE"""),43184.80761866899)</f>
        <v>43184.80762</v>
      </c>
      <c r="B418" t="s">
        <v>123</v>
      </c>
    </row>
    <row r="419" hidden="1">
      <c r="A419" s="32">
        <f>IFERROR(__xludf.DUMMYFUNCTION("""COMPUTED_VALUE"""),43185.91603609954)</f>
        <v>43185.91604</v>
      </c>
      <c r="B419" t="s">
        <v>36</v>
      </c>
    </row>
    <row r="420" hidden="1">
      <c r="A420" s="32">
        <f>IFERROR(__xludf.DUMMYFUNCTION("""COMPUTED_VALUE"""),43185.95439828704)</f>
        <v>43185.9544</v>
      </c>
      <c r="B420" t="s">
        <v>45</v>
      </c>
    </row>
    <row r="421" hidden="1">
      <c r="A421" s="32">
        <f>IFERROR(__xludf.DUMMYFUNCTION("""COMPUTED_VALUE"""),43186.90071349537)</f>
        <v>43186.90071</v>
      </c>
      <c r="B421" t="s">
        <v>33</v>
      </c>
    </row>
    <row r="422" hidden="1">
      <c r="A422" s="32">
        <f>IFERROR(__xludf.DUMMYFUNCTION("""COMPUTED_VALUE"""),43187.3815103588)</f>
        <v>43187.38151</v>
      </c>
      <c r="B422" t="s">
        <v>40</v>
      </c>
    </row>
    <row r="423" hidden="1">
      <c r="A423" s="32">
        <f>IFERROR(__xludf.DUMMYFUNCTION("""COMPUTED_VALUE"""),43187.835919386576)</f>
        <v>43187.83592</v>
      </c>
      <c r="B423" t="s">
        <v>258</v>
      </c>
    </row>
    <row r="424" hidden="1">
      <c r="A424" s="32">
        <f>IFERROR(__xludf.DUMMYFUNCTION("""COMPUTED_VALUE"""),43188.12560950231)</f>
        <v>43188.12561</v>
      </c>
      <c r="B424" t="s">
        <v>36</v>
      </c>
    </row>
    <row r="425" hidden="1">
      <c r="A425" s="32">
        <f>IFERROR(__xludf.DUMMYFUNCTION("""COMPUTED_VALUE"""),43188.598995740744)</f>
        <v>43188.599</v>
      </c>
      <c r="B425" t="s">
        <v>33</v>
      </c>
    </row>
    <row r="426" hidden="1">
      <c r="A426" s="32">
        <f>IFERROR(__xludf.DUMMYFUNCTION("""COMPUTED_VALUE"""),43188.634787303235)</f>
        <v>43188.63479</v>
      </c>
      <c r="B426" t="s">
        <v>105</v>
      </c>
    </row>
    <row r="427" hidden="1">
      <c r="A427" s="32">
        <f>IFERROR(__xludf.DUMMYFUNCTION("""COMPUTED_VALUE"""),43188.64352175926)</f>
        <v>43188.64352</v>
      </c>
      <c r="B427" t="s">
        <v>33</v>
      </c>
    </row>
    <row r="428" hidden="1">
      <c r="A428" s="32">
        <f>IFERROR(__xludf.DUMMYFUNCTION("""COMPUTED_VALUE"""),43188.75137996528)</f>
        <v>43188.75138</v>
      </c>
      <c r="B428" t="s">
        <v>119</v>
      </c>
    </row>
    <row r="429" hidden="1">
      <c r="A429" s="32">
        <f>IFERROR(__xludf.DUMMYFUNCTION("""COMPUTED_VALUE"""),43188.754768495375)</f>
        <v>43188.75477</v>
      </c>
      <c r="B429" t="s">
        <v>40</v>
      </c>
    </row>
    <row r="430" hidden="1">
      <c r="A430" s="32">
        <f>IFERROR(__xludf.DUMMYFUNCTION("""COMPUTED_VALUE"""),43189.38318983796)</f>
        <v>43189.38319</v>
      </c>
      <c r="B430" t="s">
        <v>258</v>
      </c>
    </row>
    <row r="431" hidden="1">
      <c r="A431" s="32">
        <f>IFERROR(__xludf.DUMMYFUNCTION("""COMPUTED_VALUE"""),43189.470590868055)</f>
        <v>43189.47059</v>
      </c>
      <c r="B431" t="s">
        <v>256</v>
      </c>
    </row>
    <row r="432" hidden="1">
      <c r="A432" s="32">
        <f>IFERROR(__xludf.DUMMYFUNCTION("""COMPUTED_VALUE"""),43189.50909319444)</f>
        <v>43189.50909</v>
      </c>
      <c r="B432" t="s">
        <v>407</v>
      </c>
    </row>
    <row r="433" hidden="1">
      <c r="A433" s="32">
        <f>IFERROR(__xludf.DUMMYFUNCTION("""COMPUTED_VALUE"""),43189.8518062963)</f>
        <v>43189.85181</v>
      </c>
      <c r="B433" t="s">
        <v>33</v>
      </c>
    </row>
    <row r="434" hidden="1">
      <c r="A434" s="32">
        <f>IFERROR(__xludf.DUMMYFUNCTION("""COMPUTED_VALUE"""),43190.33809041667)</f>
        <v>43190.33809</v>
      </c>
      <c r="B434" t="s">
        <v>95</v>
      </c>
    </row>
    <row r="435" hidden="1">
      <c r="A435" s="32">
        <f>IFERROR(__xludf.DUMMYFUNCTION("""COMPUTED_VALUE"""),43190.4226193287)</f>
        <v>43190.42262</v>
      </c>
      <c r="B435" t="s">
        <v>33</v>
      </c>
    </row>
    <row r="436" hidden="1">
      <c r="A436" s="32">
        <f>IFERROR(__xludf.DUMMYFUNCTION("""COMPUTED_VALUE"""),43190.655506446754)</f>
        <v>43190.65551</v>
      </c>
      <c r="B436" t="s">
        <v>119</v>
      </c>
    </row>
    <row r="437" hidden="1">
      <c r="A437" s="32">
        <f>IFERROR(__xludf.DUMMYFUNCTION("""COMPUTED_VALUE"""),43191.6232824537)</f>
        <v>43191.62328</v>
      </c>
      <c r="B437" t="s">
        <v>409</v>
      </c>
    </row>
    <row r="438" hidden="1">
      <c r="A438" s="32">
        <f>IFERROR(__xludf.DUMMYFUNCTION("""COMPUTED_VALUE"""),43192.32465894676)</f>
        <v>43192.32466</v>
      </c>
      <c r="B438" t="s">
        <v>40</v>
      </c>
    </row>
    <row r="439" hidden="1">
      <c r="A439" s="32">
        <f>IFERROR(__xludf.DUMMYFUNCTION("""COMPUTED_VALUE"""),43192.62256525463)</f>
        <v>43192.62257</v>
      </c>
      <c r="B439" t="s">
        <v>2665</v>
      </c>
    </row>
    <row r="440" hidden="1">
      <c r="A440" s="32">
        <f>IFERROR(__xludf.DUMMYFUNCTION("""COMPUTED_VALUE"""),43192.71657188657)</f>
        <v>43192.71657</v>
      </c>
      <c r="B440" t="s">
        <v>33</v>
      </c>
    </row>
    <row r="441" hidden="1">
      <c r="A441" s="32">
        <f>IFERROR(__xludf.DUMMYFUNCTION("""COMPUTED_VALUE"""),43192.79837050926)</f>
        <v>43192.79837</v>
      </c>
      <c r="B441" t="s">
        <v>40</v>
      </c>
    </row>
    <row r="442" hidden="1">
      <c r="A442" s="32">
        <f>IFERROR(__xludf.DUMMYFUNCTION("""COMPUTED_VALUE"""),43192.993356203704)</f>
        <v>43192.99336</v>
      </c>
      <c r="B442" t="s">
        <v>36</v>
      </c>
    </row>
    <row r="443" hidden="1">
      <c r="A443" s="32">
        <f>IFERROR(__xludf.DUMMYFUNCTION("""COMPUTED_VALUE"""),43193.001175613426)</f>
        <v>43193.00118</v>
      </c>
      <c r="B443" t="s">
        <v>48</v>
      </c>
    </row>
    <row r="444" hidden="1">
      <c r="A444" s="32">
        <f>IFERROR(__xludf.DUMMYFUNCTION("""COMPUTED_VALUE"""),43193.97981230324)</f>
        <v>43193.97981</v>
      </c>
      <c r="B444" t="s">
        <v>2666</v>
      </c>
    </row>
    <row r="445" hidden="1">
      <c r="A445" s="32">
        <f>IFERROR(__xludf.DUMMYFUNCTION("""COMPUTED_VALUE"""),43193.98958980324)</f>
        <v>43193.98959</v>
      </c>
      <c r="B445" t="s">
        <v>371</v>
      </c>
    </row>
    <row r="446" hidden="1">
      <c r="A446" s="32">
        <f>IFERROR(__xludf.DUMMYFUNCTION("""COMPUTED_VALUE"""),43194.05089546296)</f>
        <v>43194.0509</v>
      </c>
      <c r="B446" t="s">
        <v>2667</v>
      </c>
    </row>
    <row r="447" hidden="1">
      <c r="A447" s="32">
        <f>IFERROR(__xludf.DUMMYFUNCTION("""COMPUTED_VALUE"""),43194.07477474537)</f>
        <v>43194.07477</v>
      </c>
      <c r="B447" t="s">
        <v>33</v>
      </c>
    </row>
    <row r="448" hidden="1">
      <c r="A448" s="32">
        <f>IFERROR(__xludf.DUMMYFUNCTION("""COMPUTED_VALUE"""),43194.37718880787)</f>
        <v>43194.37719</v>
      </c>
      <c r="B448" t="s">
        <v>36</v>
      </c>
    </row>
    <row r="449" hidden="1">
      <c r="A449" s="32">
        <f>IFERROR(__xludf.DUMMYFUNCTION("""COMPUTED_VALUE"""),43194.384941365744)</f>
        <v>43194.38494</v>
      </c>
      <c r="B449" t="s">
        <v>170</v>
      </c>
    </row>
    <row r="450" hidden="1">
      <c r="A450" s="32">
        <f>IFERROR(__xludf.DUMMYFUNCTION("""COMPUTED_VALUE"""),43194.79160045139)</f>
        <v>43194.7916</v>
      </c>
      <c r="B450" t="s">
        <v>426</v>
      </c>
    </row>
    <row r="451" hidden="1">
      <c r="A451" s="32">
        <f>IFERROR(__xludf.DUMMYFUNCTION("""COMPUTED_VALUE"""),43194.95931168982)</f>
        <v>43194.95931</v>
      </c>
      <c r="B451" t="s">
        <v>45</v>
      </c>
    </row>
    <row r="452" hidden="1">
      <c r="A452" s="32">
        <f>IFERROR(__xludf.DUMMYFUNCTION("""COMPUTED_VALUE"""),43195.557280821755)</f>
        <v>43195.55728</v>
      </c>
      <c r="B452" t="s">
        <v>428</v>
      </c>
    </row>
    <row r="453" hidden="1">
      <c r="A453" s="32">
        <f>IFERROR(__xludf.DUMMYFUNCTION("""COMPUTED_VALUE"""),43195.57661425926)</f>
        <v>43195.57661</v>
      </c>
      <c r="B453" t="s">
        <v>36</v>
      </c>
    </row>
    <row r="454" hidden="1">
      <c r="A454" s="32">
        <f>IFERROR(__xludf.DUMMYFUNCTION("""COMPUTED_VALUE"""),43195.67631318287)</f>
        <v>43195.67631</v>
      </c>
      <c r="B454" t="s">
        <v>122</v>
      </c>
    </row>
    <row r="455" hidden="1">
      <c r="A455" s="32">
        <f>IFERROR(__xludf.DUMMYFUNCTION("""COMPUTED_VALUE"""),43196.949980543985)</f>
        <v>43196.94998</v>
      </c>
      <c r="B455" t="s">
        <v>33</v>
      </c>
    </row>
    <row r="456" hidden="1">
      <c r="A456" s="32">
        <f>IFERROR(__xludf.DUMMYFUNCTION("""COMPUTED_VALUE"""),43197.09131657408)</f>
        <v>43197.09132</v>
      </c>
      <c r="B456" t="s">
        <v>40</v>
      </c>
    </row>
    <row r="457" hidden="1">
      <c r="A457" s="32">
        <f>IFERROR(__xludf.DUMMYFUNCTION("""COMPUTED_VALUE"""),43197.727763310184)</f>
        <v>43197.72776</v>
      </c>
      <c r="B457" t="s">
        <v>80</v>
      </c>
    </row>
    <row r="458" hidden="1">
      <c r="A458" s="32">
        <f>IFERROR(__xludf.DUMMYFUNCTION("""COMPUTED_VALUE"""),43198.39083822917)</f>
        <v>43198.39084</v>
      </c>
      <c r="B458" t="s">
        <v>80</v>
      </c>
    </row>
    <row r="459" hidden="1">
      <c r="A459" s="32">
        <f>IFERROR(__xludf.DUMMYFUNCTION("""COMPUTED_VALUE"""),43198.537381145834)</f>
        <v>43198.53738</v>
      </c>
      <c r="B459" t="s">
        <v>139</v>
      </c>
    </row>
    <row r="460" hidden="1">
      <c r="A460" s="32">
        <f>IFERROR(__xludf.DUMMYFUNCTION("""COMPUTED_VALUE"""),43198.94350710648)</f>
        <v>43198.94351</v>
      </c>
      <c r="B460" t="s">
        <v>263</v>
      </c>
    </row>
    <row r="461" hidden="1">
      <c r="A461" s="32">
        <f>IFERROR(__xludf.DUMMYFUNCTION("""COMPUTED_VALUE"""),43199.003792337964)</f>
        <v>43199.00379</v>
      </c>
      <c r="B461" t="s">
        <v>2658</v>
      </c>
    </row>
    <row r="462" hidden="1">
      <c r="A462" s="32">
        <f>IFERROR(__xludf.DUMMYFUNCTION("""COMPUTED_VALUE"""),43199.720198298615)</f>
        <v>43199.7202</v>
      </c>
      <c r="B462" t="s">
        <v>80</v>
      </c>
    </row>
    <row r="463" hidden="1">
      <c r="A463" s="32">
        <f>IFERROR(__xludf.DUMMYFUNCTION("""COMPUTED_VALUE"""),43199.88607144676)</f>
        <v>43199.88607</v>
      </c>
      <c r="B463" t="s">
        <v>33</v>
      </c>
    </row>
    <row r="464" hidden="1">
      <c r="A464" s="32">
        <f>IFERROR(__xludf.DUMMYFUNCTION("""COMPUTED_VALUE"""),43199.92595952546)</f>
        <v>43199.92596</v>
      </c>
      <c r="B464" t="s">
        <v>33</v>
      </c>
    </row>
    <row r="465" hidden="1">
      <c r="A465" s="32">
        <f>IFERROR(__xludf.DUMMYFUNCTION("""COMPUTED_VALUE"""),43199.954206469905)</f>
        <v>43199.95421</v>
      </c>
      <c r="B465" t="s">
        <v>33</v>
      </c>
    </row>
    <row r="466" hidden="1">
      <c r="A466" s="32">
        <f>IFERROR(__xludf.DUMMYFUNCTION("""COMPUTED_VALUE"""),43200.494778125)</f>
        <v>43200.49478</v>
      </c>
      <c r="B466" t="s">
        <v>80</v>
      </c>
    </row>
    <row r="467" hidden="1">
      <c r="A467" s="32">
        <f>IFERROR(__xludf.DUMMYFUNCTION("""COMPUTED_VALUE"""),43200.7783544213)</f>
        <v>43200.77835</v>
      </c>
      <c r="B467" t="s">
        <v>40</v>
      </c>
    </row>
    <row r="468" hidden="1">
      <c r="A468" s="32">
        <f>IFERROR(__xludf.DUMMYFUNCTION("""COMPUTED_VALUE"""),43200.833870601855)</f>
        <v>43200.83387</v>
      </c>
      <c r="B468" t="s">
        <v>428</v>
      </c>
    </row>
    <row r="469" hidden="1">
      <c r="A469" s="32">
        <f>IFERROR(__xludf.DUMMYFUNCTION("""COMPUTED_VALUE"""),43200.91247898148)</f>
        <v>43200.91248</v>
      </c>
      <c r="B469" t="s">
        <v>33</v>
      </c>
    </row>
    <row r="470" hidden="1">
      <c r="A470" s="32">
        <f>IFERROR(__xludf.DUMMYFUNCTION("""COMPUTED_VALUE"""),43200.92252581019)</f>
        <v>43200.92253</v>
      </c>
      <c r="B470" t="s">
        <v>268</v>
      </c>
    </row>
    <row r="471" hidden="1">
      <c r="A471" s="32">
        <f>IFERROR(__xludf.DUMMYFUNCTION("""COMPUTED_VALUE"""),43201.34484666667)</f>
        <v>43201.34485</v>
      </c>
      <c r="B471" t="s">
        <v>2668</v>
      </c>
    </row>
    <row r="472" hidden="1">
      <c r="A472" s="32">
        <f>IFERROR(__xludf.DUMMYFUNCTION("""COMPUTED_VALUE"""),43201.39968721065)</f>
        <v>43201.39969</v>
      </c>
      <c r="B472" t="s">
        <v>2669</v>
      </c>
    </row>
    <row r="473" hidden="1">
      <c r="A473" s="32">
        <f>IFERROR(__xludf.DUMMYFUNCTION("""COMPUTED_VALUE"""),43201.572374131945)</f>
        <v>43201.57237</v>
      </c>
      <c r="B473" t="s">
        <v>440</v>
      </c>
    </row>
    <row r="474" hidden="1">
      <c r="A474" s="32">
        <f>IFERROR(__xludf.DUMMYFUNCTION("""COMPUTED_VALUE"""),43201.574113379625)</f>
        <v>43201.57411</v>
      </c>
      <c r="B474" t="s">
        <v>80</v>
      </c>
    </row>
    <row r="475" hidden="1">
      <c r="A475" s="32">
        <f>IFERROR(__xludf.DUMMYFUNCTION("""COMPUTED_VALUE"""),43201.723509999996)</f>
        <v>43201.72351</v>
      </c>
      <c r="B475" t="s">
        <v>258</v>
      </c>
    </row>
    <row r="476" hidden="1">
      <c r="A476" s="32">
        <f>IFERROR(__xludf.DUMMYFUNCTION("""COMPUTED_VALUE"""),43201.962623935186)</f>
        <v>43201.96262</v>
      </c>
      <c r="B476" t="s">
        <v>123</v>
      </c>
    </row>
    <row r="477" hidden="1">
      <c r="A477" s="32">
        <f>IFERROR(__xludf.DUMMYFUNCTION("""COMPUTED_VALUE"""),43201.985179780095)</f>
        <v>43201.98518</v>
      </c>
      <c r="B477" t="s">
        <v>204</v>
      </c>
    </row>
    <row r="478" hidden="1">
      <c r="A478" s="32">
        <f>IFERROR(__xludf.DUMMYFUNCTION("""COMPUTED_VALUE"""),43202.218170625)</f>
        <v>43202.21817</v>
      </c>
      <c r="B478" t="s">
        <v>2670</v>
      </c>
    </row>
    <row r="479" hidden="1">
      <c r="A479" s="32">
        <f>IFERROR(__xludf.DUMMYFUNCTION("""COMPUTED_VALUE"""),43202.67745278935)</f>
        <v>43202.67745</v>
      </c>
      <c r="B479" t="s">
        <v>2665</v>
      </c>
    </row>
    <row r="480" hidden="1">
      <c r="A480" s="32">
        <f>IFERROR(__xludf.DUMMYFUNCTION("""COMPUTED_VALUE"""),43202.971911493056)</f>
        <v>43202.97191</v>
      </c>
      <c r="B480" t="s">
        <v>33</v>
      </c>
    </row>
    <row r="481" hidden="1">
      <c r="A481" s="32">
        <f>IFERROR(__xludf.DUMMYFUNCTION("""COMPUTED_VALUE"""),43203.272416493055)</f>
        <v>43203.27242</v>
      </c>
      <c r="B481" t="s">
        <v>36</v>
      </c>
    </row>
    <row r="482" hidden="1">
      <c r="A482" s="32">
        <f>IFERROR(__xludf.DUMMYFUNCTION("""COMPUTED_VALUE"""),43203.57787954861)</f>
        <v>43203.57788</v>
      </c>
      <c r="B482" t="s">
        <v>452</v>
      </c>
    </row>
    <row r="483" hidden="1">
      <c r="A483" s="32">
        <f>IFERROR(__xludf.DUMMYFUNCTION("""COMPUTED_VALUE"""),43203.68614704861)</f>
        <v>43203.68615</v>
      </c>
      <c r="B483" t="s">
        <v>40</v>
      </c>
    </row>
    <row r="484" hidden="1">
      <c r="A484" s="32">
        <f>IFERROR(__xludf.DUMMYFUNCTION("""COMPUTED_VALUE"""),43203.73232753472)</f>
        <v>43203.73233</v>
      </c>
      <c r="B484" t="s">
        <v>40</v>
      </c>
    </row>
    <row r="485" hidden="1">
      <c r="A485" s="32">
        <f>IFERROR(__xludf.DUMMYFUNCTION("""COMPUTED_VALUE"""),43204.54036274306)</f>
        <v>43204.54036</v>
      </c>
      <c r="B485" t="s">
        <v>33</v>
      </c>
    </row>
    <row r="486" hidden="1">
      <c r="A486" s="32">
        <f>IFERROR(__xludf.DUMMYFUNCTION("""COMPUTED_VALUE"""),43204.545398946764)</f>
        <v>43204.5454</v>
      </c>
      <c r="B486" t="s">
        <v>40</v>
      </c>
    </row>
    <row r="487" hidden="1">
      <c r="A487" s="32">
        <f>IFERROR(__xludf.DUMMYFUNCTION("""COMPUTED_VALUE"""),43204.60661126157)</f>
        <v>43204.60661</v>
      </c>
      <c r="B487" t="s">
        <v>40</v>
      </c>
    </row>
    <row r="488" hidden="1">
      <c r="A488" s="32">
        <f>IFERROR(__xludf.DUMMYFUNCTION("""COMPUTED_VALUE"""),43205.34221806713)</f>
        <v>43205.34222</v>
      </c>
      <c r="B488" t="s">
        <v>380</v>
      </c>
    </row>
    <row r="489" hidden="1">
      <c r="A489" s="32">
        <f>IFERROR(__xludf.DUMMYFUNCTION("""COMPUTED_VALUE"""),43205.49158027778)</f>
        <v>43205.49158</v>
      </c>
      <c r="B489" t="s">
        <v>80</v>
      </c>
    </row>
    <row r="490" hidden="1">
      <c r="A490" s="32">
        <f>IFERROR(__xludf.DUMMYFUNCTION("""COMPUTED_VALUE"""),43205.54193900463)</f>
        <v>43205.54194</v>
      </c>
      <c r="B490" t="s">
        <v>428</v>
      </c>
    </row>
    <row r="491" hidden="1">
      <c r="A491" s="32">
        <f>IFERROR(__xludf.DUMMYFUNCTION("""COMPUTED_VALUE"""),43205.65474864583)</f>
        <v>43205.65475</v>
      </c>
      <c r="B491" t="s">
        <v>124</v>
      </c>
    </row>
    <row r="492" hidden="1">
      <c r="A492" s="32">
        <f>IFERROR(__xludf.DUMMYFUNCTION("""COMPUTED_VALUE"""),43205.929589444444)</f>
        <v>43205.92959</v>
      </c>
      <c r="B492" t="s">
        <v>461</v>
      </c>
    </row>
    <row r="493" hidden="1">
      <c r="A493" s="32">
        <f>IFERROR(__xludf.DUMMYFUNCTION("""COMPUTED_VALUE"""),43206.28471085648)</f>
        <v>43206.28471</v>
      </c>
      <c r="B493" t="s">
        <v>40</v>
      </c>
    </row>
    <row r="494" hidden="1">
      <c r="A494" s="32">
        <f>IFERROR(__xludf.DUMMYFUNCTION("""COMPUTED_VALUE"""),43206.56354739583)</f>
        <v>43206.56355</v>
      </c>
      <c r="B494" t="s">
        <v>33</v>
      </c>
    </row>
    <row r="495" hidden="1">
      <c r="A495" s="32">
        <f>IFERROR(__xludf.DUMMYFUNCTION("""COMPUTED_VALUE"""),43206.94447800926)</f>
        <v>43206.94448</v>
      </c>
      <c r="B495" t="s">
        <v>45</v>
      </c>
    </row>
    <row r="496" hidden="1">
      <c r="A496" s="32">
        <f>IFERROR(__xludf.DUMMYFUNCTION("""COMPUTED_VALUE"""),43207.0181296875)</f>
        <v>43207.01813</v>
      </c>
      <c r="B496" t="s">
        <v>25</v>
      </c>
    </row>
    <row r="497" hidden="1">
      <c r="A497" s="32">
        <f>IFERROR(__xludf.DUMMYFUNCTION("""COMPUTED_VALUE"""),43207.495287743055)</f>
        <v>43207.49529</v>
      </c>
      <c r="B497" t="s">
        <v>33</v>
      </c>
    </row>
    <row r="498" hidden="1">
      <c r="A498" s="32">
        <f>IFERROR(__xludf.DUMMYFUNCTION("""COMPUTED_VALUE"""),43207.5707996875)</f>
        <v>43207.5708</v>
      </c>
      <c r="B498" t="s">
        <v>463</v>
      </c>
    </row>
    <row r="499" hidden="1">
      <c r="A499" s="32">
        <f>IFERROR(__xludf.DUMMYFUNCTION("""COMPUTED_VALUE"""),43207.96799300926)</f>
        <v>43207.96799</v>
      </c>
      <c r="B499" t="s">
        <v>33</v>
      </c>
    </row>
    <row r="500" hidden="1">
      <c r="A500" s="32">
        <f>IFERROR(__xludf.DUMMYFUNCTION("""COMPUTED_VALUE"""),43208.37361407407)</f>
        <v>43208.37361</v>
      </c>
      <c r="B500" t="s">
        <v>40</v>
      </c>
    </row>
    <row r="501" hidden="1">
      <c r="A501" s="32">
        <f>IFERROR(__xludf.DUMMYFUNCTION("""COMPUTED_VALUE"""),43208.374288541665)</f>
        <v>43208.37429</v>
      </c>
      <c r="B501" t="s">
        <v>45</v>
      </c>
    </row>
    <row r="502" hidden="1">
      <c r="A502" s="32">
        <f>IFERROR(__xludf.DUMMYFUNCTION("""COMPUTED_VALUE"""),43208.44134472222)</f>
        <v>43208.44134</v>
      </c>
      <c r="B502" t="s">
        <v>466</v>
      </c>
    </row>
    <row r="503" hidden="1">
      <c r="A503" s="32">
        <f>IFERROR(__xludf.DUMMYFUNCTION("""COMPUTED_VALUE"""),43208.456768923614)</f>
        <v>43208.45677</v>
      </c>
      <c r="B503" t="s">
        <v>40</v>
      </c>
    </row>
    <row r="504" hidden="1">
      <c r="A504" s="32">
        <f>IFERROR(__xludf.DUMMYFUNCTION("""COMPUTED_VALUE"""),43208.63634722222)</f>
        <v>43208.63635</v>
      </c>
      <c r="B504" t="s">
        <v>40</v>
      </c>
    </row>
    <row r="505" hidden="1">
      <c r="A505" s="32">
        <f>IFERROR(__xludf.DUMMYFUNCTION("""COMPUTED_VALUE"""),43208.79400646991)</f>
        <v>43208.79401</v>
      </c>
      <c r="B505" t="s">
        <v>142</v>
      </c>
    </row>
    <row r="506" hidden="1">
      <c r="A506" s="32">
        <f>IFERROR(__xludf.DUMMYFUNCTION("""COMPUTED_VALUE"""),43208.94659048611)</f>
        <v>43208.94659</v>
      </c>
      <c r="B506" t="s">
        <v>468</v>
      </c>
    </row>
    <row r="507" hidden="1">
      <c r="A507" s="32">
        <f>IFERROR(__xludf.DUMMYFUNCTION("""COMPUTED_VALUE"""),43208.94667125)</f>
        <v>43208.94667</v>
      </c>
      <c r="B507" t="s">
        <v>468</v>
      </c>
    </row>
    <row r="508" hidden="1">
      <c r="A508" s="32">
        <f>IFERROR(__xludf.DUMMYFUNCTION("""COMPUTED_VALUE"""),43208.966391678245)</f>
        <v>43208.96639</v>
      </c>
      <c r="B508" t="s">
        <v>33</v>
      </c>
    </row>
    <row r="509" hidden="1">
      <c r="A509" s="32">
        <f>IFERROR(__xludf.DUMMYFUNCTION("""COMPUTED_VALUE"""),43209.61089646991)</f>
        <v>43209.6109</v>
      </c>
      <c r="B509" t="s">
        <v>469</v>
      </c>
    </row>
    <row r="510" hidden="1">
      <c r="A510" s="32">
        <f>IFERROR(__xludf.DUMMYFUNCTION("""COMPUTED_VALUE"""),43209.64589063657)</f>
        <v>43209.64589</v>
      </c>
      <c r="B510" t="s">
        <v>2662</v>
      </c>
    </row>
    <row r="511" hidden="1">
      <c r="A511" s="32">
        <f>IFERROR(__xludf.DUMMYFUNCTION("""COMPUTED_VALUE"""),43209.657539085645)</f>
        <v>43209.65754</v>
      </c>
      <c r="B511" t="s">
        <v>204</v>
      </c>
    </row>
    <row r="512" hidden="1">
      <c r="A512" s="32">
        <f>IFERROR(__xludf.DUMMYFUNCTION("""COMPUTED_VALUE"""),43210.548827465274)</f>
        <v>43210.54883</v>
      </c>
      <c r="B512" t="s">
        <v>45</v>
      </c>
    </row>
    <row r="513" hidden="1">
      <c r="A513" s="32">
        <f>IFERROR(__xludf.DUMMYFUNCTION("""COMPUTED_VALUE"""),43210.752719675926)</f>
        <v>43210.75272</v>
      </c>
      <c r="B513" t="s">
        <v>48</v>
      </c>
    </row>
    <row r="514" hidden="1">
      <c r="A514" s="32">
        <f>IFERROR(__xludf.DUMMYFUNCTION("""COMPUTED_VALUE"""),43211.4422084838)</f>
        <v>43211.44221</v>
      </c>
      <c r="B514" t="s">
        <v>2671</v>
      </c>
    </row>
    <row r="515" hidden="1">
      <c r="A515" s="32">
        <f>IFERROR(__xludf.DUMMYFUNCTION("""COMPUTED_VALUE"""),43211.54704172454)</f>
        <v>43211.54704</v>
      </c>
      <c r="B515" t="s">
        <v>33</v>
      </c>
    </row>
    <row r="516" hidden="1">
      <c r="A516" s="32">
        <f>IFERROR(__xludf.DUMMYFUNCTION("""COMPUTED_VALUE"""),43211.663174236106)</f>
        <v>43211.66317</v>
      </c>
      <c r="B516" t="s">
        <v>473</v>
      </c>
    </row>
    <row r="517" hidden="1">
      <c r="A517" s="32">
        <f>IFERROR(__xludf.DUMMYFUNCTION("""COMPUTED_VALUE"""),43212.5722680787)</f>
        <v>43212.57227</v>
      </c>
      <c r="B517" t="s">
        <v>475</v>
      </c>
    </row>
    <row r="518" hidden="1">
      <c r="A518" s="32">
        <f>IFERROR(__xludf.DUMMYFUNCTION("""COMPUTED_VALUE"""),43212.62325422454)</f>
        <v>43212.62325</v>
      </c>
      <c r="B518" t="s">
        <v>170</v>
      </c>
    </row>
    <row r="519" hidden="1">
      <c r="A519" s="32">
        <f>IFERROR(__xludf.DUMMYFUNCTION("""COMPUTED_VALUE"""),43212.8924134838)</f>
        <v>43212.89241</v>
      </c>
      <c r="B519" t="s">
        <v>33</v>
      </c>
    </row>
    <row r="520" hidden="1">
      <c r="A520" s="32">
        <f>IFERROR(__xludf.DUMMYFUNCTION("""COMPUTED_VALUE"""),43213.08725590278)</f>
        <v>43213.08726</v>
      </c>
      <c r="B520" t="s">
        <v>33</v>
      </c>
    </row>
    <row r="521" hidden="1">
      <c r="A521" s="32">
        <f>IFERROR(__xludf.DUMMYFUNCTION("""COMPUTED_VALUE"""),43213.90076752315)</f>
        <v>43213.90077</v>
      </c>
      <c r="B521" t="s">
        <v>480</v>
      </c>
    </row>
    <row r="522" hidden="1">
      <c r="A522" s="32">
        <f>IFERROR(__xludf.DUMMYFUNCTION("""COMPUTED_VALUE"""),43213.92303667824)</f>
        <v>43213.92304</v>
      </c>
      <c r="B522" t="s">
        <v>33</v>
      </c>
    </row>
    <row r="523" hidden="1">
      <c r="A523" s="32">
        <f>IFERROR(__xludf.DUMMYFUNCTION("""COMPUTED_VALUE"""),43213.93401003472)</f>
        <v>43213.93401</v>
      </c>
      <c r="B523" t="s">
        <v>33</v>
      </c>
    </row>
    <row r="524" hidden="1">
      <c r="A524" s="32">
        <f>IFERROR(__xludf.DUMMYFUNCTION("""COMPUTED_VALUE"""),43213.94399652778)</f>
        <v>43213.944</v>
      </c>
      <c r="B524" t="s">
        <v>124</v>
      </c>
    </row>
    <row r="525" hidden="1">
      <c r="A525" s="32">
        <f>IFERROR(__xludf.DUMMYFUNCTION("""COMPUTED_VALUE"""),43213.96048854166)</f>
        <v>43213.96049</v>
      </c>
      <c r="B525" t="s">
        <v>119</v>
      </c>
    </row>
    <row r="526" hidden="1">
      <c r="A526" s="32">
        <f>IFERROR(__xludf.DUMMYFUNCTION("""COMPUTED_VALUE"""),43214.009149930556)</f>
        <v>43214.00915</v>
      </c>
      <c r="B526" t="s">
        <v>2660</v>
      </c>
    </row>
    <row r="527" hidden="1">
      <c r="A527" s="32">
        <f>IFERROR(__xludf.DUMMYFUNCTION("""COMPUTED_VALUE"""),43214.04347881944)</f>
        <v>43214.04348</v>
      </c>
      <c r="B527" t="s">
        <v>48</v>
      </c>
    </row>
    <row r="528" hidden="1">
      <c r="A528" s="32">
        <f>IFERROR(__xludf.DUMMYFUNCTION("""COMPUTED_VALUE"""),43214.106297604165)</f>
        <v>43214.1063</v>
      </c>
      <c r="B528" t="s">
        <v>80</v>
      </c>
    </row>
    <row r="529" hidden="1">
      <c r="A529" s="32">
        <f>IFERROR(__xludf.DUMMYFUNCTION("""COMPUTED_VALUE"""),43214.276545243054)</f>
        <v>43214.27655</v>
      </c>
      <c r="B529" t="s">
        <v>487</v>
      </c>
    </row>
    <row r="530" hidden="1">
      <c r="A530" s="32">
        <f>IFERROR(__xludf.DUMMYFUNCTION("""COMPUTED_VALUE"""),43214.361164675924)</f>
        <v>43214.36116</v>
      </c>
      <c r="B530" t="s">
        <v>123</v>
      </c>
    </row>
    <row r="531" hidden="1">
      <c r="A531" s="32">
        <f>IFERROR(__xludf.DUMMYFUNCTION("""COMPUTED_VALUE"""),43214.401636145834)</f>
        <v>43214.40164</v>
      </c>
      <c r="B531" t="s">
        <v>33</v>
      </c>
    </row>
    <row r="532" hidden="1">
      <c r="A532" s="32">
        <f>IFERROR(__xludf.DUMMYFUNCTION("""COMPUTED_VALUE"""),43214.4589225)</f>
        <v>43214.45892</v>
      </c>
      <c r="B532" t="s">
        <v>33</v>
      </c>
    </row>
    <row r="533" hidden="1">
      <c r="A533" s="32">
        <f>IFERROR(__xludf.DUMMYFUNCTION("""COMPUTED_VALUE"""),43214.68404511574)</f>
        <v>43214.68405</v>
      </c>
      <c r="B533" t="s">
        <v>371</v>
      </c>
    </row>
    <row r="534" hidden="1">
      <c r="A534" s="32">
        <f>IFERROR(__xludf.DUMMYFUNCTION("""COMPUTED_VALUE"""),43214.68535442129)</f>
        <v>43214.68535</v>
      </c>
      <c r="B534" t="s">
        <v>2658</v>
      </c>
    </row>
    <row r="535" hidden="1">
      <c r="A535" s="32">
        <f>IFERROR(__xludf.DUMMYFUNCTION("""COMPUTED_VALUE"""),43214.83681940973)</f>
        <v>43214.83682</v>
      </c>
      <c r="B535" t="s">
        <v>80</v>
      </c>
    </row>
    <row r="536" hidden="1">
      <c r="A536" s="32">
        <f>IFERROR(__xludf.DUMMYFUNCTION("""COMPUTED_VALUE"""),43214.872629317135)</f>
        <v>43214.87263</v>
      </c>
      <c r="B536" t="s">
        <v>40</v>
      </c>
    </row>
    <row r="537" hidden="1">
      <c r="A537" s="32">
        <f>IFERROR(__xludf.DUMMYFUNCTION("""COMPUTED_VALUE"""),43215.505171006946)</f>
        <v>43215.50517</v>
      </c>
      <c r="B537" t="s">
        <v>350</v>
      </c>
    </row>
    <row r="538" hidden="1">
      <c r="A538" s="32">
        <f>IFERROR(__xludf.DUMMYFUNCTION("""COMPUTED_VALUE"""),43215.52729028935)</f>
        <v>43215.52729</v>
      </c>
      <c r="B538" t="s">
        <v>499</v>
      </c>
    </row>
    <row r="539" hidden="1">
      <c r="A539" s="32">
        <f>IFERROR(__xludf.DUMMYFUNCTION("""COMPUTED_VALUE"""),43215.65526625)</f>
        <v>43215.65527</v>
      </c>
      <c r="B539" t="s">
        <v>501</v>
      </c>
    </row>
    <row r="540" hidden="1">
      <c r="A540" s="32">
        <f>IFERROR(__xludf.DUMMYFUNCTION("""COMPUTED_VALUE"""),43215.67022399306)</f>
        <v>43215.67022</v>
      </c>
      <c r="B540" t="s">
        <v>33</v>
      </c>
    </row>
    <row r="541" hidden="1">
      <c r="A541" s="32">
        <f>IFERROR(__xludf.DUMMYFUNCTION("""COMPUTED_VALUE"""),43215.90580943287)</f>
        <v>43215.90581</v>
      </c>
      <c r="B541" t="s">
        <v>123</v>
      </c>
    </row>
    <row r="542" hidden="1">
      <c r="A542" s="32">
        <f>IFERROR(__xludf.DUMMYFUNCTION("""COMPUTED_VALUE"""),43216.1944881713)</f>
        <v>43216.19449</v>
      </c>
      <c r="B542" t="s">
        <v>33</v>
      </c>
    </row>
    <row r="543" hidden="1">
      <c r="A543" s="32">
        <f>IFERROR(__xludf.DUMMYFUNCTION("""COMPUTED_VALUE"""),43216.39953915509)</f>
        <v>43216.39954</v>
      </c>
      <c r="B543" t="s">
        <v>2672</v>
      </c>
    </row>
    <row r="544" hidden="1">
      <c r="A544" s="32">
        <f>IFERROR(__xludf.DUMMYFUNCTION("""COMPUTED_VALUE"""),43216.5389575463)</f>
        <v>43216.53896</v>
      </c>
      <c r="B544" t="s">
        <v>119</v>
      </c>
    </row>
    <row r="545" hidden="1">
      <c r="A545" s="32">
        <f>IFERROR(__xludf.DUMMYFUNCTION("""COMPUTED_VALUE"""),43217.63685414352)</f>
        <v>43217.63685</v>
      </c>
      <c r="B545" t="s">
        <v>506</v>
      </c>
    </row>
    <row r="546" hidden="1">
      <c r="A546" s="32">
        <f>IFERROR(__xludf.DUMMYFUNCTION("""COMPUTED_VALUE"""),43217.6918728125)</f>
        <v>43217.69187</v>
      </c>
      <c r="B546" t="s">
        <v>25</v>
      </c>
    </row>
    <row r="547" hidden="1">
      <c r="A547" s="32">
        <f>IFERROR(__xludf.DUMMYFUNCTION("""COMPUTED_VALUE"""),43218.34240519676)</f>
        <v>43218.34241</v>
      </c>
      <c r="B547" t="s">
        <v>2673</v>
      </c>
    </row>
    <row r="548" hidden="1">
      <c r="A548" s="32">
        <f>IFERROR(__xludf.DUMMYFUNCTION("""COMPUTED_VALUE"""),43218.42741451389)</f>
        <v>43218.42741</v>
      </c>
      <c r="B548" t="s">
        <v>33</v>
      </c>
    </row>
    <row r="549" hidden="1">
      <c r="A549" s="32">
        <f>IFERROR(__xludf.DUMMYFUNCTION("""COMPUTED_VALUE"""),43218.42891883102)</f>
        <v>43218.42892</v>
      </c>
      <c r="B549" t="s">
        <v>2667</v>
      </c>
    </row>
    <row r="550" hidden="1">
      <c r="A550" s="32">
        <f>IFERROR(__xludf.DUMMYFUNCTION("""COMPUTED_VALUE"""),43218.462196504624)</f>
        <v>43218.4622</v>
      </c>
      <c r="B550" t="s">
        <v>40</v>
      </c>
    </row>
    <row r="551" hidden="1">
      <c r="A551" s="32">
        <f>IFERROR(__xludf.DUMMYFUNCTION("""COMPUTED_VALUE"""),43218.50738545139)</f>
        <v>43218.50739</v>
      </c>
      <c r="B551" t="s">
        <v>119</v>
      </c>
    </row>
    <row r="552" hidden="1">
      <c r="A552" s="32">
        <f>IFERROR(__xludf.DUMMYFUNCTION("""COMPUTED_VALUE"""),43218.77914403935)</f>
        <v>43218.77914</v>
      </c>
      <c r="B552" t="s">
        <v>513</v>
      </c>
    </row>
    <row r="553" hidden="1">
      <c r="A553" s="32">
        <f>IFERROR(__xludf.DUMMYFUNCTION("""COMPUTED_VALUE"""),43218.78930396991)</f>
        <v>43218.7893</v>
      </c>
      <c r="B553" t="s">
        <v>170</v>
      </c>
    </row>
    <row r="554" hidden="1">
      <c r="A554" s="32">
        <f>IFERROR(__xludf.DUMMYFUNCTION("""COMPUTED_VALUE"""),43219.46051128472)</f>
        <v>43219.46051</v>
      </c>
      <c r="B554" t="s">
        <v>33</v>
      </c>
    </row>
    <row r="555" hidden="1">
      <c r="A555" s="32">
        <f>IFERROR(__xludf.DUMMYFUNCTION("""COMPUTED_VALUE"""),43219.581279363425)</f>
        <v>43219.58128</v>
      </c>
      <c r="B555" t="s">
        <v>40</v>
      </c>
    </row>
    <row r="556" hidden="1">
      <c r="A556" s="32">
        <f>IFERROR(__xludf.DUMMYFUNCTION("""COMPUTED_VALUE"""),43219.81093332176)</f>
        <v>43219.81093</v>
      </c>
      <c r="B556" t="s">
        <v>33</v>
      </c>
    </row>
    <row r="557" hidden="1">
      <c r="A557" s="32">
        <f>IFERROR(__xludf.DUMMYFUNCTION("""COMPUTED_VALUE"""),43219.94481137731)</f>
        <v>43219.94481</v>
      </c>
      <c r="B557" t="s">
        <v>357</v>
      </c>
    </row>
    <row r="558" hidden="1">
      <c r="A558" s="32">
        <f>IFERROR(__xludf.DUMMYFUNCTION("""COMPUTED_VALUE"""),43220.01114638889)</f>
        <v>43220.01115</v>
      </c>
      <c r="B558" t="s">
        <v>170</v>
      </c>
    </row>
    <row r="559" hidden="1">
      <c r="A559" s="32">
        <f>IFERROR(__xludf.DUMMYFUNCTION("""COMPUTED_VALUE"""),43220.58498619213)</f>
        <v>43220.58499</v>
      </c>
      <c r="B559" t="s">
        <v>523</v>
      </c>
    </row>
    <row r="560" hidden="1">
      <c r="A560" s="32">
        <f>IFERROR(__xludf.DUMMYFUNCTION("""COMPUTED_VALUE"""),43220.67157173611)</f>
        <v>43220.67157</v>
      </c>
      <c r="B560" t="s">
        <v>45</v>
      </c>
    </row>
    <row r="561" hidden="1">
      <c r="A561" s="32">
        <f>IFERROR(__xludf.DUMMYFUNCTION("""COMPUTED_VALUE"""),43220.77588298611)</f>
        <v>43220.77588</v>
      </c>
      <c r="B561" t="s">
        <v>40</v>
      </c>
    </row>
    <row r="562" hidden="1">
      <c r="A562" s="32">
        <f>IFERROR(__xludf.DUMMYFUNCTION("""COMPUTED_VALUE"""),43220.78915993056)</f>
        <v>43220.78916</v>
      </c>
      <c r="B562" t="s">
        <v>528</v>
      </c>
    </row>
    <row r="563" hidden="1">
      <c r="A563" s="32">
        <f>IFERROR(__xludf.DUMMYFUNCTION("""COMPUTED_VALUE"""),43220.795045798615)</f>
        <v>43220.79505</v>
      </c>
      <c r="B563" t="s">
        <v>528</v>
      </c>
    </row>
    <row r="564" hidden="1">
      <c r="A564" s="32">
        <f>IFERROR(__xludf.DUMMYFUNCTION("""COMPUTED_VALUE"""),43220.92538516204)</f>
        <v>43220.92539</v>
      </c>
      <c r="B564" t="s">
        <v>122</v>
      </c>
    </row>
    <row r="565" hidden="1">
      <c r="A565" s="32">
        <f>IFERROR(__xludf.DUMMYFUNCTION("""COMPUTED_VALUE"""),43221.29443278935)</f>
        <v>43221.29443</v>
      </c>
      <c r="B565" t="s">
        <v>33</v>
      </c>
    </row>
    <row r="566" hidden="1">
      <c r="A566" s="32">
        <f>IFERROR(__xludf.DUMMYFUNCTION("""COMPUTED_VALUE"""),43221.72394045139)</f>
        <v>43221.72394</v>
      </c>
      <c r="B566" t="s">
        <v>532</v>
      </c>
    </row>
    <row r="567" hidden="1">
      <c r="A567" s="32">
        <f>IFERROR(__xludf.DUMMYFUNCTION("""COMPUTED_VALUE"""),43222.356746840276)</f>
        <v>43222.35675</v>
      </c>
      <c r="B567" t="s">
        <v>33</v>
      </c>
    </row>
    <row r="568" hidden="1">
      <c r="A568" s="32">
        <f>IFERROR(__xludf.DUMMYFUNCTION("""COMPUTED_VALUE"""),43222.375697881944)</f>
        <v>43222.3757</v>
      </c>
      <c r="B568" t="s">
        <v>33</v>
      </c>
    </row>
    <row r="569" hidden="1">
      <c r="A569" s="32">
        <f>IFERROR(__xludf.DUMMYFUNCTION("""COMPUTED_VALUE"""),43223.57823238426)</f>
        <v>43223.57823</v>
      </c>
      <c r="B569" t="s">
        <v>119</v>
      </c>
    </row>
    <row r="570" hidden="1">
      <c r="A570" s="32">
        <f>IFERROR(__xludf.DUMMYFUNCTION("""COMPUTED_VALUE"""),43223.75103082176)</f>
        <v>43223.75103</v>
      </c>
      <c r="B570" t="s">
        <v>33</v>
      </c>
    </row>
    <row r="571" hidden="1">
      <c r="A571" s="32">
        <f>IFERROR(__xludf.DUMMYFUNCTION("""COMPUTED_VALUE"""),43224.41214049769)</f>
        <v>43224.41214</v>
      </c>
      <c r="B571" t="s">
        <v>2383</v>
      </c>
    </row>
    <row r="572" hidden="1">
      <c r="A572" s="32">
        <f>IFERROR(__xludf.DUMMYFUNCTION("""COMPUTED_VALUE"""),43224.93058885417)</f>
        <v>43224.93059</v>
      </c>
      <c r="B572" t="s">
        <v>170</v>
      </c>
    </row>
    <row r="573" hidden="1">
      <c r="A573" s="32">
        <f>IFERROR(__xludf.DUMMYFUNCTION("""COMPUTED_VALUE"""),43225.24275827546)</f>
        <v>43225.24276</v>
      </c>
      <c r="B573" t="s">
        <v>538</v>
      </c>
    </row>
    <row r="574" hidden="1">
      <c r="A574" s="32">
        <f>IFERROR(__xludf.DUMMYFUNCTION("""COMPUTED_VALUE"""),43225.37141634259)</f>
        <v>43225.37142</v>
      </c>
      <c r="B574" t="s">
        <v>33</v>
      </c>
    </row>
    <row r="575" hidden="1">
      <c r="A575" s="32">
        <f>IFERROR(__xludf.DUMMYFUNCTION("""COMPUTED_VALUE"""),43225.51911013889)</f>
        <v>43225.51911</v>
      </c>
      <c r="B575" t="s">
        <v>33</v>
      </c>
    </row>
    <row r="576" hidden="1">
      <c r="A576" s="32">
        <f>IFERROR(__xludf.DUMMYFUNCTION("""COMPUTED_VALUE"""),43225.53022800926)</f>
        <v>43225.53023</v>
      </c>
      <c r="B576" t="s">
        <v>80</v>
      </c>
    </row>
    <row r="577" hidden="1">
      <c r="A577" s="32">
        <f>IFERROR(__xludf.DUMMYFUNCTION("""COMPUTED_VALUE"""),43225.5955893287)</f>
        <v>43225.59559</v>
      </c>
      <c r="B577" t="s">
        <v>48</v>
      </c>
    </row>
    <row r="578" hidden="1">
      <c r="A578" s="32">
        <f>IFERROR(__xludf.DUMMYFUNCTION("""COMPUTED_VALUE"""),43225.61090649306)</f>
        <v>43225.61091</v>
      </c>
      <c r="B578" t="s">
        <v>40</v>
      </c>
    </row>
    <row r="579" hidden="1">
      <c r="A579" s="32">
        <f>IFERROR(__xludf.DUMMYFUNCTION("""COMPUTED_VALUE"""),43226.55668361111)</f>
        <v>43226.55668</v>
      </c>
      <c r="B579" t="s">
        <v>40</v>
      </c>
    </row>
    <row r="580" hidden="1">
      <c r="A580" s="32">
        <f>IFERROR(__xludf.DUMMYFUNCTION("""COMPUTED_VALUE"""),43227.509277199075)</f>
        <v>43227.50928</v>
      </c>
      <c r="B580" t="s">
        <v>40</v>
      </c>
    </row>
    <row r="581" hidden="1">
      <c r="A581" s="32">
        <f>IFERROR(__xludf.DUMMYFUNCTION("""COMPUTED_VALUE"""),43227.57861575231)</f>
        <v>43227.57862</v>
      </c>
      <c r="B581" t="s">
        <v>40</v>
      </c>
    </row>
    <row r="582" hidden="1">
      <c r="A582" s="32">
        <f>IFERROR(__xludf.DUMMYFUNCTION("""COMPUTED_VALUE"""),43227.788881863424)</f>
        <v>43227.78888</v>
      </c>
      <c r="B582" t="s">
        <v>48</v>
      </c>
    </row>
    <row r="583" hidden="1">
      <c r="A583" s="32">
        <f>IFERROR(__xludf.DUMMYFUNCTION("""COMPUTED_VALUE"""),43227.79715107639)</f>
        <v>43227.79715</v>
      </c>
      <c r="B583" t="s">
        <v>540</v>
      </c>
    </row>
    <row r="584" hidden="1">
      <c r="A584" s="32">
        <f>IFERROR(__xludf.DUMMYFUNCTION("""COMPUTED_VALUE"""),43227.80033105324)</f>
        <v>43227.80033</v>
      </c>
      <c r="B584" t="s">
        <v>33</v>
      </c>
    </row>
    <row r="585" hidden="1">
      <c r="A585" s="32">
        <f>IFERROR(__xludf.DUMMYFUNCTION("""COMPUTED_VALUE"""),43227.86698821759)</f>
        <v>43227.86699</v>
      </c>
      <c r="B585" t="s">
        <v>33</v>
      </c>
    </row>
    <row r="586" hidden="1">
      <c r="A586" s="32">
        <f>IFERROR(__xludf.DUMMYFUNCTION("""COMPUTED_VALUE"""),43227.876025694444)</f>
        <v>43227.87603</v>
      </c>
      <c r="B586" t="s">
        <v>1036</v>
      </c>
    </row>
    <row r="587" hidden="1">
      <c r="A587" s="32">
        <f>IFERROR(__xludf.DUMMYFUNCTION("""COMPUTED_VALUE"""),43227.88517116898)</f>
        <v>43227.88517</v>
      </c>
      <c r="B587" t="s">
        <v>33</v>
      </c>
    </row>
    <row r="588" hidden="1">
      <c r="A588" s="32">
        <f>IFERROR(__xludf.DUMMYFUNCTION("""COMPUTED_VALUE"""),43228.09087375)</f>
        <v>43228.09087</v>
      </c>
      <c r="B588" t="s">
        <v>48</v>
      </c>
    </row>
    <row r="589" hidden="1">
      <c r="A589" s="32">
        <f>IFERROR(__xludf.DUMMYFUNCTION("""COMPUTED_VALUE"""),43228.11928008102)</f>
        <v>43228.11928</v>
      </c>
      <c r="B589" t="s">
        <v>40</v>
      </c>
    </row>
    <row r="590" hidden="1">
      <c r="A590" s="32">
        <f>IFERROR(__xludf.DUMMYFUNCTION("""COMPUTED_VALUE"""),43228.204206168986)</f>
        <v>43228.20421</v>
      </c>
      <c r="B590" t="s">
        <v>40</v>
      </c>
    </row>
    <row r="591" hidden="1">
      <c r="A591" s="32">
        <f>IFERROR(__xludf.DUMMYFUNCTION("""COMPUTED_VALUE"""),43228.577886875)</f>
        <v>43228.57789</v>
      </c>
      <c r="B591" t="s">
        <v>40</v>
      </c>
    </row>
    <row r="592" hidden="1">
      <c r="A592" s="32">
        <f>IFERROR(__xludf.DUMMYFUNCTION("""COMPUTED_VALUE"""),43228.601780972225)</f>
        <v>43228.60178</v>
      </c>
      <c r="B592" t="s">
        <v>33</v>
      </c>
    </row>
    <row r="593" hidden="1">
      <c r="A593" s="32">
        <f>IFERROR(__xludf.DUMMYFUNCTION("""COMPUTED_VALUE"""),43228.66489804398)</f>
        <v>43228.6649</v>
      </c>
      <c r="B593" t="s">
        <v>2658</v>
      </c>
    </row>
    <row r="594" hidden="1">
      <c r="A594" s="32">
        <f>IFERROR(__xludf.DUMMYFUNCTION("""COMPUTED_VALUE"""),43228.798749062495)</f>
        <v>43228.79875</v>
      </c>
      <c r="B594" t="s">
        <v>33</v>
      </c>
    </row>
    <row r="595" hidden="1">
      <c r="A595" s="32">
        <f>IFERROR(__xludf.DUMMYFUNCTION("""COMPUTED_VALUE"""),43228.81525833333)</f>
        <v>43228.81526</v>
      </c>
      <c r="B595" t="s">
        <v>258</v>
      </c>
    </row>
    <row r="596" hidden="1">
      <c r="A596" s="32">
        <f>IFERROR(__xludf.DUMMYFUNCTION("""COMPUTED_VALUE"""),43228.84344523148)</f>
        <v>43228.84345</v>
      </c>
      <c r="B596" t="s">
        <v>80</v>
      </c>
    </row>
    <row r="597" hidden="1">
      <c r="A597" s="32">
        <f>IFERROR(__xludf.DUMMYFUNCTION("""COMPUTED_VALUE"""),43228.8552978588)</f>
        <v>43228.8553</v>
      </c>
      <c r="B597" t="s">
        <v>33</v>
      </c>
    </row>
    <row r="598" hidden="1">
      <c r="A598" s="32">
        <f>IFERROR(__xludf.DUMMYFUNCTION("""COMPUTED_VALUE"""),43228.886501643516)</f>
        <v>43228.8865</v>
      </c>
      <c r="B598" t="s">
        <v>40</v>
      </c>
    </row>
    <row r="599" hidden="1">
      <c r="A599" s="32">
        <f>IFERROR(__xludf.DUMMYFUNCTION("""COMPUTED_VALUE"""),43228.94922005787)</f>
        <v>43228.94922</v>
      </c>
      <c r="B599" t="s">
        <v>548</v>
      </c>
    </row>
    <row r="600" hidden="1">
      <c r="A600" s="32">
        <f>IFERROR(__xludf.DUMMYFUNCTION("""COMPUTED_VALUE"""),43228.96066275463)</f>
        <v>43228.96066</v>
      </c>
      <c r="B600" t="s">
        <v>33</v>
      </c>
    </row>
    <row r="601" hidden="1">
      <c r="A601" s="32">
        <f>IFERROR(__xludf.DUMMYFUNCTION("""COMPUTED_VALUE"""),43229.2673946875)</f>
        <v>43229.26739</v>
      </c>
      <c r="B601" t="s">
        <v>80</v>
      </c>
    </row>
    <row r="602" hidden="1">
      <c r="A602" s="32">
        <f>IFERROR(__xludf.DUMMYFUNCTION("""COMPUTED_VALUE"""),43229.30660847222)</f>
        <v>43229.30661</v>
      </c>
      <c r="B602" t="s">
        <v>80</v>
      </c>
    </row>
    <row r="603" hidden="1">
      <c r="A603" s="32">
        <f>IFERROR(__xludf.DUMMYFUNCTION("""COMPUTED_VALUE"""),43229.324759490744)</f>
        <v>43229.32476</v>
      </c>
      <c r="B603" t="s">
        <v>48</v>
      </c>
    </row>
    <row r="604" hidden="1">
      <c r="A604" s="32">
        <f>IFERROR(__xludf.DUMMYFUNCTION("""COMPUTED_VALUE"""),43229.339428680556)</f>
        <v>43229.33943</v>
      </c>
      <c r="B604" t="s">
        <v>33</v>
      </c>
    </row>
    <row r="605" hidden="1">
      <c r="A605" s="32">
        <f>IFERROR(__xludf.DUMMYFUNCTION("""COMPUTED_VALUE"""),43229.36041862269)</f>
        <v>43229.36042</v>
      </c>
      <c r="B605" t="s">
        <v>45</v>
      </c>
    </row>
    <row r="606" hidden="1">
      <c r="A606" s="32">
        <f>IFERROR(__xludf.DUMMYFUNCTION("""COMPUTED_VALUE"""),43229.36940024306)</f>
        <v>43229.3694</v>
      </c>
      <c r="B606" t="s">
        <v>2674</v>
      </c>
    </row>
    <row r="607" hidden="1">
      <c r="A607" s="32">
        <f>IFERROR(__xludf.DUMMYFUNCTION("""COMPUTED_VALUE"""),43229.46326965278)</f>
        <v>43229.46327</v>
      </c>
      <c r="B607" t="s">
        <v>40</v>
      </c>
    </row>
    <row r="608" hidden="1">
      <c r="A608" s="32">
        <f>IFERROR(__xludf.DUMMYFUNCTION("""COMPUTED_VALUE"""),43229.49327178241)</f>
        <v>43229.49327</v>
      </c>
      <c r="B608" t="s">
        <v>40</v>
      </c>
    </row>
    <row r="609" hidden="1">
      <c r="A609" s="32">
        <f>IFERROR(__xludf.DUMMYFUNCTION("""COMPUTED_VALUE"""),43229.58903349537)</f>
        <v>43229.58903</v>
      </c>
      <c r="B609" t="s">
        <v>123</v>
      </c>
    </row>
    <row r="610" hidden="1">
      <c r="A610" s="32">
        <f>IFERROR(__xludf.DUMMYFUNCTION("""COMPUTED_VALUE"""),43229.89460988426)</f>
        <v>43229.89461</v>
      </c>
      <c r="B610" t="s">
        <v>33</v>
      </c>
    </row>
    <row r="611" hidden="1">
      <c r="A611" s="32">
        <f>IFERROR(__xludf.DUMMYFUNCTION("""COMPUTED_VALUE"""),43229.92172258101)</f>
        <v>43229.92172</v>
      </c>
      <c r="B611" t="s">
        <v>33</v>
      </c>
    </row>
    <row r="612" hidden="1">
      <c r="A612" s="32">
        <f>IFERROR(__xludf.DUMMYFUNCTION("""COMPUTED_VALUE"""),43230.211981354165)</f>
        <v>43230.21198</v>
      </c>
      <c r="B612" t="s">
        <v>33</v>
      </c>
    </row>
    <row r="613" hidden="1">
      <c r="A613" s="32">
        <f>IFERROR(__xludf.DUMMYFUNCTION("""COMPUTED_VALUE"""),43230.26206209491)</f>
        <v>43230.26206</v>
      </c>
      <c r="B613" t="s">
        <v>33</v>
      </c>
    </row>
    <row r="614" hidden="1">
      <c r="A614" s="32">
        <f>IFERROR(__xludf.DUMMYFUNCTION("""COMPUTED_VALUE"""),43230.62335945602)</f>
        <v>43230.62336</v>
      </c>
      <c r="B614" t="s">
        <v>33</v>
      </c>
    </row>
    <row r="615" hidden="1">
      <c r="A615" s="32">
        <f>IFERROR(__xludf.DUMMYFUNCTION("""COMPUTED_VALUE"""),43230.743318912035)</f>
        <v>43230.74332</v>
      </c>
      <c r="B615" t="s">
        <v>2675</v>
      </c>
    </row>
    <row r="616" hidden="1">
      <c r="A616" s="32">
        <f>IFERROR(__xludf.DUMMYFUNCTION("""COMPUTED_VALUE"""),43231.32398973379)</f>
        <v>43231.32399</v>
      </c>
      <c r="B616" t="s">
        <v>40</v>
      </c>
    </row>
    <row r="617" hidden="1">
      <c r="A617" s="32">
        <f>IFERROR(__xludf.DUMMYFUNCTION("""COMPUTED_VALUE"""),43231.356283518515)</f>
        <v>43231.35628</v>
      </c>
      <c r="B617" t="s">
        <v>80</v>
      </c>
    </row>
    <row r="618" hidden="1">
      <c r="A618" s="32">
        <f>IFERROR(__xludf.DUMMYFUNCTION("""COMPUTED_VALUE"""),43231.445814293984)</f>
        <v>43231.44581</v>
      </c>
      <c r="B618" t="s">
        <v>45</v>
      </c>
    </row>
    <row r="619" hidden="1">
      <c r="A619" s="32">
        <f>IFERROR(__xludf.DUMMYFUNCTION("""COMPUTED_VALUE"""),43231.50756773148)</f>
        <v>43231.50757</v>
      </c>
      <c r="B619" t="s">
        <v>2658</v>
      </c>
    </row>
    <row r="620" hidden="1">
      <c r="A620" s="32">
        <f>IFERROR(__xludf.DUMMYFUNCTION("""COMPUTED_VALUE"""),43231.58357150463)</f>
        <v>43231.58357</v>
      </c>
      <c r="B620" t="s">
        <v>560</v>
      </c>
    </row>
    <row r="621" hidden="1">
      <c r="A621" s="32">
        <f>IFERROR(__xludf.DUMMYFUNCTION("""COMPUTED_VALUE"""),43231.85024221065)</f>
        <v>43231.85024</v>
      </c>
      <c r="B621" t="s">
        <v>154</v>
      </c>
    </row>
    <row r="622" hidden="1">
      <c r="A622" s="32">
        <f>IFERROR(__xludf.DUMMYFUNCTION("""COMPUTED_VALUE"""),43231.94647293982)</f>
        <v>43231.94647</v>
      </c>
      <c r="B622" t="s">
        <v>45</v>
      </c>
    </row>
    <row r="623" hidden="1">
      <c r="A623" s="32">
        <f>IFERROR(__xludf.DUMMYFUNCTION("""COMPUTED_VALUE"""),43231.995294953704)</f>
        <v>43231.99529</v>
      </c>
      <c r="B623" t="s">
        <v>25</v>
      </c>
    </row>
    <row r="624" hidden="1">
      <c r="A624" s="32">
        <f>IFERROR(__xludf.DUMMYFUNCTION("""COMPUTED_VALUE"""),43232.22708997685)</f>
        <v>43232.22709</v>
      </c>
      <c r="B624" t="s">
        <v>33</v>
      </c>
    </row>
    <row r="625" hidden="1">
      <c r="A625" s="32">
        <f>IFERROR(__xludf.DUMMYFUNCTION("""COMPUTED_VALUE"""),43232.61513715278)</f>
        <v>43232.61514</v>
      </c>
      <c r="B625" t="s">
        <v>33</v>
      </c>
    </row>
    <row r="626" hidden="1">
      <c r="A626" s="32">
        <f>IFERROR(__xludf.DUMMYFUNCTION("""COMPUTED_VALUE"""),43232.887057280095)</f>
        <v>43232.88706</v>
      </c>
      <c r="B626" t="s">
        <v>123</v>
      </c>
    </row>
    <row r="627" hidden="1">
      <c r="A627" s="32">
        <f>IFERROR(__xludf.DUMMYFUNCTION("""COMPUTED_VALUE"""),43232.91942402778)</f>
        <v>43232.91942</v>
      </c>
      <c r="B627" t="s">
        <v>80</v>
      </c>
    </row>
    <row r="628" hidden="1">
      <c r="A628" s="32">
        <f>IFERROR(__xludf.DUMMYFUNCTION("""COMPUTED_VALUE"""),43232.92004899305)</f>
        <v>43232.92005</v>
      </c>
      <c r="B628" t="s">
        <v>48</v>
      </c>
    </row>
    <row r="629" hidden="1">
      <c r="A629" s="32">
        <f>IFERROR(__xludf.DUMMYFUNCTION("""COMPUTED_VALUE"""),43233.05521756945)</f>
        <v>43233.05522</v>
      </c>
      <c r="B629" t="s">
        <v>80</v>
      </c>
    </row>
    <row r="630" hidden="1">
      <c r="A630" s="32">
        <f>IFERROR(__xludf.DUMMYFUNCTION("""COMPUTED_VALUE"""),43233.164284375)</f>
        <v>43233.16428</v>
      </c>
      <c r="B630" t="s">
        <v>350</v>
      </c>
    </row>
    <row r="631" hidden="1">
      <c r="A631" s="32">
        <f>IFERROR(__xludf.DUMMYFUNCTION("""COMPUTED_VALUE"""),43233.28730393518)</f>
        <v>43233.2873</v>
      </c>
      <c r="B631" t="s">
        <v>548</v>
      </c>
    </row>
    <row r="632" hidden="1">
      <c r="A632" s="32">
        <f>IFERROR(__xludf.DUMMYFUNCTION("""COMPUTED_VALUE"""),43233.29009931713)</f>
        <v>43233.2901</v>
      </c>
      <c r="B632" t="s">
        <v>33</v>
      </c>
    </row>
    <row r="633" hidden="1">
      <c r="A633" s="32">
        <f>IFERROR(__xludf.DUMMYFUNCTION("""COMPUTED_VALUE"""),43233.31015518519)</f>
        <v>43233.31016</v>
      </c>
      <c r="B633" t="s">
        <v>170</v>
      </c>
    </row>
    <row r="634" hidden="1">
      <c r="A634" s="32">
        <f>IFERROR(__xludf.DUMMYFUNCTION("""COMPUTED_VALUE"""),43233.468043877314)</f>
        <v>43233.46804</v>
      </c>
      <c r="B634" t="s">
        <v>40</v>
      </c>
    </row>
    <row r="635" hidden="1">
      <c r="A635" s="32">
        <f>IFERROR(__xludf.DUMMYFUNCTION("""COMPUTED_VALUE"""),43233.899150474535)</f>
        <v>43233.89915</v>
      </c>
      <c r="B635" t="s">
        <v>200</v>
      </c>
    </row>
    <row r="636" hidden="1">
      <c r="A636" s="32">
        <f>IFERROR(__xludf.DUMMYFUNCTION("""COMPUTED_VALUE"""),43233.99613688658)</f>
        <v>43233.99614</v>
      </c>
      <c r="B636" t="s">
        <v>188</v>
      </c>
    </row>
    <row r="637" hidden="1">
      <c r="A637" s="32">
        <f>IFERROR(__xludf.DUMMYFUNCTION("""COMPUTED_VALUE"""),43234.35887486111)</f>
        <v>43234.35887</v>
      </c>
      <c r="B637" t="s">
        <v>574</v>
      </c>
    </row>
    <row r="638" hidden="1">
      <c r="A638" s="32">
        <f>IFERROR(__xludf.DUMMYFUNCTION("""COMPUTED_VALUE"""),43234.57744421296)</f>
        <v>43234.57744</v>
      </c>
      <c r="B638" t="s">
        <v>33</v>
      </c>
    </row>
    <row r="639" hidden="1">
      <c r="A639" s="32">
        <f>IFERROR(__xludf.DUMMYFUNCTION("""COMPUTED_VALUE"""),43234.7697055787)</f>
        <v>43234.76971</v>
      </c>
      <c r="B639" t="s">
        <v>80</v>
      </c>
    </row>
    <row r="640" hidden="1">
      <c r="A640" s="32">
        <f>IFERROR(__xludf.DUMMYFUNCTION("""COMPUTED_VALUE"""),43234.780898171295)</f>
        <v>43234.7809</v>
      </c>
      <c r="B640" t="s">
        <v>80</v>
      </c>
    </row>
    <row r="641" hidden="1">
      <c r="A641" s="32">
        <f>IFERROR(__xludf.DUMMYFUNCTION("""COMPUTED_VALUE"""),43235.32717333334)</f>
        <v>43235.32717</v>
      </c>
      <c r="B641" t="s">
        <v>40</v>
      </c>
    </row>
    <row r="642" hidden="1">
      <c r="A642" s="32">
        <f>IFERROR(__xludf.DUMMYFUNCTION("""COMPUTED_VALUE"""),43235.37652347222)</f>
        <v>43235.37652</v>
      </c>
      <c r="B642" t="s">
        <v>170</v>
      </c>
    </row>
    <row r="643" hidden="1">
      <c r="A643" s="32">
        <f>IFERROR(__xludf.DUMMYFUNCTION("""COMPUTED_VALUE"""),43235.3932705787)</f>
        <v>43235.39327</v>
      </c>
      <c r="B643" t="s">
        <v>170</v>
      </c>
    </row>
    <row r="644" hidden="1">
      <c r="A644" s="32">
        <f>IFERROR(__xludf.DUMMYFUNCTION("""COMPUTED_VALUE"""),43235.464478090274)</f>
        <v>43235.46448</v>
      </c>
      <c r="B644" t="s">
        <v>204</v>
      </c>
    </row>
    <row r="645" hidden="1">
      <c r="A645" s="32">
        <f>IFERROR(__xludf.DUMMYFUNCTION("""COMPUTED_VALUE"""),43235.836045324075)</f>
        <v>43235.83605</v>
      </c>
      <c r="B645" t="s">
        <v>80</v>
      </c>
    </row>
    <row r="646" hidden="1">
      <c r="A646" s="32">
        <f>IFERROR(__xludf.DUMMYFUNCTION("""COMPUTED_VALUE"""),43235.88871417824)</f>
        <v>43235.88871</v>
      </c>
      <c r="B646" t="s">
        <v>33</v>
      </c>
    </row>
    <row r="647" hidden="1">
      <c r="A647" s="32">
        <f>IFERROR(__xludf.DUMMYFUNCTION("""COMPUTED_VALUE"""),43235.921628703705)</f>
        <v>43235.92163</v>
      </c>
      <c r="B647" t="s">
        <v>580</v>
      </c>
    </row>
    <row r="648" hidden="1">
      <c r="A648" s="32">
        <f>IFERROR(__xludf.DUMMYFUNCTION("""COMPUTED_VALUE"""),43235.9277144213)</f>
        <v>43235.92771</v>
      </c>
      <c r="B648" t="s">
        <v>40</v>
      </c>
    </row>
    <row r="649" hidden="1">
      <c r="A649" s="32">
        <f>IFERROR(__xludf.DUMMYFUNCTION("""COMPUTED_VALUE"""),43235.998702592595)</f>
        <v>43235.9987</v>
      </c>
      <c r="B649" t="s">
        <v>40</v>
      </c>
    </row>
    <row r="650" hidden="1">
      <c r="A650" s="32">
        <f>IFERROR(__xludf.DUMMYFUNCTION("""COMPUTED_VALUE"""),43236.36814274306)</f>
        <v>43236.36814</v>
      </c>
      <c r="B650" t="s">
        <v>40</v>
      </c>
    </row>
    <row r="651" hidden="1">
      <c r="A651" s="32">
        <f>IFERROR(__xludf.DUMMYFUNCTION("""COMPUTED_VALUE"""),43236.495359050925)</f>
        <v>43236.49536</v>
      </c>
      <c r="B651" t="s">
        <v>95</v>
      </c>
    </row>
    <row r="652" hidden="1">
      <c r="A652" s="32">
        <f>IFERROR(__xludf.DUMMYFUNCTION("""COMPUTED_VALUE"""),43236.55324193287)</f>
        <v>43236.55324</v>
      </c>
      <c r="B652" t="s">
        <v>157</v>
      </c>
    </row>
    <row r="653" hidden="1">
      <c r="A653" s="32">
        <f>IFERROR(__xludf.DUMMYFUNCTION("""COMPUTED_VALUE"""),43236.667080439816)</f>
        <v>43236.66708</v>
      </c>
      <c r="B653" t="s">
        <v>33</v>
      </c>
    </row>
    <row r="654" hidden="1">
      <c r="A654" s="32">
        <f>IFERROR(__xludf.DUMMYFUNCTION("""COMPUTED_VALUE"""),43236.69070284722)</f>
        <v>43236.6907</v>
      </c>
      <c r="B654" t="s">
        <v>40</v>
      </c>
    </row>
    <row r="655" hidden="1">
      <c r="A655" s="32">
        <f>IFERROR(__xludf.DUMMYFUNCTION("""COMPUTED_VALUE"""),43236.716581597226)</f>
        <v>43236.71658</v>
      </c>
      <c r="B655" t="s">
        <v>40</v>
      </c>
    </row>
    <row r="656" hidden="1">
      <c r="A656" s="32">
        <f>IFERROR(__xludf.DUMMYFUNCTION("""COMPUTED_VALUE"""),43236.76345155093)</f>
        <v>43236.76345</v>
      </c>
      <c r="B656" t="s">
        <v>40</v>
      </c>
    </row>
    <row r="657" hidden="1">
      <c r="A657" s="32">
        <f>IFERROR(__xludf.DUMMYFUNCTION("""COMPUTED_VALUE"""),43236.84699440972)</f>
        <v>43236.84699</v>
      </c>
      <c r="B657" t="s">
        <v>2658</v>
      </c>
    </row>
    <row r="658" hidden="1">
      <c r="A658" s="32">
        <f>IFERROR(__xludf.DUMMYFUNCTION("""COMPUTED_VALUE"""),43236.877258796296)</f>
        <v>43236.87726</v>
      </c>
      <c r="B658" t="s">
        <v>80</v>
      </c>
    </row>
    <row r="659" hidden="1">
      <c r="A659" s="32">
        <f>IFERROR(__xludf.DUMMYFUNCTION("""COMPUTED_VALUE"""),43237.36200284722)</f>
        <v>43237.362</v>
      </c>
      <c r="B659" t="s">
        <v>40</v>
      </c>
    </row>
    <row r="660" hidden="1">
      <c r="A660" s="32">
        <f>IFERROR(__xludf.DUMMYFUNCTION("""COMPUTED_VALUE"""),43237.50501854166)</f>
        <v>43237.50502</v>
      </c>
      <c r="B660" t="s">
        <v>2674</v>
      </c>
    </row>
    <row r="661" hidden="1">
      <c r="A661" s="32">
        <f>IFERROR(__xludf.DUMMYFUNCTION("""COMPUTED_VALUE"""),43237.524017476855)</f>
        <v>43237.52402</v>
      </c>
      <c r="B661" t="s">
        <v>33</v>
      </c>
    </row>
    <row r="662" hidden="1">
      <c r="A662" s="32">
        <f>IFERROR(__xludf.DUMMYFUNCTION("""COMPUTED_VALUE"""),43237.532984722224)</f>
        <v>43237.53298</v>
      </c>
      <c r="B662" t="s">
        <v>25</v>
      </c>
    </row>
    <row r="663" hidden="1">
      <c r="A663" s="32">
        <f>IFERROR(__xludf.DUMMYFUNCTION("""COMPUTED_VALUE"""),43237.562660138894)</f>
        <v>43237.56266</v>
      </c>
      <c r="B663" t="s">
        <v>204</v>
      </c>
    </row>
    <row r="664" hidden="1">
      <c r="A664" s="32">
        <f>IFERROR(__xludf.DUMMYFUNCTION("""COMPUTED_VALUE"""),43237.62082300926)</f>
        <v>43237.62082</v>
      </c>
      <c r="B664" t="s">
        <v>33</v>
      </c>
    </row>
    <row r="665" hidden="1">
      <c r="A665" s="32">
        <f>IFERROR(__xludf.DUMMYFUNCTION("""COMPUTED_VALUE"""),43237.715661064816)</f>
        <v>43237.71566</v>
      </c>
      <c r="B665" t="s">
        <v>170</v>
      </c>
    </row>
    <row r="666" hidden="1">
      <c r="A666" s="32">
        <f>IFERROR(__xludf.DUMMYFUNCTION("""COMPUTED_VALUE"""),43237.79891894676)</f>
        <v>43237.79892</v>
      </c>
      <c r="B666" t="s">
        <v>258</v>
      </c>
    </row>
    <row r="667" hidden="1">
      <c r="A667" s="32">
        <f>IFERROR(__xludf.DUMMYFUNCTION("""COMPUTED_VALUE"""),43237.90597528935)</f>
        <v>43237.90598</v>
      </c>
      <c r="B667" t="s">
        <v>48</v>
      </c>
    </row>
    <row r="668" hidden="1">
      <c r="A668" s="32">
        <f>IFERROR(__xludf.DUMMYFUNCTION("""COMPUTED_VALUE"""),43238.01359905093)</f>
        <v>43238.0136</v>
      </c>
      <c r="B668" t="s">
        <v>40</v>
      </c>
    </row>
    <row r="669" hidden="1">
      <c r="A669" s="32">
        <f>IFERROR(__xludf.DUMMYFUNCTION("""COMPUTED_VALUE"""),43238.03722537037)</f>
        <v>43238.03723</v>
      </c>
      <c r="B669" t="s">
        <v>45</v>
      </c>
    </row>
    <row r="670" hidden="1">
      <c r="A670" s="32">
        <f>IFERROR(__xludf.DUMMYFUNCTION("""COMPUTED_VALUE"""),43238.26005452547)</f>
        <v>43238.26005</v>
      </c>
      <c r="B670" t="s">
        <v>40</v>
      </c>
    </row>
    <row r="671" hidden="1">
      <c r="A671" s="32">
        <f>IFERROR(__xludf.DUMMYFUNCTION("""COMPUTED_VALUE"""),43238.49795295139)</f>
        <v>43238.49795</v>
      </c>
      <c r="B671" t="s">
        <v>123</v>
      </c>
    </row>
    <row r="672" hidden="1">
      <c r="A672" s="32">
        <f>IFERROR(__xludf.DUMMYFUNCTION("""COMPUTED_VALUE"""),43238.50498469907)</f>
        <v>43238.50498</v>
      </c>
      <c r="B672" t="s">
        <v>33</v>
      </c>
    </row>
    <row r="673" hidden="1">
      <c r="A673" s="32">
        <f>IFERROR(__xludf.DUMMYFUNCTION("""COMPUTED_VALUE"""),43238.54059331019)</f>
        <v>43238.54059</v>
      </c>
      <c r="B673" t="s">
        <v>40</v>
      </c>
    </row>
    <row r="674" hidden="1">
      <c r="A674" s="32">
        <f>IFERROR(__xludf.DUMMYFUNCTION("""COMPUTED_VALUE"""),43238.766191030096)</f>
        <v>43238.76619</v>
      </c>
      <c r="B674" t="s">
        <v>123</v>
      </c>
    </row>
    <row r="675" hidden="1">
      <c r="A675" s="32">
        <f>IFERROR(__xludf.DUMMYFUNCTION("""COMPUTED_VALUE"""),43238.77918096065)</f>
        <v>43238.77918</v>
      </c>
      <c r="B675" t="s">
        <v>268</v>
      </c>
    </row>
    <row r="676" hidden="1">
      <c r="A676" s="32">
        <f>IFERROR(__xludf.DUMMYFUNCTION("""COMPUTED_VALUE"""),43238.84013913195)</f>
        <v>43238.84014</v>
      </c>
      <c r="B676" t="s">
        <v>380</v>
      </c>
    </row>
    <row r="677" hidden="1">
      <c r="A677" s="32">
        <f>IFERROR(__xludf.DUMMYFUNCTION("""COMPUTED_VALUE"""),43239.05281545139)</f>
        <v>43239.05282</v>
      </c>
      <c r="B677" t="s">
        <v>122</v>
      </c>
    </row>
    <row r="678" hidden="1">
      <c r="A678" s="32">
        <f>IFERROR(__xludf.DUMMYFUNCTION("""COMPUTED_VALUE"""),43239.64783696759)</f>
        <v>43239.64784</v>
      </c>
      <c r="B678" t="s">
        <v>45</v>
      </c>
    </row>
    <row r="679" hidden="1">
      <c r="A679" s="32">
        <f>IFERROR(__xludf.DUMMYFUNCTION("""COMPUTED_VALUE"""),43239.6854118287)</f>
        <v>43239.68541</v>
      </c>
      <c r="B679" t="s">
        <v>33</v>
      </c>
    </row>
    <row r="680" hidden="1">
      <c r="A680" s="32">
        <f>IFERROR(__xludf.DUMMYFUNCTION("""COMPUTED_VALUE"""),43239.68595840278)</f>
        <v>43239.68596</v>
      </c>
      <c r="B680" t="s">
        <v>95</v>
      </c>
    </row>
    <row r="681" hidden="1">
      <c r="A681" s="32">
        <f>IFERROR(__xludf.DUMMYFUNCTION("""COMPUTED_VALUE"""),43239.686807199076)</f>
        <v>43239.68681</v>
      </c>
      <c r="B681" t="s">
        <v>258</v>
      </c>
    </row>
    <row r="682" hidden="1">
      <c r="A682" s="32">
        <f>IFERROR(__xludf.DUMMYFUNCTION("""COMPUTED_VALUE"""),43239.68735305556)</f>
        <v>43239.68735</v>
      </c>
      <c r="B682" t="s">
        <v>2676</v>
      </c>
    </row>
    <row r="683" hidden="1">
      <c r="A683" s="32">
        <f>IFERROR(__xludf.DUMMYFUNCTION("""COMPUTED_VALUE"""),43239.68788125)</f>
        <v>43239.68788</v>
      </c>
      <c r="B683" t="s">
        <v>80</v>
      </c>
    </row>
    <row r="684" hidden="1">
      <c r="A684" s="32">
        <f>IFERROR(__xludf.DUMMYFUNCTION("""COMPUTED_VALUE"""),43239.6908803125)</f>
        <v>43239.69088</v>
      </c>
      <c r="B684" t="s">
        <v>268</v>
      </c>
    </row>
    <row r="685" hidden="1">
      <c r="A685" s="32">
        <f>IFERROR(__xludf.DUMMYFUNCTION("""COMPUTED_VALUE"""),43239.78085144676)</f>
        <v>43239.78085</v>
      </c>
      <c r="B685" t="s">
        <v>268</v>
      </c>
    </row>
    <row r="686" hidden="1">
      <c r="A686" s="32">
        <f>IFERROR(__xludf.DUMMYFUNCTION("""COMPUTED_VALUE"""),43239.7998834375)</f>
        <v>43239.79988</v>
      </c>
      <c r="B686" t="s">
        <v>25</v>
      </c>
    </row>
    <row r="687" hidden="1">
      <c r="A687" s="32">
        <f>IFERROR(__xludf.DUMMYFUNCTION("""COMPUTED_VALUE"""),43239.838627476856)</f>
        <v>43239.83863</v>
      </c>
      <c r="B687" t="s">
        <v>80</v>
      </c>
    </row>
    <row r="688" hidden="1">
      <c r="A688" s="32">
        <f>IFERROR(__xludf.DUMMYFUNCTION("""COMPUTED_VALUE"""),43239.937311539354)</f>
        <v>43239.93731</v>
      </c>
      <c r="B688" t="s">
        <v>40</v>
      </c>
    </row>
    <row r="689" hidden="1">
      <c r="A689" s="32">
        <f>IFERROR(__xludf.DUMMYFUNCTION("""COMPUTED_VALUE"""),43239.968802777774)</f>
        <v>43239.9688</v>
      </c>
      <c r="B689" t="s">
        <v>80</v>
      </c>
    </row>
    <row r="690" hidden="1">
      <c r="A690" s="32">
        <f>IFERROR(__xludf.DUMMYFUNCTION("""COMPUTED_VALUE"""),43240.33155204861)</f>
        <v>43240.33155</v>
      </c>
      <c r="B690" t="s">
        <v>48</v>
      </c>
    </row>
    <row r="691" hidden="1">
      <c r="A691" s="32">
        <f>IFERROR(__xludf.DUMMYFUNCTION("""COMPUTED_VALUE"""),43240.41920185185)</f>
        <v>43240.4192</v>
      </c>
      <c r="B691" t="s">
        <v>36</v>
      </c>
    </row>
    <row r="692" hidden="1">
      <c r="A692" s="32">
        <f>IFERROR(__xludf.DUMMYFUNCTION("""COMPUTED_VALUE"""),43240.43173590278)</f>
        <v>43240.43174</v>
      </c>
      <c r="B692" t="s">
        <v>40</v>
      </c>
    </row>
    <row r="693" hidden="1">
      <c r="A693" s="32">
        <f>IFERROR(__xludf.DUMMYFUNCTION("""COMPUTED_VALUE"""),43240.720461006946)</f>
        <v>43240.72046</v>
      </c>
      <c r="B693" t="s">
        <v>188</v>
      </c>
    </row>
    <row r="694" hidden="1">
      <c r="A694" s="32">
        <f>IFERROR(__xludf.DUMMYFUNCTION("""COMPUTED_VALUE"""),43240.8192997338)</f>
        <v>43240.8193</v>
      </c>
      <c r="B694" t="s">
        <v>170</v>
      </c>
    </row>
    <row r="695" hidden="1">
      <c r="A695" s="32">
        <f>IFERROR(__xludf.DUMMYFUNCTION("""COMPUTED_VALUE"""),43241.017940543985)</f>
        <v>43241.01794</v>
      </c>
      <c r="B695" t="s">
        <v>387</v>
      </c>
    </row>
    <row r="696" hidden="1">
      <c r="A696" s="32">
        <f>IFERROR(__xludf.DUMMYFUNCTION("""COMPUTED_VALUE"""),43241.47445060185)</f>
        <v>43241.47445</v>
      </c>
      <c r="B696" t="s">
        <v>371</v>
      </c>
    </row>
    <row r="697" hidden="1">
      <c r="A697" s="32">
        <f>IFERROR(__xludf.DUMMYFUNCTION("""COMPUTED_VALUE"""),43241.63764936343)</f>
        <v>43241.63765</v>
      </c>
      <c r="B697" t="s">
        <v>73</v>
      </c>
    </row>
    <row r="698" hidden="1">
      <c r="A698" s="32">
        <f>IFERROR(__xludf.DUMMYFUNCTION("""COMPUTED_VALUE"""),43241.63856394676)</f>
        <v>43241.63856</v>
      </c>
      <c r="B698" t="s">
        <v>40</v>
      </c>
    </row>
    <row r="699" hidden="1">
      <c r="A699" s="32">
        <f>IFERROR(__xludf.DUMMYFUNCTION("""COMPUTED_VALUE"""),43241.69070965278)</f>
        <v>43241.69071</v>
      </c>
      <c r="B699" t="s">
        <v>80</v>
      </c>
    </row>
    <row r="700" hidden="1">
      <c r="A700" s="32">
        <f>IFERROR(__xludf.DUMMYFUNCTION("""COMPUTED_VALUE"""),43241.91652827546)</f>
        <v>43241.91653</v>
      </c>
      <c r="B700" t="s">
        <v>268</v>
      </c>
    </row>
    <row r="701" hidden="1">
      <c r="A701" s="32">
        <f>IFERROR(__xludf.DUMMYFUNCTION("""COMPUTED_VALUE"""),43241.983082743056)</f>
        <v>43241.98308</v>
      </c>
      <c r="B701" t="s">
        <v>40</v>
      </c>
    </row>
    <row r="702" hidden="1">
      <c r="A702" s="32">
        <f>IFERROR(__xludf.DUMMYFUNCTION("""COMPUTED_VALUE"""),43242.06008231481)</f>
        <v>43242.06008</v>
      </c>
      <c r="B702" t="s">
        <v>123</v>
      </c>
    </row>
    <row r="703" hidden="1">
      <c r="A703" s="32">
        <f>IFERROR(__xludf.DUMMYFUNCTION("""COMPUTED_VALUE"""),43242.39185215278)</f>
        <v>43242.39185</v>
      </c>
      <c r="B703" t="s">
        <v>40</v>
      </c>
    </row>
    <row r="704" hidden="1">
      <c r="A704" s="32">
        <f>IFERROR(__xludf.DUMMYFUNCTION("""COMPUTED_VALUE"""),43242.45752285879)</f>
        <v>43242.45752</v>
      </c>
      <c r="B704" t="s">
        <v>48</v>
      </c>
    </row>
    <row r="705" hidden="1">
      <c r="A705" s="32">
        <f>IFERROR(__xludf.DUMMYFUNCTION("""COMPUTED_VALUE"""),43242.46404924769)</f>
        <v>43242.46405</v>
      </c>
      <c r="B705" t="s">
        <v>613</v>
      </c>
    </row>
    <row r="706" hidden="1">
      <c r="A706" s="32">
        <f>IFERROR(__xludf.DUMMYFUNCTION("""COMPUTED_VALUE"""),43242.47785171296)</f>
        <v>43242.47785</v>
      </c>
      <c r="B706" t="s">
        <v>139</v>
      </c>
    </row>
    <row r="707" hidden="1">
      <c r="A707" s="32">
        <f>IFERROR(__xludf.DUMMYFUNCTION("""COMPUTED_VALUE"""),43242.47840436343)</f>
        <v>43242.4784</v>
      </c>
      <c r="B707" t="s">
        <v>123</v>
      </c>
    </row>
    <row r="708" hidden="1">
      <c r="A708" s="32">
        <f>IFERROR(__xludf.DUMMYFUNCTION("""COMPUTED_VALUE"""),43242.57454079861)</f>
        <v>43242.57454</v>
      </c>
      <c r="B708" t="s">
        <v>574</v>
      </c>
    </row>
    <row r="709" hidden="1">
      <c r="A709" s="32">
        <f>IFERROR(__xludf.DUMMYFUNCTION("""COMPUTED_VALUE"""),43242.699643761574)</f>
        <v>43242.69964</v>
      </c>
      <c r="B709" t="s">
        <v>40</v>
      </c>
    </row>
    <row r="710" hidden="1">
      <c r="A710" s="32">
        <f>IFERROR(__xludf.DUMMYFUNCTION("""COMPUTED_VALUE"""),43242.72777291667)</f>
        <v>43242.72777</v>
      </c>
      <c r="B710" t="s">
        <v>619</v>
      </c>
    </row>
    <row r="711" hidden="1">
      <c r="A711" s="32">
        <f>IFERROR(__xludf.DUMMYFUNCTION("""COMPUTED_VALUE"""),43242.84802376157)</f>
        <v>43242.84802</v>
      </c>
      <c r="B711" t="s">
        <v>621</v>
      </c>
    </row>
    <row r="712" hidden="1">
      <c r="A712" s="32">
        <f>IFERROR(__xludf.DUMMYFUNCTION("""COMPUTED_VALUE"""),43243.35385422454)</f>
        <v>43243.35385</v>
      </c>
      <c r="B712" t="s">
        <v>40</v>
      </c>
    </row>
    <row r="713" hidden="1">
      <c r="A713" s="32">
        <f>IFERROR(__xludf.DUMMYFUNCTION("""COMPUTED_VALUE"""),43243.62348501157)</f>
        <v>43243.62349</v>
      </c>
      <c r="B713" t="s">
        <v>123</v>
      </c>
    </row>
    <row r="714" hidden="1">
      <c r="A714" s="32">
        <f>IFERROR(__xludf.DUMMYFUNCTION("""COMPUTED_VALUE"""),43243.69839723379)</f>
        <v>43243.6984</v>
      </c>
      <c r="B714" t="s">
        <v>33</v>
      </c>
    </row>
    <row r="715" hidden="1">
      <c r="A715" s="32">
        <f>IFERROR(__xludf.DUMMYFUNCTION("""COMPUTED_VALUE"""),43243.73775177084)</f>
        <v>43243.73775</v>
      </c>
      <c r="B715" t="s">
        <v>48</v>
      </c>
    </row>
    <row r="716" hidden="1">
      <c r="A716" s="32">
        <f>IFERROR(__xludf.DUMMYFUNCTION("""COMPUTED_VALUE"""),43243.78045049768)</f>
        <v>43243.78045</v>
      </c>
      <c r="B716" t="s">
        <v>123</v>
      </c>
    </row>
    <row r="717" hidden="1">
      <c r="A717" s="32">
        <f>IFERROR(__xludf.DUMMYFUNCTION("""COMPUTED_VALUE"""),43243.82660545139)</f>
        <v>43243.82661</v>
      </c>
      <c r="B717" t="s">
        <v>77</v>
      </c>
    </row>
    <row r="718" hidden="1">
      <c r="A718" s="32">
        <f>IFERROR(__xludf.DUMMYFUNCTION("""COMPUTED_VALUE"""),43243.84732381944)</f>
        <v>43243.84732</v>
      </c>
      <c r="B718" t="s">
        <v>80</v>
      </c>
    </row>
    <row r="719" hidden="1">
      <c r="A719" s="32">
        <f>IFERROR(__xludf.DUMMYFUNCTION("""COMPUTED_VALUE"""),43244.466790763894)</f>
        <v>43244.46679</v>
      </c>
      <c r="B719" t="s">
        <v>2665</v>
      </c>
    </row>
    <row r="720" hidden="1">
      <c r="A720" s="32">
        <f>IFERROR(__xludf.DUMMYFUNCTION("""COMPUTED_VALUE"""),43244.475820127314)</f>
        <v>43244.47582</v>
      </c>
      <c r="B720" t="s">
        <v>124</v>
      </c>
    </row>
    <row r="721" hidden="1">
      <c r="A721" s="32">
        <f>IFERROR(__xludf.DUMMYFUNCTION("""COMPUTED_VALUE"""),43244.481334861106)</f>
        <v>43244.48133</v>
      </c>
      <c r="B721" t="s">
        <v>80</v>
      </c>
    </row>
    <row r="722" hidden="1">
      <c r="A722" s="32">
        <f>IFERROR(__xludf.DUMMYFUNCTION("""COMPUTED_VALUE"""),43244.51842741898)</f>
        <v>43244.51843</v>
      </c>
      <c r="B722" t="s">
        <v>33</v>
      </c>
    </row>
    <row r="723" hidden="1">
      <c r="A723" s="32">
        <f>IFERROR(__xludf.DUMMYFUNCTION("""COMPUTED_VALUE"""),43244.61916376157)</f>
        <v>43244.61916</v>
      </c>
      <c r="B723" t="s">
        <v>40</v>
      </c>
    </row>
    <row r="724" hidden="1">
      <c r="A724" s="32">
        <f>IFERROR(__xludf.DUMMYFUNCTION("""COMPUTED_VALUE"""),43244.6575275)</f>
        <v>43244.65753</v>
      </c>
      <c r="B724" t="s">
        <v>25</v>
      </c>
    </row>
    <row r="725" hidden="1">
      <c r="A725" s="32">
        <f>IFERROR(__xludf.DUMMYFUNCTION("""COMPUTED_VALUE"""),43244.83878716435)</f>
        <v>43244.83879</v>
      </c>
      <c r="B725" t="s">
        <v>124</v>
      </c>
    </row>
    <row r="726" hidden="1">
      <c r="A726" s="32">
        <f>IFERROR(__xludf.DUMMYFUNCTION("""COMPUTED_VALUE"""),43244.95101582176)</f>
        <v>43244.95102</v>
      </c>
      <c r="B726" t="s">
        <v>636</v>
      </c>
    </row>
    <row r="727" hidden="1">
      <c r="A727" s="32">
        <f>IFERROR(__xludf.DUMMYFUNCTION("""COMPUTED_VALUE"""),43244.95373009259)</f>
        <v>43244.95373</v>
      </c>
      <c r="B727" t="s">
        <v>40</v>
      </c>
    </row>
    <row r="728" hidden="1">
      <c r="A728" s="32">
        <f>IFERROR(__xludf.DUMMYFUNCTION("""COMPUTED_VALUE"""),43245.26103837963)</f>
        <v>43245.26104</v>
      </c>
      <c r="B728" t="s">
        <v>33</v>
      </c>
    </row>
    <row r="729" hidden="1">
      <c r="A729" s="32">
        <f>IFERROR(__xludf.DUMMYFUNCTION("""COMPUTED_VALUE"""),43245.41127921296)</f>
        <v>43245.41128</v>
      </c>
      <c r="B729" t="s">
        <v>45</v>
      </c>
    </row>
    <row r="730" hidden="1">
      <c r="A730" s="32">
        <f>IFERROR(__xludf.DUMMYFUNCTION("""COMPUTED_VALUE"""),43245.52066991898)</f>
        <v>43245.52067</v>
      </c>
      <c r="B730" t="s">
        <v>25</v>
      </c>
    </row>
    <row r="731" hidden="1">
      <c r="A731" s="32">
        <f>IFERROR(__xludf.DUMMYFUNCTION("""COMPUTED_VALUE"""),43245.56514715278)</f>
        <v>43245.56515</v>
      </c>
      <c r="B731" t="s">
        <v>36</v>
      </c>
    </row>
    <row r="732" hidden="1">
      <c r="A732" s="32">
        <f>IFERROR(__xludf.DUMMYFUNCTION("""COMPUTED_VALUE"""),43245.65524818287)</f>
        <v>43245.65525</v>
      </c>
      <c r="B732" t="s">
        <v>40</v>
      </c>
    </row>
    <row r="733" hidden="1">
      <c r="A733" s="32">
        <f>IFERROR(__xludf.DUMMYFUNCTION("""COMPUTED_VALUE"""),43246.29444971065)</f>
        <v>43246.29445</v>
      </c>
      <c r="B733" t="s">
        <v>538</v>
      </c>
    </row>
    <row r="734" hidden="1">
      <c r="A734" s="32">
        <f>IFERROR(__xludf.DUMMYFUNCTION("""COMPUTED_VALUE"""),43246.43456916667)</f>
        <v>43246.43457</v>
      </c>
      <c r="B734" t="s">
        <v>270</v>
      </c>
    </row>
    <row r="735" hidden="1">
      <c r="A735" s="32">
        <f>IFERROR(__xludf.DUMMYFUNCTION("""COMPUTED_VALUE"""),43246.5482652662)</f>
        <v>43246.54827</v>
      </c>
      <c r="B735" t="s">
        <v>170</v>
      </c>
    </row>
    <row r="736" hidden="1">
      <c r="A736" s="32">
        <f>IFERROR(__xludf.DUMMYFUNCTION("""COMPUTED_VALUE"""),43247.45325003473)</f>
        <v>43247.45325</v>
      </c>
      <c r="B736" t="s">
        <v>80</v>
      </c>
    </row>
    <row r="737" hidden="1">
      <c r="A737" s="32">
        <f>IFERROR(__xludf.DUMMYFUNCTION("""COMPUTED_VALUE"""),43247.46663547454)</f>
        <v>43247.46664</v>
      </c>
      <c r="B737" t="s">
        <v>640</v>
      </c>
    </row>
    <row r="738" hidden="1">
      <c r="A738" s="32">
        <f>IFERROR(__xludf.DUMMYFUNCTION("""COMPUTED_VALUE"""),43247.7582443287)</f>
        <v>43247.75824</v>
      </c>
      <c r="B738" t="s">
        <v>40</v>
      </c>
    </row>
    <row r="739" hidden="1">
      <c r="A739" s="32">
        <f>IFERROR(__xludf.DUMMYFUNCTION("""COMPUTED_VALUE"""),43247.917186562496)</f>
        <v>43247.91719</v>
      </c>
      <c r="B739" t="s">
        <v>40</v>
      </c>
    </row>
    <row r="740" hidden="1">
      <c r="A740" s="32">
        <f>IFERROR(__xludf.DUMMYFUNCTION("""COMPUTED_VALUE"""),43248.69598341435)</f>
        <v>43248.69598</v>
      </c>
      <c r="B740" t="s">
        <v>350</v>
      </c>
    </row>
    <row r="741" hidden="1">
      <c r="A741" s="32">
        <f>IFERROR(__xludf.DUMMYFUNCTION("""COMPUTED_VALUE"""),43248.762353645834)</f>
        <v>43248.76235</v>
      </c>
      <c r="B741" t="s">
        <v>2677</v>
      </c>
    </row>
    <row r="742" hidden="1">
      <c r="A742" s="32">
        <f>IFERROR(__xludf.DUMMYFUNCTION("""COMPUTED_VALUE"""),43248.92072847222)</f>
        <v>43248.92073</v>
      </c>
      <c r="B742" t="s">
        <v>123</v>
      </c>
    </row>
    <row r="743" hidden="1">
      <c r="A743" s="32">
        <f>IFERROR(__xludf.DUMMYFUNCTION("""COMPUTED_VALUE"""),43249.52409864584)</f>
        <v>43249.5241</v>
      </c>
      <c r="B743" t="s">
        <v>33</v>
      </c>
    </row>
    <row r="744" hidden="1">
      <c r="A744" s="32">
        <f>IFERROR(__xludf.DUMMYFUNCTION("""COMPUTED_VALUE"""),43249.60464560185)</f>
        <v>43249.60465</v>
      </c>
      <c r="B744" t="s">
        <v>645</v>
      </c>
    </row>
    <row r="745" hidden="1">
      <c r="A745" s="32">
        <f>IFERROR(__xludf.DUMMYFUNCTION("""COMPUTED_VALUE"""),43249.74817856481)</f>
        <v>43249.74818</v>
      </c>
      <c r="B745" t="s">
        <v>282</v>
      </c>
    </row>
    <row r="746" hidden="1">
      <c r="A746" s="32">
        <f>IFERROR(__xludf.DUMMYFUNCTION("""COMPUTED_VALUE"""),43249.763598854166)</f>
        <v>43249.7636</v>
      </c>
      <c r="B746" t="s">
        <v>270</v>
      </c>
    </row>
    <row r="747" hidden="1">
      <c r="A747" s="32">
        <f>IFERROR(__xludf.DUMMYFUNCTION("""COMPUTED_VALUE"""),43249.94676194445)</f>
        <v>43249.94676</v>
      </c>
      <c r="B747" t="s">
        <v>33</v>
      </c>
    </row>
    <row r="748" hidden="1">
      <c r="A748" s="32">
        <f>IFERROR(__xludf.DUMMYFUNCTION("""COMPUTED_VALUE"""),43249.95392543981)</f>
        <v>43249.95393</v>
      </c>
      <c r="B748" t="s">
        <v>40</v>
      </c>
    </row>
    <row r="749" hidden="1">
      <c r="A749" s="32">
        <f>IFERROR(__xludf.DUMMYFUNCTION("""COMPUTED_VALUE"""),43249.95986128472)</f>
        <v>43249.95986</v>
      </c>
      <c r="B749" t="s">
        <v>80</v>
      </c>
    </row>
    <row r="750" hidden="1">
      <c r="A750" s="32">
        <f>IFERROR(__xludf.DUMMYFUNCTION("""COMPUTED_VALUE"""),43250.32727008102)</f>
        <v>43250.32727</v>
      </c>
      <c r="B750" t="s">
        <v>2678</v>
      </c>
    </row>
    <row r="751" hidden="1">
      <c r="A751" s="32">
        <f>IFERROR(__xludf.DUMMYFUNCTION("""COMPUTED_VALUE"""),43250.38941859954)</f>
        <v>43250.38942</v>
      </c>
      <c r="B751" t="s">
        <v>80</v>
      </c>
    </row>
    <row r="752" hidden="1">
      <c r="A752" s="32">
        <f>IFERROR(__xludf.DUMMYFUNCTION("""COMPUTED_VALUE"""),43250.40268190972)</f>
        <v>43250.40268</v>
      </c>
      <c r="B752" t="s">
        <v>33</v>
      </c>
    </row>
    <row r="753" hidden="1">
      <c r="A753" s="32">
        <f>IFERROR(__xludf.DUMMYFUNCTION("""COMPUTED_VALUE"""),43250.566884444444)</f>
        <v>43250.56688</v>
      </c>
      <c r="B753" t="s">
        <v>343</v>
      </c>
    </row>
    <row r="754" hidden="1">
      <c r="A754" s="32">
        <f>IFERROR(__xludf.DUMMYFUNCTION("""COMPUTED_VALUE"""),43250.81361884259)</f>
        <v>43250.81362</v>
      </c>
      <c r="B754" t="s">
        <v>40</v>
      </c>
    </row>
    <row r="755" hidden="1">
      <c r="A755" s="32">
        <f>IFERROR(__xludf.DUMMYFUNCTION("""COMPUTED_VALUE"""),43250.840584895835)</f>
        <v>43250.84058</v>
      </c>
      <c r="B755" t="s">
        <v>45</v>
      </c>
    </row>
    <row r="756" hidden="1">
      <c r="A756" s="32">
        <f>IFERROR(__xludf.DUMMYFUNCTION("""COMPUTED_VALUE"""),43250.91861903935)</f>
        <v>43250.91862</v>
      </c>
      <c r="B756" t="s">
        <v>268</v>
      </c>
    </row>
    <row r="757" hidden="1">
      <c r="A757" s="32">
        <f>IFERROR(__xludf.DUMMYFUNCTION("""COMPUTED_VALUE"""),43250.92660501157)</f>
        <v>43250.92661</v>
      </c>
      <c r="B757" t="s">
        <v>40</v>
      </c>
    </row>
    <row r="758" hidden="1">
      <c r="A758" s="32">
        <f>IFERROR(__xludf.DUMMYFUNCTION("""COMPUTED_VALUE"""),43250.94410315972)</f>
        <v>43250.9441</v>
      </c>
      <c r="B758" t="s">
        <v>658</v>
      </c>
    </row>
    <row r="759" hidden="1">
      <c r="A759" s="32">
        <f>IFERROR(__xludf.DUMMYFUNCTION("""COMPUTED_VALUE"""),43250.96740121528)</f>
        <v>43250.9674</v>
      </c>
      <c r="B759" t="s">
        <v>33</v>
      </c>
    </row>
    <row r="760" hidden="1">
      <c r="A760" s="32">
        <f>IFERROR(__xludf.DUMMYFUNCTION("""COMPUTED_VALUE"""),43250.9773590625)</f>
        <v>43250.97736</v>
      </c>
      <c r="B760" t="s">
        <v>268</v>
      </c>
    </row>
    <row r="761" hidden="1">
      <c r="A761" s="32">
        <f>IFERROR(__xludf.DUMMYFUNCTION("""COMPUTED_VALUE"""),43250.97752061342)</f>
        <v>43250.97752</v>
      </c>
      <c r="B761" t="s">
        <v>268</v>
      </c>
    </row>
    <row r="762" hidden="1">
      <c r="A762" s="32">
        <f>IFERROR(__xludf.DUMMYFUNCTION("""COMPUTED_VALUE"""),43251.320348946756)</f>
        <v>43251.32035</v>
      </c>
      <c r="B762" t="s">
        <v>33</v>
      </c>
    </row>
    <row r="763" hidden="1">
      <c r="A763" s="32">
        <f>IFERROR(__xludf.DUMMYFUNCTION("""COMPUTED_VALUE"""),43251.32750252315)</f>
        <v>43251.3275</v>
      </c>
      <c r="B763" t="s">
        <v>2679</v>
      </c>
    </row>
    <row r="764" hidden="1">
      <c r="A764" s="32">
        <f>IFERROR(__xludf.DUMMYFUNCTION("""COMPUTED_VALUE"""),43251.342180381944)</f>
        <v>43251.34218</v>
      </c>
      <c r="B764" t="s">
        <v>80</v>
      </c>
    </row>
    <row r="765" hidden="1">
      <c r="A765" s="32">
        <f>IFERROR(__xludf.DUMMYFUNCTION("""COMPUTED_VALUE"""),43251.36849820602)</f>
        <v>43251.3685</v>
      </c>
      <c r="B765" t="s">
        <v>664</v>
      </c>
    </row>
    <row r="766" hidden="1">
      <c r="A766" s="32">
        <f>IFERROR(__xludf.DUMMYFUNCTION("""COMPUTED_VALUE"""),43251.447951828704)</f>
        <v>43251.44795</v>
      </c>
      <c r="B766" t="s">
        <v>665</v>
      </c>
    </row>
    <row r="767" hidden="1">
      <c r="A767" s="32">
        <f>IFERROR(__xludf.DUMMYFUNCTION("""COMPUTED_VALUE"""),43251.656085891205)</f>
        <v>43251.65609</v>
      </c>
      <c r="B767" t="s">
        <v>2680</v>
      </c>
    </row>
    <row r="768" hidden="1">
      <c r="A768" s="32">
        <f>IFERROR(__xludf.DUMMYFUNCTION("""COMPUTED_VALUE"""),43251.69070065972)</f>
        <v>43251.6907</v>
      </c>
      <c r="B768" t="s">
        <v>48</v>
      </c>
    </row>
    <row r="769" hidden="1">
      <c r="A769" s="32">
        <f>IFERROR(__xludf.DUMMYFUNCTION("""COMPUTED_VALUE"""),43251.9933300463)</f>
        <v>43251.99333</v>
      </c>
      <c r="B769" t="s">
        <v>33</v>
      </c>
    </row>
    <row r="770" hidden="1">
      <c r="A770" s="32">
        <f>IFERROR(__xludf.DUMMYFUNCTION("""COMPUTED_VALUE"""),43252.328359652776)</f>
        <v>43252.32836</v>
      </c>
      <c r="B770" t="s">
        <v>669</v>
      </c>
    </row>
    <row r="771" hidden="1">
      <c r="A771" s="32">
        <f>IFERROR(__xludf.DUMMYFUNCTION("""COMPUTED_VALUE"""),43252.36471792824)</f>
        <v>43252.36472</v>
      </c>
      <c r="B771" t="s">
        <v>671</v>
      </c>
    </row>
    <row r="772" hidden="1">
      <c r="A772" s="32">
        <f>IFERROR(__xludf.DUMMYFUNCTION("""COMPUTED_VALUE"""),43252.40033208333)</f>
        <v>43252.40033</v>
      </c>
      <c r="B772" t="s">
        <v>33</v>
      </c>
    </row>
    <row r="773" hidden="1">
      <c r="A773" s="32">
        <f>IFERROR(__xludf.DUMMYFUNCTION("""COMPUTED_VALUE"""),43252.40566239583)</f>
        <v>43252.40566</v>
      </c>
      <c r="B773" t="s">
        <v>119</v>
      </c>
    </row>
    <row r="774" hidden="1">
      <c r="A774" s="32">
        <f>IFERROR(__xludf.DUMMYFUNCTION("""COMPUTED_VALUE"""),43252.610360983796)</f>
        <v>43252.61036</v>
      </c>
      <c r="B774" t="s">
        <v>33</v>
      </c>
    </row>
    <row r="775" hidden="1">
      <c r="A775" s="32">
        <f>IFERROR(__xludf.DUMMYFUNCTION("""COMPUTED_VALUE"""),43252.62432988426)</f>
        <v>43252.62433</v>
      </c>
      <c r="B775" t="s">
        <v>40</v>
      </c>
    </row>
    <row r="776" hidden="1">
      <c r="A776" s="32">
        <f>IFERROR(__xludf.DUMMYFUNCTION("""COMPUTED_VALUE"""),43252.76841640046)</f>
        <v>43252.76842</v>
      </c>
      <c r="B776" t="s">
        <v>658</v>
      </c>
    </row>
    <row r="777" hidden="1">
      <c r="A777" s="32">
        <f>IFERROR(__xludf.DUMMYFUNCTION("""COMPUTED_VALUE"""),43252.88272810185)</f>
        <v>43252.88273</v>
      </c>
      <c r="B777" t="s">
        <v>154</v>
      </c>
    </row>
    <row r="778" hidden="1">
      <c r="A778" s="32">
        <f>IFERROR(__xludf.DUMMYFUNCTION("""COMPUTED_VALUE"""),43252.963492118055)</f>
        <v>43252.96349</v>
      </c>
      <c r="B778" t="s">
        <v>282</v>
      </c>
    </row>
    <row r="779" hidden="1">
      <c r="A779" s="32">
        <f>IFERROR(__xludf.DUMMYFUNCTION("""COMPUTED_VALUE"""),43252.99680569445)</f>
        <v>43252.99681</v>
      </c>
      <c r="B779" t="s">
        <v>40</v>
      </c>
    </row>
    <row r="780" hidden="1">
      <c r="A780" s="32">
        <f>IFERROR(__xludf.DUMMYFUNCTION("""COMPUTED_VALUE"""),43253.02668458333)</f>
        <v>43253.02668</v>
      </c>
      <c r="B780" t="s">
        <v>80</v>
      </c>
    </row>
    <row r="781" hidden="1">
      <c r="A781" s="32">
        <f>IFERROR(__xludf.DUMMYFUNCTION("""COMPUTED_VALUE"""),43253.17096125)</f>
        <v>43253.17096</v>
      </c>
      <c r="B781" t="s">
        <v>124</v>
      </c>
    </row>
    <row r="782" hidden="1">
      <c r="A782" s="32">
        <f>IFERROR(__xludf.DUMMYFUNCTION("""COMPUTED_VALUE"""),43253.35203101852)</f>
        <v>43253.35203</v>
      </c>
      <c r="B782" t="s">
        <v>33</v>
      </c>
    </row>
    <row r="783" hidden="1">
      <c r="A783" s="32">
        <f>IFERROR(__xludf.DUMMYFUNCTION("""COMPUTED_VALUE"""),43253.41077209491)</f>
        <v>43253.41077</v>
      </c>
      <c r="B783" t="s">
        <v>538</v>
      </c>
    </row>
    <row r="784" hidden="1">
      <c r="A784" s="32">
        <f>IFERROR(__xludf.DUMMYFUNCTION("""COMPUTED_VALUE"""),43253.41491146991)</f>
        <v>43253.41491</v>
      </c>
      <c r="B784" t="s">
        <v>80</v>
      </c>
    </row>
    <row r="785" hidden="1">
      <c r="A785" s="32">
        <f>IFERROR(__xludf.DUMMYFUNCTION("""COMPUTED_VALUE"""),43253.57271574074)</f>
        <v>43253.57272</v>
      </c>
      <c r="B785" t="s">
        <v>706</v>
      </c>
    </row>
    <row r="786" hidden="1">
      <c r="A786" s="32">
        <f>IFERROR(__xludf.DUMMYFUNCTION("""COMPUTED_VALUE"""),43253.95292804398)</f>
        <v>43253.95293</v>
      </c>
      <c r="B786" t="s">
        <v>80</v>
      </c>
    </row>
    <row r="787" hidden="1">
      <c r="A787" s="32">
        <f>IFERROR(__xludf.DUMMYFUNCTION("""COMPUTED_VALUE"""),43254.095525798606)</f>
        <v>43254.09553</v>
      </c>
      <c r="B787" t="s">
        <v>40</v>
      </c>
    </row>
    <row r="788" hidden="1">
      <c r="A788" s="32">
        <f>IFERROR(__xludf.DUMMYFUNCTION("""COMPUTED_VALUE"""),43254.258309502315)</f>
        <v>43254.25831</v>
      </c>
      <c r="B788" t="s">
        <v>40</v>
      </c>
    </row>
    <row r="789" hidden="1">
      <c r="A789" s="32">
        <f>IFERROR(__xludf.DUMMYFUNCTION("""COMPUTED_VALUE"""),43254.32628657407)</f>
        <v>43254.32629</v>
      </c>
      <c r="B789" t="s">
        <v>40</v>
      </c>
    </row>
    <row r="790" hidden="1">
      <c r="A790" s="32">
        <f>IFERROR(__xludf.DUMMYFUNCTION("""COMPUTED_VALUE"""),43254.41181857639)</f>
        <v>43254.41182</v>
      </c>
      <c r="B790" t="s">
        <v>33</v>
      </c>
    </row>
    <row r="791" hidden="1">
      <c r="A791" s="32">
        <f>IFERROR(__xludf.DUMMYFUNCTION("""COMPUTED_VALUE"""),43254.58218027778)</f>
        <v>43254.58218</v>
      </c>
      <c r="B791" t="s">
        <v>139</v>
      </c>
    </row>
    <row r="792" hidden="1">
      <c r="A792" s="32">
        <f>IFERROR(__xludf.DUMMYFUNCTION("""COMPUTED_VALUE"""),43254.62128027777)</f>
        <v>43254.62128</v>
      </c>
      <c r="B792" t="s">
        <v>2424</v>
      </c>
    </row>
    <row r="793" hidden="1">
      <c r="A793" s="32">
        <f>IFERROR(__xludf.DUMMYFUNCTION("""COMPUTED_VALUE"""),43254.799553784724)</f>
        <v>43254.79955</v>
      </c>
      <c r="B793" t="s">
        <v>80</v>
      </c>
    </row>
    <row r="794" hidden="1">
      <c r="A794" s="32">
        <f>IFERROR(__xludf.DUMMYFUNCTION("""COMPUTED_VALUE"""),43255.01112248843)</f>
        <v>43255.01112</v>
      </c>
      <c r="B794" t="s">
        <v>25</v>
      </c>
    </row>
    <row r="795" hidden="1">
      <c r="A795" s="32">
        <f>IFERROR(__xludf.DUMMYFUNCTION("""COMPUTED_VALUE"""),43255.346383888886)</f>
        <v>43255.34638</v>
      </c>
      <c r="B795" t="s">
        <v>33</v>
      </c>
    </row>
    <row r="796" hidden="1">
      <c r="A796" s="32">
        <f>IFERROR(__xludf.DUMMYFUNCTION("""COMPUTED_VALUE"""),43255.71935193287)</f>
        <v>43255.71935</v>
      </c>
      <c r="B796" t="s">
        <v>689</v>
      </c>
    </row>
    <row r="797" hidden="1">
      <c r="A797" s="32">
        <f>IFERROR(__xludf.DUMMYFUNCTION("""COMPUTED_VALUE"""),43255.830863310184)</f>
        <v>43255.83086</v>
      </c>
      <c r="B797" t="s">
        <v>371</v>
      </c>
    </row>
    <row r="798" hidden="1">
      <c r="A798" s="32">
        <f>IFERROR(__xludf.DUMMYFUNCTION("""COMPUTED_VALUE"""),43255.852752997685)</f>
        <v>43255.85275</v>
      </c>
      <c r="B798" t="s">
        <v>270</v>
      </c>
    </row>
    <row r="799" hidden="1">
      <c r="A799" s="32">
        <f>IFERROR(__xludf.DUMMYFUNCTION("""COMPUTED_VALUE"""),43255.85303378472)</f>
        <v>43255.85303</v>
      </c>
      <c r="B799" t="s">
        <v>48</v>
      </c>
    </row>
    <row r="800" hidden="1">
      <c r="A800" s="32">
        <f>IFERROR(__xludf.DUMMYFUNCTION("""COMPUTED_VALUE"""),43256.03926542824)</f>
        <v>43256.03927</v>
      </c>
      <c r="B800" t="s">
        <v>2658</v>
      </c>
    </row>
    <row r="801" hidden="1">
      <c r="A801" s="32">
        <f>IFERROR(__xludf.DUMMYFUNCTION("""COMPUTED_VALUE"""),43256.054919814815)</f>
        <v>43256.05492</v>
      </c>
      <c r="B801" t="s">
        <v>36</v>
      </c>
    </row>
    <row r="802" hidden="1">
      <c r="A802" s="32">
        <f>IFERROR(__xludf.DUMMYFUNCTION("""COMPUTED_VALUE"""),43256.30088966435)</f>
        <v>43256.30089</v>
      </c>
      <c r="B802" t="s">
        <v>350</v>
      </c>
    </row>
    <row r="803" hidden="1">
      <c r="A803" s="32">
        <f>IFERROR(__xludf.DUMMYFUNCTION("""COMPUTED_VALUE"""),43256.40036954861)</f>
        <v>43256.40037</v>
      </c>
      <c r="B803" t="s">
        <v>40</v>
      </c>
    </row>
    <row r="804" hidden="1">
      <c r="A804" s="32">
        <f>IFERROR(__xludf.DUMMYFUNCTION("""COMPUTED_VALUE"""),43256.52864421296)</f>
        <v>43256.52864</v>
      </c>
      <c r="B804" t="s">
        <v>2681</v>
      </c>
    </row>
    <row r="805" hidden="1">
      <c r="A805" s="32">
        <f>IFERROR(__xludf.DUMMYFUNCTION("""COMPUTED_VALUE"""),43256.531161481485)</f>
        <v>43256.53116</v>
      </c>
      <c r="B805" t="s">
        <v>80</v>
      </c>
    </row>
    <row r="806" hidden="1">
      <c r="A806" s="32">
        <f>IFERROR(__xludf.DUMMYFUNCTION("""COMPUTED_VALUE"""),43256.537644826385)</f>
        <v>43256.53764</v>
      </c>
      <c r="B806" t="s">
        <v>33</v>
      </c>
    </row>
    <row r="807" hidden="1">
      <c r="A807" s="32">
        <f>IFERROR(__xludf.DUMMYFUNCTION("""COMPUTED_VALUE"""),43256.538186817124)</f>
        <v>43256.53819</v>
      </c>
      <c r="B807" t="s">
        <v>33</v>
      </c>
    </row>
    <row r="808" hidden="1">
      <c r="A808" s="32">
        <f>IFERROR(__xludf.DUMMYFUNCTION("""COMPUTED_VALUE"""),43256.540389444446)</f>
        <v>43256.54039</v>
      </c>
      <c r="B808" t="s">
        <v>705</v>
      </c>
    </row>
    <row r="809" hidden="1">
      <c r="A809" s="32">
        <f>IFERROR(__xludf.DUMMYFUNCTION("""COMPUTED_VALUE"""),43256.55158943287)</f>
        <v>43256.55159</v>
      </c>
      <c r="B809" t="s">
        <v>706</v>
      </c>
    </row>
    <row r="810" hidden="1">
      <c r="A810" s="32">
        <f>IFERROR(__xludf.DUMMYFUNCTION("""COMPUTED_VALUE"""),43256.55633923611)</f>
        <v>43256.55634</v>
      </c>
      <c r="B810" t="s">
        <v>268</v>
      </c>
    </row>
    <row r="811" hidden="1">
      <c r="A811" s="32">
        <f>IFERROR(__xludf.DUMMYFUNCTION("""COMPUTED_VALUE"""),43256.55857412037)</f>
        <v>43256.55857</v>
      </c>
      <c r="B811" t="s">
        <v>268</v>
      </c>
    </row>
    <row r="812" hidden="1">
      <c r="A812" s="32">
        <f>IFERROR(__xludf.DUMMYFUNCTION("""COMPUTED_VALUE"""),43256.56335891204)</f>
        <v>43256.56336</v>
      </c>
      <c r="B812" t="s">
        <v>25</v>
      </c>
    </row>
    <row r="813" hidden="1">
      <c r="A813" s="32">
        <f>IFERROR(__xludf.DUMMYFUNCTION("""COMPUTED_VALUE"""),43256.587846689814)</f>
        <v>43256.58785</v>
      </c>
      <c r="B813" t="s">
        <v>123</v>
      </c>
    </row>
    <row r="814" hidden="1">
      <c r="A814" s="32">
        <f>IFERROR(__xludf.DUMMYFUNCTION("""COMPUTED_VALUE"""),43256.60044967593)</f>
        <v>43256.60045</v>
      </c>
      <c r="B814" t="s">
        <v>40</v>
      </c>
    </row>
    <row r="815" hidden="1">
      <c r="A815" s="32">
        <f>IFERROR(__xludf.DUMMYFUNCTION("""COMPUTED_VALUE"""),43256.61123144676)</f>
        <v>43256.61123</v>
      </c>
      <c r="B815" t="s">
        <v>45</v>
      </c>
    </row>
    <row r="816" hidden="1">
      <c r="A816" s="32">
        <f>IFERROR(__xludf.DUMMYFUNCTION("""COMPUTED_VALUE"""),43256.61348590278)</f>
        <v>43256.61349</v>
      </c>
      <c r="B816" t="s">
        <v>241</v>
      </c>
    </row>
    <row r="817" hidden="1">
      <c r="A817" s="32">
        <f>IFERROR(__xludf.DUMMYFUNCTION("""COMPUTED_VALUE"""),43256.61434768519)</f>
        <v>43256.61435</v>
      </c>
      <c r="B817" t="s">
        <v>157</v>
      </c>
    </row>
    <row r="818" hidden="1">
      <c r="A818" s="32">
        <f>IFERROR(__xludf.DUMMYFUNCTION("""COMPUTED_VALUE"""),43256.615060358796)</f>
        <v>43256.61506</v>
      </c>
      <c r="B818" t="s">
        <v>717</v>
      </c>
    </row>
    <row r="819" hidden="1">
      <c r="A819" s="32">
        <f>IFERROR(__xludf.DUMMYFUNCTION("""COMPUTED_VALUE"""),43256.615424062504)</f>
        <v>43256.61542</v>
      </c>
      <c r="B819" t="s">
        <v>33</v>
      </c>
    </row>
    <row r="820" hidden="1">
      <c r="A820" s="32">
        <f>IFERROR(__xludf.DUMMYFUNCTION("""COMPUTED_VALUE"""),43256.61589368056)</f>
        <v>43256.61589</v>
      </c>
      <c r="B820" t="s">
        <v>33</v>
      </c>
    </row>
    <row r="821" hidden="1">
      <c r="A821" s="32">
        <f>IFERROR(__xludf.DUMMYFUNCTION("""COMPUTED_VALUE"""),43256.616229085645)</f>
        <v>43256.61623</v>
      </c>
      <c r="B821" t="s">
        <v>45</v>
      </c>
    </row>
    <row r="822" hidden="1">
      <c r="A822" s="32">
        <f>IFERROR(__xludf.DUMMYFUNCTION("""COMPUTED_VALUE"""),43256.61702820602)</f>
        <v>43256.61703</v>
      </c>
      <c r="B822" t="s">
        <v>48</v>
      </c>
    </row>
    <row r="823" hidden="1">
      <c r="A823" s="32">
        <f>IFERROR(__xludf.DUMMYFUNCTION("""COMPUTED_VALUE"""),43256.619758229164)</f>
        <v>43256.61976</v>
      </c>
      <c r="B823" t="s">
        <v>719</v>
      </c>
    </row>
    <row r="824" hidden="1">
      <c r="A824" s="32">
        <f>IFERROR(__xludf.DUMMYFUNCTION("""COMPUTED_VALUE"""),43256.63049971065)</f>
        <v>43256.6305</v>
      </c>
      <c r="B824" t="s">
        <v>722</v>
      </c>
    </row>
    <row r="825" hidden="1">
      <c r="A825" s="32">
        <f>IFERROR(__xludf.DUMMYFUNCTION("""COMPUTED_VALUE"""),43256.68419190972)</f>
        <v>43256.68419</v>
      </c>
      <c r="B825" t="s">
        <v>2682</v>
      </c>
    </row>
    <row r="826" hidden="1">
      <c r="A826" s="32">
        <f>IFERROR(__xludf.DUMMYFUNCTION("""COMPUTED_VALUE"""),43256.841335069446)</f>
        <v>43256.84134</v>
      </c>
      <c r="B826" t="s">
        <v>40</v>
      </c>
    </row>
    <row r="827" hidden="1">
      <c r="A827" s="32">
        <f>IFERROR(__xludf.DUMMYFUNCTION("""COMPUTED_VALUE"""),43256.85837755787)</f>
        <v>43256.85838</v>
      </c>
      <c r="B827" t="s">
        <v>727</v>
      </c>
    </row>
    <row r="828" hidden="1">
      <c r="A828" s="32">
        <f>IFERROR(__xludf.DUMMYFUNCTION("""COMPUTED_VALUE"""),43256.94249912037)</f>
        <v>43256.9425</v>
      </c>
      <c r="B828" t="s">
        <v>33</v>
      </c>
    </row>
    <row r="829" hidden="1">
      <c r="A829" s="32">
        <f>IFERROR(__xludf.DUMMYFUNCTION("""COMPUTED_VALUE"""),43256.96709130787)</f>
        <v>43256.96709</v>
      </c>
      <c r="B829" t="s">
        <v>48</v>
      </c>
    </row>
    <row r="830" hidden="1">
      <c r="A830" s="32">
        <f>IFERROR(__xludf.DUMMYFUNCTION("""COMPUTED_VALUE"""),43256.96867340278)</f>
        <v>43256.96867</v>
      </c>
      <c r="B830" t="s">
        <v>170</v>
      </c>
    </row>
    <row r="831" hidden="1">
      <c r="A831" s="32">
        <f>IFERROR(__xludf.DUMMYFUNCTION("""COMPUTED_VALUE"""),43257.06815546296)</f>
        <v>43257.06816</v>
      </c>
      <c r="B831" t="s">
        <v>2683</v>
      </c>
    </row>
    <row r="832" hidden="1">
      <c r="A832" s="32">
        <f>IFERROR(__xludf.DUMMYFUNCTION("""COMPUTED_VALUE"""),43257.09132274306)</f>
        <v>43257.09132</v>
      </c>
      <c r="B832" t="s">
        <v>33</v>
      </c>
    </row>
    <row r="833" hidden="1">
      <c r="A833" s="32">
        <f>IFERROR(__xludf.DUMMYFUNCTION("""COMPUTED_VALUE"""),43257.3325609375)</f>
        <v>43257.33256</v>
      </c>
      <c r="B833" t="s">
        <v>426</v>
      </c>
    </row>
    <row r="834" hidden="1">
      <c r="A834" s="32">
        <f>IFERROR(__xludf.DUMMYFUNCTION("""COMPUTED_VALUE"""),43257.58983636574)</f>
        <v>43257.58984</v>
      </c>
      <c r="B834" t="s">
        <v>2684</v>
      </c>
    </row>
    <row r="835" hidden="1">
      <c r="A835" s="32">
        <f>IFERROR(__xludf.DUMMYFUNCTION("""COMPUTED_VALUE"""),43257.678272199075)</f>
        <v>43257.67827</v>
      </c>
      <c r="B835" t="s">
        <v>40</v>
      </c>
    </row>
    <row r="836" hidden="1">
      <c r="A836" s="32">
        <f>IFERROR(__xludf.DUMMYFUNCTION("""COMPUTED_VALUE"""),43257.829907754625)</f>
        <v>43257.82991</v>
      </c>
      <c r="B836" t="s">
        <v>119</v>
      </c>
    </row>
    <row r="837" hidden="1">
      <c r="A837" s="32">
        <f>IFERROR(__xludf.DUMMYFUNCTION("""COMPUTED_VALUE"""),43257.95951840278)</f>
        <v>43257.95952</v>
      </c>
      <c r="B837" t="s">
        <v>2685</v>
      </c>
    </row>
    <row r="838" hidden="1">
      <c r="A838" s="32">
        <f>IFERROR(__xludf.DUMMYFUNCTION("""COMPUTED_VALUE"""),43258.0615781713)</f>
        <v>43258.06158</v>
      </c>
      <c r="B838" t="s">
        <v>256</v>
      </c>
    </row>
    <row r="839" hidden="1">
      <c r="A839" s="32">
        <f>IFERROR(__xludf.DUMMYFUNCTION("""COMPUTED_VALUE"""),43258.21713042824)</f>
        <v>43258.21713</v>
      </c>
      <c r="B839" t="s">
        <v>739</v>
      </c>
    </row>
    <row r="840" hidden="1">
      <c r="A840" s="32">
        <f>IFERROR(__xludf.DUMMYFUNCTION("""COMPUTED_VALUE"""),43258.33202284722)</f>
        <v>43258.33202</v>
      </c>
      <c r="B840" t="s">
        <v>741</v>
      </c>
    </row>
    <row r="841" hidden="1">
      <c r="A841" s="32">
        <f>IFERROR(__xludf.DUMMYFUNCTION("""COMPUTED_VALUE"""),43258.51444321759)</f>
        <v>43258.51444</v>
      </c>
      <c r="B841" t="s">
        <v>80</v>
      </c>
    </row>
    <row r="842" hidden="1">
      <c r="A842" s="32">
        <f>IFERROR(__xludf.DUMMYFUNCTION("""COMPUTED_VALUE"""),43258.70066798611)</f>
        <v>43258.70067</v>
      </c>
      <c r="B842" t="s">
        <v>2424</v>
      </c>
    </row>
    <row r="843" hidden="1">
      <c r="A843" s="32">
        <f>IFERROR(__xludf.DUMMYFUNCTION("""COMPUTED_VALUE"""),43258.71021528935)</f>
        <v>43258.71022</v>
      </c>
      <c r="B843" t="s">
        <v>80</v>
      </c>
    </row>
    <row r="844" hidden="1">
      <c r="A844" s="32">
        <f>IFERROR(__xludf.DUMMYFUNCTION("""COMPUTED_VALUE"""),43258.97159918981)</f>
        <v>43258.9716</v>
      </c>
      <c r="B844" t="s">
        <v>747</v>
      </c>
    </row>
    <row r="845" hidden="1">
      <c r="A845" s="32">
        <f>IFERROR(__xludf.DUMMYFUNCTION("""COMPUTED_VALUE"""),43259.02068616898)</f>
        <v>43259.02069</v>
      </c>
      <c r="B845" t="s">
        <v>33</v>
      </c>
    </row>
    <row r="846" hidden="1">
      <c r="A846" s="32">
        <f>IFERROR(__xludf.DUMMYFUNCTION("""COMPUTED_VALUE"""),43259.06403152778)</f>
        <v>43259.06403</v>
      </c>
      <c r="B846" t="s">
        <v>25</v>
      </c>
    </row>
    <row r="847" hidden="1">
      <c r="A847" s="32">
        <f>IFERROR(__xludf.DUMMYFUNCTION("""COMPUTED_VALUE"""),43259.27818613426)</f>
        <v>43259.27819</v>
      </c>
      <c r="B847" t="s">
        <v>33</v>
      </c>
    </row>
    <row r="848" hidden="1">
      <c r="A848" s="32">
        <f>IFERROR(__xludf.DUMMYFUNCTION("""COMPUTED_VALUE"""),43259.348993101856)</f>
        <v>43259.34899</v>
      </c>
      <c r="B848" t="s">
        <v>40</v>
      </c>
    </row>
    <row r="849" hidden="1">
      <c r="A849" s="32">
        <f>IFERROR(__xludf.DUMMYFUNCTION("""COMPUTED_VALUE"""),43259.40932089121)</f>
        <v>43259.40932</v>
      </c>
      <c r="B849" t="s">
        <v>40</v>
      </c>
    </row>
    <row r="850" hidden="1">
      <c r="A850" s="32">
        <f>IFERROR(__xludf.DUMMYFUNCTION("""COMPUTED_VALUE"""),43259.409333090276)</f>
        <v>43259.40933</v>
      </c>
      <c r="B850" t="s">
        <v>407</v>
      </c>
    </row>
    <row r="851" hidden="1">
      <c r="A851" s="32">
        <f>IFERROR(__xludf.DUMMYFUNCTION("""COMPUTED_VALUE"""),43259.49222295139)</f>
        <v>43259.49222</v>
      </c>
      <c r="B851" t="s">
        <v>282</v>
      </c>
    </row>
    <row r="852" hidden="1">
      <c r="A852" s="32">
        <f>IFERROR(__xludf.DUMMYFUNCTION("""COMPUTED_VALUE"""),43259.529504942126)</f>
        <v>43259.5295</v>
      </c>
      <c r="B852" t="s">
        <v>80</v>
      </c>
    </row>
    <row r="853" hidden="1">
      <c r="A853" s="32">
        <f>IFERROR(__xludf.DUMMYFUNCTION("""COMPUTED_VALUE"""),43259.59875612269)</f>
        <v>43259.59876</v>
      </c>
      <c r="B853" t="s">
        <v>2686</v>
      </c>
    </row>
    <row r="854" hidden="1">
      <c r="A854" s="32">
        <f>IFERROR(__xludf.DUMMYFUNCTION("""COMPUTED_VALUE"""),43259.655445798606)</f>
        <v>43259.65545</v>
      </c>
      <c r="B854" t="s">
        <v>80</v>
      </c>
    </row>
    <row r="855" hidden="1">
      <c r="A855" s="32">
        <f>IFERROR(__xludf.DUMMYFUNCTION("""COMPUTED_VALUE"""),43259.74663443287)</f>
        <v>43259.74663</v>
      </c>
      <c r="B855" t="s">
        <v>282</v>
      </c>
    </row>
    <row r="856" hidden="1">
      <c r="A856" s="32">
        <f>IFERROR(__xludf.DUMMYFUNCTION("""COMPUTED_VALUE"""),43259.78630758102)</f>
        <v>43259.78631</v>
      </c>
      <c r="B856" t="s">
        <v>2424</v>
      </c>
    </row>
    <row r="857" hidden="1">
      <c r="A857" s="32">
        <f>IFERROR(__xludf.DUMMYFUNCTION("""COMPUTED_VALUE"""),43259.7869119213)</f>
        <v>43259.78691</v>
      </c>
      <c r="B857" t="s">
        <v>755</v>
      </c>
    </row>
    <row r="858" hidden="1">
      <c r="A858" s="32">
        <f>IFERROR(__xludf.DUMMYFUNCTION("""COMPUTED_VALUE"""),43259.965779652775)</f>
        <v>43259.96578</v>
      </c>
      <c r="B858" t="s">
        <v>119</v>
      </c>
    </row>
    <row r="859" hidden="1">
      <c r="A859" s="32">
        <f>IFERROR(__xludf.DUMMYFUNCTION("""COMPUTED_VALUE"""),43260.02271651621)</f>
        <v>43260.02272</v>
      </c>
      <c r="B859" t="s">
        <v>33</v>
      </c>
    </row>
    <row r="860" hidden="1">
      <c r="A860" s="32">
        <f>IFERROR(__xludf.DUMMYFUNCTION("""COMPUTED_VALUE"""),43260.3130925463)</f>
        <v>43260.31309</v>
      </c>
      <c r="B860" t="s">
        <v>80</v>
      </c>
    </row>
    <row r="861" hidden="1">
      <c r="A861" s="32">
        <f>IFERROR(__xludf.DUMMYFUNCTION("""COMPUTED_VALUE"""),43260.387457731485)</f>
        <v>43260.38746</v>
      </c>
      <c r="B861" t="s">
        <v>40</v>
      </c>
    </row>
    <row r="862" hidden="1">
      <c r="A862" s="32">
        <f>IFERROR(__xludf.DUMMYFUNCTION("""COMPUTED_VALUE"""),43260.540559409725)</f>
        <v>43260.54056</v>
      </c>
      <c r="B862" t="s">
        <v>124</v>
      </c>
    </row>
    <row r="863" hidden="1">
      <c r="A863" s="32">
        <f>IFERROR(__xludf.DUMMYFUNCTION("""COMPUTED_VALUE"""),43260.540703287035)</f>
        <v>43260.5407</v>
      </c>
      <c r="B863" t="s">
        <v>124</v>
      </c>
    </row>
    <row r="864" hidden="1">
      <c r="A864" s="32">
        <f>IFERROR(__xludf.DUMMYFUNCTION("""COMPUTED_VALUE"""),43260.60321454861)</f>
        <v>43260.60321</v>
      </c>
      <c r="B864" t="s">
        <v>95</v>
      </c>
    </row>
    <row r="865" hidden="1">
      <c r="A865" s="32">
        <f>IFERROR(__xludf.DUMMYFUNCTION("""COMPUTED_VALUE"""),43260.852942812504)</f>
        <v>43260.85294</v>
      </c>
      <c r="B865" t="s">
        <v>80</v>
      </c>
    </row>
    <row r="866" hidden="1">
      <c r="A866" s="32">
        <f>IFERROR(__xludf.DUMMYFUNCTION("""COMPUTED_VALUE"""),43260.89234396991)</f>
        <v>43260.89234</v>
      </c>
      <c r="B866" t="s">
        <v>33</v>
      </c>
    </row>
    <row r="867" hidden="1">
      <c r="A867" s="32">
        <f>IFERROR(__xludf.DUMMYFUNCTION("""COMPUTED_VALUE"""),43261.02805422454)</f>
        <v>43261.02805</v>
      </c>
      <c r="B867" t="s">
        <v>2681</v>
      </c>
    </row>
    <row r="868" hidden="1">
      <c r="A868" s="32">
        <f>IFERROR(__xludf.DUMMYFUNCTION("""COMPUTED_VALUE"""),43261.44673765046)</f>
        <v>43261.44674</v>
      </c>
      <c r="B868" t="s">
        <v>241</v>
      </c>
    </row>
    <row r="869" hidden="1">
      <c r="A869" s="32">
        <f>IFERROR(__xludf.DUMMYFUNCTION("""COMPUTED_VALUE"""),43261.48308290509)</f>
        <v>43261.48308</v>
      </c>
      <c r="B869" t="s">
        <v>80</v>
      </c>
    </row>
    <row r="870" hidden="1">
      <c r="A870" s="32">
        <f>IFERROR(__xludf.DUMMYFUNCTION("""COMPUTED_VALUE"""),43261.81915614584)</f>
        <v>43261.81916</v>
      </c>
      <c r="B870" t="s">
        <v>258</v>
      </c>
    </row>
    <row r="871" hidden="1">
      <c r="A871" s="32">
        <f>IFERROR(__xludf.DUMMYFUNCTION("""COMPUTED_VALUE"""),43261.82837628472)</f>
        <v>43261.82838</v>
      </c>
      <c r="B871" t="s">
        <v>282</v>
      </c>
    </row>
    <row r="872" hidden="1">
      <c r="A872" s="32">
        <f>IFERROR(__xludf.DUMMYFUNCTION("""COMPUTED_VALUE"""),43261.84972960648)</f>
        <v>43261.84973</v>
      </c>
      <c r="B872" t="s">
        <v>33</v>
      </c>
    </row>
    <row r="873" hidden="1">
      <c r="A873" s="32">
        <f>IFERROR(__xludf.DUMMYFUNCTION("""COMPUTED_VALUE"""),43262.01237390046)</f>
        <v>43262.01237</v>
      </c>
      <c r="B873" t="s">
        <v>80</v>
      </c>
    </row>
    <row r="874" hidden="1">
      <c r="A874" s="32">
        <f>IFERROR(__xludf.DUMMYFUNCTION("""COMPUTED_VALUE"""),43262.06666652778)</f>
        <v>43262.06667</v>
      </c>
      <c r="B874" t="s">
        <v>2687</v>
      </c>
    </row>
    <row r="875" hidden="1">
      <c r="A875" s="32">
        <f>IFERROR(__xludf.DUMMYFUNCTION("""COMPUTED_VALUE"""),43262.13555368056)</f>
        <v>43262.13555</v>
      </c>
      <c r="B875" t="s">
        <v>48</v>
      </c>
    </row>
    <row r="876" hidden="1">
      <c r="A876" s="32">
        <f>IFERROR(__xludf.DUMMYFUNCTION("""COMPUTED_VALUE"""),43262.137028495374)</f>
        <v>43262.13703</v>
      </c>
      <c r="B876" t="s">
        <v>768</v>
      </c>
    </row>
    <row r="877" hidden="1">
      <c r="A877" s="32">
        <f>IFERROR(__xludf.DUMMYFUNCTION("""COMPUTED_VALUE"""),43262.13880890046)</f>
        <v>43262.13881</v>
      </c>
      <c r="B877" t="s">
        <v>45</v>
      </c>
    </row>
    <row r="878" hidden="1">
      <c r="A878" s="32">
        <f>IFERROR(__xludf.DUMMYFUNCTION("""COMPUTED_VALUE"""),43262.41336439815)</f>
        <v>43262.41336</v>
      </c>
      <c r="B878" t="s">
        <v>80</v>
      </c>
    </row>
    <row r="879" hidden="1">
      <c r="A879" s="32">
        <f>IFERROR(__xludf.DUMMYFUNCTION("""COMPUTED_VALUE"""),43262.49488753472)</f>
        <v>43262.49489</v>
      </c>
      <c r="B879" t="s">
        <v>40</v>
      </c>
    </row>
    <row r="880" hidden="1">
      <c r="A880" s="32">
        <f>IFERROR(__xludf.DUMMYFUNCTION("""COMPUTED_VALUE"""),43262.504350937495)</f>
        <v>43262.50435</v>
      </c>
      <c r="B880" t="s">
        <v>80</v>
      </c>
    </row>
    <row r="881" hidden="1">
      <c r="A881" s="32">
        <f>IFERROR(__xludf.DUMMYFUNCTION("""COMPUTED_VALUE"""),43262.66685435185)</f>
        <v>43262.66685</v>
      </c>
      <c r="B881" t="s">
        <v>45</v>
      </c>
    </row>
    <row r="882" hidden="1">
      <c r="A882" s="32">
        <f>IFERROR(__xludf.DUMMYFUNCTION("""COMPUTED_VALUE"""),43262.694508761575)</f>
        <v>43262.69451</v>
      </c>
      <c r="B882" t="s">
        <v>2688</v>
      </c>
    </row>
    <row r="883" hidden="1">
      <c r="A883" s="32">
        <f>IFERROR(__xludf.DUMMYFUNCTION("""COMPUTED_VALUE"""),43262.70562527778)</f>
        <v>43262.70563</v>
      </c>
      <c r="B883" t="s">
        <v>263</v>
      </c>
    </row>
    <row r="884" hidden="1">
      <c r="A884" s="32">
        <f>IFERROR(__xludf.DUMMYFUNCTION("""COMPUTED_VALUE"""),43262.71606417824)</f>
        <v>43262.71606</v>
      </c>
      <c r="B884" t="s">
        <v>48</v>
      </c>
    </row>
    <row r="885" hidden="1">
      <c r="A885" s="32">
        <f>IFERROR(__xludf.DUMMYFUNCTION("""COMPUTED_VALUE"""),43262.81072255787)</f>
        <v>43262.81072</v>
      </c>
      <c r="B885" t="s">
        <v>33</v>
      </c>
    </row>
    <row r="886" hidden="1">
      <c r="A886" s="32">
        <f>IFERROR(__xludf.DUMMYFUNCTION("""COMPUTED_VALUE"""),43262.82182269676)</f>
        <v>43262.82182</v>
      </c>
      <c r="B886" t="s">
        <v>40</v>
      </c>
    </row>
    <row r="887" hidden="1">
      <c r="A887" s="32">
        <f>IFERROR(__xludf.DUMMYFUNCTION("""COMPUTED_VALUE"""),43262.84873174768)</f>
        <v>43262.84873</v>
      </c>
      <c r="B887" t="s">
        <v>80</v>
      </c>
    </row>
    <row r="888" hidden="1">
      <c r="A888" s="32">
        <f>IFERROR(__xludf.DUMMYFUNCTION("""COMPUTED_VALUE"""),43262.91581334491)</f>
        <v>43262.91581</v>
      </c>
      <c r="B888" t="s">
        <v>119</v>
      </c>
    </row>
    <row r="889" hidden="1">
      <c r="A889" s="32">
        <f>IFERROR(__xludf.DUMMYFUNCTION("""COMPUTED_VALUE"""),43263.21117998843)</f>
        <v>43263.21118</v>
      </c>
      <c r="B889" t="s">
        <v>473</v>
      </c>
    </row>
    <row r="890" hidden="1">
      <c r="A890" s="32">
        <f>IFERROR(__xludf.DUMMYFUNCTION("""COMPUTED_VALUE"""),43263.32362221065)</f>
        <v>43263.32362</v>
      </c>
      <c r="B890" t="s">
        <v>80</v>
      </c>
    </row>
    <row r="891" hidden="1">
      <c r="A891" s="32">
        <f>IFERROR(__xludf.DUMMYFUNCTION("""COMPUTED_VALUE"""),43263.40325587963)</f>
        <v>43263.40326</v>
      </c>
      <c r="B891" t="s">
        <v>80</v>
      </c>
    </row>
    <row r="892" hidden="1">
      <c r="A892" s="32">
        <f>IFERROR(__xludf.DUMMYFUNCTION("""COMPUTED_VALUE"""),43263.64624079861)</f>
        <v>43263.64624</v>
      </c>
      <c r="B892" t="s">
        <v>45</v>
      </c>
    </row>
    <row r="893" hidden="1">
      <c r="A893" s="32">
        <f>IFERROR(__xludf.DUMMYFUNCTION("""COMPUTED_VALUE"""),43263.694110462966)</f>
        <v>43263.69411</v>
      </c>
      <c r="B893" t="s">
        <v>36</v>
      </c>
    </row>
    <row r="894" hidden="1">
      <c r="A894" s="32">
        <f>IFERROR(__xludf.DUMMYFUNCTION("""COMPUTED_VALUE"""),43263.71558059027)</f>
        <v>43263.71558</v>
      </c>
      <c r="B894" t="s">
        <v>777</v>
      </c>
    </row>
    <row r="895" hidden="1">
      <c r="A895" s="32">
        <f>IFERROR(__xludf.DUMMYFUNCTION("""COMPUTED_VALUE"""),43263.71640039352)</f>
        <v>43263.7164</v>
      </c>
      <c r="B895" t="s">
        <v>452</v>
      </c>
    </row>
    <row r="896" hidden="1">
      <c r="A896" s="32">
        <f>IFERROR(__xludf.DUMMYFUNCTION("""COMPUTED_VALUE"""),43263.73153024305)</f>
        <v>43263.73153</v>
      </c>
      <c r="B896" t="s">
        <v>256</v>
      </c>
    </row>
    <row r="897" hidden="1">
      <c r="A897" s="32">
        <f>IFERROR(__xludf.DUMMYFUNCTION("""COMPUTED_VALUE"""),43263.787178032406)</f>
        <v>43263.78718</v>
      </c>
      <c r="B897" t="s">
        <v>33</v>
      </c>
    </row>
    <row r="898" hidden="1">
      <c r="A898" s="32">
        <f>IFERROR(__xludf.DUMMYFUNCTION("""COMPUTED_VALUE"""),43263.83604840278)</f>
        <v>43263.83605</v>
      </c>
      <c r="B898" t="s">
        <v>783</v>
      </c>
    </row>
    <row r="899" hidden="1">
      <c r="A899" s="32">
        <f>IFERROR(__xludf.DUMMYFUNCTION("""COMPUTED_VALUE"""),43263.84848366898)</f>
        <v>43263.84848</v>
      </c>
      <c r="B899" t="s">
        <v>972</v>
      </c>
    </row>
    <row r="900" hidden="1">
      <c r="A900" s="32">
        <f>IFERROR(__xludf.DUMMYFUNCTION("""COMPUTED_VALUE"""),43263.87089706019)</f>
        <v>43263.8709</v>
      </c>
      <c r="B900" t="s">
        <v>80</v>
      </c>
    </row>
    <row r="901" hidden="1">
      <c r="A901" s="32">
        <f>IFERROR(__xludf.DUMMYFUNCTION("""COMPUTED_VALUE"""),43264.00575111111)</f>
        <v>43264.00575</v>
      </c>
      <c r="B901" t="s">
        <v>658</v>
      </c>
    </row>
    <row r="902" hidden="1">
      <c r="A902" s="32">
        <f>IFERROR(__xludf.DUMMYFUNCTION("""COMPUTED_VALUE"""),43264.50206133102)</f>
        <v>43264.50206</v>
      </c>
      <c r="B902" t="s">
        <v>123</v>
      </c>
    </row>
    <row r="903" hidden="1">
      <c r="A903" s="32">
        <f>IFERROR(__xludf.DUMMYFUNCTION("""COMPUTED_VALUE"""),43264.75394998843)</f>
        <v>43264.75395</v>
      </c>
      <c r="B903" t="s">
        <v>787</v>
      </c>
    </row>
    <row r="904" hidden="1">
      <c r="A904" s="32">
        <f>IFERROR(__xludf.DUMMYFUNCTION("""COMPUTED_VALUE"""),43264.79160303241)</f>
        <v>43264.7916</v>
      </c>
      <c r="B904" t="s">
        <v>33</v>
      </c>
    </row>
    <row r="905" hidden="1">
      <c r="A905" s="32">
        <f>IFERROR(__xludf.DUMMYFUNCTION("""COMPUTED_VALUE"""),43264.89767219908)</f>
        <v>43264.89767</v>
      </c>
      <c r="B905" t="s">
        <v>40</v>
      </c>
    </row>
    <row r="906" hidden="1">
      <c r="A906" s="32">
        <f>IFERROR(__xludf.DUMMYFUNCTION("""COMPUTED_VALUE"""),43264.92622934028)</f>
        <v>43264.92623</v>
      </c>
      <c r="B906" t="s">
        <v>40</v>
      </c>
    </row>
    <row r="907" hidden="1">
      <c r="A907" s="32">
        <f>IFERROR(__xludf.DUMMYFUNCTION("""COMPUTED_VALUE"""),43264.96670099537)</f>
        <v>43264.9667</v>
      </c>
      <c r="B907" t="s">
        <v>538</v>
      </c>
    </row>
    <row r="908" hidden="1">
      <c r="A908" s="32">
        <f>IFERROR(__xludf.DUMMYFUNCTION("""COMPUTED_VALUE"""),43264.98874361111)</f>
        <v>43264.98874</v>
      </c>
      <c r="B908" t="s">
        <v>790</v>
      </c>
    </row>
    <row r="909" hidden="1">
      <c r="A909" s="32">
        <f>IFERROR(__xludf.DUMMYFUNCTION("""COMPUTED_VALUE"""),43265.01029736111)</f>
        <v>43265.0103</v>
      </c>
      <c r="B909" t="s">
        <v>80</v>
      </c>
    </row>
    <row r="910" hidden="1">
      <c r="A910" s="32">
        <f>IFERROR(__xludf.DUMMYFUNCTION("""COMPUTED_VALUE"""),43265.0651815625)</f>
        <v>43265.06518</v>
      </c>
      <c r="B910" t="s">
        <v>538</v>
      </c>
    </row>
    <row r="911" hidden="1">
      <c r="A911" s="32">
        <f>IFERROR(__xludf.DUMMYFUNCTION("""COMPUTED_VALUE"""),43265.170139525464)</f>
        <v>43265.17014</v>
      </c>
      <c r="B911" t="s">
        <v>538</v>
      </c>
    </row>
    <row r="912" hidden="1">
      <c r="A912" s="32">
        <f>IFERROR(__xludf.DUMMYFUNCTION("""COMPUTED_VALUE"""),43265.35532604167)</f>
        <v>43265.35533</v>
      </c>
      <c r="B912" t="s">
        <v>407</v>
      </c>
    </row>
    <row r="913" hidden="1">
      <c r="A913" s="32">
        <f>IFERROR(__xludf.DUMMYFUNCTION("""COMPUTED_VALUE"""),43265.36271417824)</f>
        <v>43265.36271</v>
      </c>
      <c r="B913" t="s">
        <v>33</v>
      </c>
    </row>
    <row r="914" hidden="1">
      <c r="A914" s="32">
        <f>IFERROR(__xludf.DUMMYFUNCTION("""COMPUTED_VALUE"""),43265.367924907405)</f>
        <v>43265.36792</v>
      </c>
      <c r="B914" t="s">
        <v>45</v>
      </c>
    </row>
    <row r="915" hidden="1">
      <c r="A915" s="32">
        <f>IFERROR(__xludf.DUMMYFUNCTION("""COMPUTED_VALUE"""),43265.44362209491)</f>
        <v>43265.44362</v>
      </c>
      <c r="B915" t="s">
        <v>33</v>
      </c>
    </row>
    <row r="916" hidden="1">
      <c r="A916" s="32">
        <f>IFERROR(__xludf.DUMMYFUNCTION("""COMPUTED_VALUE"""),43265.74805459491)</f>
        <v>43265.74805</v>
      </c>
      <c r="B916" t="s">
        <v>33</v>
      </c>
    </row>
    <row r="917" hidden="1">
      <c r="A917" s="32">
        <f>IFERROR(__xludf.DUMMYFUNCTION("""COMPUTED_VALUE"""),43265.78826736111)</f>
        <v>43265.78827</v>
      </c>
      <c r="B917" t="s">
        <v>45</v>
      </c>
    </row>
    <row r="918" hidden="1">
      <c r="A918" s="32">
        <f>IFERROR(__xludf.DUMMYFUNCTION("""COMPUTED_VALUE"""),43265.812089178246)</f>
        <v>43265.81209</v>
      </c>
      <c r="B918" t="s">
        <v>2658</v>
      </c>
    </row>
    <row r="919" hidden="1">
      <c r="A919" s="32">
        <f>IFERROR(__xludf.DUMMYFUNCTION("""COMPUTED_VALUE"""),43265.82094229167)</f>
        <v>43265.82094</v>
      </c>
      <c r="B919" t="s">
        <v>122</v>
      </c>
    </row>
    <row r="920" hidden="1">
      <c r="A920" s="32">
        <f>IFERROR(__xludf.DUMMYFUNCTION("""COMPUTED_VALUE"""),43265.82597133102)</f>
        <v>43265.82597</v>
      </c>
      <c r="B920" t="s">
        <v>538</v>
      </c>
    </row>
    <row r="921" hidden="1">
      <c r="A921" s="32">
        <f>IFERROR(__xludf.DUMMYFUNCTION("""COMPUTED_VALUE"""),43265.8480984375)</f>
        <v>43265.8481</v>
      </c>
      <c r="B921" t="s">
        <v>124</v>
      </c>
    </row>
    <row r="922" hidden="1">
      <c r="A922" s="32">
        <f>IFERROR(__xludf.DUMMYFUNCTION("""COMPUTED_VALUE"""),43265.86711324074)</f>
        <v>43265.86711</v>
      </c>
      <c r="B922" t="s">
        <v>40</v>
      </c>
    </row>
    <row r="923" hidden="1">
      <c r="A923" s="32">
        <f>IFERROR(__xludf.DUMMYFUNCTION("""COMPUTED_VALUE"""),43266.35483615741)</f>
        <v>43266.35484</v>
      </c>
      <c r="B923" t="s">
        <v>48</v>
      </c>
    </row>
    <row r="924" hidden="1">
      <c r="A924" s="32">
        <f>IFERROR(__xludf.DUMMYFUNCTION("""COMPUTED_VALUE"""),43266.563989629634)</f>
        <v>43266.56399</v>
      </c>
      <c r="B924" t="s">
        <v>658</v>
      </c>
    </row>
    <row r="925" hidden="1">
      <c r="A925" s="32">
        <f>IFERROR(__xludf.DUMMYFUNCTION("""COMPUTED_VALUE"""),43266.5640040162)</f>
        <v>43266.564</v>
      </c>
      <c r="B925" t="s">
        <v>658</v>
      </c>
    </row>
    <row r="926" hidden="1">
      <c r="A926" s="32">
        <f>IFERROR(__xludf.DUMMYFUNCTION("""COMPUTED_VALUE"""),43266.61491885417)</f>
        <v>43266.61492</v>
      </c>
      <c r="B926" t="s">
        <v>33</v>
      </c>
    </row>
    <row r="927" hidden="1">
      <c r="A927" s="32">
        <f>IFERROR(__xludf.DUMMYFUNCTION("""COMPUTED_VALUE"""),43266.800009398146)</f>
        <v>43266.80001</v>
      </c>
      <c r="B927" t="s">
        <v>2662</v>
      </c>
    </row>
    <row r="928" hidden="1">
      <c r="A928" s="32">
        <f>IFERROR(__xludf.DUMMYFUNCTION("""COMPUTED_VALUE"""),43266.82524280093)</f>
        <v>43266.82524</v>
      </c>
      <c r="B928" t="s">
        <v>48</v>
      </c>
    </row>
    <row r="929" hidden="1">
      <c r="A929" s="32">
        <f>IFERROR(__xludf.DUMMYFUNCTION("""COMPUTED_VALUE"""),43266.95008480324)</f>
        <v>43266.95008</v>
      </c>
      <c r="B929" t="s">
        <v>33</v>
      </c>
    </row>
    <row r="930" hidden="1">
      <c r="A930" s="32">
        <f>IFERROR(__xludf.DUMMYFUNCTION("""COMPUTED_VALUE"""),43266.9815753125)</f>
        <v>43266.98158</v>
      </c>
      <c r="B930" t="s">
        <v>33</v>
      </c>
    </row>
    <row r="931" hidden="1">
      <c r="A931" s="32">
        <f>IFERROR(__xludf.DUMMYFUNCTION("""COMPUTED_VALUE"""),43267.11359230324)</f>
        <v>43267.11359</v>
      </c>
      <c r="B931" t="s">
        <v>2424</v>
      </c>
    </row>
    <row r="932" hidden="1">
      <c r="A932" s="32">
        <f>IFERROR(__xludf.DUMMYFUNCTION("""COMPUTED_VALUE"""),43267.228954942126)</f>
        <v>43267.22895</v>
      </c>
      <c r="B932" t="s">
        <v>157</v>
      </c>
    </row>
    <row r="933" hidden="1">
      <c r="A933" s="32">
        <f>IFERROR(__xludf.DUMMYFUNCTION("""COMPUTED_VALUE"""),43267.384660868054)</f>
        <v>43267.38466</v>
      </c>
      <c r="B933" t="s">
        <v>25</v>
      </c>
    </row>
    <row r="934" hidden="1">
      <c r="A934" s="32">
        <f>IFERROR(__xludf.DUMMYFUNCTION("""COMPUTED_VALUE"""),43267.41105728009)</f>
        <v>43267.41106</v>
      </c>
      <c r="B934" t="s">
        <v>802</v>
      </c>
    </row>
    <row r="935" hidden="1">
      <c r="A935" s="32">
        <f>IFERROR(__xludf.DUMMYFUNCTION("""COMPUTED_VALUE"""),43267.86128336805)</f>
        <v>43267.86128</v>
      </c>
      <c r="B935" t="s">
        <v>33</v>
      </c>
    </row>
    <row r="936" hidden="1">
      <c r="A936" s="32">
        <f>IFERROR(__xludf.DUMMYFUNCTION("""COMPUTED_VALUE"""),43268.2135774537)</f>
        <v>43268.21358</v>
      </c>
      <c r="B936" t="s">
        <v>538</v>
      </c>
    </row>
    <row r="937" hidden="1">
      <c r="A937" s="32">
        <f>IFERROR(__xludf.DUMMYFUNCTION("""COMPUTED_VALUE"""),43268.48265074074)</f>
        <v>43268.48265</v>
      </c>
      <c r="B937" t="s">
        <v>538</v>
      </c>
    </row>
    <row r="938" hidden="1">
      <c r="A938" s="32">
        <f>IFERROR(__xludf.DUMMYFUNCTION("""COMPUTED_VALUE"""),43268.48585880787)</f>
        <v>43268.48586</v>
      </c>
      <c r="B938" t="s">
        <v>48</v>
      </c>
    </row>
    <row r="939" hidden="1">
      <c r="A939" s="32">
        <f>IFERROR(__xludf.DUMMYFUNCTION("""COMPUTED_VALUE"""),43268.54475055556)</f>
        <v>43268.54475</v>
      </c>
      <c r="B939" t="s">
        <v>705</v>
      </c>
    </row>
    <row r="940" hidden="1">
      <c r="A940" s="32">
        <f>IFERROR(__xludf.DUMMYFUNCTION("""COMPUTED_VALUE"""),43268.65333888889)</f>
        <v>43268.65334</v>
      </c>
      <c r="B940" t="s">
        <v>45</v>
      </c>
    </row>
    <row r="941" hidden="1">
      <c r="A941" s="32">
        <f>IFERROR(__xludf.DUMMYFUNCTION("""COMPUTED_VALUE"""),43268.78263460648)</f>
        <v>43268.78263</v>
      </c>
      <c r="B941" t="s">
        <v>256</v>
      </c>
    </row>
    <row r="942" hidden="1">
      <c r="A942" s="32">
        <f>IFERROR(__xludf.DUMMYFUNCTION("""COMPUTED_VALUE"""),43268.79363994213)</f>
        <v>43268.79364</v>
      </c>
      <c r="B942" t="s">
        <v>33</v>
      </c>
    </row>
    <row r="943" hidden="1">
      <c r="A943" s="32">
        <f>IFERROR(__xludf.DUMMYFUNCTION("""COMPUTED_VALUE"""),43268.86948353009)</f>
        <v>43268.86948</v>
      </c>
      <c r="B943" t="s">
        <v>48</v>
      </c>
    </row>
    <row r="944" hidden="1">
      <c r="A944" s="32">
        <f>IFERROR(__xludf.DUMMYFUNCTION("""COMPUTED_VALUE"""),43268.880067569444)</f>
        <v>43268.88007</v>
      </c>
      <c r="B944" t="s">
        <v>48</v>
      </c>
    </row>
    <row r="945" hidden="1">
      <c r="A945" s="32">
        <f>IFERROR(__xludf.DUMMYFUNCTION("""COMPUTED_VALUE"""),43268.880771550925)</f>
        <v>43268.88077</v>
      </c>
      <c r="B945" t="s">
        <v>48</v>
      </c>
    </row>
    <row r="946" hidden="1">
      <c r="A946" s="32">
        <f>IFERROR(__xludf.DUMMYFUNCTION("""COMPUTED_VALUE"""),43268.97589572916)</f>
        <v>43268.9759</v>
      </c>
      <c r="B946" t="s">
        <v>139</v>
      </c>
    </row>
    <row r="947" hidden="1">
      <c r="A947" s="32">
        <f>IFERROR(__xludf.DUMMYFUNCTION("""COMPUTED_VALUE"""),43269.02097932871)</f>
        <v>43269.02098</v>
      </c>
      <c r="B947" t="s">
        <v>142</v>
      </c>
    </row>
    <row r="948" hidden="1">
      <c r="A948" s="32">
        <f>IFERROR(__xludf.DUMMYFUNCTION("""COMPUTED_VALUE"""),43269.4643344213)</f>
        <v>43269.46433</v>
      </c>
      <c r="B948" t="s">
        <v>40</v>
      </c>
    </row>
    <row r="949" hidden="1">
      <c r="A949" s="32">
        <f>IFERROR(__xludf.DUMMYFUNCTION("""COMPUTED_VALUE"""),43269.76835787037)</f>
        <v>43269.76836</v>
      </c>
      <c r="B949" t="s">
        <v>350</v>
      </c>
    </row>
    <row r="950" hidden="1">
      <c r="A950" s="32">
        <f>IFERROR(__xludf.DUMMYFUNCTION("""COMPUTED_VALUE"""),43269.776637048606)</f>
        <v>43269.77664</v>
      </c>
      <c r="B950" t="s">
        <v>40</v>
      </c>
    </row>
    <row r="951" hidden="1">
      <c r="A951" s="32">
        <f>IFERROR(__xludf.DUMMYFUNCTION("""COMPUTED_VALUE"""),43269.90189163195)</f>
        <v>43269.90189</v>
      </c>
      <c r="B951" t="s">
        <v>40</v>
      </c>
    </row>
    <row r="952" hidden="1">
      <c r="A952" s="32">
        <f>IFERROR(__xludf.DUMMYFUNCTION("""COMPUTED_VALUE"""),43269.931297048606)</f>
        <v>43269.9313</v>
      </c>
      <c r="B952" t="s">
        <v>123</v>
      </c>
    </row>
    <row r="953" hidden="1">
      <c r="A953" s="32">
        <f>IFERROR(__xludf.DUMMYFUNCTION("""COMPUTED_VALUE"""),43270.34658917824)</f>
        <v>43270.34659</v>
      </c>
      <c r="B953" t="s">
        <v>40</v>
      </c>
    </row>
    <row r="954" hidden="1">
      <c r="A954" s="32">
        <f>IFERROR(__xludf.DUMMYFUNCTION("""COMPUTED_VALUE"""),43270.48191753472)</f>
        <v>43270.48192</v>
      </c>
      <c r="B954" t="s">
        <v>80</v>
      </c>
    </row>
    <row r="955" hidden="1">
      <c r="A955" s="32">
        <f>IFERROR(__xludf.DUMMYFUNCTION("""COMPUTED_VALUE"""),43270.53039901621)</f>
        <v>43270.5304</v>
      </c>
      <c r="B955" t="s">
        <v>813</v>
      </c>
    </row>
    <row r="956" hidden="1">
      <c r="A956" s="32">
        <f>IFERROR(__xludf.DUMMYFUNCTION("""COMPUTED_VALUE"""),43270.91999945602)</f>
        <v>43270.92</v>
      </c>
      <c r="B956" t="s">
        <v>33</v>
      </c>
    </row>
    <row r="957" hidden="1">
      <c r="A957" s="32">
        <f>IFERROR(__xludf.DUMMYFUNCTION("""COMPUTED_VALUE"""),43271.033135543985)</f>
        <v>43271.03314</v>
      </c>
      <c r="B957" t="s">
        <v>40</v>
      </c>
    </row>
    <row r="958" hidden="1">
      <c r="A958" s="32">
        <f>IFERROR(__xludf.DUMMYFUNCTION("""COMPUTED_VALUE"""),43271.034154270834)</f>
        <v>43271.03415</v>
      </c>
      <c r="B958" t="s">
        <v>80</v>
      </c>
    </row>
    <row r="959" hidden="1">
      <c r="A959" s="32">
        <f>IFERROR(__xludf.DUMMYFUNCTION("""COMPUTED_VALUE"""),43271.90292403935)</f>
        <v>43271.90292</v>
      </c>
      <c r="B959" t="s">
        <v>170</v>
      </c>
    </row>
    <row r="960" hidden="1">
      <c r="A960" s="32">
        <f>IFERROR(__xludf.DUMMYFUNCTION("""COMPUTED_VALUE"""),43271.92223351852)</f>
        <v>43271.92223</v>
      </c>
      <c r="B960" t="s">
        <v>256</v>
      </c>
    </row>
    <row r="961" hidden="1">
      <c r="A961" s="32">
        <f>IFERROR(__xludf.DUMMYFUNCTION("""COMPUTED_VALUE"""),43272.011455775464)</f>
        <v>43272.01146</v>
      </c>
      <c r="B961" t="s">
        <v>258</v>
      </c>
    </row>
    <row r="962" hidden="1">
      <c r="A962" s="32">
        <f>IFERROR(__xludf.DUMMYFUNCTION("""COMPUTED_VALUE"""),43272.22469993056)</f>
        <v>43272.2247</v>
      </c>
      <c r="B962" t="s">
        <v>40</v>
      </c>
    </row>
    <row r="963" hidden="1">
      <c r="A963" s="32">
        <f>IFERROR(__xludf.DUMMYFUNCTION("""COMPUTED_VALUE"""),43272.39626863426)</f>
        <v>43272.39627</v>
      </c>
      <c r="B963" t="s">
        <v>819</v>
      </c>
    </row>
    <row r="964" hidden="1">
      <c r="A964" s="32">
        <f>IFERROR(__xludf.DUMMYFUNCTION("""COMPUTED_VALUE"""),43272.432453761576)</f>
        <v>43272.43245</v>
      </c>
      <c r="B964" t="s">
        <v>820</v>
      </c>
    </row>
    <row r="965" hidden="1">
      <c r="A965" s="32">
        <f>IFERROR(__xludf.DUMMYFUNCTION("""COMPUTED_VALUE"""),43272.454570636575)</f>
        <v>43272.45457</v>
      </c>
      <c r="B965" t="s">
        <v>95</v>
      </c>
    </row>
    <row r="966" hidden="1">
      <c r="A966" s="32">
        <f>IFERROR(__xludf.DUMMYFUNCTION("""COMPUTED_VALUE"""),43272.66161547454)</f>
        <v>43272.66162</v>
      </c>
      <c r="B966" t="s">
        <v>33</v>
      </c>
    </row>
    <row r="967" hidden="1">
      <c r="A967" s="32">
        <f>IFERROR(__xludf.DUMMYFUNCTION("""COMPUTED_VALUE"""),43272.67645461806)</f>
        <v>43272.67645</v>
      </c>
      <c r="B967" t="s">
        <v>2689</v>
      </c>
    </row>
    <row r="968" hidden="1">
      <c r="A968" s="32">
        <f>IFERROR(__xludf.DUMMYFUNCTION("""COMPUTED_VALUE"""),43272.918180127315)</f>
        <v>43272.91818</v>
      </c>
      <c r="B968" t="s">
        <v>2690</v>
      </c>
    </row>
    <row r="969" hidden="1">
      <c r="A969" s="32">
        <f>IFERROR(__xludf.DUMMYFUNCTION("""COMPUTED_VALUE"""),43272.92461560185)</f>
        <v>43272.92462</v>
      </c>
      <c r="B969" t="s">
        <v>2424</v>
      </c>
    </row>
    <row r="970" hidden="1">
      <c r="A970" s="32">
        <f>IFERROR(__xludf.DUMMYFUNCTION("""COMPUTED_VALUE"""),43272.962819444445)</f>
        <v>43272.96282</v>
      </c>
      <c r="B970" t="s">
        <v>387</v>
      </c>
    </row>
    <row r="971" hidden="1">
      <c r="A971" s="32">
        <f>IFERROR(__xludf.DUMMYFUNCTION("""COMPUTED_VALUE"""),43272.99066251157)</f>
        <v>43272.99066</v>
      </c>
      <c r="B971" t="s">
        <v>119</v>
      </c>
    </row>
    <row r="972" hidden="1">
      <c r="A972" s="32">
        <f>IFERROR(__xludf.DUMMYFUNCTION("""COMPUTED_VALUE"""),43273.346646817125)</f>
        <v>43273.34665</v>
      </c>
      <c r="B972" t="s">
        <v>40</v>
      </c>
    </row>
    <row r="973" hidden="1">
      <c r="A973" s="32">
        <f>IFERROR(__xludf.DUMMYFUNCTION("""COMPUTED_VALUE"""),43273.5213777662)</f>
        <v>43273.52138</v>
      </c>
      <c r="B973" t="s">
        <v>33</v>
      </c>
    </row>
    <row r="974" hidden="1">
      <c r="A974" s="32">
        <f>IFERROR(__xludf.DUMMYFUNCTION("""COMPUTED_VALUE"""),43273.734075625005)</f>
        <v>43273.73408</v>
      </c>
      <c r="B974" t="s">
        <v>204</v>
      </c>
    </row>
    <row r="975" hidden="1">
      <c r="A975" s="32">
        <f>IFERROR(__xludf.DUMMYFUNCTION("""COMPUTED_VALUE"""),43274.39365241898)</f>
        <v>43274.39365</v>
      </c>
      <c r="B975" t="s">
        <v>727</v>
      </c>
    </row>
    <row r="976" hidden="1">
      <c r="A976" s="32">
        <f>IFERROR(__xludf.DUMMYFUNCTION("""COMPUTED_VALUE"""),43274.83149131945)</f>
        <v>43274.83149</v>
      </c>
      <c r="B976" t="s">
        <v>33</v>
      </c>
    </row>
    <row r="977" hidden="1">
      <c r="A977" s="32">
        <f>IFERROR(__xludf.DUMMYFUNCTION("""COMPUTED_VALUE"""),43274.906529768516)</f>
        <v>43274.90653</v>
      </c>
      <c r="B977" t="s">
        <v>123</v>
      </c>
    </row>
    <row r="978" hidden="1">
      <c r="A978" s="32">
        <f>IFERROR(__xludf.DUMMYFUNCTION("""COMPUTED_VALUE"""),43275.03192511574)</f>
        <v>43275.03193</v>
      </c>
      <c r="B978" t="s">
        <v>80</v>
      </c>
    </row>
    <row r="979" hidden="1">
      <c r="A979" s="32">
        <f>IFERROR(__xludf.DUMMYFUNCTION("""COMPUTED_VALUE"""),43275.593293125)</f>
        <v>43275.59329</v>
      </c>
      <c r="B979" t="s">
        <v>123</v>
      </c>
    </row>
    <row r="980" hidden="1">
      <c r="A980" s="32">
        <f>IFERROR(__xludf.DUMMYFUNCTION("""COMPUTED_VALUE"""),43276.36492078703)</f>
        <v>43276.36492</v>
      </c>
      <c r="B980" t="s">
        <v>387</v>
      </c>
    </row>
    <row r="981" hidden="1">
      <c r="A981" s="32">
        <f>IFERROR(__xludf.DUMMYFUNCTION("""COMPUTED_VALUE"""),43276.48760446759)</f>
        <v>43276.4876</v>
      </c>
      <c r="B981" t="s">
        <v>40</v>
      </c>
    </row>
    <row r="982" hidden="1">
      <c r="A982" s="32">
        <f>IFERROR(__xludf.DUMMYFUNCTION("""COMPUTED_VALUE"""),43276.55913527778)</f>
        <v>43276.55914</v>
      </c>
      <c r="B982" t="s">
        <v>139</v>
      </c>
    </row>
    <row r="983" hidden="1">
      <c r="A983" s="32">
        <f>IFERROR(__xludf.DUMMYFUNCTION("""COMPUTED_VALUE"""),43276.56083152778)</f>
        <v>43276.56083</v>
      </c>
      <c r="B983" t="s">
        <v>119</v>
      </c>
    </row>
    <row r="984" hidden="1">
      <c r="A984" s="32">
        <f>IFERROR(__xludf.DUMMYFUNCTION("""COMPUTED_VALUE"""),43276.572966377316)</f>
        <v>43276.57297</v>
      </c>
      <c r="B984" t="s">
        <v>2424</v>
      </c>
    </row>
    <row r="985" hidden="1">
      <c r="A985" s="32">
        <f>IFERROR(__xludf.DUMMYFUNCTION("""COMPUTED_VALUE"""),43276.6977475)</f>
        <v>43276.69775</v>
      </c>
      <c r="B985" t="s">
        <v>45</v>
      </c>
    </row>
    <row r="986" hidden="1">
      <c r="A986" s="32">
        <f>IFERROR(__xludf.DUMMYFUNCTION("""COMPUTED_VALUE"""),43276.72777424769)</f>
        <v>43276.72777</v>
      </c>
      <c r="B986" t="s">
        <v>124</v>
      </c>
    </row>
    <row r="987" hidden="1">
      <c r="A987" s="32">
        <f>IFERROR(__xludf.DUMMYFUNCTION("""COMPUTED_VALUE"""),43276.76558694444)</f>
        <v>43276.76559</v>
      </c>
      <c r="B987" t="s">
        <v>33</v>
      </c>
    </row>
    <row r="988" hidden="1">
      <c r="A988" s="32">
        <f>IFERROR(__xludf.DUMMYFUNCTION("""COMPUTED_VALUE"""),43276.77559664352)</f>
        <v>43276.7756</v>
      </c>
      <c r="B988" t="s">
        <v>40</v>
      </c>
    </row>
    <row r="989" hidden="1">
      <c r="A989" s="32">
        <f>IFERROR(__xludf.DUMMYFUNCTION("""COMPUTED_VALUE"""),43276.83025106481)</f>
        <v>43276.83025</v>
      </c>
      <c r="B989" t="s">
        <v>33</v>
      </c>
    </row>
    <row r="990" hidden="1">
      <c r="A990" s="32">
        <f>IFERROR(__xludf.DUMMYFUNCTION("""COMPUTED_VALUE"""),43277.04855359954)</f>
        <v>43277.04855</v>
      </c>
      <c r="B990" t="s">
        <v>123</v>
      </c>
    </row>
    <row r="991" hidden="1">
      <c r="A991" s="32">
        <f>IFERROR(__xludf.DUMMYFUNCTION("""COMPUTED_VALUE"""),43277.318245057875)</f>
        <v>43277.31825</v>
      </c>
      <c r="B991" t="s">
        <v>832</v>
      </c>
    </row>
    <row r="992" hidden="1">
      <c r="A992" s="32">
        <f>IFERROR(__xludf.DUMMYFUNCTION("""COMPUTED_VALUE"""),43277.332614178245)</f>
        <v>43277.33261</v>
      </c>
      <c r="B992" t="s">
        <v>835</v>
      </c>
    </row>
    <row r="993" hidden="1">
      <c r="A993" s="32">
        <f>IFERROR(__xludf.DUMMYFUNCTION("""COMPUTED_VALUE"""),43277.664709687495)</f>
        <v>43277.66471</v>
      </c>
      <c r="B993" t="s">
        <v>256</v>
      </c>
    </row>
    <row r="994" hidden="1">
      <c r="A994" s="32">
        <f>IFERROR(__xludf.DUMMYFUNCTION("""COMPUTED_VALUE"""),43277.69279725694)</f>
        <v>43277.6928</v>
      </c>
      <c r="B994" t="s">
        <v>2424</v>
      </c>
    </row>
    <row r="995" hidden="1">
      <c r="A995" s="32">
        <f>IFERROR(__xludf.DUMMYFUNCTION("""COMPUTED_VALUE"""),43277.694810810186)</f>
        <v>43277.69481</v>
      </c>
      <c r="B995" t="s">
        <v>350</v>
      </c>
    </row>
    <row r="996" hidden="1">
      <c r="A996" s="32">
        <f>IFERROR(__xludf.DUMMYFUNCTION("""COMPUTED_VALUE"""),43277.7138259375)</f>
        <v>43277.71383</v>
      </c>
      <c r="B996" t="s">
        <v>48</v>
      </c>
    </row>
    <row r="997" hidden="1">
      <c r="A997" s="32">
        <f>IFERROR(__xludf.DUMMYFUNCTION("""COMPUTED_VALUE"""),43277.735162233796)</f>
        <v>43277.73516</v>
      </c>
      <c r="B997" t="s">
        <v>25</v>
      </c>
    </row>
    <row r="998" hidden="1">
      <c r="A998" s="32">
        <f>IFERROR(__xludf.DUMMYFUNCTION("""COMPUTED_VALUE"""),43277.74607392361)</f>
        <v>43277.74607</v>
      </c>
      <c r="B998" t="s">
        <v>80</v>
      </c>
    </row>
    <row r="999" hidden="1">
      <c r="A999" s="32">
        <f>IFERROR(__xludf.DUMMYFUNCTION("""COMPUTED_VALUE"""),43277.747984814814)</f>
        <v>43277.74798</v>
      </c>
      <c r="B999" t="s">
        <v>33</v>
      </c>
    </row>
    <row r="1000" hidden="1">
      <c r="A1000" s="32">
        <f>IFERROR(__xludf.DUMMYFUNCTION("""COMPUTED_VALUE"""),43277.90122509259)</f>
        <v>43277.90123</v>
      </c>
      <c r="B1000" t="s">
        <v>2691</v>
      </c>
    </row>
    <row r="1001" hidden="1">
      <c r="A1001" s="32">
        <f>IFERROR(__xludf.DUMMYFUNCTION("""COMPUTED_VALUE"""),43277.90262828703)</f>
        <v>43277.90263</v>
      </c>
      <c r="B1001" t="s">
        <v>722</v>
      </c>
    </row>
    <row r="1002" hidden="1">
      <c r="A1002" s="32">
        <f>IFERROR(__xludf.DUMMYFUNCTION("""COMPUTED_VALUE"""),43277.997436840276)</f>
        <v>43277.99744</v>
      </c>
      <c r="B1002" t="s">
        <v>25</v>
      </c>
    </row>
    <row r="1003" hidden="1">
      <c r="A1003" s="32">
        <f>IFERROR(__xludf.DUMMYFUNCTION("""COMPUTED_VALUE"""),43278.4993940162)</f>
        <v>43278.49939</v>
      </c>
      <c r="B1003" t="s">
        <v>204</v>
      </c>
    </row>
    <row r="1004" hidden="1">
      <c r="A1004" s="32">
        <f>IFERROR(__xludf.DUMMYFUNCTION("""COMPUTED_VALUE"""),43278.91781738426)</f>
        <v>43278.91782</v>
      </c>
      <c r="B1004" t="s">
        <v>380</v>
      </c>
    </row>
    <row r="1005" hidden="1">
      <c r="A1005" s="32">
        <f>IFERROR(__xludf.DUMMYFUNCTION("""COMPUTED_VALUE"""),43278.97630365741)</f>
        <v>43278.9763</v>
      </c>
      <c r="B1005" t="s">
        <v>40</v>
      </c>
    </row>
    <row r="1006" hidden="1">
      <c r="A1006" s="32">
        <f>IFERROR(__xludf.DUMMYFUNCTION("""COMPUTED_VALUE"""),43279.33142833333)</f>
        <v>43279.33143</v>
      </c>
      <c r="B1006" t="s">
        <v>2692</v>
      </c>
    </row>
    <row r="1007" hidden="1">
      <c r="A1007" s="32">
        <f>IFERROR(__xludf.DUMMYFUNCTION("""COMPUTED_VALUE"""),43279.56123378473)</f>
        <v>43279.56123</v>
      </c>
      <c r="B1007" t="s">
        <v>40</v>
      </c>
    </row>
    <row r="1008" hidden="1">
      <c r="A1008" s="32">
        <f>IFERROR(__xludf.DUMMYFUNCTION("""COMPUTED_VALUE"""),43279.92334517361)</f>
        <v>43279.92335</v>
      </c>
      <c r="B1008" t="s">
        <v>371</v>
      </c>
    </row>
    <row r="1009" hidden="1">
      <c r="A1009" s="32">
        <f>IFERROR(__xludf.DUMMYFUNCTION("""COMPUTED_VALUE"""),43280.02680987268)</f>
        <v>43280.02681</v>
      </c>
      <c r="B1009" t="s">
        <v>845</v>
      </c>
    </row>
    <row r="1010" hidden="1">
      <c r="A1010" s="32">
        <f>IFERROR(__xludf.DUMMYFUNCTION("""COMPUTED_VALUE"""),43280.26847519676)</f>
        <v>43280.26848</v>
      </c>
      <c r="B1010" t="s">
        <v>705</v>
      </c>
    </row>
    <row r="1011" hidden="1">
      <c r="A1011" s="32">
        <f>IFERROR(__xludf.DUMMYFUNCTION("""COMPUTED_VALUE"""),43280.300140775464)</f>
        <v>43280.30014</v>
      </c>
      <c r="B1011" t="s">
        <v>124</v>
      </c>
    </row>
    <row r="1012" hidden="1">
      <c r="A1012" s="32">
        <f>IFERROR(__xludf.DUMMYFUNCTION("""COMPUTED_VALUE"""),43280.37967833334)</f>
        <v>43280.37968</v>
      </c>
      <c r="B1012" t="s">
        <v>33</v>
      </c>
    </row>
    <row r="1013" hidden="1">
      <c r="A1013" s="32">
        <f>IFERROR(__xludf.DUMMYFUNCTION("""COMPUTED_VALUE"""),43280.4210710301)</f>
        <v>43280.42107</v>
      </c>
      <c r="B1013" t="s">
        <v>80</v>
      </c>
    </row>
    <row r="1014" hidden="1">
      <c r="A1014" s="32">
        <f>IFERROR(__xludf.DUMMYFUNCTION("""COMPUTED_VALUE"""),43280.73350096065)</f>
        <v>43280.7335</v>
      </c>
      <c r="B1014" t="s">
        <v>187</v>
      </c>
    </row>
    <row r="1015" hidden="1">
      <c r="A1015" s="32">
        <f>IFERROR(__xludf.DUMMYFUNCTION("""COMPUTED_VALUE"""),43280.82892467592)</f>
        <v>43280.82892</v>
      </c>
      <c r="B1015" t="s">
        <v>852</v>
      </c>
    </row>
    <row r="1016" hidden="1">
      <c r="A1016" s="32">
        <f>IFERROR(__xludf.DUMMYFUNCTION("""COMPUTED_VALUE"""),43281.4181405787)</f>
        <v>43281.41814</v>
      </c>
      <c r="B1016" t="s">
        <v>268</v>
      </c>
    </row>
    <row r="1017" hidden="1">
      <c r="A1017" s="32">
        <f>IFERROR(__xludf.DUMMYFUNCTION("""COMPUTED_VALUE"""),43281.44257359953)</f>
        <v>43281.44257</v>
      </c>
      <c r="B1017" t="s">
        <v>33</v>
      </c>
    </row>
    <row r="1018" hidden="1">
      <c r="A1018" s="32">
        <f>IFERROR(__xludf.DUMMYFUNCTION("""COMPUTED_VALUE"""),43281.5316040162)</f>
        <v>43281.5316</v>
      </c>
      <c r="B1018" t="s">
        <v>33</v>
      </c>
    </row>
    <row r="1019" hidden="1">
      <c r="A1019" s="32">
        <f>IFERROR(__xludf.DUMMYFUNCTION("""COMPUTED_VALUE"""),43281.56843976852)</f>
        <v>43281.56844</v>
      </c>
      <c r="B1019" t="s">
        <v>80</v>
      </c>
    </row>
    <row r="1020" hidden="1">
      <c r="A1020" s="32">
        <f>IFERROR(__xludf.DUMMYFUNCTION("""COMPUTED_VALUE"""),43281.649704930554)</f>
        <v>43281.6497</v>
      </c>
      <c r="B1020" t="s">
        <v>40</v>
      </c>
    </row>
    <row r="1021" hidden="1">
      <c r="A1021" s="32">
        <f>IFERROR(__xludf.DUMMYFUNCTION("""COMPUTED_VALUE"""),43281.824863587965)</f>
        <v>43281.82486</v>
      </c>
      <c r="B1021" t="s">
        <v>119</v>
      </c>
    </row>
    <row r="1022" hidden="1">
      <c r="A1022" s="32">
        <f>IFERROR(__xludf.DUMMYFUNCTION("""COMPUTED_VALUE"""),43281.87345248843)</f>
        <v>43281.87345</v>
      </c>
      <c r="B1022" t="s">
        <v>40</v>
      </c>
    </row>
    <row r="1023" hidden="1">
      <c r="A1023" s="32">
        <f>IFERROR(__xludf.DUMMYFUNCTION("""COMPUTED_VALUE"""),43281.87500298611)</f>
        <v>43281.875</v>
      </c>
      <c r="B1023" t="s">
        <v>40</v>
      </c>
    </row>
    <row r="1024" hidden="1">
      <c r="A1024" s="32">
        <f>IFERROR(__xludf.DUMMYFUNCTION("""COMPUTED_VALUE"""),43281.94198275463)</f>
        <v>43281.94198</v>
      </c>
      <c r="B1024" t="s">
        <v>36</v>
      </c>
    </row>
    <row r="1025" hidden="1">
      <c r="A1025" s="32">
        <f>IFERROR(__xludf.DUMMYFUNCTION("""COMPUTED_VALUE"""),43281.94500157407)</f>
        <v>43281.945</v>
      </c>
      <c r="B1025" t="s">
        <v>80</v>
      </c>
    </row>
    <row r="1026" hidden="1">
      <c r="A1026" s="32">
        <f>IFERROR(__xludf.DUMMYFUNCTION("""COMPUTED_VALUE"""),43281.9800046412)</f>
        <v>43281.98</v>
      </c>
      <c r="B1026" t="s">
        <v>268</v>
      </c>
    </row>
    <row r="1027" hidden="1">
      <c r="A1027" s="32">
        <f>IFERROR(__xludf.DUMMYFUNCTION("""COMPUTED_VALUE"""),43282.02323474537)</f>
        <v>43282.02323</v>
      </c>
      <c r="B1027" t="s">
        <v>170</v>
      </c>
    </row>
    <row r="1028" hidden="1">
      <c r="A1028" s="32">
        <f>IFERROR(__xludf.DUMMYFUNCTION("""COMPUTED_VALUE"""),43282.16441266204)</f>
        <v>43282.16441</v>
      </c>
      <c r="B1028" t="s">
        <v>538</v>
      </c>
    </row>
    <row r="1029" hidden="1">
      <c r="A1029" s="32">
        <f>IFERROR(__xludf.DUMMYFUNCTION("""COMPUTED_VALUE"""),43282.31837988426)</f>
        <v>43282.31838</v>
      </c>
      <c r="B1029" t="s">
        <v>40</v>
      </c>
    </row>
    <row r="1030" hidden="1">
      <c r="A1030" s="32">
        <f>IFERROR(__xludf.DUMMYFUNCTION("""COMPUTED_VALUE"""),43282.384615312505)</f>
        <v>43282.38462</v>
      </c>
      <c r="B1030" t="s">
        <v>80</v>
      </c>
    </row>
    <row r="1031" hidden="1">
      <c r="A1031" s="32">
        <f>IFERROR(__xludf.DUMMYFUNCTION("""COMPUTED_VALUE"""),43282.51284091435)</f>
        <v>43282.51284</v>
      </c>
      <c r="B1031" t="s">
        <v>80</v>
      </c>
    </row>
    <row r="1032" hidden="1">
      <c r="A1032" s="32">
        <f>IFERROR(__xludf.DUMMYFUNCTION("""COMPUTED_VALUE"""),43282.51976894676)</f>
        <v>43282.51977</v>
      </c>
      <c r="B1032" t="s">
        <v>80</v>
      </c>
    </row>
    <row r="1033" hidden="1">
      <c r="A1033" s="32">
        <f>IFERROR(__xludf.DUMMYFUNCTION("""COMPUTED_VALUE"""),43282.54549240741)</f>
        <v>43282.54549</v>
      </c>
      <c r="B1033" t="s">
        <v>80</v>
      </c>
    </row>
    <row r="1034" hidden="1">
      <c r="A1034" s="32">
        <f>IFERROR(__xludf.DUMMYFUNCTION("""COMPUTED_VALUE"""),43282.55864982639)</f>
        <v>43282.55865</v>
      </c>
      <c r="B1034" t="s">
        <v>173</v>
      </c>
    </row>
    <row r="1035" hidden="1">
      <c r="A1035" s="32">
        <f>IFERROR(__xludf.DUMMYFUNCTION("""COMPUTED_VALUE"""),43282.56769394676)</f>
        <v>43282.56769</v>
      </c>
      <c r="B1035" t="s">
        <v>170</v>
      </c>
    </row>
    <row r="1036" hidden="1">
      <c r="A1036" s="32">
        <f>IFERROR(__xludf.DUMMYFUNCTION("""COMPUTED_VALUE"""),43282.724566261575)</f>
        <v>43282.72457</v>
      </c>
      <c r="B1036" t="s">
        <v>33</v>
      </c>
    </row>
    <row r="1037" hidden="1">
      <c r="A1037" s="32">
        <f>IFERROR(__xludf.DUMMYFUNCTION("""COMPUTED_VALUE"""),43282.76424582176)</f>
        <v>43282.76425</v>
      </c>
      <c r="B1037" t="s">
        <v>2673</v>
      </c>
    </row>
    <row r="1038" hidden="1">
      <c r="A1038" s="32">
        <f>IFERROR(__xludf.DUMMYFUNCTION("""COMPUTED_VALUE"""),43282.779571736115)</f>
        <v>43282.77957</v>
      </c>
      <c r="B1038" t="s">
        <v>33</v>
      </c>
    </row>
    <row r="1039" hidden="1">
      <c r="A1039" s="32">
        <f>IFERROR(__xludf.DUMMYFUNCTION("""COMPUTED_VALUE"""),43282.82537633102)</f>
        <v>43282.82538</v>
      </c>
      <c r="B1039" t="s">
        <v>40</v>
      </c>
    </row>
    <row r="1040" hidden="1">
      <c r="A1040" s="32">
        <f>IFERROR(__xludf.DUMMYFUNCTION("""COMPUTED_VALUE"""),43282.85668030093)</f>
        <v>43282.85668</v>
      </c>
      <c r="B1040" t="s">
        <v>80</v>
      </c>
    </row>
    <row r="1041" hidden="1">
      <c r="A1041" s="32">
        <f>IFERROR(__xludf.DUMMYFUNCTION("""COMPUTED_VALUE"""),43283.73338333333)</f>
        <v>43283.73338</v>
      </c>
      <c r="B1041" t="s">
        <v>25</v>
      </c>
    </row>
    <row r="1042" hidden="1">
      <c r="A1042" s="32">
        <f>IFERROR(__xludf.DUMMYFUNCTION("""COMPUTED_VALUE"""),43283.78826256945)</f>
        <v>43283.78826</v>
      </c>
      <c r="B1042" t="s">
        <v>867</v>
      </c>
    </row>
    <row r="1043" hidden="1">
      <c r="A1043" s="32">
        <f>IFERROR(__xludf.DUMMYFUNCTION("""COMPUTED_VALUE"""),43283.966473981476)</f>
        <v>43283.96647</v>
      </c>
      <c r="B1043" t="s">
        <v>40</v>
      </c>
    </row>
    <row r="1044" hidden="1">
      <c r="A1044" s="32">
        <f>IFERROR(__xludf.DUMMYFUNCTION("""COMPUTED_VALUE"""),43284.289395520835)</f>
        <v>43284.2894</v>
      </c>
      <c r="B1044" t="s">
        <v>40</v>
      </c>
    </row>
    <row r="1045" hidden="1">
      <c r="A1045" s="32">
        <f>IFERROR(__xludf.DUMMYFUNCTION("""COMPUTED_VALUE"""),43284.319351701386)</f>
        <v>43284.31935</v>
      </c>
      <c r="B1045" t="s">
        <v>871</v>
      </c>
    </row>
    <row r="1046" hidden="1">
      <c r="A1046" s="32">
        <f>IFERROR(__xludf.DUMMYFUNCTION("""COMPUTED_VALUE"""),43284.488254641205)</f>
        <v>43284.48825</v>
      </c>
      <c r="B1046" t="s">
        <v>40</v>
      </c>
    </row>
    <row r="1047" hidden="1">
      <c r="A1047" s="32">
        <f>IFERROR(__xludf.DUMMYFUNCTION("""COMPUTED_VALUE"""),43284.50688325231)</f>
        <v>43284.50688</v>
      </c>
      <c r="B1047" t="s">
        <v>873</v>
      </c>
    </row>
    <row r="1048" hidden="1">
      <c r="A1048" s="32">
        <f>IFERROR(__xludf.DUMMYFUNCTION("""COMPUTED_VALUE"""),43284.79918552084)</f>
        <v>43284.79919</v>
      </c>
      <c r="B1048" t="s">
        <v>2693</v>
      </c>
    </row>
    <row r="1049" hidden="1">
      <c r="A1049" s="32">
        <f>IFERROR(__xludf.DUMMYFUNCTION("""COMPUTED_VALUE"""),43285.00683773148)</f>
        <v>43285.00684</v>
      </c>
      <c r="B1049" t="s">
        <v>33</v>
      </c>
    </row>
    <row r="1050" hidden="1">
      <c r="A1050" s="32">
        <f>IFERROR(__xludf.DUMMYFUNCTION("""COMPUTED_VALUE"""),43285.4025324074)</f>
        <v>43285.40253</v>
      </c>
      <c r="B1050" t="s">
        <v>80</v>
      </c>
    </row>
    <row r="1051" hidden="1">
      <c r="A1051" s="32">
        <f>IFERROR(__xludf.DUMMYFUNCTION("""COMPUTED_VALUE"""),43285.421309212965)</f>
        <v>43285.42131</v>
      </c>
      <c r="B1051" t="s">
        <v>2694</v>
      </c>
    </row>
    <row r="1052" hidden="1">
      <c r="A1052" s="32">
        <f>IFERROR(__xludf.DUMMYFUNCTION("""COMPUTED_VALUE"""),43285.5653871875)</f>
        <v>43285.56539</v>
      </c>
      <c r="B1052" t="s">
        <v>880</v>
      </c>
    </row>
    <row r="1053" hidden="1">
      <c r="A1053" s="32">
        <f>IFERROR(__xludf.DUMMYFUNCTION("""COMPUTED_VALUE"""),43285.56660994213)</f>
        <v>43285.56661</v>
      </c>
      <c r="B1053" t="s">
        <v>880</v>
      </c>
    </row>
    <row r="1054" hidden="1">
      <c r="A1054" s="32">
        <f>IFERROR(__xludf.DUMMYFUNCTION("""COMPUTED_VALUE"""),43285.567607731486)</f>
        <v>43285.56761</v>
      </c>
      <c r="B1054" t="s">
        <v>880</v>
      </c>
    </row>
    <row r="1055" hidden="1">
      <c r="A1055" s="32">
        <f>IFERROR(__xludf.DUMMYFUNCTION("""COMPUTED_VALUE"""),43285.78627070602)</f>
        <v>43285.78627</v>
      </c>
      <c r="B1055" t="s">
        <v>40</v>
      </c>
    </row>
    <row r="1056" hidden="1">
      <c r="A1056" s="32">
        <f>IFERROR(__xludf.DUMMYFUNCTION("""COMPUTED_VALUE"""),43285.92517011574)</f>
        <v>43285.92517</v>
      </c>
      <c r="B1056" t="s">
        <v>40</v>
      </c>
    </row>
    <row r="1057" hidden="1">
      <c r="A1057" s="32">
        <f>IFERROR(__xludf.DUMMYFUNCTION("""COMPUTED_VALUE"""),43286.55945648148)</f>
        <v>43286.55946</v>
      </c>
      <c r="B1057" t="s">
        <v>2424</v>
      </c>
    </row>
    <row r="1058" hidden="1">
      <c r="A1058" s="32">
        <f>IFERROR(__xludf.DUMMYFUNCTION("""COMPUTED_VALUE"""),43286.57198119213)</f>
        <v>43286.57198</v>
      </c>
      <c r="B1058" t="s">
        <v>48</v>
      </c>
    </row>
    <row r="1059" hidden="1">
      <c r="A1059" s="32">
        <f>IFERROR(__xludf.DUMMYFUNCTION("""COMPUTED_VALUE"""),43286.69829619213)</f>
        <v>43286.6983</v>
      </c>
      <c r="B1059" t="s">
        <v>80</v>
      </c>
    </row>
    <row r="1060" hidden="1">
      <c r="A1060" s="32">
        <f>IFERROR(__xludf.DUMMYFUNCTION("""COMPUTED_VALUE"""),43286.74656078704)</f>
        <v>43286.74656</v>
      </c>
      <c r="B1060" t="s">
        <v>36</v>
      </c>
    </row>
    <row r="1061" hidden="1">
      <c r="A1061" s="32">
        <f>IFERROR(__xludf.DUMMYFUNCTION("""COMPUTED_VALUE"""),43286.851021574075)</f>
        <v>43286.85102</v>
      </c>
      <c r="B1061" t="s">
        <v>123</v>
      </c>
    </row>
    <row r="1062" hidden="1">
      <c r="A1062" s="32">
        <f>IFERROR(__xludf.DUMMYFUNCTION("""COMPUTED_VALUE"""),43287.060793599536)</f>
        <v>43287.06079</v>
      </c>
      <c r="B1062" t="s">
        <v>371</v>
      </c>
    </row>
    <row r="1063" hidden="1">
      <c r="A1063" s="32">
        <f>IFERROR(__xludf.DUMMYFUNCTION("""COMPUTED_VALUE"""),43287.1983140625)</f>
        <v>43287.19831</v>
      </c>
      <c r="B1063" t="s">
        <v>2695</v>
      </c>
    </row>
    <row r="1064" hidden="1">
      <c r="A1064" s="32">
        <f>IFERROR(__xludf.DUMMYFUNCTION("""COMPUTED_VALUE"""),43287.19942614583)</f>
        <v>43287.19943</v>
      </c>
      <c r="B1064" t="s">
        <v>2695</v>
      </c>
    </row>
    <row r="1065" hidden="1">
      <c r="A1065" s="32">
        <f>IFERROR(__xludf.DUMMYFUNCTION("""COMPUTED_VALUE"""),43287.385321828704)</f>
        <v>43287.38532</v>
      </c>
      <c r="B1065" t="s">
        <v>371</v>
      </c>
    </row>
    <row r="1066" hidden="1">
      <c r="A1066" s="32">
        <f>IFERROR(__xludf.DUMMYFUNCTION("""COMPUTED_VALUE"""),43287.397000509256)</f>
        <v>43287.397</v>
      </c>
      <c r="B1066" t="s">
        <v>40</v>
      </c>
    </row>
    <row r="1067" hidden="1">
      <c r="A1067" s="32">
        <f>IFERROR(__xludf.DUMMYFUNCTION("""COMPUTED_VALUE"""),43287.58843456018)</f>
        <v>43287.58843</v>
      </c>
      <c r="B1067" t="s">
        <v>802</v>
      </c>
    </row>
    <row r="1068" hidden="1">
      <c r="A1068" s="32">
        <f>IFERROR(__xludf.DUMMYFUNCTION("""COMPUTED_VALUE"""),43287.610807164354)</f>
        <v>43287.61081</v>
      </c>
      <c r="B1068" t="s">
        <v>350</v>
      </c>
    </row>
    <row r="1069" hidden="1">
      <c r="A1069" s="32">
        <f>IFERROR(__xludf.DUMMYFUNCTION("""COMPUTED_VALUE"""),43287.766436238424)</f>
        <v>43287.76644</v>
      </c>
      <c r="B1069" t="s">
        <v>80</v>
      </c>
    </row>
    <row r="1070" hidden="1">
      <c r="A1070" s="32">
        <f>IFERROR(__xludf.DUMMYFUNCTION("""COMPUTED_VALUE"""),43287.928426087965)</f>
        <v>43287.92843</v>
      </c>
      <c r="B1070" t="s">
        <v>40</v>
      </c>
    </row>
    <row r="1071" hidden="1">
      <c r="A1071" s="32">
        <f>IFERROR(__xludf.DUMMYFUNCTION("""COMPUTED_VALUE"""),43288.04260325231)</f>
        <v>43288.0426</v>
      </c>
      <c r="B1071" t="s">
        <v>45</v>
      </c>
    </row>
    <row r="1072" hidden="1">
      <c r="A1072" s="32">
        <f>IFERROR(__xludf.DUMMYFUNCTION("""COMPUTED_VALUE"""),43288.84859828703)</f>
        <v>43288.8486</v>
      </c>
      <c r="B1072" t="s">
        <v>80</v>
      </c>
    </row>
    <row r="1073" hidden="1">
      <c r="A1073" s="32">
        <f>IFERROR(__xludf.DUMMYFUNCTION("""COMPUTED_VALUE"""),43289.3325503588)</f>
        <v>43289.33255</v>
      </c>
      <c r="B1073" t="s">
        <v>40</v>
      </c>
    </row>
    <row r="1074" hidden="1">
      <c r="A1074" s="32">
        <f>IFERROR(__xludf.DUMMYFUNCTION("""COMPUTED_VALUE"""),43289.37229803241)</f>
        <v>43289.3723</v>
      </c>
      <c r="B1074" t="s">
        <v>40</v>
      </c>
    </row>
    <row r="1075" hidden="1">
      <c r="A1075" s="32">
        <f>IFERROR(__xludf.DUMMYFUNCTION("""COMPUTED_VALUE"""),43289.4073602662)</f>
        <v>43289.40736</v>
      </c>
      <c r="B1075" t="s">
        <v>95</v>
      </c>
    </row>
    <row r="1076" hidden="1">
      <c r="A1076" s="32">
        <f>IFERROR(__xludf.DUMMYFUNCTION("""COMPUTED_VALUE"""),43289.761727916666)</f>
        <v>43289.76173</v>
      </c>
      <c r="B1076" t="s">
        <v>282</v>
      </c>
    </row>
    <row r="1077" hidden="1">
      <c r="A1077" s="32">
        <f>IFERROR(__xludf.DUMMYFUNCTION("""COMPUTED_VALUE"""),43289.802264756945)</f>
        <v>43289.80226</v>
      </c>
      <c r="B1077" t="s">
        <v>80</v>
      </c>
    </row>
    <row r="1078" hidden="1">
      <c r="A1078" s="32">
        <f>IFERROR(__xludf.DUMMYFUNCTION("""COMPUTED_VALUE"""),43289.92668464121)</f>
        <v>43289.92668</v>
      </c>
      <c r="B1078" t="s">
        <v>2424</v>
      </c>
    </row>
    <row r="1079" hidden="1">
      <c r="A1079" s="32">
        <f>IFERROR(__xludf.DUMMYFUNCTION("""COMPUTED_VALUE"""),43290.46062116898)</f>
        <v>43290.46062</v>
      </c>
      <c r="B1079" t="s">
        <v>80</v>
      </c>
    </row>
    <row r="1080" hidden="1">
      <c r="A1080" s="32">
        <f>IFERROR(__xludf.DUMMYFUNCTION("""COMPUTED_VALUE"""),43290.544107037036)</f>
        <v>43290.54411</v>
      </c>
      <c r="B1080" t="s">
        <v>119</v>
      </c>
    </row>
    <row r="1081" hidden="1">
      <c r="A1081" s="32">
        <f>IFERROR(__xludf.DUMMYFUNCTION("""COMPUTED_VALUE"""),43290.894928229165)</f>
        <v>43290.89493</v>
      </c>
      <c r="B1081" t="s">
        <v>45</v>
      </c>
    </row>
    <row r="1082" hidden="1">
      <c r="A1082" s="32">
        <f>IFERROR(__xludf.DUMMYFUNCTION("""COMPUTED_VALUE"""),43291.43067271991)</f>
        <v>43291.43067</v>
      </c>
      <c r="B1082" t="s">
        <v>2672</v>
      </c>
    </row>
    <row r="1083" hidden="1">
      <c r="A1083" s="32">
        <f>IFERROR(__xludf.DUMMYFUNCTION("""COMPUTED_VALUE"""),43291.46869613426)</f>
        <v>43291.4687</v>
      </c>
      <c r="B1083" t="s">
        <v>2665</v>
      </c>
    </row>
    <row r="1084" hidden="1">
      <c r="A1084" s="32">
        <f>IFERROR(__xludf.DUMMYFUNCTION("""COMPUTED_VALUE"""),43291.65325516203)</f>
        <v>43291.65326</v>
      </c>
      <c r="B1084" t="s">
        <v>426</v>
      </c>
    </row>
    <row r="1085" hidden="1">
      <c r="A1085" s="32">
        <f>IFERROR(__xludf.DUMMYFUNCTION("""COMPUTED_VALUE"""),43291.87116625)</f>
        <v>43291.87117</v>
      </c>
      <c r="B1085" t="s">
        <v>33</v>
      </c>
    </row>
    <row r="1086" hidden="1">
      <c r="A1086" s="32">
        <f>IFERROR(__xludf.DUMMYFUNCTION("""COMPUTED_VALUE"""),43291.931676203705)</f>
        <v>43291.93168</v>
      </c>
      <c r="B1086" t="s">
        <v>268</v>
      </c>
    </row>
    <row r="1087" hidden="1">
      <c r="A1087" s="32">
        <f>IFERROR(__xludf.DUMMYFUNCTION("""COMPUTED_VALUE"""),43291.95414282408)</f>
        <v>43291.95414</v>
      </c>
      <c r="B1087" t="s">
        <v>170</v>
      </c>
    </row>
    <row r="1088" hidden="1">
      <c r="A1088" s="32">
        <f>IFERROR(__xludf.DUMMYFUNCTION("""COMPUTED_VALUE"""),43292.28726712963)</f>
        <v>43292.28727</v>
      </c>
      <c r="B1088" t="s">
        <v>48</v>
      </c>
    </row>
    <row r="1089" hidden="1">
      <c r="A1089" s="32">
        <f>IFERROR(__xludf.DUMMYFUNCTION("""COMPUTED_VALUE"""),43292.38521165509)</f>
        <v>43292.38521</v>
      </c>
      <c r="B1089" t="s">
        <v>48</v>
      </c>
    </row>
    <row r="1090" hidden="1">
      <c r="A1090" s="32">
        <f>IFERROR(__xludf.DUMMYFUNCTION("""COMPUTED_VALUE"""),43292.52429731481)</f>
        <v>43292.5243</v>
      </c>
      <c r="B1090" t="s">
        <v>256</v>
      </c>
    </row>
    <row r="1091" hidden="1">
      <c r="A1091" s="32">
        <f>IFERROR(__xludf.DUMMYFUNCTION("""COMPUTED_VALUE"""),43292.54234944444)</f>
        <v>43292.54235</v>
      </c>
      <c r="B1091" t="s">
        <v>80</v>
      </c>
    </row>
    <row r="1092" hidden="1">
      <c r="A1092" s="32">
        <f>IFERROR(__xludf.DUMMYFUNCTION("""COMPUTED_VALUE"""),43292.58084329861)</f>
        <v>43292.58084</v>
      </c>
      <c r="B1092" t="s">
        <v>33</v>
      </c>
    </row>
    <row r="1093" hidden="1">
      <c r="A1093" s="32">
        <f>IFERROR(__xludf.DUMMYFUNCTION("""COMPUTED_VALUE"""),43292.60985704861)</f>
        <v>43292.60986</v>
      </c>
      <c r="B1093" t="s">
        <v>33</v>
      </c>
    </row>
    <row r="1094" hidden="1">
      <c r="A1094" s="32">
        <f>IFERROR(__xludf.DUMMYFUNCTION("""COMPUTED_VALUE"""),43292.80322579861)</f>
        <v>43292.80323</v>
      </c>
      <c r="B1094" t="s">
        <v>33</v>
      </c>
    </row>
    <row r="1095" hidden="1">
      <c r="A1095" s="32">
        <f>IFERROR(__xludf.DUMMYFUNCTION("""COMPUTED_VALUE"""),43292.84151195602)</f>
        <v>43292.84151</v>
      </c>
      <c r="B1095" t="s">
        <v>33</v>
      </c>
    </row>
    <row r="1096" hidden="1">
      <c r="A1096" s="32">
        <f>IFERROR(__xludf.DUMMYFUNCTION("""COMPUTED_VALUE"""),43292.870658078704)</f>
        <v>43292.87066</v>
      </c>
      <c r="B1096" t="s">
        <v>33</v>
      </c>
    </row>
    <row r="1097" hidden="1">
      <c r="A1097" s="32">
        <f>IFERROR(__xludf.DUMMYFUNCTION("""COMPUTED_VALUE"""),43292.90828413195)</f>
        <v>43292.90828</v>
      </c>
      <c r="B1097" t="s">
        <v>664</v>
      </c>
    </row>
    <row r="1098" hidden="1">
      <c r="A1098" s="32">
        <f>IFERROR(__xludf.DUMMYFUNCTION("""COMPUTED_VALUE"""),43292.94105443287)</f>
        <v>43292.94105</v>
      </c>
      <c r="B1098" t="s">
        <v>80</v>
      </c>
    </row>
    <row r="1099" hidden="1">
      <c r="A1099" s="32">
        <f>IFERROR(__xludf.DUMMYFUNCTION("""COMPUTED_VALUE"""),43293.29695174769)</f>
        <v>43293.29695</v>
      </c>
      <c r="B1099" t="s">
        <v>48</v>
      </c>
    </row>
    <row r="1100" hidden="1">
      <c r="A1100" s="32">
        <f>IFERROR(__xludf.DUMMYFUNCTION("""COMPUTED_VALUE"""),43293.415250868056)</f>
        <v>43293.41525</v>
      </c>
      <c r="B1100" t="s">
        <v>256</v>
      </c>
    </row>
    <row r="1101" hidden="1">
      <c r="A1101" s="32">
        <f>IFERROR(__xludf.DUMMYFUNCTION("""COMPUTED_VALUE"""),43293.69342116898)</f>
        <v>43293.69342</v>
      </c>
      <c r="B1101" t="s">
        <v>40</v>
      </c>
    </row>
    <row r="1102" hidden="1">
      <c r="A1102" s="32">
        <f>IFERROR(__xludf.DUMMYFUNCTION("""COMPUTED_VALUE"""),43293.85699177084)</f>
        <v>43293.85699</v>
      </c>
      <c r="B1102" t="s">
        <v>124</v>
      </c>
    </row>
    <row r="1103" hidden="1">
      <c r="A1103" s="32">
        <f>IFERROR(__xludf.DUMMYFUNCTION("""COMPUTED_VALUE"""),43293.8757953125)</f>
        <v>43293.8758</v>
      </c>
      <c r="B1103" t="s">
        <v>256</v>
      </c>
    </row>
    <row r="1104" hidden="1">
      <c r="A1104" s="32">
        <f>IFERROR(__xludf.DUMMYFUNCTION("""COMPUTED_VALUE"""),43293.88265201389)</f>
        <v>43293.88265</v>
      </c>
      <c r="B1104" t="s">
        <v>33</v>
      </c>
    </row>
    <row r="1105" hidden="1">
      <c r="A1105" s="32">
        <f>IFERROR(__xludf.DUMMYFUNCTION("""COMPUTED_VALUE"""),43293.96117487269)</f>
        <v>43293.96117</v>
      </c>
      <c r="B1105" t="s">
        <v>119</v>
      </c>
    </row>
    <row r="1106" hidden="1">
      <c r="A1106" s="32">
        <f>IFERROR(__xludf.DUMMYFUNCTION("""COMPUTED_VALUE"""),43294.43425517361)</f>
        <v>43294.43426</v>
      </c>
      <c r="B1106" t="s">
        <v>80</v>
      </c>
    </row>
    <row r="1107" hidden="1">
      <c r="A1107" s="32">
        <f>IFERROR(__xludf.DUMMYFUNCTION("""COMPUTED_VALUE"""),43294.52739688657)</f>
        <v>43294.5274</v>
      </c>
      <c r="B1107" t="s">
        <v>249</v>
      </c>
    </row>
    <row r="1108" hidden="1">
      <c r="A1108" s="32">
        <f>IFERROR(__xludf.DUMMYFUNCTION("""COMPUTED_VALUE"""),43294.61003708333)</f>
        <v>43294.61004</v>
      </c>
      <c r="B1108" t="s">
        <v>33</v>
      </c>
    </row>
    <row r="1109" hidden="1">
      <c r="A1109" s="32">
        <f>IFERROR(__xludf.DUMMYFUNCTION("""COMPUTED_VALUE"""),43294.62060094907)</f>
        <v>43294.6206</v>
      </c>
      <c r="B1109" t="s">
        <v>911</v>
      </c>
    </row>
    <row r="1110" hidden="1">
      <c r="A1110" s="32">
        <f>IFERROR(__xludf.DUMMYFUNCTION("""COMPUTED_VALUE"""),43294.71227773148)</f>
        <v>43294.71228</v>
      </c>
      <c r="B1110" t="s">
        <v>40</v>
      </c>
    </row>
    <row r="1111" hidden="1">
      <c r="A1111" s="32">
        <f>IFERROR(__xludf.DUMMYFUNCTION("""COMPUTED_VALUE"""),43294.88053434028)</f>
        <v>43294.88053</v>
      </c>
      <c r="B1111" t="s">
        <v>1160</v>
      </c>
    </row>
    <row r="1112" hidden="1">
      <c r="A1112" s="32">
        <f>IFERROR(__xludf.DUMMYFUNCTION("""COMPUTED_VALUE"""),43294.97286292824)</f>
        <v>43294.97286</v>
      </c>
      <c r="B1112" t="s">
        <v>170</v>
      </c>
    </row>
    <row r="1113" hidden="1">
      <c r="A1113" s="32">
        <f>IFERROR(__xludf.DUMMYFUNCTION("""COMPUTED_VALUE"""),43295.398100810184)</f>
        <v>43295.3981</v>
      </c>
      <c r="B1113" t="s">
        <v>919</v>
      </c>
    </row>
    <row r="1114" hidden="1">
      <c r="A1114" s="32">
        <f>IFERROR(__xludf.DUMMYFUNCTION("""COMPUTED_VALUE"""),43295.40346074074)</f>
        <v>43295.40346</v>
      </c>
      <c r="B1114" t="s">
        <v>122</v>
      </c>
    </row>
    <row r="1115" hidden="1">
      <c r="A1115" s="32">
        <f>IFERROR(__xludf.DUMMYFUNCTION("""COMPUTED_VALUE"""),43295.53106390046)</f>
        <v>43295.53106</v>
      </c>
      <c r="B1115" t="s">
        <v>80</v>
      </c>
    </row>
    <row r="1116" hidden="1">
      <c r="A1116" s="32">
        <f>IFERROR(__xludf.DUMMYFUNCTION("""COMPUTED_VALUE"""),43295.54107015046)</f>
        <v>43295.54107</v>
      </c>
      <c r="B1116" t="s">
        <v>45</v>
      </c>
    </row>
    <row r="1117" hidden="1">
      <c r="A1117" s="32">
        <f>IFERROR(__xludf.DUMMYFUNCTION("""COMPUTED_VALUE"""),43295.65609104167)</f>
        <v>43295.65609</v>
      </c>
      <c r="B1117" t="s">
        <v>33</v>
      </c>
    </row>
    <row r="1118" hidden="1">
      <c r="A1118" s="32">
        <f>IFERROR(__xludf.DUMMYFUNCTION("""COMPUTED_VALUE"""),43295.765984537036)</f>
        <v>43295.76598</v>
      </c>
      <c r="B1118" t="s">
        <v>923</v>
      </c>
    </row>
    <row r="1119" hidden="1">
      <c r="A1119" s="32">
        <f>IFERROR(__xludf.DUMMYFUNCTION("""COMPUTED_VALUE"""),43296.01034975694)</f>
        <v>43296.01035</v>
      </c>
      <c r="B1119" t="s">
        <v>33</v>
      </c>
    </row>
    <row r="1120" hidden="1">
      <c r="A1120" s="32">
        <f>IFERROR(__xludf.DUMMYFUNCTION("""COMPUTED_VALUE"""),43296.04183618056)</f>
        <v>43296.04184</v>
      </c>
      <c r="B1120" t="s">
        <v>268</v>
      </c>
    </row>
    <row r="1121" hidden="1">
      <c r="A1121" s="32">
        <f>IFERROR(__xludf.DUMMYFUNCTION("""COMPUTED_VALUE"""),43296.13436423611)</f>
        <v>43296.13436</v>
      </c>
      <c r="B1121" t="s">
        <v>45</v>
      </c>
    </row>
    <row r="1122" hidden="1">
      <c r="A1122" s="32">
        <f>IFERROR(__xludf.DUMMYFUNCTION("""COMPUTED_VALUE"""),43296.38141685185)</f>
        <v>43296.38142</v>
      </c>
      <c r="B1122" t="s">
        <v>548</v>
      </c>
    </row>
    <row r="1123" hidden="1">
      <c r="A1123" s="32">
        <f>IFERROR(__xludf.DUMMYFUNCTION("""COMPUTED_VALUE"""),43296.40434959491)</f>
        <v>43296.40435</v>
      </c>
      <c r="B1123" t="s">
        <v>927</v>
      </c>
    </row>
    <row r="1124" hidden="1">
      <c r="A1124" s="32">
        <f>IFERROR(__xludf.DUMMYFUNCTION("""COMPUTED_VALUE"""),43296.44724028935)</f>
        <v>43296.44724</v>
      </c>
      <c r="B1124" t="s">
        <v>36</v>
      </c>
    </row>
    <row r="1125" hidden="1">
      <c r="A1125" s="32">
        <f>IFERROR(__xludf.DUMMYFUNCTION("""COMPUTED_VALUE"""),43296.49836106482)</f>
        <v>43296.49836</v>
      </c>
      <c r="B1125" t="s">
        <v>268</v>
      </c>
    </row>
    <row r="1126" hidden="1">
      <c r="A1126" s="32">
        <f>IFERROR(__xludf.DUMMYFUNCTION("""COMPUTED_VALUE"""),43296.91236967593)</f>
        <v>43296.91237</v>
      </c>
      <c r="B1126" t="s">
        <v>33</v>
      </c>
    </row>
    <row r="1127" hidden="1">
      <c r="A1127" s="32">
        <f>IFERROR(__xludf.DUMMYFUNCTION("""COMPUTED_VALUE"""),43296.912792303236)</f>
        <v>43296.91279</v>
      </c>
      <c r="B1127" t="s">
        <v>80</v>
      </c>
    </row>
    <row r="1128" hidden="1">
      <c r="A1128" s="32">
        <f>IFERROR(__xludf.DUMMYFUNCTION("""COMPUTED_VALUE"""),43297.3692790625)</f>
        <v>43297.36928</v>
      </c>
      <c r="B1128" t="s">
        <v>2696</v>
      </c>
    </row>
    <row r="1129" hidden="1">
      <c r="A1129" s="32">
        <f>IFERROR(__xludf.DUMMYFUNCTION("""COMPUTED_VALUE"""),43297.385977812504)</f>
        <v>43297.38598</v>
      </c>
      <c r="B1129" t="s">
        <v>40</v>
      </c>
    </row>
    <row r="1130" hidden="1">
      <c r="A1130" s="32">
        <f>IFERROR(__xludf.DUMMYFUNCTION("""COMPUTED_VALUE"""),43297.60582873842)</f>
        <v>43297.60583</v>
      </c>
      <c r="B1130" t="s">
        <v>2665</v>
      </c>
    </row>
    <row r="1131" hidden="1">
      <c r="A1131" s="32">
        <f>IFERROR(__xludf.DUMMYFUNCTION("""COMPUTED_VALUE"""),43297.64805604167)</f>
        <v>43297.64806</v>
      </c>
      <c r="B1131" t="s">
        <v>187</v>
      </c>
    </row>
    <row r="1132" hidden="1">
      <c r="A1132" s="32">
        <f>IFERROR(__xludf.DUMMYFUNCTION("""COMPUTED_VALUE"""),43297.84143959491)</f>
        <v>43297.84144</v>
      </c>
      <c r="B1132" t="s">
        <v>2697</v>
      </c>
    </row>
    <row r="1133" hidden="1">
      <c r="A1133" s="32">
        <f>IFERROR(__xludf.DUMMYFUNCTION("""COMPUTED_VALUE"""),43297.96576042824)</f>
        <v>43297.96576</v>
      </c>
      <c r="B1133" t="s">
        <v>33</v>
      </c>
    </row>
    <row r="1134" hidden="1">
      <c r="A1134" s="32">
        <f>IFERROR(__xludf.DUMMYFUNCTION("""COMPUTED_VALUE"""),43298.310619502314)</f>
        <v>43298.31062</v>
      </c>
      <c r="B1134" t="s">
        <v>40</v>
      </c>
    </row>
    <row r="1135" hidden="1">
      <c r="A1135" s="32">
        <f>IFERROR(__xludf.DUMMYFUNCTION("""COMPUTED_VALUE"""),43298.32339855324)</f>
        <v>43298.3234</v>
      </c>
      <c r="B1135" t="s">
        <v>2698</v>
      </c>
    </row>
    <row r="1136" hidden="1">
      <c r="A1136" s="32">
        <f>IFERROR(__xludf.DUMMYFUNCTION("""COMPUTED_VALUE"""),43298.36460238426)</f>
        <v>43298.3646</v>
      </c>
      <c r="B1136" t="s">
        <v>40</v>
      </c>
    </row>
    <row r="1137" hidden="1">
      <c r="A1137" s="32">
        <f>IFERROR(__xludf.DUMMYFUNCTION("""COMPUTED_VALUE"""),43298.59731216435)</f>
        <v>43298.59731</v>
      </c>
      <c r="B1137" t="s">
        <v>350</v>
      </c>
    </row>
    <row r="1138" hidden="1">
      <c r="A1138" s="32">
        <f>IFERROR(__xludf.DUMMYFUNCTION("""COMPUTED_VALUE"""),43298.6971746412)</f>
        <v>43298.69717</v>
      </c>
      <c r="B1138" t="s">
        <v>33</v>
      </c>
    </row>
    <row r="1139" hidden="1">
      <c r="A1139" s="32">
        <f>IFERROR(__xludf.DUMMYFUNCTION("""COMPUTED_VALUE"""),43298.75971378472)</f>
        <v>43298.75971</v>
      </c>
      <c r="B1139" t="s">
        <v>40</v>
      </c>
    </row>
    <row r="1140" hidden="1">
      <c r="A1140" s="32">
        <f>IFERROR(__xludf.DUMMYFUNCTION("""COMPUTED_VALUE"""),43298.78433091435)</f>
        <v>43298.78433</v>
      </c>
      <c r="B1140" t="s">
        <v>256</v>
      </c>
    </row>
    <row r="1141" hidden="1">
      <c r="A1141" s="32">
        <f>IFERROR(__xludf.DUMMYFUNCTION("""COMPUTED_VALUE"""),43298.97755576389)</f>
        <v>43298.97756</v>
      </c>
      <c r="B1141" t="s">
        <v>33</v>
      </c>
    </row>
    <row r="1142" hidden="1">
      <c r="A1142" s="32">
        <f>IFERROR(__xludf.DUMMYFUNCTION("""COMPUTED_VALUE"""),43299.026344108795)</f>
        <v>43299.02634</v>
      </c>
      <c r="B1142" t="s">
        <v>473</v>
      </c>
    </row>
    <row r="1143" hidden="1">
      <c r="A1143" s="32">
        <f>IFERROR(__xludf.DUMMYFUNCTION("""COMPUTED_VALUE"""),43299.245965243055)</f>
        <v>43299.24597</v>
      </c>
      <c r="B1143" t="s">
        <v>944</v>
      </c>
    </row>
    <row r="1144" hidden="1">
      <c r="A1144" s="32">
        <f>IFERROR(__xludf.DUMMYFUNCTION("""COMPUTED_VALUE"""),43299.376262060185)</f>
        <v>43299.37626</v>
      </c>
      <c r="B1144" t="s">
        <v>40</v>
      </c>
    </row>
    <row r="1145" hidden="1">
      <c r="A1145" s="32">
        <f>IFERROR(__xludf.DUMMYFUNCTION("""COMPUTED_VALUE"""),43299.45804172454)</f>
        <v>43299.45804</v>
      </c>
      <c r="B1145" t="s">
        <v>33</v>
      </c>
    </row>
    <row r="1146" hidden="1">
      <c r="A1146" s="32">
        <f>IFERROR(__xludf.DUMMYFUNCTION("""COMPUTED_VALUE"""),43299.58616331019)</f>
        <v>43299.58616</v>
      </c>
      <c r="B1146" t="s">
        <v>123</v>
      </c>
    </row>
    <row r="1147" hidden="1">
      <c r="A1147" s="32">
        <f>IFERROR(__xludf.DUMMYFUNCTION("""COMPUTED_VALUE"""),43299.61649195602)</f>
        <v>43299.61649</v>
      </c>
      <c r="B1147" t="s">
        <v>270</v>
      </c>
    </row>
    <row r="1148" hidden="1">
      <c r="A1148" s="32">
        <f>IFERROR(__xludf.DUMMYFUNCTION("""COMPUTED_VALUE"""),43299.70273200232)</f>
        <v>43299.70273</v>
      </c>
      <c r="B1148" t="s">
        <v>40</v>
      </c>
    </row>
    <row r="1149" hidden="1">
      <c r="A1149" s="32">
        <f>IFERROR(__xludf.DUMMYFUNCTION("""COMPUTED_VALUE"""),43299.76116334491)</f>
        <v>43299.76116</v>
      </c>
      <c r="B1149" t="s">
        <v>463</v>
      </c>
    </row>
    <row r="1150" hidden="1">
      <c r="A1150" s="32">
        <f>IFERROR(__xludf.DUMMYFUNCTION("""COMPUTED_VALUE"""),43299.78050097222)</f>
        <v>43299.7805</v>
      </c>
      <c r="B1150" t="s">
        <v>77</v>
      </c>
    </row>
    <row r="1151" hidden="1">
      <c r="A1151" s="32">
        <f>IFERROR(__xludf.DUMMYFUNCTION("""COMPUTED_VALUE"""),43299.81774557871)</f>
        <v>43299.81775</v>
      </c>
      <c r="B1151" t="s">
        <v>200</v>
      </c>
    </row>
    <row r="1152" hidden="1">
      <c r="A1152" s="32">
        <f>IFERROR(__xludf.DUMMYFUNCTION("""COMPUTED_VALUE"""),43299.901759768516)</f>
        <v>43299.90176</v>
      </c>
      <c r="B1152" t="s">
        <v>263</v>
      </c>
    </row>
    <row r="1153" hidden="1">
      <c r="A1153" s="32">
        <f>IFERROR(__xludf.DUMMYFUNCTION("""COMPUTED_VALUE"""),43299.9644605787)</f>
        <v>43299.96446</v>
      </c>
      <c r="B1153" t="s">
        <v>950</v>
      </c>
    </row>
    <row r="1154" hidden="1">
      <c r="A1154" s="32">
        <f>IFERROR(__xludf.DUMMYFUNCTION("""COMPUTED_VALUE"""),43299.98331459491)</f>
        <v>43299.98331</v>
      </c>
      <c r="B1154" t="s">
        <v>819</v>
      </c>
    </row>
    <row r="1155" hidden="1">
      <c r="A1155" s="32">
        <f>IFERROR(__xludf.DUMMYFUNCTION("""COMPUTED_VALUE"""),43300.43315773148)</f>
        <v>43300.43316</v>
      </c>
      <c r="B1155" t="s">
        <v>48</v>
      </c>
    </row>
    <row r="1156" hidden="1">
      <c r="A1156" s="32">
        <f>IFERROR(__xludf.DUMMYFUNCTION("""COMPUTED_VALUE"""),43300.44769505787)</f>
        <v>43300.4477</v>
      </c>
      <c r="B1156" t="s">
        <v>123</v>
      </c>
    </row>
    <row r="1157" hidden="1">
      <c r="A1157" s="32">
        <f>IFERROR(__xludf.DUMMYFUNCTION("""COMPUTED_VALUE"""),43300.76515839121)</f>
        <v>43300.76516</v>
      </c>
      <c r="B1157" t="s">
        <v>40</v>
      </c>
    </row>
    <row r="1158" hidden="1">
      <c r="A1158" s="32">
        <f>IFERROR(__xludf.DUMMYFUNCTION("""COMPUTED_VALUE"""),43300.793272118055)</f>
        <v>43300.79327</v>
      </c>
      <c r="B1158" t="s">
        <v>48</v>
      </c>
    </row>
    <row r="1159" hidden="1">
      <c r="A1159" s="32">
        <f>IFERROR(__xludf.DUMMYFUNCTION("""COMPUTED_VALUE"""),43300.807583333335)</f>
        <v>43300.80758</v>
      </c>
      <c r="B1159" t="s">
        <v>119</v>
      </c>
    </row>
    <row r="1160" hidden="1">
      <c r="A1160" s="32">
        <f>IFERROR(__xludf.DUMMYFUNCTION("""COMPUTED_VALUE"""),43300.84280802083)</f>
        <v>43300.84281</v>
      </c>
      <c r="B1160" t="s">
        <v>33</v>
      </c>
    </row>
    <row r="1161" hidden="1">
      <c r="A1161" s="32">
        <f>IFERROR(__xludf.DUMMYFUNCTION("""COMPUTED_VALUE"""),43301.0357146875)</f>
        <v>43301.03571</v>
      </c>
      <c r="B1161" t="s">
        <v>350</v>
      </c>
    </row>
    <row r="1162" hidden="1">
      <c r="A1162" s="32">
        <f>IFERROR(__xludf.DUMMYFUNCTION("""COMPUTED_VALUE"""),43301.06960265046)</f>
        <v>43301.0696</v>
      </c>
      <c r="B1162" t="s">
        <v>48</v>
      </c>
    </row>
    <row r="1163" hidden="1">
      <c r="A1163" s="32">
        <f>IFERROR(__xludf.DUMMYFUNCTION("""COMPUTED_VALUE"""),43301.07085069444)</f>
        <v>43301.07085</v>
      </c>
      <c r="B1163" t="s">
        <v>258</v>
      </c>
    </row>
    <row r="1164" hidden="1">
      <c r="A1164" s="32">
        <f>IFERROR(__xludf.DUMMYFUNCTION("""COMPUTED_VALUE"""),43301.47967289352)</f>
        <v>43301.47967</v>
      </c>
      <c r="B1164" t="s">
        <v>40</v>
      </c>
    </row>
    <row r="1165" hidden="1">
      <c r="A1165" s="32">
        <f>IFERROR(__xludf.DUMMYFUNCTION("""COMPUTED_VALUE"""),43301.50069059028)</f>
        <v>43301.50069</v>
      </c>
      <c r="B1165" t="s">
        <v>371</v>
      </c>
    </row>
    <row r="1166" hidden="1">
      <c r="A1166" s="32">
        <f>IFERROR(__xludf.DUMMYFUNCTION("""COMPUTED_VALUE"""),43301.50285135416)</f>
        <v>43301.50285</v>
      </c>
      <c r="B1166" t="s">
        <v>371</v>
      </c>
    </row>
    <row r="1167" hidden="1">
      <c r="A1167" s="32">
        <f>IFERROR(__xludf.DUMMYFUNCTION("""COMPUTED_VALUE"""),43301.70304112269)</f>
        <v>43301.70304</v>
      </c>
      <c r="B1167" t="s">
        <v>40</v>
      </c>
    </row>
    <row r="1168" hidden="1">
      <c r="A1168" s="32">
        <f>IFERROR(__xludf.DUMMYFUNCTION("""COMPUTED_VALUE"""),43301.85548788194)</f>
        <v>43301.85549</v>
      </c>
      <c r="B1168" t="s">
        <v>33</v>
      </c>
    </row>
    <row r="1169" hidden="1">
      <c r="A1169" s="32">
        <f>IFERROR(__xludf.DUMMYFUNCTION("""COMPUTED_VALUE"""),43302.2612219213)</f>
        <v>43302.26122</v>
      </c>
      <c r="B1169" t="s">
        <v>48</v>
      </c>
    </row>
    <row r="1170" hidden="1">
      <c r="A1170" s="32">
        <f>IFERROR(__xludf.DUMMYFUNCTION("""COMPUTED_VALUE"""),43302.41783960648)</f>
        <v>43302.41784</v>
      </c>
      <c r="B1170" t="s">
        <v>33</v>
      </c>
    </row>
    <row r="1171" hidden="1">
      <c r="A1171" s="32">
        <f>IFERROR(__xludf.DUMMYFUNCTION("""COMPUTED_VALUE"""),43302.421976840276)</f>
        <v>43302.42198</v>
      </c>
      <c r="B1171" t="s">
        <v>204</v>
      </c>
    </row>
    <row r="1172" hidden="1">
      <c r="A1172" s="32">
        <f>IFERROR(__xludf.DUMMYFUNCTION("""COMPUTED_VALUE"""),43302.46942770833)</f>
        <v>43302.46943</v>
      </c>
      <c r="B1172" t="s">
        <v>2658</v>
      </c>
    </row>
    <row r="1173" hidden="1">
      <c r="A1173" s="32">
        <f>IFERROR(__xludf.DUMMYFUNCTION("""COMPUTED_VALUE"""),43302.60987555556)</f>
        <v>43302.60988</v>
      </c>
      <c r="B1173" t="s">
        <v>45</v>
      </c>
    </row>
    <row r="1174" hidden="1">
      <c r="A1174" s="32">
        <f>IFERROR(__xludf.DUMMYFUNCTION("""COMPUTED_VALUE"""),43302.6362771412)</f>
        <v>43302.63628</v>
      </c>
      <c r="B1174" t="s">
        <v>122</v>
      </c>
    </row>
    <row r="1175" hidden="1">
      <c r="A1175" s="32">
        <f>IFERROR(__xludf.DUMMYFUNCTION("""COMPUTED_VALUE"""),43302.72747922454)</f>
        <v>43302.72748</v>
      </c>
      <c r="B1175" t="s">
        <v>2699</v>
      </c>
    </row>
    <row r="1176" hidden="1">
      <c r="A1176" s="32">
        <f>IFERROR(__xludf.DUMMYFUNCTION("""COMPUTED_VALUE"""),43302.77142153935)</f>
        <v>43302.77142</v>
      </c>
      <c r="B1176" t="s">
        <v>964</v>
      </c>
    </row>
    <row r="1177" hidden="1">
      <c r="A1177" s="32">
        <f>IFERROR(__xludf.DUMMYFUNCTION("""COMPUTED_VALUE"""),43302.9687471412)</f>
        <v>43302.96875</v>
      </c>
      <c r="B1177" t="s">
        <v>45</v>
      </c>
    </row>
    <row r="1178" hidden="1">
      <c r="A1178" s="32">
        <f>IFERROR(__xludf.DUMMYFUNCTION("""COMPUTED_VALUE"""),43303.02661778935)</f>
        <v>43303.02662</v>
      </c>
      <c r="B1178" t="s">
        <v>170</v>
      </c>
    </row>
    <row r="1179" hidden="1">
      <c r="A1179" s="32">
        <f>IFERROR(__xludf.DUMMYFUNCTION("""COMPUTED_VALUE"""),43303.14448549769)</f>
        <v>43303.14449</v>
      </c>
      <c r="B1179" t="s">
        <v>40</v>
      </c>
    </row>
    <row r="1180" hidden="1">
      <c r="A1180" s="32">
        <f>IFERROR(__xludf.DUMMYFUNCTION("""COMPUTED_VALUE"""),43303.51936798611)</f>
        <v>43303.51937</v>
      </c>
      <c r="B1180" t="s">
        <v>268</v>
      </c>
    </row>
    <row r="1181" hidden="1">
      <c r="A1181" s="32">
        <f>IFERROR(__xludf.DUMMYFUNCTION("""COMPUTED_VALUE"""),43303.6123556713)</f>
        <v>43303.61236</v>
      </c>
      <c r="B1181" t="s">
        <v>188</v>
      </c>
    </row>
    <row r="1182" hidden="1">
      <c r="A1182" s="32">
        <f>IFERROR(__xludf.DUMMYFUNCTION("""COMPUTED_VALUE"""),43303.92811862269)</f>
        <v>43303.92812</v>
      </c>
      <c r="B1182" t="s">
        <v>426</v>
      </c>
    </row>
    <row r="1183" hidden="1">
      <c r="A1183" s="32">
        <f>IFERROR(__xludf.DUMMYFUNCTION("""COMPUTED_VALUE"""),43303.977811979166)</f>
        <v>43303.97781</v>
      </c>
      <c r="B1183" t="s">
        <v>45</v>
      </c>
    </row>
    <row r="1184" hidden="1">
      <c r="A1184" s="32">
        <f>IFERROR(__xludf.DUMMYFUNCTION("""COMPUTED_VALUE"""),43304.52480050926)</f>
        <v>43304.5248</v>
      </c>
      <c r="B1184" t="s">
        <v>241</v>
      </c>
    </row>
    <row r="1185" hidden="1">
      <c r="A1185" s="32">
        <f>IFERROR(__xludf.DUMMYFUNCTION("""COMPUTED_VALUE"""),43304.87018545139)</f>
        <v>43304.87019</v>
      </c>
      <c r="B1185" t="s">
        <v>33</v>
      </c>
    </row>
    <row r="1186" hidden="1">
      <c r="A1186" s="32">
        <f>IFERROR(__xludf.DUMMYFUNCTION("""COMPUTED_VALUE"""),43304.88495861111)</f>
        <v>43304.88496</v>
      </c>
      <c r="B1186" t="s">
        <v>428</v>
      </c>
    </row>
    <row r="1187" hidden="1">
      <c r="A1187" s="32">
        <f>IFERROR(__xludf.DUMMYFUNCTION("""COMPUTED_VALUE"""),43304.88783204861)</f>
        <v>43304.88783</v>
      </c>
      <c r="B1187" t="s">
        <v>972</v>
      </c>
    </row>
    <row r="1188" hidden="1">
      <c r="A1188" s="32">
        <f>IFERROR(__xludf.DUMMYFUNCTION("""COMPUTED_VALUE"""),43304.921553761575)</f>
        <v>43304.92155</v>
      </c>
      <c r="B1188" t="s">
        <v>45</v>
      </c>
    </row>
    <row r="1189" hidden="1">
      <c r="A1189" s="32">
        <f>IFERROR(__xludf.DUMMYFUNCTION("""COMPUTED_VALUE"""),43305.01262028935)</f>
        <v>43305.01262</v>
      </c>
      <c r="B1189" t="s">
        <v>973</v>
      </c>
    </row>
    <row r="1190" hidden="1">
      <c r="A1190" s="32">
        <f>IFERROR(__xludf.DUMMYFUNCTION("""COMPUTED_VALUE"""),43305.551170763894)</f>
        <v>43305.55117</v>
      </c>
      <c r="B1190" t="s">
        <v>974</v>
      </c>
    </row>
    <row r="1191" hidden="1">
      <c r="A1191" s="32">
        <f>IFERROR(__xludf.DUMMYFUNCTION("""COMPUTED_VALUE"""),43305.59372855324)</f>
        <v>43305.59373</v>
      </c>
      <c r="B1191" t="s">
        <v>48</v>
      </c>
    </row>
    <row r="1192" hidden="1">
      <c r="A1192" s="32">
        <f>IFERROR(__xludf.DUMMYFUNCTION("""COMPUTED_VALUE"""),43305.632339930555)</f>
        <v>43305.63234</v>
      </c>
      <c r="B1192" t="s">
        <v>2700</v>
      </c>
    </row>
    <row r="1193" hidden="1">
      <c r="A1193" s="32">
        <f>IFERROR(__xludf.DUMMYFUNCTION("""COMPUTED_VALUE"""),43305.867892326394)</f>
        <v>43305.86789</v>
      </c>
      <c r="B1193" t="s">
        <v>2701</v>
      </c>
    </row>
    <row r="1194" hidden="1">
      <c r="A1194" s="32">
        <f>IFERROR(__xludf.DUMMYFUNCTION("""COMPUTED_VALUE"""),43305.91694384259)</f>
        <v>43305.91694</v>
      </c>
      <c r="B1194" t="s">
        <v>119</v>
      </c>
    </row>
    <row r="1195" hidden="1">
      <c r="A1195" s="32">
        <f>IFERROR(__xludf.DUMMYFUNCTION("""COMPUTED_VALUE"""),43306.35441914352)</f>
        <v>43306.35442</v>
      </c>
      <c r="B1195" t="s">
        <v>33</v>
      </c>
    </row>
    <row r="1196" hidden="1">
      <c r="A1196" s="32">
        <f>IFERROR(__xludf.DUMMYFUNCTION("""COMPUTED_VALUE"""),43306.41255275463)</f>
        <v>43306.41255</v>
      </c>
      <c r="B1196" t="s">
        <v>33</v>
      </c>
    </row>
    <row r="1197" hidden="1">
      <c r="A1197" s="32">
        <f>IFERROR(__xludf.DUMMYFUNCTION("""COMPUTED_VALUE"""),43306.522635625)</f>
        <v>43306.52264</v>
      </c>
      <c r="B1197" t="s">
        <v>2424</v>
      </c>
    </row>
    <row r="1198" hidden="1">
      <c r="A1198" s="32">
        <f>IFERROR(__xludf.DUMMYFUNCTION("""COMPUTED_VALUE"""),43306.54125491898)</f>
        <v>43306.54125</v>
      </c>
      <c r="B1198" t="s">
        <v>984</v>
      </c>
    </row>
    <row r="1199" hidden="1">
      <c r="A1199" s="32">
        <f>IFERROR(__xludf.DUMMYFUNCTION("""COMPUTED_VALUE"""),43306.80281570602)</f>
        <v>43306.80282</v>
      </c>
      <c r="B1199" t="s">
        <v>77</v>
      </c>
    </row>
    <row r="1200" hidden="1">
      <c r="A1200" s="32">
        <f>IFERROR(__xludf.DUMMYFUNCTION("""COMPUTED_VALUE"""),43306.80425434028)</f>
        <v>43306.80425</v>
      </c>
      <c r="B1200" t="s">
        <v>343</v>
      </c>
    </row>
    <row r="1201" hidden="1">
      <c r="A1201" s="32">
        <f>IFERROR(__xludf.DUMMYFUNCTION("""COMPUTED_VALUE"""),43307.4252965625)</f>
        <v>43307.4253</v>
      </c>
      <c r="B1201" t="s">
        <v>2424</v>
      </c>
    </row>
    <row r="1202" hidden="1">
      <c r="A1202" s="32">
        <f>IFERROR(__xludf.DUMMYFUNCTION("""COMPUTED_VALUE"""),43307.49661277777)</f>
        <v>43307.49661</v>
      </c>
      <c r="B1202" t="s">
        <v>33</v>
      </c>
    </row>
    <row r="1203" hidden="1">
      <c r="A1203" s="32">
        <f>IFERROR(__xludf.DUMMYFUNCTION("""COMPUTED_VALUE"""),43307.5948961574)</f>
        <v>43307.5949</v>
      </c>
      <c r="B1203" t="s">
        <v>170</v>
      </c>
    </row>
    <row r="1204" hidden="1">
      <c r="A1204" s="32">
        <f>IFERROR(__xludf.DUMMYFUNCTION("""COMPUTED_VALUE"""),43307.65978800926)</f>
        <v>43307.65979</v>
      </c>
      <c r="B1204" t="s">
        <v>33</v>
      </c>
    </row>
    <row r="1205" hidden="1">
      <c r="A1205" s="32">
        <f>IFERROR(__xludf.DUMMYFUNCTION("""COMPUTED_VALUE"""),43307.79565155093)</f>
        <v>43307.79565</v>
      </c>
      <c r="B1205" t="s">
        <v>33</v>
      </c>
    </row>
    <row r="1206" hidden="1">
      <c r="A1206" s="32">
        <f>IFERROR(__xludf.DUMMYFUNCTION("""COMPUTED_VALUE"""),43307.8225529051)</f>
        <v>43307.82255</v>
      </c>
      <c r="B1206" t="s">
        <v>40</v>
      </c>
    </row>
    <row r="1207" hidden="1">
      <c r="A1207" s="32">
        <f>IFERROR(__xludf.DUMMYFUNCTION("""COMPUTED_VALUE"""),43308.16619503472)</f>
        <v>43308.1662</v>
      </c>
      <c r="B1207" t="s">
        <v>282</v>
      </c>
    </row>
    <row r="1208" hidden="1">
      <c r="A1208" s="32">
        <f>IFERROR(__xludf.DUMMYFUNCTION("""COMPUTED_VALUE"""),43308.28106224537)</f>
        <v>43308.28106</v>
      </c>
      <c r="B1208" t="s">
        <v>990</v>
      </c>
    </row>
    <row r="1209" hidden="1">
      <c r="A1209" s="32">
        <f>IFERROR(__xludf.DUMMYFUNCTION("""COMPUTED_VALUE"""),43308.36303483797)</f>
        <v>43308.36303</v>
      </c>
      <c r="B1209" t="s">
        <v>157</v>
      </c>
    </row>
    <row r="1210" hidden="1">
      <c r="A1210" s="32">
        <f>IFERROR(__xludf.DUMMYFUNCTION("""COMPUTED_VALUE"""),43308.5034916088)</f>
        <v>43308.50349</v>
      </c>
      <c r="B1210" t="s">
        <v>33</v>
      </c>
    </row>
    <row r="1211" hidden="1">
      <c r="A1211" s="32">
        <f>IFERROR(__xludf.DUMMYFUNCTION("""COMPUTED_VALUE"""),43308.613809710645)</f>
        <v>43308.61381</v>
      </c>
      <c r="B1211" t="s">
        <v>2424</v>
      </c>
    </row>
    <row r="1212" hidden="1">
      <c r="A1212" s="32">
        <f>IFERROR(__xludf.DUMMYFUNCTION("""COMPUTED_VALUE"""),43308.65178114583)</f>
        <v>43308.65178</v>
      </c>
      <c r="B1212" t="s">
        <v>45</v>
      </c>
    </row>
    <row r="1213" hidden="1">
      <c r="A1213" s="32">
        <f>IFERROR(__xludf.DUMMYFUNCTION("""COMPUTED_VALUE"""),43309.008660011576)</f>
        <v>43309.00866</v>
      </c>
      <c r="B1213" t="s">
        <v>80</v>
      </c>
    </row>
    <row r="1214" hidden="1">
      <c r="A1214" s="32">
        <f>IFERROR(__xludf.DUMMYFUNCTION("""COMPUTED_VALUE"""),43309.295712175925)</f>
        <v>43309.29571</v>
      </c>
      <c r="B1214" t="s">
        <v>36</v>
      </c>
    </row>
    <row r="1215" hidden="1">
      <c r="A1215" s="32">
        <f>IFERROR(__xludf.DUMMYFUNCTION("""COMPUTED_VALUE"""),43309.6411937963)</f>
        <v>43309.64119</v>
      </c>
      <c r="B1215" t="s">
        <v>33</v>
      </c>
    </row>
    <row r="1216" hidden="1">
      <c r="A1216" s="32">
        <f>IFERROR(__xludf.DUMMYFUNCTION("""COMPUTED_VALUE"""),43309.6837204051)</f>
        <v>43309.68372</v>
      </c>
      <c r="B1216" t="s">
        <v>2702</v>
      </c>
    </row>
    <row r="1217" hidden="1">
      <c r="A1217" s="32">
        <f>IFERROR(__xludf.DUMMYFUNCTION("""COMPUTED_VALUE"""),43309.933102152776)</f>
        <v>43309.9331</v>
      </c>
      <c r="B1217" t="s">
        <v>109</v>
      </c>
    </row>
    <row r="1218" hidden="1">
      <c r="A1218" s="32">
        <f>IFERROR(__xludf.DUMMYFUNCTION("""COMPUTED_VALUE"""),43310.00277377314)</f>
        <v>43310.00277</v>
      </c>
      <c r="B1218" t="s">
        <v>45</v>
      </c>
    </row>
    <row r="1219" hidden="1">
      <c r="A1219" s="32">
        <f>IFERROR(__xludf.DUMMYFUNCTION("""COMPUTED_VALUE"""),43310.00319230324)</f>
        <v>43310.00319</v>
      </c>
      <c r="B1219" t="s">
        <v>2424</v>
      </c>
    </row>
    <row r="1220" hidden="1">
      <c r="A1220" s="32">
        <f>IFERROR(__xludf.DUMMYFUNCTION("""COMPUTED_VALUE"""),43310.11725734954)</f>
        <v>43310.11726</v>
      </c>
      <c r="B1220" t="s">
        <v>380</v>
      </c>
    </row>
    <row r="1221" hidden="1">
      <c r="A1221" s="32">
        <f>IFERROR(__xludf.DUMMYFUNCTION("""COMPUTED_VALUE"""),43310.41427109954)</f>
        <v>43310.41427</v>
      </c>
      <c r="B1221" t="s">
        <v>40</v>
      </c>
    </row>
    <row r="1222" hidden="1">
      <c r="A1222" s="32">
        <f>IFERROR(__xludf.DUMMYFUNCTION("""COMPUTED_VALUE"""),43310.43243666667)</f>
        <v>43310.43244</v>
      </c>
      <c r="B1222" t="s">
        <v>40</v>
      </c>
    </row>
    <row r="1223" hidden="1">
      <c r="A1223" s="32">
        <f>IFERROR(__xludf.DUMMYFUNCTION("""COMPUTED_VALUE"""),43310.50116638889)</f>
        <v>43310.50117</v>
      </c>
      <c r="B1223" t="s">
        <v>123</v>
      </c>
    </row>
    <row r="1224" hidden="1">
      <c r="A1224" s="32">
        <f>IFERROR(__xludf.DUMMYFUNCTION("""COMPUTED_VALUE"""),43310.59589600694)</f>
        <v>43310.5959</v>
      </c>
      <c r="B1224" t="s">
        <v>40</v>
      </c>
    </row>
    <row r="1225" hidden="1">
      <c r="A1225" s="32">
        <f>IFERROR(__xludf.DUMMYFUNCTION("""COMPUTED_VALUE"""),43310.847276875)</f>
        <v>43310.84728</v>
      </c>
      <c r="B1225" t="s">
        <v>40</v>
      </c>
    </row>
    <row r="1226" hidden="1">
      <c r="A1226" s="32">
        <f>IFERROR(__xludf.DUMMYFUNCTION("""COMPUTED_VALUE"""),43310.90055990741)</f>
        <v>43310.90056</v>
      </c>
      <c r="B1226" t="s">
        <v>802</v>
      </c>
    </row>
    <row r="1227" hidden="1">
      <c r="A1227" s="32">
        <f>IFERROR(__xludf.DUMMYFUNCTION("""COMPUTED_VALUE"""),43310.91674554398)</f>
        <v>43310.91675</v>
      </c>
      <c r="B1227" t="s">
        <v>282</v>
      </c>
    </row>
    <row r="1228" hidden="1">
      <c r="A1228" s="32">
        <f>IFERROR(__xludf.DUMMYFUNCTION("""COMPUTED_VALUE"""),43310.97395989583)</f>
        <v>43310.97396</v>
      </c>
      <c r="B1228" t="s">
        <v>40</v>
      </c>
    </row>
    <row r="1229" hidden="1">
      <c r="A1229" s="32">
        <f>IFERROR(__xludf.DUMMYFUNCTION("""COMPUTED_VALUE"""),43311.40630188657)</f>
        <v>43311.4063</v>
      </c>
      <c r="B1229" t="s">
        <v>40</v>
      </c>
    </row>
    <row r="1230" hidden="1">
      <c r="A1230" s="32">
        <f>IFERROR(__xludf.DUMMYFUNCTION("""COMPUTED_VALUE"""),43311.54578678241)</f>
        <v>43311.54579</v>
      </c>
      <c r="B1230" t="s">
        <v>619</v>
      </c>
    </row>
    <row r="1231" hidden="1">
      <c r="A1231" s="32">
        <f>IFERROR(__xludf.DUMMYFUNCTION("""COMPUTED_VALUE"""),43311.6731065625)</f>
        <v>43311.67311</v>
      </c>
      <c r="B1231" t="s">
        <v>25</v>
      </c>
    </row>
    <row r="1232" hidden="1">
      <c r="A1232" s="32">
        <f>IFERROR(__xludf.DUMMYFUNCTION("""COMPUTED_VALUE"""),43311.74557724537)</f>
        <v>43311.74558</v>
      </c>
      <c r="B1232" t="s">
        <v>80</v>
      </c>
    </row>
    <row r="1233" hidden="1">
      <c r="A1233" s="32">
        <f>IFERROR(__xludf.DUMMYFUNCTION("""COMPUTED_VALUE"""),43311.77447991898)</f>
        <v>43311.77448</v>
      </c>
      <c r="B1233" t="s">
        <v>2703</v>
      </c>
    </row>
    <row r="1234" hidden="1">
      <c r="A1234" s="32">
        <f>IFERROR(__xludf.DUMMYFUNCTION("""COMPUTED_VALUE"""),43311.795333761576)</f>
        <v>43311.79533</v>
      </c>
      <c r="B1234" t="s">
        <v>2686</v>
      </c>
    </row>
    <row r="1235" hidden="1">
      <c r="A1235" s="32">
        <f>IFERROR(__xludf.DUMMYFUNCTION("""COMPUTED_VALUE"""),43311.96964581018)</f>
        <v>43311.96965</v>
      </c>
      <c r="B1235" t="s">
        <v>80</v>
      </c>
    </row>
    <row r="1236" hidden="1">
      <c r="A1236" s="32">
        <f>IFERROR(__xludf.DUMMYFUNCTION("""COMPUTED_VALUE"""),43311.97959474537)</f>
        <v>43311.97959</v>
      </c>
      <c r="B1236" t="s">
        <v>80</v>
      </c>
    </row>
    <row r="1237" hidden="1">
      <c r="A1237" s="32">
        <f>IFERROR(__xludf.DUMMYFUNCTION("""COMPUTED_VALUE"""),43312.0611015625)</f>
        <v>43312.0611</v>
      </c>
      <c r="B1237" t="s">
        <v>33</v>
      </c>
    </row>
    <row r="1238" hidden="1">
      <c r="A1238" s="32">
        <f>IFERROR(__xludf.DUMMYFUNCTION("""COMPUTED_VALUE"""),43312.642471238425)</f>
        <v>43312.64247</v>
      </c>
      <c r="B1238" t="s">
        <v>33</v>
      </c>
    </row>
    <row r="1239" hidden="1">
      <c r="A1239" s="32">
        <f>IFERROR(__xludf.DUMMYFUNCTION("""COMPUTED_VALUE"""),43312.77050827546)</f>
        <v>43312.77051</v>
      </c>
      <c r="B1239" t="s">
        <v>33</v>
      </c>
    </row>
    <row r="1240" hidden="1">
      <c r="A1240" s="32">
        <f>IFERROR(__xludf.DUMMYFUNCTION("""COMPUTED_VALUE"""),43313.05946059027)</f>
        <v>43313.05946</v>
      </c>
      <c r="B1240" t="s">
        <v>80</v>
      </c>
    </row>
    <row r="1241" hidden="1">
      <c r="A1241" s="32">
        <f>IFERROR(__xludf.DUMMYFUNCTION("""COMPUTED_VALUE"""),43313.342801886574)</f>
        <v>43313.3428</v>
      </c>
      <c r="B1241" t="s">
        <v>36</v>
      </c>
    </row>
    <row r="1242" hidden="1">
      <c r="A1242" s="32">
        <f>IFERROR(__xludf.DUMMYFUNCTION("""COMPUTED_VALUE"""),43313.4122175463)</f>
        <v>43313.41222</v>
      </c>
      <c r="B1242" t="s">
        <v>33</v>
      </c>
    </row>
    <row r="1243" hidden="1">
      <c r="A1243" s="32">
        <f>IFERROR(__xludf.DUMMYFUNCTION("""COMPUTED_VALUE"""),43313.494850856485)</f>
        <v>43313.49485</v>
      </c>
      <c r="B1243" t="s">
        <v>40</v>
      </c>
    </row>
    <row r="1244" hidden="1">
      <c r="A1244" s="32">
        <f>IFERROR(__xludf.DUMMYFUNCTION("""COMPUTED_VALUE"""),43313.67738403935)</f>
        <v>43313.67738</v>
      </c>
      <c r="B1244" t="s">
        <v>1012</v>
      </c>
    </row>
    <row r="1245" hidden="1">
      <c r="A1245" s="32">
        <f>IFERROR(__xludf.DUMMYFUNCTION("""COMPUTED_VALUE"""),43313.711659849534)</f>
        <v>43313.71166</v>
      </c>
      <c r="B1245" t="s">
        <v>268</v>
      </c>
    </row>
    <row r="1246" hidden="1">
      <c r="A1246" s="32">
        <f>IFERROR(__xludf.DUMMYFUNCTION("""COMPUTED_VALUE"""),43313.73593351852)</f>
        <v>43313.73593</v>
      </c>
      <c r="B1246" t="s">
        <v>33</v>
      </c>
    </row>
    <row r="1247" hidden="1">
      <c r="A1247" s="32">
        <f>IFERROR(__xludf.DUMMYFUNCTION("""COMPUTED_VALUE"""),43313.816072546295)</f>
        <v>43313.81607</v>
      </c>
      <c r="B1247" t="s">
        <v>80</v>
      </c>
    </row>
    <row r="1248" hidden="1">
      <c r="A1248" s="32">
        <f>IFERROR(__xludf.DUMMYFUNCTION("""COMPUTED_VALUE"""),43314.4738081713)</f>
        <v>43314.47381</v>
      </c>
      <c r="B1248" t="s">
        <v>33</v>
      </c>
    </row>
    <row r="1249" hidden="1">
      <c r="A1249" s="32">
        <f>IFERROR(__xludf.DUMMYFUNCTION("""COMPUTED_VALUE"""),43314.51522728009)</f>
        <v>43314.51523</v>
      </c>
      <c r="B1249" t="s">
        <v>40</v>
      </c>
    </row>
    <row r="1250" hidden="1">
      <c r="A1250" s="32">
        <f>IFERROR(__xludf.DUMMYFUNCTION("""COMPUTED_VALUE"""),43314.532366354164)</f>
        <v>43314.53237</v>
      </c>
      <c r="B1250" t="s">
        <v>40</v>
      </c>
    </row>
    <row r="1251" hidden="1">
      <c r="A1251" s="32">
        <f>IFERROR(__xludf.DUMMYFUNCTION("""COMPUTED_VALUE"""),43314.61028458334)</f>
        <v>43314.61028</v>
      </c>
      <c r="B1251" t="s">
        <v>371</v>
      </c>
    </row>
    <row r="1252" hidden="1">
      <c r="A1252" s="32">
        <f>IFERROR(__xludf.DUMMYFUNCTION("""COMPUTED_VALUE"""),43314.95235157407)</f>
        <v>43314.95235</v>
      </c>
      <c r="B1252" t="s">
        <v>256</v>
      </c>
    </row>
    <row r="1253" hidden="1">
      <c r="A1253" s="32">
        <f>IFERROR(__xludf.DUMMYFUNCTION("""COMPUTED_VALUE"""),43315.01894621528)</f>
        <v>43315.01895</v>
      </c>
      <c r="B1253" t="s">
        <v>33</v>
      </c>
    </row>
    <row r="1254" hidden="1">
      <c r="A1254" s="32">
        <f>IFERROR(__xludf.DUMMYFUNCTION("""COMPUTED_VALUE"""),43315.372570023144)</f>
        <v>43315.37257</v>
      </c>
      <c r="B1254" t="s">
        <v>506</v>
      </c>
    </row>
    <row r="1255" hidden="1">
      <c r="A1255" s="32">
        <f>IFERROR(__xludf.DUMMYFUNCTION("""COMPUTED_VALUE"""),43315.44466971065)</f>
        <v>43315.44467</v>
      </c>
      <c r="B1255" t="s">
        <v>40</v>
      </c>
    </row>
    <row r="1256" hidden="1">
      <c r="A1256" s="32">
        <f>IFERROR(__xludf.DUMMYFUNCTION("""COMPUTED_VALUE"""),43315.644600196756)</f>
        <v>43315.6446</v>
      </c>
      <c r="B1256" t="s">
        <v>371</v>
      </c>
    </row>
    <row r="1257" hidden="1">
      <c r="A1257" s="32">
        <f>IFERROR(__xludf.DUMMYFUNCTION("""COMPUTED_VALUE"""),43315.70185196759)</f>
        <v>43315.70185</v>
      </c>
      <c r="B1257" t="s">
        <v>123</v>
      </c>
    </row>
    <row r="1258" hidden="1">
      <c r="A1258" s="32">
        <f>IFERROR(__xludf.DUMMYFUNCTION("""COMPUTED_VALUE"""),43316.009587824075)</f>
        <v>43316.00959</v>
      </c>
      <c r="B1258" t="s">
        <v>258</v>
      </c>
    </row>
    <row r="1259" hidden="1">
      <c r="A1259" s="32">
        <f>IFERROR(__xludf.DUMMYFUNCTION("""COMPUTED_VALUE"""),43316.03272016204)</f>
        <v>43316.03272</v>
      </c>
      <c r="B1259" t="s">
        <v>40</v>
      </c>
    </row>
    <row r="1260" hidden="1">
      <c r="A1260" s="32">
        <f>IFERROR(__xludf.DUMMYFUNCTION("""COMPUTED_VALUE"""),43316.04197965278)</f>
        <v>43316.04198</v>
      </c>
      <c r="B1260" t="s">
        <v>80</v>
      </c>
    </row>
    <row r="1261" hidden="1">
      <c r="A1261" s="32">
        <f>IFERROR(__xludf.DUMMYFUNCTION("""COMPUTED_VALUE"""),43316.07926778935)</f>
        <v>43316.07927</v>
      </c>
      <c r="B1261" t="s">
        <v>2424</v>
      </c>
    </row>
    <row r="1262" hidden="1">
      <c r="A1262" s="32">
        <f>IFERROR(__xludf.DUMMYFUNCTION("""COMPUTED_VALUE"""),43316.338711550925)</f>
        <v>43316.33871</v>
      </c>
      <c r="B1262" t="s">
        <v>350</v>
      </c>
    </row>
    <row r="1263" hidden="1">
      <c r="A1263" s="32">
        <f>IFERROR(__xludf.DUMMYFUNCTION("""COMPUTED_VALUE"""),43316.49100028935)</f>
        <v>43316.491</v>
      </c>
      <c r="B1263" t="s">
        <v>33</v>
      </c>
    </row>
    <row r="1264" hidden="1">
      <c r="A1264" s="32">
        <f>IFERROR(__xludf.DUMMYFUNCTION("""COMPUTED_VALUE"""),43316.66899276621)</f>
        <v>43316.66899</v>
      </c>
      <c r="B1264" t="s">
        <v>33</v>
      </c>
    </row>
    <row r="1265" hidden="1">
      <c r="A1265" s="32">
        <f>IFERROR(__xludf.DUMMYFUNCTION("""COMPUTED_VALUE"""),43316.708873854164)</f>
        <v>43316.70887</v>
      </c>
      <c r="B1265" t="s">
        <v>45</v>
      </c>
    </row>
    <row r="1266" hidden="1">
      <c r="A1266" s="32">
        <f>IFERROR(__xludf.DUMMYFUNCTION("""COMPUTED_VALUE"""),43316.84860865741)</f>
        <v>43316.84861</v>
      </c>
      <c r="B1266" t="s">
        <v>33</v>
      </c>
    </row>
    <row r="1267" hidden="1">
      <c r="A1267" s="32">
        <f>IFERROR(__xludf.DUMMYFUNCTION("""COMPUTED_VALUE"""),43316.91470013889)</f>
        <v>43316.9147</v>
      </c>
      <c r="B1267" t="s">
        <v>40</v>
      </c>
    </row>
    <row r="1268" hidden="1">
      <c r="A1268" s="32">
        <f>IFERROR(__xludf.DUMMYFUNCTION("""COMPUTED_VALUE"""),43317.05778287037)</f>
        <v>43317.05778</v>
      </c>
      <c r="B1268" t="s">
        <v>123</v>
      </c>
    </row>
    <row r="1269" hidden="1">
      <c r="A1269" s="32">
        <f>IFERROR(__xludf.DUMMYFUNCTION("""COMPUTED_VALUE"""),43317.76731640047)</f>
        <v>43317.76732</v>
      </c>
      <c r="B1269" t="s">
        <v>40</v>
      </c>
    </row>
    <row r="1270" hidden="1">
      <c r="A1270" s="32">
        <f>IFERROR(__xludf.DUMMYFUNCTION("""COMPUTED_VALUE"""),43317.76740297454)</f>
        <v>43317.7674</v>
      </c>
      <c r="B1270" t="s">
        <v>40</v>
      </c>
    </row>
    <row r="1271" hidden="1">
      <c r="A1271" s="32">
        <f>IFERROR(__xludf.DUMMYFUNCTION("""COMPUTED_VALUE"""),43317.83380679398)</f>
        <v>43317.83381</v>
      </c>
      <c r="B1271" t="s">
        <v>80</v>
      </c>
    </row>
    <row r="1272" hidden="1">
      <c r="A1272" s="32">
        <f>IFERROR(__xludf.DUMMYFUNCTION("""COMPUTED_VALUE"""),43317.9473465162)</f>
        <v>43317.94735</v>
      </c>
      <c r="B1272" t="s">
        <v>40</v>
      </c>
    </row>
    <row r="1273" hidden="1">
      <c r="A1273" s="32">
        <f>IFERROR(__xludf.DUMMYFUNCTION("""COMPUTED_VALUE"""),43318.424421331016)</f>
        <v>43318.42442</v>
      </c>
      <c r="B1273" t="s">
        <v>40</v>
      </c>
    </row>
    <row r="1274" hidden="1">
      <c r="A1274" s="32">
        <f>IFERROR(__xludf.DUMMYFUNCTION("""COMPUTED_VALUE"""),43318.42732873843)</f>
        <v>43318.42733</v>
      </c>
      <c r="B1274" t="s">
        <v>40</v>
      </c>
    </row>
    <row r="1275" hidden="1">
      <c r="A1275" s="32">
        <f>IFERROR(__xludf.DUMMYFUNCTION("""COMPUTED_VALUE"""),43318.635366435185)</f>
        <v>43318.63537</v>
      </c>
      <c r="B1275" t="s">
        <v>45</v>
      </c>
    </row>
    <row r="1276" hidden="1">
      <c r="A1276" s="32">
        <f>IFERROR(__xludf.DUMMYFUNCTION("""COMPUTED_VALUE"""),43318.69175240741)</f>
        <v>43318.69175</v>
      </c>
      <c r="B1276" t="s">
        <v>1029</v>
      </c>
    </row>
    <row r="1277" hidden="1">
      <c r="A1277" s="32">
        <f>IFERROR(__xludf.DUMMYFUNCTION("""COMPUTED_VALUE"""),43318.70924114583)</f>
        <v>43318.70924</v>
      </c>
      <c r="B1277" t="s">
        <v>40</v>
      </c>
    </row>
    <row r="1278" hidden="1">
      <c r="A1278" s="32">
        <f>IFERROR(__xludf.DUMMYFUNCTION("""COMPUTED_VALUE"""),43318.77938126157)</f>
        <v>43318.77938</v>
      </c>
      <c r="B1278" t="s">
        <v>286</v>
      </c>
    </row>
    <row r="1279" hidden="1">
      <c r="A1279" s="32">
        <f>IFERROR(__xludf.DUMMYFUNCTION("""COMPUTED_VALUE"""),43318.80283739584)</f>
        <v>43318.80284</v>
      </c>
      <c r="B1279" t="s">
        <v>204</v>
      </c>
    </row>
    <row r="1280" hidden="1">
      <c r="A1280" s="32">
        <f>IFERROR(__xludf.DUMMYFUNCTION("""COMPUTED_VALUE"""),43318.809102349536)</f>
        <v>43318.8091</v>
      </c>
      <c r="B1280" t="s">
        <v>256</v>
      </c>
    </row>
    <row r="1281" hidden="1">
      <c r="A1281" s="32">
        <f>IFERROR(__xludf.DUMMYFUNCTION("""COMPUTED_VALUE"""),43318.99098449074)</f>
        <v>43318.99098</v>
      </c>
      <c r="B1281" t="s">
        <v>1031</v>
      </c>
    </row>
    <row r="1282" hidden="1">
      <c r="A1282" s="32">
        <f>IFERROR(__xludf.DUMMYFUNCTION("""COMPUTED_VALUE"""),43319.251796481476)</f>
        <v>43319.2518</v>
      </c>
      <c r="B1282" t="s">
        <v>36</v>
      </c>
    </row>
    <row r="1283" hidden="1">
      <c r="A1283" s="32">
        <f>IFERROR(__xludf.DUMMYFUNCTION("""COMPUTED_VALUE"""),43319.44630256944)</f>
        <v>43319.4463</v>
      </c>
      <c r="B1283" t="s">
        <v>33</v>
      </c>
    </row>
    <row r="1284" hidden="1">
      <c r="A1284" s="32">
        <f>IFERROR(__xludf.DUMMYFUNCTION("""COMPUTED_VALUE"""),43319.48304167824)</f>
        <v>43319.48304</v>
      </c>
      <c r="B1284" t="s">
        <v>33</v>
      </c>
    </row>
    <row r="1285" hidden="1">
      <c r="A1285" s="32">
        <f>IFERROR(__xludf.DUMMYFUNCTION("""COMPUTED_VALUE"""),43319.552732662036)</f>
        <v>43319.55273</v>
      </c>
      <c r="B1285" t="s">
        <v>2424</v>
      </c>
    </row>
    <row r="1286" hidden="1">
      <c r="A1286" s="32">
        <f>IFERROR(__xludf.DUMMYFUNCTION("""COMPUTED_VALUE"""),43319.61809478009)</f>
        <v>43319.61809</v>
      </c>
      <c r="B1286" t="s">
        <v>33</v>
      </c>
    </row>
    <row r="1287" hidden="1">
      <c r="A1287" s="32">
        <f>IFERROR(__xludf.DUMMYFUNCTION("""COMPUTED_VALUE"""),43319.880186469905)</f>
        <v>43319.88019</v>
      </c>
      <c r="B1287" t="s">
        <v>33</v>
      </c>
    </row>
    <row r="1288" hidden="1">
      <c r="A1288" s="32">
        <f>IFERROR(__xludf.DUMMYFUNCTION("""COMPUTED_VALUE"""),43319.906602337964)</f>
        <v>43319.9066</v>
      </c>
      <c r="B1288" t="s">
        <v>170</v>
      </c>
    </row>
    <row r="1289" hidden="1">
      <c r="A1289" s="32">
        <f>IFERROR(__xludf.DUMMYFUNCTION("""COMPUTED_VALUE"""),43319.9644578588)</f>
        <v>43319.96446</v>
      </c>
      <c r="B1289" t="s">
        <v>950</v>
      </c>
    </row>
    <row r="1290" hidden="1">
      <c r="A1290" s="32">
        <f>IFERROR(__xludf.DUMMYFUNCTION("""COMPUTED_VALUE"""),43320.08531769676)</f>
        <v>43320.08532</v>
      </c>
      <c r="B1290" t="s">
        <v>665</v>
      </c>
    </row>
    <row r="1291" hidden="1">
      <c r="A1291" s="32">
        <f>IFERROR(__xludf.DUMMYFUNCTION("""COMPUTED_VALUE"""),43320.27339778935)</f>
        <v>43320.2734</v>
      </c>
      <c r="B1291" t="s">
        <v>36</v>
      </c>
    </row>
    <row r="1292" hidden="1">
      <c r="A1292" s="32">
        <f>IFERROR(__xludf.DUMMYFUNCTION("""COMPUTED_VALUE"""),43320.29854193287)</f>
        <v>43320.29854</v>
      </c>
      <c r="B1292" t="s">
        <v>40</v>
      </c>
    </row>
    <row r="1293" hidden="1">
      <c r="A1293" s="32">
        <f>IFERROR(__xludf.DUMMYFUNCTION("""COMPUTED_VALUE"""),43320.56992045139)</f>
        <v>43320.56992</v>
      </c>
      <c r="B1293" t="s">
        <v>33</v>
      </c>
    </row>
    <row r="1294" hidden="1">
      <c r="A1294" s="32">
        <f>IFERROR(__xludf.DUMMYFUNCTION("""COMPUTED_VALUE"""),43320.57129306713)</f>
        <v>43320.57129</v>
      </c>
      <c r="B1294" t="s">
        <v>33</v>
      </c>
    </row>
    <row r="1295" hidden="1">
      <c r="A1295" s="32">
        <f>IFERROR(__xludf.DUMMYFUNCTION("""COMPUTED_VALUE"""),43320.57147164352)</f>
        <v>43320.57147</v>
      </c>
      <c r="B1295" t="s">
        <v>33</v>
      </c>
    </row>
    <row r="1296" hidden="1">
      <c r="A1296" s="32">
        <f>IFERROR(__xludf.DUMMYFUNCTION("""COMPUTED_VALUE"""),43320.583074849535)</f>
        <v>43320.58307</v>
      </c>
      <c r="B1296" t="s">
        <v>1037</v>
      </c>
    </row>
    <row r="1297" hidden="1">
      <c r="A1297" s="32">
        <f>IFERROR(__xludf.DUMMYFUNCTION("""COMPUTED_VALUE"""),43320.6339145949)</f>
        <v>43320.63391</v>
      </c>
      <c r="B1297" t="s">
        <v>33</v>
      </c>
    </row>
    <row r="1298" hidden="1">
      <c r="A1298" s="32">
        <f>IFERROR(__xludf.DUMMYFUNCTION("""COMPUTED_VALUE"""),43320.70623784722)</f>
        <v>43320.70624</v>
      </c>
      <c r="B1298" t="s">
        <v>48</v>
      </c>
    </row>
    <row r="1299" hidden="1">
      <c r="A1299" s="32">
        <f>IFERROR(__xludf.DUMMYFUNCTION("""COMPUTED_VALUE"""),43320.70638215278)</f>
        <v>43320.70638</v>
      </c>
      <c r="B1299" t="s">
        <v>25</v>
      </c>
    </row>
    <row r="1300" hidden="1">
      <c r="A1300" s="32">
        <f>IFERROR(__xludf.DUMMYFUNCTION("""COMPUTED_VALUE"""),43320.71380875)</f>
        <v>43320.71381</v>
      </c>
      <c r="B1300" t="s">
        <v>40</v>
      </c>
    </row>
    <row r="1301" hidden="1">
      <c r="A1301" s="32">
        <f>IFERROR(__xludf.DUMMYFUNCTION("""COMPUTED_VALUE"""),43320.71952254629)</f>
        <v>43320.71952</v>
      </c>
      <c r="B1301" t="s">
        <v>282</v>
      </c>
    </row>
    <row r="1302" hidden="1">
      <c r="A1302" s="32">
        <f>IFERROR(__xludf.DUMMYFUNCTION("""COMPUTED_VALUE"""),43320.71991778935)</f>
        <v>43320.71992</v>
      </c>
      <c r="B1302" t="s">
        <v>187</v>
      </c>
    </row>
    <row r="1303" hidden="1">
      <c r="A1303" s="32">
        <f>IFERROR(__xludf.DUMMYFUNCTION("""COMPUTED_VALUE"""),43320.72412895833)</f>
        <v>43320.72413</v>
      </c>
      <c r="B1303" t="s">
        <v>33</v>
      </c>
    </row>
    <row r="1304" hidden="1">
      <c r="A1304" s="32">
        <f>IFERROR(__xludf.DUMMYFUNCTION("""COMPUTED_VALUE"""),43320.76609009259)</f>
        <v>43320.76609</v>
      </c>
      <c r="B1304" t="s">
        <v>506</v>
      </c>
    </row>
    <row r="1305" hidden="1">
      <c r="A1305" s="32">
        <f>IFERROR(__xludf.DUMMYFUNCTION("""COMPUTED_VALUE"""),43320.81725556713)</f>
        <v>43320.81726</v>
      </c>
      <c r="B1305" t="s">
        <v>48</v>
      </c>
    </row>
    <row r="1306" hidden="1">
      <c r="A1306" s="32">
        <f>IFERROR(__xludf.DUMMYFUNCTION("""COMPUTED_VALUE"""),43320.81880966436)</f>
        <v>43320.81881</v>
      </c>
      <c r="B1306" t="s">
        <v>2658</v>
      </c>
    </row>
    <row r="1307" hidden="1">
      <c r="A1307" s="32">
        <f>IFERROR(__xludf.DUMMYFUNCTION("""COMPUTED_VALUE"""),43320.85246363426)</f>
        <v>43320.85246</v>
      </c>
      <c r="B1307" t="s">
        <v>33</v>
      </c>
    </row>
    <row r="1308" hidden="1">
      <c r="A1308" s="32">
        <f>IFERROR(__xludf.DUMMYFUNCTION("""COMPUTED_VALUE"""),43320.882310810186)</f>
        <v>43320.88231</v>
      </c>
      <c r="B1308" t="s">
        <v>40</v>
      </c>
    </row>
    <row r="1309" hidden="1">
      <c r="A1309" s="32">
        <f>IFERROR(__xludf.DUMMYFUNCTION("""COMPUTED_VALUE"""),43320.8851622338)</f>
        <v>43320.88516</v>
      </c>
      <c r="B1309" t="s">
        <v>33</v>
      </c>
    </row>
    <row r="1310" hidden="1">
      <c r="A1310" s="32">
        <f>IFERROR(__xludf.DUMMYFUNCTION("""COMPUTED_VALUE"""),43320.91164047454)</f>
        <v>43320.91164</v>
      </c>
      <c r="B1310" t="s">
        <v>964</v>
      </c>
    </row>
    <row r="1311" hidden="1">
      <c r="A1311" s="32">
        <f>IFERROR(__xludf.DUMMYFUNCTION("""COMPUTED_VALUE"""),43320.93372564815)</f>
        <v>43320.93373</v>
      </c>
      <c r="B1311" t="s">
        <v>80</v>
      </c>
    </row>
    <row r="1312" hidden="1">
      <c r="A1312" s="32">
        <f>IFERROR(__xludf.DUMMYFUNCTION("""COMPUTED_VALUE"""),43320.94771578704)</f>
        <v>43320.94772</v>
      </c>
      <c r="B1312" t="s">
        <v>45</v>
      </c>
    </row>
    <row r="1313" hidden="1">
      <c r="A1313" s="32">
        <f>IFERROR(__xludf.DUMMYFUNCTION("""COMPUTED_VALUE"""),43320.98840693287)</f>
        <v>43320.98841</v>
      </c>
      <c r="B1313" t="s">
        <v>387</v>
      </c>
    </row>
    <row r="1314" hidden="1">
      <c r="A1314" s="32">
        <f>IFERROR(__xludf.DUMMYFUNCTION("""COMPUTED_VALUE"""),43321.2852247338)</f>
        <v>43321.28522</v>
      </c>
      <c r="B1314" t="s">
        <v>119</v>
      </c>
    </row>
    <row r="1315" hidden="1">
      <c r="A1315" s="32">
        <f>IFERROR(__xludf.DUMMYFUNCTION("""COMPUTED_VALUE"""),43321.28827616898)</f>
        <v>43321.28828</v>
      </c>
      <c r="B1315" t="s">
        <v>263</v>
      </c>
    </row>
    <row r="1316" hidden="1">
      <c r="A1316" s="32">
        <f>IFERROR(__xludf.DUMMYFUNCTION("""COMPUTED_VALUE"""),43321.322760069444)</f>
        <v>43321.32276</v>
      </c>
      <c r="B1316" t="s">
        <v>1045</v>
      </c>
    </row>
    <row r="1317" hidden="1">
      <c r="A1317" s="32">
        <f>IFERROR(__xludf.DUMMYFUNCTION("""COMPUTED_VALUE"""),43321.360291793986)</f>
        <v>43321.36029</v>
      </c>
      <c r="B1317" t="s">
        <v>123</v>
      </c>
    </row>
    <row r="1318" hidden="1">
      <c r="A1318" s="32">
        <f>IFERROR(__xludf.DUMMYFUNCTION("""COMPUTED_VALUE"""),43321.37616857639)</f>
        <v>43321.37617</v>
      </c>
      <c r="B1318" t="s">
        <v>196</v>
      </c>
    </row>
    <row r="1319" hidden="1">
      <c r="A1319" s="32">
        <f>IFERROR(__xludf.DUMMYFUNCTION("""COMPUTED_VALUE"""),43321.3969640625)</f>
        <v>43321.39696</v>
      </c>
      <c r="B1319" t="s">
        <v>33</v>
      </c>
    </row>
    <row r="1320" hidden="1">
      <c r="A1320" s="32">
        <f>IFERROR(__xludf.DUMMYFUNCTION("""COMPUTED_VALUE"""),43321.500814363426)</f>
        <v>43321.50081</v>
      </c>
      <c r="B1320" t="s">
        <v>48</v>
      </c>
    </row>
    <row r="1321" hidden="1">
      <c r="A1321" s="32">
        <f>IFERROR(__xludf.DUMMYFUNCTION("""COMPUTED_VALUE"""),43321.53668989583)</f>
        <v>43321.53669</v>
      </c>
      <c r="B1321" t="s">
        <v>33</v>
      </c>
    </row>
    <row r="1322" hidden="1">
      <c r="A1322" s="32">
        <f>IFERROR(__xludf.DUMMYFUNCTION("""COMPUTED_VALUE"""),43321.567630833335)</f>
        <v>43321.56763</v>
      </c>
      <c r="B1322" t="s">
        <v>2704</v>
      </c>
    </row>
    <row r="1323" hidden="1">
      <c r="A1323" s="32">
        <f>IFERROR(__xludf.DUMMYFUNCTION("""COMPUTED_VALUE"""),43321.56888622685)</f>
        <v>43321.56889</v>
      </c>
      <c r="B1323" t="s">
        <v>1054</v>
      </c>
    </row>
    <row r="1324" hidden="1">
      <c r="A1324" s="32">
        <f>IFERROR(__xludf.DUMMYFUNCTION("""COMPUTED_VALUE"""),43321.610721296296)</f>
        <v>43321.61072</v>
      </c>
      <c r="B1324" t="s">
        <v>45</v>
      </c>
    </row>
    <row r="1325" hidden="1">
      <c r="A1325" s="32">
        <f>IFERROR(__xludf.DUMMYFUNCTION("""COMPUTED_VALUE"""),43321.61210292824)</f>
        <v>43321.6121</v>
      </c>
      <c r="B1325" t="s">
        <v>2424</v>
      </c>
    </row>
    <row r="1326" hidden="1">
      <c r="A1326" s="32">
        <f>IFERROR(__xludf.DUMMYFUNCTION("""COMPUTED_VALUE"""),43321.65051763889)</f>
        <v>43321.65052</v>
      </c>
      <c r="B1326" t="s">
        <v>48</v>
      </c>
    </row>
    <row r="1327" hidden="1">
      <c r="A1327" s="32">
        <f>IFERROR(__xludf.DUMMYFUNCTION("""COMPUTED_VALUE"""),43321.68534642361)</f>
        <v>43321.68535</v>
      </c>
      <c r="B1327" t="s">
        <v>33</v>
      </c>
    </row>
    <row r="1328" hidden="1">
      <c r="A1328" s="32">
        <f>IFERROR(__xludf.DUMMYFUNCTION("""COMPUTED_VALUE"""),43321.68576129629)</f>
        <v>43321.68576</v>
      </c>
      <c r="B1328" t="s">
        <v>33</v>
      </c>
    </row>
    <row r="1329" hidden="1">
      <c r="A1329" s="32">
        <f>IFERROR(__xludf.DUMMYFUNCTION("""COMPUTED_VALUE"""),43321.776467777774)</f>
        <v>43321.77647</v>
      </c>
      <c r="B1329" t="s">
        <v>45</v>
      </c>
    </row>
    <row r="1330" hidden="1">
      <c r="A1330" s="32">
        <f>IFERROR(__xludf.DUMMYFUNCTION("""COMPUTED_VALUE"""),43321.79799723379)</f>
        <v>43321.798</v>
      </c>
      <c r="B1330" t="s">
        <v>80</v>
      </c>
    </row>
    <row r="1331" hidden="1">
      <c r="A1331" s="32">
        <f>IFERROR(__xludf.DUMMYFUNCTION("""COMPUTED_VALUE"""),43321.798406180555)</f>
        <v>43321.79841</v>
      </c>
      <c r="B1331" t="s">
        <v>33</v>
      </c>
    </row>
    <row r="1332" hidden="1">
      <c r="A1332" s="32">
        <f>IFERROR(__xludf.DUMMYFUNCTION("""COMPUTED_VALUE"""),43321.804552256945)</f>
        <v>43321.80455</v>
      </c>
      <c r="B1332" t="s">
        <v>2705</v>
      </c>
    </row>
    <row r="1333" hidden="1">
      <c r="A1333" s="32">
        <f>IFERROR(__xludf.DUMMYFUNCTION("""COMPUTED_VALUE"""),43321.86242547454)</f>
        <v>43321.86243</v>
      </c>
      <c r="B1333" t="s">
        <v>33</v>
      </c>
    </row>
    <row r="1334" hidden="1">
      <c r="A1334" s="32">
        <f>IFERROR(__xludf.DUMMYFUNCTION("""COMPUTED_VALUE"""),43321.9872658449)</f>
        <v>43321.98727</v>
      </c>
      <c r="B1334" t="s">
        <v>80</v>
      </c>
    </row>
    <row r="1335" hidden="1">
      <c r="A1335" s="32">
        <f>IFERROR(__xludf.DUMMYFUNCTION("""COMPUTED_VALUE"""),43322.00570450231)</f>
        <v>43322.0057</v>
      </c>
      <c r="B1335" t="s">
        <v>45</v>
      </c>
    </row>
    <row r="1336" hidden="1">
      <c r="A1336" s="32">
        <f>IFERROR(__xludf.DUMMYFUNCTION("""COMPUTED_VALUE"""),43322.01109640046)</f>
        <v>43322.0111</v>
      </c>
      <c r="B1336" t="s">
        <v>268</v>
      </c>
    </row>
    <row r="1337" hidden="1">
      <c r="A1337" s="32">
        <f>IFERROR(__xludf.DUMMYFUNCTION("""COMPUTED_VALUE"""),43322.26873751158)</f>
        <v>43322.26874</v>
      </c>
      <c r="B1337" t="s">
        <v>40</v>
      </c>
    </row>
    <row r="1338" hidden="1">
      <c r="A1338" s="32">
        <f>IFERROR(__xludf.DUMMYFUNCTION("""COMPUTED_VALUE"""),43322.363289050925)</f>
        <v>43322.36329</v>
      </c>
      <c r="B1338" t="s">
        <v>123</v>
      </c>
    </row>
    <row r="1339" hidden="1">
      <c r="A1339" s="32">
        <f>IFERROR(__xludf.DUMMYFUNCTION("""COMPUTED_VALUE"""),43322.36714623842)</f>
        <v>43322.36715</v>
      </c>
      <c r="B1339" t="s">
        <v>124</v>
      </c>
    </row>
    <row r="1340" hidden="1">
      <c r="A1340" s="32">
        <f>IFERROR(__xludf.DUMMYFUNCTION("""COMPUTED_VALUE"""),43322.40322246528)</f>
        <v>43322.40322</v>
      </c>
      <c r="B1340" t="s">
        <v>380</v>
      </c>
    </row>
    <row r="1341" hidden="1">
      <c r="A1341" s="32">
        <f>IFERROR(__xludf.DUMMYFUNCTION("""COMPUTED_VALUE"""),43322.40645030093)</f>
        <v>43322.40645</v>
      </c>
      <c r="B1341" t="s">
        <v>33</v>
      </c>
    </row>
    <row r="1342" hidden="1">
      <c r="A1342" s="32">
        <f>IFERROR(__xludf.DUMMYFUNCTION("""COMPUTED_VALUE"""),43322.41205530093)</f>
        <v>43322.41206</v>
      </c>
      <c r="B1342" t="s">
        <v>119</v>
      </c>
    </row>
    <row r="1343" hidden="1">
      <c r="A1343" s="32">
        <f>IFERROR(__xludf.DUMMYFUNCTION("""COMPUTED_VALUE"""),43322.446514641204)</f>
        <v>43322.44651</v>
      </c>
      <c r="B1343" t="s">
        <v>170</v>
      </c>
    </row>
    <row r="1344" hidden="1">
      <c r="A1344" s="32">
        <f>IFERROR(__xludf.DUMMYFUNCTION("""COMPUTED_VALUE"""),43322.50921754629)</f>
        <v>43322.50922</v>
      </c>
      <c r="B1344" t="s">
        <v>268</v>
      </c>
    </row>
    <row r="1345" hidden="1">
      <c r="A1345" s="32">
        <f>IFERROR(__xludf.DUMMYFUNCTION("""COMPUTED_VALUE"""),43322.53906891204)</f>
        <v>43322.53907</v>
      </c>
      <c r="B1345" t="s">
        <v>1069</v>
      </c>
    </row>
    <row r="1346" hidden="1">
      <c r="A1346" s="32">
        <f>IFERROR(__xludf.DUMMYFUNCTION("""COMPUTED_VALUE"""),43322.6527853588)</f>
        <v>43322.65279</v>
      </c>
      <c r="B1346" t="s">
        <v>241</v>
      </c>
    </row>
    <row r="1347" hidden="1">
      <c r="A1347" s="32">
        <f>IFERROR(__xludf.DUMMYFUNCTION("""COMPUTED_VALUE"""),43322.72304636574)</f>
        <v>43322.72305</v>
      </c>
      <c r="B1347" t="s">
        <v>249</v>
      </c>
    </row>
    <row r="1348" hidden="1">
      <c r="A1348" s="32">
        <f>IFERROR(__xludf.DUMMYFUNCTION("""COMPUTED_VALUE"""),43322.75017958334)</f>
        <v>43322.75018</v>
      </c>
      <c r="B1348" t="s">
        <v>1073</v>
      </c>
    </row>
    <row r="1349" hidden="1">
      <c r="A1349" s="32">
        <f>IFERROR(__xludf.DUMMYFUNCTION("""COMPUTED_VALUE"""),43322.77183168981)</f>
        <v>43322.77183</v>
      </c>
      <c r="B1349" t="s">
        <v>36</v>
      </c>
    </row>
    <row r="1350" hidden="1">
      <c r="A1350" s="32">
        <f>IFERROR(__xludf.DUMMYFUNCTION("""COMPUTED_VALUE"""),43322.82773520834)</f>
        <v>43322.82774</v>
      </c>
      <c r="B1350" t="s">
        <v>350</v>
      </c>
    </row>
    <row r="1351" hidden="1">
      <c r="A1351" s="32">
        <f>IFERROR(__xludf.DUMMYFUNCTION("""COMPUTED_VALUE"""),43322.84241207176)</f>
        <v>43322.84241</v>
      </c>
      <c r="B1351" t="s">
        <v>867</v>
      </c>
    </row>
    <row r="1352" hidden="1">
      <c r="A1352" s="32">
        <f>IFERROR(__xludf.DUMMYFUNCTION("""COMPUTED_VALUE"""),43322.92030814815)</f>
        <v>43322.92031</v>
      </c>
      <c r="B1352" t="s">
        <v>139</v>
      </c>
    </row>
    <row r="1353" hidden="1">
      <c r="A1353" s="32">
        <f>IFERROR(__xludf.DUMMYFUNCTION("""COMPUTED_VALUE"""),43322.95794384259)</f>
        <v>43322.95794</v>
      </c>
      <c r="B1353" t="s">
        <v>80</v>
      </c>
    </row>
    <row r="1354" hidden="1">
      <c r="A1354" s="32">
        <f>IFERROR(__xludf.DUMMYFUNCTION("""COMPUTED_VALUE"""),43322.98639953704)</f>
        <v>43322.9864</v>
      </c>
      <c r="B1354" t="s">
        <v>40</v>
      </c>
    </row>
    <row r="1355" hidden="1">
      <c r="A1355" s="32">
        <f>IFERROR(__xludf.DUMMYFUNCTION("""COMPUTED_VALUE"""),43323.01964375)</f>
        <v>43323.01964</v>
      </c>
      <c r="B1355" t="s">
        <v>33</v>
      </c>
    </row>
    <row r="1356" hidden="1">
      <c r="A1356" s="32">
        <f>IFERROR(__xludf.DUMMYFUNCTION("""COMPUTED_VALUE"""),43323.11643605324)</f>
        <v>43323.11644</v>
      </c>
      <c r="B1356" t="s">
        <v>33</v>
      </c>
    </row>
    <row r="1357" hidden="1">
      <c r="A1357" s="32">
        <f>IFERROR(__xludf.DUMMYFUNCTION("""COMPUTED_VALUE"""),43323.307668622685)</f>
        <v>43323.30767</v>
      </c>
      <c r="B1357" t="s">
        <v>2424</v>
      </c>
    </row>
    <row r="1358" hidden="1">
      <c r="A1358" s="32">
        <f>IFERROR(__xludf.DUMMYFUNCTION("""COMPUTED_VALUE"""),43323.36344165509)</f>
        <v>43323.36344</v>
      </c>
      <c r="B1358" t="s">
        <v>188</v>
      </c>
    </row>
    <row r="1359" hidden="1">
      <c r="A1359" s="32">
        <f>IFERROR(__xludf.DUMMYFUNCTION("""COMPUTED_VALUE"""),43323.47834498843)</f>
        <v>43323.47834</v>
      </c>
      <c r="B1359" t="s">
        <v>33</v>
      </c>
    </row>
    <row r="1360" hidden="1">
      <c r="A1360" s="32">
        <f>IFERROR(__xludf.DUMMYFUNCTION("""COMPUTED_VALUE"""),43323.50521913194)</f>
        <v>43323.50522</v>
      </c>
      <c r="B1360" t="s">
        <v>33</v>
      </c>
    </row>
    <row r="1361" hidden="1">
      <c r="A1361" s="32">
        <f>IFERROR(__xludf.DUMMYFUNCTION("""COMPUTED_VALUE"""),43323.570038252314)</f>
        <v>43323.57004</v>
      </c>
      <c r="B1361" t="s">
        <v>204</v>
      </c>
    </row>
    <row r="1362" hidden="1">
      <c r="A1362" s="32">
        <f>IFERROR(__xludf.DUMMYFUNCTION("""COMPUTED_VALUE"""),43323.76060739583)</f>
        <v>43323.76061</v>
      </c>
      <c r="B1362" t="s">
        <v>1079</v>
      </c>
    </row>
    <row r="1363" hidden="1">
      <c r="A1363" s="32">
        <f>IFERROR(__xludf.DUMMYFUNCTION("""COMPUTED_VALUE"""),43323.89224596065)</f>
        <v>43323.89225</v>
      </c>
      <c r="B1363" t="s">
        <v>2706</v>
      </c>
    </row>
    <row r="1364" hidden="1">
      <c r="A1364" s="32">
        <f>IFERROR(__xludf.DUMMYFUNCTION("""COMPUTED_VALUE"""),43323.895058055554)</f>
        <v>43323.89506</v>
      </c>
      <c r="B1364" t="s">
        <v>40</v>
      </c>
    </row>
    <row r="1365" hidden="1">
      <c r="A1365" s="32">
        <f>IFERROR(__xludf.DUMMYFUNCTION("""COMPUTED_VALUE"""),43323.914856435185)</f>
        <v>43323.91486</v>
      </c>
      <c r="B1365" t="s">
        <v>1082</v>
      </c>
    </row>
    <row r="1366" hidden="1">
      <c r="A1366" s="32">
        <f>IFERROR(__xludf.DUMMYFUNCTION("""COMPUTED_VALUE"""),43323.93314799768)</f>
        <v>43323.93315</v>
      </c>
      <c r="B1366" t="s">
        <v>123</v>
      </c>
    </row>
    <row r="1367" hidden="1">
      <c r="A1367" s="32">
        <f>IFERROR(__xludf.DUMMYFUNCTION("""COMPUTED_VALUE"""),43323.947648437505)</f>
        <v>43323.94765</v>
      </c>
      <c r="B1367" t="s">
        <v>2658</v>
      </c>
    </row>
    <row r="1368" hidden="1">
      <c r="A1368" s="32">
        <f>IFERROR(__xludf.DUMMYFUNCTION("""COMPUTED_VALUE"""),43323.95448104167)</f>
        <v>43323.95448</v>
      </c>
      <c r="B1368" t="s">
        <v>45</v>
      </c>
    </row>
    <row r="1369" hidden="1">
      <c r="A1369" s="32">
        <f>IFERROR(__xludf.DUMMYFUNCTION("""COMPUTED_VALUE"""),43324.071862881945)</f>
        <v>43324.07186</v>
      </c>
      <c r="B1369" t="s">
        <v>2707</v>
      </c>
    </row>
    <row r="1370" hidden="1">
      <c r="A1370" s="32">
        <f>IFERROR(__xludf.DUMMYFUNCTION("""COMPUTED_VALUE"""),43324.56722678241)</f>
        <v>43324.56723</v>
      </c>
      <c r="B1370" t="s">
        <v>170</v>
      </c>
    </row>
    <row r="1371" hidden="1">
      <c r="A1371" s="32">
        <f>IFERROR(__xludf.DUMMYFUNCTION("""COMPUTED_VALUE"""),43324.57584751157)</f>
        <v>43324.57585</v>
      </c>
      <c r="B1371" t="s">
        <v>33</v>
      </c>
    </row>
    <row r="1372" hidden="1">
      <c r="A1372" s="32">
        <f>IFERROR(__xludf.DUMMYFUNCTION("""COMPUTED_VALUE"""),43324.5997619213)</f>
        <v>43324.59976</v>
      </c>
      <c r="B1372" t="s">
        <v>80</v>
      </c>
    </row>
    <row r="1373" hidden="1">
      <c r="A1373" s="32">
        <f>IFERROR(__xludf.DUMMYFUNCTION("""COMPUTED_VALUE"""),43324.60501453704)</f>
        <v>43324.60501</v>
      </c>
      <c r="B1373" t="s">
        <v>33</v>
      </c>
    </row>
    <row r="1374" hidden="1">
      <c r="A1374" s="32">
        <f>IFERROR(__xludf.DUMMYFUNCTION("""COMPUTED_VALUE"""),43324.72757657408)</f>
        <v>43324.72758</v>
      </c>
      <c r="B1374" t="s">
        <v>33</v>
      </c>
    </row>
    <row r="1375" hidden="1">
      <c r="A1375" s="32">
        <f>IFERROR(__xludf.DUMMYFUNCTION("""COMPUTED_VALUE"""),43324.78328053241)</f>
        <v>43324.78328</v>
      </c>
      <c r="B1375" t="s">
        <v>350</v>
      </c>
    </row>
    <row r="1376" hidden="1">
      <c r="A1376" s="32">
        <f>IFERROR(__xludf.DUMMYFUNCTION("""COMPUTED_VALUE"""),43324.79641111111)</f>
        <v>43324.79641</v>
      </c>
      <c r="B1376" t="s">
        <v>2708</v>
      </c>
    </row>
    <row r="1377" hidden="1">
      <c r="A1377" s="32">
        <f>IFERROR(__xludf.DUMMYFUNCTION("""COMPUTED_VALUE"""),43324.97881894676)</f>
        <v>43324.97882</v>
      </c>
      <c r="B1377" t="s">
        <v>45</v>
      </c>
    </row>
    <row r="1378" hidden="1">
      <c r="A1378" s="32">
        <f>IFERROR(__xludf.DUMMYFUNCTION("""COMPUTED_VALUE"""),43325.394404756946)</f>
        <v>43325.3944</v>
      </c>
      <c r="B1378" t="s">
        <v>139</v>
      </c>
    </row>
    <row r="1379" hidden="1">
      <c r="A1379" s="32">
        <f>IFERROR(__xludf.DUMMYFUNCTION("""COMPUTED_VALUE"""),43325.42065814815)</f>
        <v>43325.42066</v>
      </c>
      <c r="B1379" t="s">
        <v>722</v>
      </c>
    </row>
    <row r="1380" hidden="1">
      <c r="A1380" s="32">
        <f>IFERROR(__xludf.DUMMYFUNCTION("""COMPUTED_VALUE"""),43325.44869402778)</f>
        <v>43325.44869</v>
      </c>
      <c r="B1380" t="s">
        <v>1095</v>
      </c>
    </row>
    <row r="1381" hidden="1">
      <c r="A1381" s="32">
        <f>IFERROR(__xludf.DUMMYFUNCTION("""COMPUTED_VALUE"""),43325.49126912037)</f>
        <v>43325.49127</v>
      </c>
      <c r="B1381" t="s">
        <v>25</v>
      </c>
    </row>
    <row r="1382" hidden="1">
      <c r="A1382" s="32">
        <f>IFERROR(__xludf.DUMMYFUNCTION("""COMPUTED_VALUE"""),43325.5774125)</f>
        <v>43325.57741</v>
      </c>
      <c r="B1382" t="s">
        <v>48</v>
      </c>
    </row>
    <row r="1383" hidden="1">
      <c r="A1383" s="32">
        <f>IFERROR(__xludf.DUMMYFUNCTION("""COMPUTED_VALUE"""),43325.64933822917)</f>
        <v>43325.64934</v>
      </c>
      <c r="B1383" t="s">
        <v>48</v>
      </c>
    </row>
    <row r="1384" hidden="1">
      <c r="A1384" s="32">
        <f>IFERROR(__xludf.DUMMYFUNCTION("""COMPUTED_VALUE"""),43325.73462804398)</f>
        <v>43325.73463</v>
      </c>
      <c r="B1384" t="s">
        <v>40</v>
      </c>
    </row>
    <row r="1385" hidden="1">
      <c r="A1385" s="32">
        <f>IFERROR(__xludf.DUMMYFUNCTION("""COMPUTED_VALUE"""),43325.84883486111)</f>
        <v>43325.84883</v>
      </c>
      <c r="B1385" t="s">
        <v>48</v>
      </c>
    </row>
    <row r="1386" hidden="1">
      <c r="A1386" s="32">
        <f>IFERROR(__xludf.DUMMYFUNCTION("""COMPUTED_VALUE"""),43325.98812775463)</f>
        <v>43325.98813</v>
      </c>
      <c r="B1386" t="s">
        <v>45</v>
      </c>
    </row>
    <row r="1387" hidden="1">
      <c r="A1387" s="32">
        <f>IFERROR(__xludf.DUMMYFUNCTION("""COMPUTED_VALUE"""),43326.06151813657)</f>
        <v>43326.06152</v>
      </c>
      <c r="B1387" t="s">
        <v>33</v>
      </c>
    </row>
    <row r="1388" hidden="1">
      <c r="A1388" s="32">
        <f>IFERROR(__xludf.DUMMYFUNCTION("""COMPUTED_VALUE"""),43326.277428773144)</f>
        <v>43326.27743</v>
      </c>
      <c r="B1388" t="s">
        <v>1103</v>
      </c>
    </row>
    <row r="1389" hidden="1">
      <c r="A1389" s="32">
        <f>IFERROR(__xludf.DUMMYFUNCTION("""COMPUTED_VALUE"""),43326.42407451389)</f>
        <v>43326.42407</v>
      </c>
      <c r="B1389" t="s">
        <v>142</v>
      </c>
    </row>
    <row r="1390" hidden="1">
      <c r="A1390" s="32">
        <f>IFERROR(__xludf.DUMMYFUNCTION("""COMPUTED_VALUE"""),43326.46993572917)</f>
        <v>43326.46994</v>
      </c>
      <c r="B1390" t="s">
        <v>40</v>
      </c>
    </row>
    <row r="1391" hidden="1">
      <c r="A1391" s="32">
        <f>IFERROR(__xludf.DUMMYFUNCTION("""COMPUTED_VALUE"""),43326.4998962963)</f>
        <v>43326.4999</v>
      </c>
      <c r="B1391" t="s">
        <v>80</v>
      </c>
    </row>
    <row r="1392" hidden="1">
      <c r="A1392" s="32">
        <f>IFERROR(__xludf.DUMMYFUNCTION("""COMPUTED_VALUE"""),43326.52792112269)</f>
        <v>43326.52792</v>
      </c>
      <c r="B1392" t="s">
        <v>33</v>
      </c>
    </row>
    <row r="1393" hidden="1">
      <c r="A1393" s="32">
        <f>IFERROR(__xludf.DUMMYFUNCTION("""COMPUTED_VALUE"""),43326.53677994213)</f>
        <v>43326.53678</v>
      </c>
      <c r="B1393" t="s">
        <v>33</v>
      </c>
    </row>
    <row r="1394" hidden="1">
      <c r="A1394" s="32">
        <f>IFERROR(__xludf.DUMMYFUNCTION("""COMPUTED_VALUE"""),43326.54812283565)</f>
        <v>43326.54812</v>
      </c>
      <c r="B1394" t="s">
        <v>426</v>
      </c>
    </row>
    <row r="1395" hidden="1">
      <c r="A1395" s="32">
        <f>IFERROR(__xludf.DUMMYFUNCTION("""COMPUTED_VALUE"""),43326.5533459375)</f>
        <v>43326.55335</v>
      </c>
      <c r="B1395" t="s">
        <v>268</v>
      </c>
    </row>
    <row r="1396" hidden="1">
      <c r="A1396" s="32">
        <f>IFERROR(__xludf.DUMMYFUNCTION("""COMPUTED_VALUE"""),43326.55790885417)</f>
        <v>43326.55791</v>
      </c>
      <c r="B1396" t="s">
        <v>196</v>
      </c>
    </row>
    <row r="1397" hidden="1">
      <c r="A1397" s="32">
        <f>IFERROR(__xludf.DUMMYFUNCTION("""COMPUTED_VALUE"""),43326.55837479167)</f>
        <v>43326.55837</v>
      </c>
      <c r="B1397" t="s">
        <v>196</v>
      </c>
    </row>
    <row r="1398" hidden="1">
      <c r="A1398" s="32">
        <f>IFERROR(__xludf.DUMMYFUNCTION("""COMPUTED_VALUE"""),43326.62378065972)</f>
        <v>43326.62378</v>
      </c>
      <c r="B1398" t="s">
        <v>40</v>
      </c>
    </row>
    <row r="1399" hidden="1">
      <c r="A1399" s="32">
        <f>IFERROR(__xludf.DUMMYFUNCTION("""COMPUTED_VALUE"""),43326.646338032406)</f>
        <v>43326.64634</v>
      </c>
      <c r="B1399" t="s">
        <v>48</v>
      </c>
    </row>
    <row r="1400" hidden="1">
      <c r="A1400" s="32">
        <f>IFERROR(__xludf.DUMMYFUNCTION("""COMPUTED_VALUE"""),43326.6527575463)</f>
        <v>43326.65276</v>
      </c>
      <c r="B1400" t="s">
        <v>33</v>
      </c>
    </row>
    <row r="1401" hidden="1">
      <c r="A1401" s="32">
        <f>IFERROR(__xludf.DUMMYFUNCTION("""COMPUTED_VALUE"""),43326.65644549769)</f>
        <v>43326.65645</v>
      </c>
      <c r="B1401" t="s">
        <v>40</v>
      </c>
    </row>
    <row r="1402" hidden="1">
      <c r="A1402" s="32">
        <f>IFERROR(__xludf.DUMMYFUNCTION("""COMPUTED_VALUE"""),43326.71161583334)</f>
        <v>43326.71162</v>
      </c>
      <c r="B1402" t="s">
        <v>40</v>
      </c>
    </row>
    <row r="1403" hidden="1">
      <c r="A1403" s="32">
        <f>IFERROR(__xludf.DUMMYFUNCTION("""COMPUTED_VALUE"""),43326.74186318287)</f>
        <v>43326.74186</v>
      </c>
      <c r="B1403" t="s">
        <v>40</v>
      </c>
    </row>
    <row r="1404" hidden="1">
      <c r="A1404" s="32">
        <f>IFERROR(__xludf.DUMMYFUNCTION("""COMPUTED_VALUE"""),43326.78330013889)</f>
        <v>43326.7833</v>
      </c>
      <c r="B1404" t="s">
        <v>33</v>
      </c>
    </row>
    <row r="1405" hidden="1">
      <c r="A1405" s="32">
        <f>IFERROR(__xludf.DUMMYFUNCTION("""COMPUTED_VALUE"""),43326.80156628472)</f>
        <v>43326.80157</v>
      </c>
      <c r="B1405" t="s">
        <v>350</v>
      </c>
    </row>
    <row r="1406" hidden="1">
      <c r="A1406" s="32">
        <f>IFERROR(__xludf.DUMMYFUNCTION("""COMPUTED_VALUE"""),43326.80987728009)</f>
        <v>43326.80988</v>
      </c>
      <c r="B1406" t="s">
        <v>40</v>
      </c>
    </row>
    <row r="1407" hidden="1">
      <c r="A1407" s="32">
        <f>IFERROR(__xludf.DUMMYFUNCTION("""COMPUTED_VALUE"""),43326.83838806713)</f>
        <v>43326.83839</v>
      </c>
      <c r="B1407" t="s">
        <v>40</v>
      </c>
    </row>
    <row r="1408" hidden="1">
      <c r="A1408" s="32">
        <f>IFERROR(__xludf.DUMMYFUNCTION("""COMPUTED_VALUE"""),43326.85746791666)</f>
        <v>43326.85747</v>
      </c>
      <c r="B1408" t="s">
        <v>48</v>
      </c>
    </row>
    <row r="1409" hidden="1">
      <c r="A1409" s="32">
        <f>IFERROR(__xludf.DUMMYFUNCTION("""COMPUTED_VALUE"""),43326.87293466435)</f>
        <v>43326.87293</v>
      </c>
      <c r="B1409" t="s">
        <v>119</v>
      </c>
    </row>
    <row r="1410" hidden="1">
      <c r="A1410" s="32">
        <f>IFERROR(__xludf.DUMMYFUNCTION("""COMPUTED_VALUE"""),43326.880893194444)</f>
        <v>43326.88089</v>
      </c>
      <c r="B1410" t="s">
        <v>2658</v>
      </c>
    </row>
    <row r="1411" hidden="1">
      <c r="A1411" s="32">
        <f>IFERROR(__xludf.DUMMYFUNCTION("""COMPUTED_VALUE"""),43326.8828603588)</f>
        <v>43326.88286</v>
      </c>
      <c r="B1411" t="s">
        <v>40</v>
      </c>
    </row>
    <row r="1412" hidden="1">
      <c r="A1412" s="32">
        <f>IFERROR(__xludf.DUMMYFUNCTION("""COMPUTED_VALUE"""),43326.91369606482)</f>
        <v>43326.9137</v>
      </c>
      <c r="B1412" t="s">
        <v>40</v>
      </c>
    </row>
    <row r="1413" hidden="1">
      <c r="A1413" s="32">
        <f>IFERROR(__xludf.DUMMYFUNCTION("""COMPUTED_VALUE"""),43326.94819298611)</f>
        <v>43326.94819</v>
      </c>
      <c r="B1413" t="s">
        <v>33</v>
      </c>
    </row>
    <row r="1414" hidden="1">
      <c r="A1414" s="32">
        <f>IFERROR(__xludf.DUMMYFUNCTION("""COMPUTED_VALUE"""),43326.954032905094)</f>
        <v>43326.95403</v>
      </c>
      <c r="B1414" t="s">
        <v>80</v>
      </c>
    </row>
    <row r="1415" hidden="1">
      <c r="A1415" s="32">
        <f>IFERROR(__xludf.DUMMYFUNCTION("""COMPUTED_VALUE"""),43326.975816770835)</f>
        <v>43326.97582</v>
      </c>
      <c r="B1415" t="s">
        <v>40</v>
      </c>
    </row>
    <row r="1416" hidden="1">
      <c r="A1416" s="32">
        <f>IFERROR(__xludf.DUMMYFUNCTION("""COMPUTED_VALUE"""),43327.014848506944)</f>
        <v>43327.01485</v>
      </c>
      <c r="B1416" t="s">
        <v>378</v>
      </c>
    </row>
    <row r="1417" hidden="1">
      <c r="A1417" s="32">
        <f>IFERROR(__xludf.DUMMYFUNCTION("""COMPUTED_VALUE"""),43327.05532008102)</f>
        <v>43327.05532</v>
      </c>
      <c r="B1417" t="s">
        <v>350</v>
      </c>
    </row>
    <row r="1418" hidden="1">
      <c r="A1418" s="32">
        <f>IFERROR(__xludf.DUMMYFUNCTION("""COMPUTED_VALUE"""),43327.2569396412)</f>
        <v>43327.25694</v>
      </c>
      <c r="B1418" t="s">
        <v>33</v>
      </c>
    </row>
    <row r="1419" hidden="1">
      <c r="A1419" s="32">
        <f>IFERROR(__xludf.DUMMYFUNCTION("""COMPUTED_VALUE"""),43327.33377878473)</f>
        <v>43327.33378</v>
      </c>
      <c r="B1419" t="s">
        <v>80</v>
      </c>
    </row>
    <row r="1420" hidden="1">
      <c r="A1420" s="32">
        <f>IFERROR(__xludf.DUMMYFUNCTION("""COMPUTED_VALUE"""),43327.35249635417)</f>
        <v>43327.3525</v>
      </c>
      <c r="B1420" t="s">
        <v>80</v>
      </c>
    </row>
    <row r="1421" hidden="1">
      <c r="A1421" s="32">
        <f>IFERROR(__xludf.DUMMYFUNCTION("""COMPUTED_VALUE"""),43327.41905195602)</f>
        <v>43327.41905</v>
      </c>
      <c r="B1421" t="s">
        <v>170</v>
      </c>
    </row>
    <row r="1422" hidden="1">
      <c r="A1422" s="32">
        <f>IFERROR(__xludf.DUMMYFUNCTION("""COMPUTED_VALUE"""),43327.45777461806)</f>
        <v>43327.45777</v>
      </c>
      <c r="B1422" t="s">
        <v>2</v>
      </c>
    </row>
    <row r="1423" hidden="1">
      <c r="A1423" s="32">
        <f>IFERROR(__xludf.DUMMYFUNCTION("""COMPUTED_VALUE"""),43327.498422847224)</f>
        <v>43327.49842</v>
      </c>
      <c r="B1423" t="s">
        <v>1127</v>
      </c>
    </row>
    <row r="1424" hidden="1">
      <c r="A1424" s="32">
        <f>IFERROR(__xludf.DUMMYFUNCTION("""COMPUTED_VALUE"""),43327.51637283565)</f>
        <v>43327.51637</v>
      </c>
      <c r="B1424" t="s">
        <v>40</v>
      </c>
    </row>
    <row r="1425" hidden="1">
      <c r="A1425" s="32">
        <f>IFERROR(__xludf.DUMMYFUNCTION("""COMPUTED_VALUE"""),43327.550334976855)</f>
        <v>43327.55033</v>
      </c>
      <c r="B1425" t="s">
        <v>407</v>
      </c>
    </row>
    <row r="1426" hidden="1">
      <c r="A1426" s="32">
        <f>IFERROR(__xludf.DUMMYFUNCTION("""COMPUTED_VALUE"""),43327.55740157407)</f>
        <v>43327.5574</v>
      </c>
      <c r="B1426" t="s">
        <v>40</v>
      </c>
    </row>
    <row r="1427" hidden="1">
      <c r="A1427" s="32">
        <f>IFERROR(__xludf.DUMMYFUNCTION("""COMPUTED_VALUE"""),43327.591110787034)</f>
        <v>43327.59111</v>
      </c>
      <c r="B1427" t="s">
        <v>45</v>
      </c>
    </row>
    <row r="1428" hidden="1">
      <c r="A1428" s="32">
        <f>IFERROR(__xludf.DUMMYFUNCTION("""COMPUTED_VALUE"""),43327.629095625)</f>
        <v>43327.6291</v>
      </c>
      <c r="B1428" t="s">
        <v>40</v>
      </c>
    </row>
    <row r="1429" hidden="1">
      <c r="A1429" s="32">
        <f>IFERROR(__xludf.DUMMYFUNCTION("""COMPUTED_VALUE"""),43327.635511817134)</f>
        <v>43327.63551</v>
      </c>
      <c r="B1429" t="s">
        <v>40</v>
      </c>
    </row>
    <row r="1430" hidden="1">
      <c r="A1430" s="32">
        <f>IFERROR(__xludf.DUMMYFUNCTION("""COMPUTED_VALUE"""),43327.637667372685)</f>
        <v>43327.63767</v>
      </c>
      <c r="B1430" t="s">
        <v>40</v>
      </c>
    </row>
    <row r="1431" hidden="1">
      <c r="A1431" s="32">
        <f>IFERROR(__xludf.DUMMYFUNCTION("""COMPUTED_VALUE"""),43327.639958287036)</f>
        <v>43327.63996</v>
      </c>
      <c r="B1431" t="s">
        <v>40</v>
      </c>
    </row>
    <row r="1432" hidden="1">
      <c r="A1432" s="32">
        <f>IFERROR(__xludf.DUMMYFUNCTION("""COMPUTED_VALUE"""),43327.64047216435)</f>
        <v>43327.64047</v>
      </c>
      <c r="B1432" t="s">
        <v>40</v>
      </c>
    </row>
    <row r="1433" hidden="1">
      <c r="A1433" s="32">
        <f>IFERROR(__xludf.DUMMYFUNCTION("""COMPUTED_VALUE"""),43327.64249971065)</f>
        <v>43327.6425</v>
      </c>
      <c r="B1433" t="s">
        <v>40</v>
      </c>
    </row>
    <row r="1434" hidden="1">
      <c r="A1434" s="32">
        <f>IFERROR(__xludf.DUMMYFUNCTION("""COMPUTED_VALUE"""),43327.645542604165)</f>
        <v>43327.64554</v>
      </c>
      <c r="B1434" t="s">
        <v>40</v>
      </c>
    </row>
    <row r="1435" hidden="1">
      <c r="A1435" s="32">
        <f>IFERROR(__xludf.DUMMYFUNCTION("""COMPUTED_VALUE"""),43327.64591251157)</f>
        <v>43327.64591</v>
      </c>
      <c r="B1435" t="s">
        <v>40</v>
      </c>
    </row>
    <row r="1436" hidden="1">
      <c r="A1436" s="32">
        <f>IFERROR(__xludf.DUMMYFUNCTION("""COMPUTED_VALUE"""),43327.64789359954)</f>
        <v>43327.64789</v>
      </c>
      <c r="B1436" t="s">
        <v>40</v>
      </c>
    </row>
    <row r="1437" hidden="1">
      <c r="A1437" s="32">
        <f>IFERROR(__xludf.DUMMYFUNCTION("""COMPUTED_VALUE"""),43327.65141579861)</f>
        <v>43327.65142</v>
      </c>
      <c r="B1437" t="s">
        <v>40</v>
      </c>
    </row>
    <row r="1438" hidden="1">
      <c r="A1438" s="32">
        <f>IFERROR(__xludf.DUMMYFUNCTION("""COMPUTED_VALUE"""),43327.65748800926)</f>
        <v>43327.65749</v>
      </c>
      <c r="B1438" t="s">
        <v>268</v>
      </c>
    </row>
    <row r="1439" hidden="1">
      <c r="A1439" s="32">
        <f>IFERROR(__xludf.DUMMYFUNCTION("""COMPUTED_VALUE"""),43327.658899050926)</f>
        <v>43327.6589</v>
      </c>
      <c r="B1439" t="s">
        <v>40</v>
      </c>
    </row>
    <row r="1440" hidden="1">
      <c r="A1440" s="32">
        <f>IFERROR(__xludf.DUMMYFUNCTION("""COMPUTED_VALUE"""),43327.669236608795)</f>
        <v>43327.66924</v>
      </c>
      <c r="B1440" t="s">
        <v>40</v>
      </c>
    </row>
    <row r="1441" hidden="1">
      <c r="A1441" s="32">
        <f>IFERROR(__xludf.DUMMYFUNCTION("""COMPUTED_VALUE"""),43327.67452479167)</f>
        <v>43327.67452</v>
      </c>
      <c r="B1441" t="s">
        <v>40</v>
      </c>
    </row>
    <row r="1442" hidden="1">
      <c r="A1442" s="32">
        <f>IFERROR(__xludf.DUMMYFUNCTION("""COMPUTED_VALUE"""),43327.67629856482)</f>
        <v>43327.6763</v>
      </c>
      <c r="B1442" t="s">
        <v>40</v>
      </c>
    </row>
    <row r="1443" hidden="1">
      <c r="A1443" s="32">
        <f>IFERROR(__xludf.DUMMYFUNCTION("""COMPUTED_VALUE"""),43327.68969086806)</f>
        <v>43327.68969</v>
      </c>
      <c r="B1443" t="s">
        <v>40</v>
      </c>
    </row>
    <row r="1444" hidden="1">
      <c r="A1444" s="32">
        <f>IFERROR(__xludf.DUMMYFUNCTION("""COMPUTED_VALUE"""),43327.70083412037)</f>
        <v>43327.70083</v>
      </c>
      <c r="B1444" t="s">
        <v>40</v>
      </c>
    </row>
    <row r="1445" hidden="1">
      <c r="A1445" s="32">
        <f>IFERROR(__xludf.DUMMYFUNCTION("""COMPUTED_VALUE"""),43327.702028541666)</f>
        <v>43327.70203</v>
      </c>
      <c r="B1445" t="s">
        <v>40</v>
      </c>
    </row>
    <row r="1446" hidden="1">
      <c r="A1446" s="32">
        <f>IFERROR(__xludf.DUMMYFUNCTION("""COMPUTED_VALUE"""),43327.70250304398)</f>
        <v>43327.7025</v>
      </c>
      <c r="B1446" t="s">
        <v>1135</v>
      </c>
    </row>
    <row r="1447" hidden="1">
      <c r="A1447" s="32">
        <f>IFERROR(__xludf.DUMMYFUNCTION("""COMPUTED_VALUE"""),43327.70675321759)</f>
        <v>43327.70675</v>
      </c>
      <c r="B1447" t="s">
        <v>40</v>
      </c>
    </row>
    <row r="1448" hidden="1">
      <c r="A1448" s="32">
        <f>IFERROR(__xludf.DUMMYFUNCTION("""COMPUTED_VALUE"""),43327.71233408565)</f>
        <v>43327.71233</v>
      </c>
      <c r="B1448" t="s">
        <v>40</v>
      </c>
    </row>
    <row r="1449" hidden="1">
      <c r="A1449" s="32">
        <f>IFERROR(__xludf.DUMMYFUNCTION("""COMPUTED_VALUE"""),43327.71406805556)</f>
        <v>43327.71407</v>
      </c>
      <c r="B1449" t="s">
        <v>40</v>
      </c>
    </row>
    <row r="1450" hidden="1">
      <c r="A1450" s="32">
        <f>IFERROR(__xludf.DUMMYFUNCTION("""COMPUTED_VALUE"""),43327.74336078703)</f>
        <v>43327.74336</v>
      </c>
      <c r="B1450" t="s">
        <v>40</v>
      </c>
    </row>
    <row r="1451" hidden="1">
      <c r="A1451" s="32">
        <f>IFERROR(__xludf.DUMMYFUNCTION("""COMPUTED_VALUE"""),43327.74380646991)</f>
        <v>43327.74381</v>
      </c>
      <c r="B1451" t="s">
        <v>80</v>
      </c>
    </row>
    <row r="1452" hidden="1">
      <c r="A1452" s="32">
        <f>IFERROR(__xludf.DUMMYFUNCTION("""COMPUTED_VALUE"""),43327.75577158565)</f>
        <v>43327.75577</v>
      </c>
      <c r="B1452" t="s">
        <v>40</v>
      </c>
    </row>
    <row r="1453" hidden="1">
      <c r="A1453" s="32">
        <f>IFERROR(__xludf.DUMMYFUNCTION("""COMPUTED_VALUE"""),43327.76274851852)</f>
        <v>43327.76275</v>
      </c>
      <c r="B1453" t="s">
        <v>40</v>
      </c>
    </row>
    <row r="1454" hidden="1">
      <c r="A1454" s="32">
        <f>IFERROR(__xludf.DUMMYFUNCTION("""COMPUTED_VALUE"""),43327.77895998843)</f>
        <v>43327.77896</v>
      </c>
      <c r="B1454" t="s">
        <v>40</v>
      </c>
    </row>
    <row r="1455" hidden="1">
      <c r="A1455" s="32">
        <f>IFERROR(__xludf.DUMMYFUNCTION("""COMPUTED_VALUE"""),43327.784256377316)</f>
        <v>43327.78426</v>
      </c>
      <c r="B1455" t="s">
        <v>802</v>
      </c>
    </row>
    <row r="1456" hidden="1">
      <c r="A1456" s="32">
        <f>IFERROR(__xludf.DUMMYFUNCTION("""COMPUTED_VALUE"""),43327.79479947917)</f>
        <v>43327.7948</v>
      </c>
      <c r="B1456" t="s">
        <v>268</v>
      </c>
    </row>
    <row r="1457" hidden="1">
      <c r="A1457" s="32">
        <f>IFERROR(__xludf.DUMMYFUNCTION("""COMPUTED_VALUE"""),43327.809235532404)</f>
        <v>43327.80924</v>
      </c>
      <c r="B1457" t="s">
        <v>123</v>
      </c>
    </row>
    <row r="1458" hidden="1">
      <c r="A1458" s="32">
        <f>IFERROR(__xludf.DUMMYFUNCTION("""COMPUTED_VALUE"""),43327.81451510417)</f>
        <v>43327.81452</v>
      </c>
      <c r="B1458" t="s">
        <v>40</v>
      </c>
    </row>
    <row r="1459" hidden="1">
      <c r="A1459" s="32">
        <f>IFERROR(__xludf.DUMMYFUNCTION("""COMPUTED_VALUE"""),43327.83138870371)</f>
        <v>43327.83139</v>
      </c>
      <c r="B1459" t="s">
        <v>40</v>
      </c>
    </row>
    <row r="1460" hidden="1">
      <c r="A1460" s="32">
        <f>IFERROR(__xludf.DUMMYFUNCTION("""COMPUTED_VALUE"""),43327.833911932874)</f>
        <v>43327.83391</v>
      </c>
      <c r="B1460" t="s">
        <v>40</v>
      </c>
    </row>
    <row r="1461" hidden="1">
      <c r="A1461" s="32">
        <f>IFERROR(__xludf.DUMMYFUNCTION("""COMPUTED_VALUE"""),43327.84624783565)</f>
        <v>43327.84625</v>
      </c>
      <c r="B1461" t="s">
        <v>80</v>
      </c>
    </row>
    <row r="1462" hidden="1">
      <c r="A1462" s="32">
        <f>IFERROR(__xludf.DUMMYFUNCTION("""COMPUTED_VALUE"""),43327.846478645835)</f>
        <v>43327.84648</v>
      </c>
      <c r="B1462" t="s">
        <v>48</v>
      </c>
    </row>
    <row r="1463" hidden="1">
      <c r="A1463" s="32">
        <f>IFERROR(__xludf.DUMMYFUNCTION("""COMPUTED_VALUE"""),43327.849204432874)</f>
        <v>43327.8492</v>
      </c>
      <c r="B1463" t="s">
        <v>33</v>
      </c>
    </row>
    <row r="1464" hidden="1">
      <c r="A1464" s="32">
        <f>IFERROR(__xludf.DUMMYFUNCTION("""COMPUTED_VALUE"""),43327.851702569445)</f>
        <v>43327.8517</v>
      </c>
      <c r="B1464" t="s">
        <v>80</v>
      </c>
    </row>
    <row r="1465" hidden="1">
      <c r="A1465" s="32">
        <f>IFERROR(__xludf.DUMMYFUNCTION("""COMPUTED_VALUE"""),43327.86014238426)</f>
        <v>43327.86014</v>
      </c>
      <c r="B1465" t="s">
        <v>380</v>
      </c>
    </row>
    <row r="1466" hidden="1">
      <c r="A1466" s="32">
        <f>IFERROR(__xludf.DUMMYFUNCTION("""COMPUTED_VALUE"""),43327.87123584491)</f>
        <v>43327.87124</v>
      </c>
      <c r="B1466" t="s">
        <v>25</v>
      </c>
    </row>
    <row r="1467" hidden="1">
      <c r="A1467" s="32">
        <f>IFERROR(__xludf.DUMMYFUNCTION("""COMPUTED_VALUE"""),43327.87701188657)</f>
        <v>43327.87701</v>
      </c>
      <c r="B1467" t="s">
        <v>40</v>
      </c>
    </row>
    <row r="1468" hidden="1">
      <c r="A1468" s="32">
        <f>IFERROR(__xludf.DUMMYFUNCTION("""COMPUTED_VALUE"""),43327.90999857639)</f>
        <v>43327.91</v>
      </c>
      <c r="B1468" t="s">
        <v>40</v>
      </c>
    </row>
    <row r="1469" hidden="1">
      <c r="A1469" s="32">
        <f>IFERROR(__xludf.DUMMYFUNCTION("""COMPUTED_VALUE"""),43327.93110802083)</f>
        <v>43327.93111</v>
      </c>
      <c r="B1469" t="s">
        <v>40</v>
      </c>
    </row>
    <row r="1470" hidden="1">
      <c r="A1470" s="32">
        <f>IFERROR(__xludf.DUMMYFUNCTION("""COMPUTED_VALUE"""),43327.96506858796)</f>
        <v>43327.96507</v>
      </c>
      <c r="B1470" t="s">
        <v>40</v>
      </c>
    </row>
    <row r="1471" hidden="1">
      <c r="A1471" s="32">
        <f>IFERROR(__xludf.DUMMYFUNCTION("""COMPUTED_VALUE"""),43327.96921982639)</f>
        <v>43327.96922</v>
      </c>
      <c r="B1471" t="s">
        <v>80</v>
      </c>
    </row>
    <row r="1472" hidden="1">
      <c r="A1472" s="32">
        <f>IFERROR(__xludf.DUMMYFUNCTION("""COMPUTED_VALUE"""),43327.97173103009)</f>
        <v>43327.97173</v>
      </c>
      <c r="B1472" t="s">
        <v>40</v>
      </c>
    </row>
    <row r="1473" hidden="1">
      <c r="A1473" s="32">
        <f>IFERROR(__xludf.DUMMYFUNCTION("""COMPUTED_VALUE"""),43327.97813392361)</f>
        <v>43327.97813</v>
      </c>
      <c r="B1473" t="s">
        <v>124</v>
      </c>
    </row>
    <row r="1474" hidden="1">
      <c r="A1474" s="32">
        <f>IFERROR(__xludf.DUMMYFUNCTION("""COMPUTED_VALUE"""),43327.99923716435)</f>
        <v>43327.99924</v>
      </c>
      <c r="B1474" t="s">
        <v>40</v>
      </c>
    </row>
    <row r="1475" hidden="1">
      <c r="A1475" s="32">
        <f>IFERROR(__xludf.DUMMYFUNCTION("""COMPUTED_VALUE"""),43328.006419259254)</f>
        <v>43328.00642</v>
      </c>
      <c r="B1475" t="s">
        <v>40</v>
      </c>
    </row>
    <row r="1476" hidden="1">
      <c r="A1476" s="32">
        <f>IFERROR(__xludf.DUMMYFUNCTION("""COMPUTED_VALUE"""),43328.07440197917)</f>
        <v>43328.0744</v>
      </c>
      <c r="B1476" t="s">
        <v>119</v>
      </c>
    </row>
    <row r="1477" hidden="1">
      <c r="A1477" s="32">
        <f>IFERROR(__xludf.DUMMYFUNCTION("""COMPUTED_VALUE"""),43328.360282222224)</f>
        <v>43328.36028</v>
      </c>
      <c r="B1477" t="s">
        <v>33</v>
      </c>
    </row>
    <row r="1478" hidden="1">
      <c r="A1478" s="32">
        <f>IFERROR(__xludf.DUMMYFUNCTION("""COMPUTED_VALUE"""),43328.36926759259)</f>
        <v>43328.36927</v>
      </c>
      <c r="B1478" t="s">
        <v>282</v>
      </c>
    </row>
    <row r="1479" hidden="1">
      <c r="A1479" s="32">
        <f>IFERROR(__xludf.DUMMYFUNCTION("""COMPUTED_VALUE"""),43328.41639402778)</f>
        <v>43328.41639</v>
      </c>
      <c r="B1479" t="s">
        <v>119</v>
      </c>
    </row>
    <row r="1480" hidden="1">
      <c r="A1480" s="32">
        <f>IFERROR(__xludf.DUMMYFUNCTION("""COMPUTED_VALUE"""),43328.418913194444)</f>
        <v>43328.41891</v>
      </c>
      <c r="B1480" t="s">
        <v>40</v>
      </c>
    </row>
    <row r="1481" hidden="1">
      <c r="A1481" s="32">
        <f>IFERROR(__xludf.DUMMYFUNCTION("""COMPUTED_VALUE"""),43328.47034946759)</f>
        <v>43328.47035</v>
      </c>
      <c r="B1481" t="s">
        <v>40</v>
      </c>
    </row>
    <row r="1482" hidden="1">
      <c r="A1482" s="32">
        <f>IFERROR(__xludf.DUMMYFUNCTION("""COMPUTED_VALUE"""),43328.48371417824)</f>
        <v>43328.48371</v>
      </c>
      <c r="B1482" t="s">
        <v>1154</v>
      </c>
    </row>
    <row r="1483" hidden="1">
      <c r="A1483" s="32">
        <f>IFERROR(__xludf.DUMMYFUNCTION("""COMPUTED_VALUE"""),43328.48543699074)</f>
        <v>43328.48544</v>
      </c>
      <c r="B1483" t="s">
        <v>1156</v>
      </c>
    </row>
    <row r="1484" hidden="1">
      <c r="A1484" s="32">
        <f>IFERROR(__xludf.DUMMYFUNCTION("""COMPUTED_VALUE"""),43328.495530127315)</f>
        <v>43328.49553</v>
      </c>
      <c r="B1484" t="s">
        <v>263</v>
      </c>
    </row>
    <row r="1485" hidden="1">
      <c r="A1485" s="32">
        <f>IFERROR(__xludf.DUMMYFUNCTION("""COMPUTED_VALUE"""),43328.50140026621)</f>
        <v>43328.5014</v>
      </c>
      <c r="B1485" t="s">
        <v>40</v>
      </c>
    </row>
    <row r="1486" hidden="1">
      <c r="A1486" s="32">
        <f>IFERROR(__xludf.DUMMYFUNCTION("""COMPUTED_VALUE"""),43328.51084378472)</f>
        <v>43328.51084</v>
      </c>
      <c r="B1486" t="s">
        <v>40</v>
      </c>
    </row>
    <row r="1487" hidden="1">
      <c r="A1487" s="32">
        <f>IFERROR(__xludf.DUMMYFUNCTION("""COMPUTED_VALUE"""),43328.51330324074)</f>
        <v>43328.5133</v>
      </c>
      <c r="B1487" t="s">
        <v>40</v>
      </c>
    </row>
    <row r="1488" hidden="1">
      <c r="A1488" s="32">
        <f>IFERROR(__xludf.DUMMYFUNCTION("""COMPUTED_VALUE"""),43328.55023396991)</f>
        <v>43328.55023</v>
      </c>
      <c r="B1488" t="s">
        <v>1158</v>
      </c>
    </row>
    <row r="1489" hidden="1">
      <c r="A1489" s="32">
        <f>IFERROR(__xludf.DUMMYFUNCTION("""COMPUTED_VALUE"""),43328.561918125)</f>
        <v>43328.56192</v>
      </c>
      <c r="B1489" t="s">
        <v>40</v>
      </c>
    </row>
    <row r="1490" hidden="1">
      <c r="A1490" s="32">
        <f>IFERROR(__xludf.DUMMYFUNCTION("""COMPUTED_VALUE"""),43328.65168530092)</f>
        <v>43328.65169</v>
      </c>
      <c r="B1490" t="s">
        <v>33</v>
      </c>
    </row>
    <row r="1491" hidden="1">
      <c r="A1491" s="32">
        <f>IFERROR(__xludf.DUMMYFUNCTION("""COMPUTED_VALUE"""),43328.65322094907)</f>
        <v>43328.65322</v>
      </c>
      <c r="B1491" t="s">
        <v>33</v>
      </c>
    </row>
    <row r="1492" hidden="1">
      <c r="A1492" s="32">
        <f>IFERROR(__xludf.DUMMYFUNCTION("""COMPUTED_VALUE"""),43328.66113894676)</f>
        <v>43328.66114</v>
      </c>
      <c r="B1492" t="s">
        <v>33</v>
      </c>
    </row>
    <row r="1493" hidden="1">
      <c r="A1493" s="32">
        <f>IFERROR(__xludf.DUMMYFUNCTION("""COMPUTED_VALUE"""),43328.696271967594)</f>
        <v>43328.69627</v>
      </c>
      <c r="B1493" t="s">
        <v>40</v>
      </c>
    </row>
    <row r="1494" hidden="1">
      <c r="A1494" s="32">
        <f>IFERROR(__xludf.DUMMYFUNCTION("""COMPUTED_VALUE"""),43328.71679871528)</f>
        <v>43328.7168</v>
      </c>
      <c r="B1494" t="s">
        <v>40</v>
      </c>
    </row>
    <row r="1495" hidden="1">
      <c r="A1495" s="32">
        <f>IFERROR(__xludf.DUMMYFUNCTION("""COMPUTED_VALUE"""),43328.728619375004)</f>
        <v>43328.72862</v>
      </c>
      <c r="B1495" t="s">
        <v>40</v>
      </c>
    </row>
    <row r="1496" hidden="1">
      <c r="A1496" s="32">
        <f>IFERROR(__xludf.DUMMYFUNCTION("""COMPUTED_VALUE"""),43328.7359137037)</f>
        <v>43328.73591</v>
      </c>
      <c r="B1496" t="s">
        <v>40</v>
      </c>
    </row>
    <row r="1497" hidden="1">
      <c r="A1497" s="32">
        <f>IFERROR(__xludf.DUMMYFUNCTION("""COMPUTED_VALUE"""),43328.78673446759)</f>
        <v>43328.78673</v>
      </c>
      <c r="B1497" t="s">
        <v>1160</v>
      </c>
    </row>
    <row r="1498" hidden="1">
      <c r="A1498" s="32">
        <f>IFERROR(__xludf.DUMMYFUNCTION("""COMPUTED_VALUE"""),43328.80844255787)</f>
        <v>43328.80844</v>
      </c>
      <c r="B1498" t="s">
        <v>80</v>
      </c>
    </row>
    <row r="1499" hidden="1">
      <c r="A1499" s="32">
        <f>IFERROR(__xludf.DUMMYFUNCTION("""COMPUTED_VALUE"""),43328.82726659722)</f>
        <v>43328.82727</v>
      </c>
      <c r="B1499" t="s">
        <v>40</v>
      </c>
    </row>
    <row r="1500" hidden="1">
      <c r="A1500" s="32">
        <f>IFERROR(__xludf.DUMMYFUNCTION("""COMPUTED_VALUE"""),43328.837442916665)</f>
        <v>43328.83744</v>
      </c>
      <c r="B1500" t="s">
        <v>40</v>
      </c>
    </row>
    <row r="1501" hidden="1">
      <c r="A1501" s="32">
        <f>IFERROR(__xludf.DUMMYFUNCTION("""COMPUTED_VALUE"""),43328.87610592593)</f>
        <v>43328.87611</v>
      </c>
      <c r="B1501" t="s">
        <v>40</v>
      </c>
    </row>
    <row r="1502" hidden="1">
      <c r="A1502" s="32">
        <f>IFERROR(__xludf.DUMMYFUNCTION("""COMPUTED_VALUE"""),43328.91444072917)</f>
        <v>43328.91444</v>
      </c>
      <c r="B1502" t="s">
        <v>40</v>
      </c>
    </row>
    <row r="1503" hidden="1">
      <c r="A1503" s="32">
        <f>IFERROR(__xludf.DUMMYFUNCTION("""COMPUTED_VALUE"""),43328.91946072917)</f>
        <v>43328.91946</v>
      </c>
      <c r="B1503" t="s">
        <v>40</v>
      </c>
    </row>
    <row r="1504" hidden="1">
      <c r="A1504" s="32">
        <f>IFERROR(__xludf.DUMMYFUNCTION("""COMPUTED_VALUE"""),43328.92069009259)</f>
        <v>43328.92069</v>
      </c>
      <c r="B1504" t="s">
        <v>40</v>
      </c>
    </row>
    <row r="1505" hidden="1">
      <c r="A1505" s="32">
        <f>IFERROR(__xludf.DUMMYFUNCTION("""COMPUTED_VALUE"""),43328.939425324075)</f>
        <v>43328.93943</v>
      </c>
      <c r="B1505" t="s">
        <v>40</v>
      </c>
    </row>
    <row r="1506" hidden="1">
      <c r="A1506" s="32">
        <f>IFERROR(__xludf.DUMMYFUNCTION("""COMPUTED_VALUE"""),43329.059608634256)</f>
        <v>43329.05961</v>
      </c>
      <c r="B1506" t="s">
        <v>40</v>
      </c>
    </row>
    <row r="1507" hidden="1">
      <c r="A1507" s="32">
        <f>IFERROR(__xludf.DUMMYFUNCTION("""COMPUTED_VALUE"""),43329.07006453704)</f>
        <v>43329.07006</v>
      </c>
      <c r="B1507" t="s">
        <v>40</v>
      </c>
    </row>
    <row r="1508" hidden="1">
      <c r="A1508" s="32">
        <f>IFERROR(__xludf.DUMMYFUNCTION("""COMPUTED_VALUE"""),43329.13330292824)</f>
        <v>43329.1333</v>
      </c>
      <c r="B1508" t="s">
        <v>538</v>
      </c>
    </row>
    <row r="1509" hidden="1">
      <c r="A1509" s="32">
        <f>IFERROR(__xludf.DUMMYFUNCTION("""COMPUTED_VALUE"""),43329.2466262963)</f>
        <v>43329.24663</v>
      </c>
      <c r="B1509" t="s">
        <v>40</v>
      </c>
    </row>
    <row r="1510" hidden="1">
      <c r="A1510" s="32">
        <f>IFERROR(__xludf.DUMMYFUNCTION("""COMPUTED_VALUE"""),43329.27293215277)</f>
        <v>43329.27293</v>
      </c>
      <c r="B1510" t="s">
        <v>40</v>
      </c>
    </row>
    <row r="1511" hidden="1">
      <c r="A1511" s="32">
        <f>IFERROR(__xludf.DUMMYFUNCTION("""COMPUTED_VALUE"""),43329.41139810185)</f>
        <v>43329.4114</v>
      </c>
      <c r="B1511" t="s">
        <v>33</v>
      </c>
    </row>
    <row r="1512" hidden="1">
      <c r="A1512" s="32">
        <f>IFERROR(__xludf.DUMMYFUNCTION("""COMPUTED_VALUE"""),43329.458520740736)</f>
        <v>43329.45852</v>
      </c>
      <c r="B1512" t="s">
        <v>33</v>
      </c>
    </row>
    <row r="1513" hidden="1">
      <c r="A1513" s="32">
        <f>IFERROR(__xludf.DUMMYFUNCTION("""COMPUTED_VALUE"""),43329.477479560184)</f>
        <v>43329.47748</v>
      </c>
      <c r="B1513" t="s">
        <v>40</v>
      </c>
    </row>
    <row r="1514" hidden="1">
      <c r="A1514" s="32">
        <f>IFERROR(__xludf.DUMMYFUNCTION("""COMPUTED_VALUE"""),43329.4930747801)</f>
        <v>43329.49307</v>
      </c>
      <c r="B1514" t="s">
        <v>80</v>
      </c>
    </row>
    <row r="1515" hidden="1">
      <c r="A1515" s="32">
        <f>IFERROR(__xludf.DUMMYFUNCTION("""COMPUTED_VALUE"""),43329.54792997685)</f>
        <v>43329.54793</v>
      </c>
      <c r="B1515" t="s">
        <v>40</v>
      </c>
    </row>
    <row r="1516" hidden="1">
      <c r="A1516" s="32">
        <f>IFERROR(__xludf.DUMMYFUNCTION("""COMPUTED_VALUE"""),43329.63431375)</f>
        <v>43329.63431</v>
      </c>
      <c r="B1516" t="s">
        <v>40</v>
      </c>
    </row>
    <row r="1517" hidden="1">
      <c r="A1517" s="32">
        <f>IFERROR(__xludf.DUMMYFUNCTION("""COMPUTED_VALUE"""),43329.66365041667)</f>
        <v>43329.66365</v>
      </c>
      <c r="B1517" t="s">
        <v>40</v>
      </c>
    </row>
    <row r="1518" hidden="1">
      <c r="A1518" s="32">
        <f>IFERROR(__xludf.DUMMYFUNCTION("""COMPUTED_VALUE"""),43329.66412901621)</f>
        <v>43329.66413</v>
      </c>
      <c r="B1518" t="s">
        <v>40</v>
      </c>
    </row>
    <row r="1519" hidden="1">
      <c r="A1519" s="32">
        <f>IFERROR(__xludf.DUMMYFUNCTION("""COMPUTED_VALUE"""),43329.71270533565)</f>
        <v>43329.71271</v>
      </c>
      <c r="B1519" t="s">
        <v>154</v>
      </c>
    </row>
    <row r="1520" hidden="1">
      <c r="A1520" s="32">
        <f>IFERROR(__xludf.DUMMYFUNCTION("""COMPUTED_VALUE"""),43329.716426875)</f>
        <v>43329.71643</v>
      </c>
      <c r="B1520" t="s">
        <v>40</v>
      </c>
    </row>
    <row r="1521" hidden="1">
      <c r="A1521" s="32">
        <f>IFERROR(__xludf.DUMMYFUNCTION("""COMPUTED_VALUE"""),43329.71815915509)</f>
        <v>43329.71816</v>
      </c>
      <c r="B1521" t="s">
        <v>40</v>
      </c>
    </row>
    <row r="1522" hidden="1">
      <c r="A1522" s="32">
        <f>IFERROR(__xludf.DUMMYFUNCTION("""COMPUTED_VALUE"""),43329.77917863426)</f>
        <v>43329.77918</v>
      </c>
      <c r="B1522" t="s">
        <v>2709</v>
      </c>
    </row>
    <row r="1523" hidden="1">
      <c r="A1523" s="32">
        <f>IFERROR(__xludf.DUMMYFUNCTION("""COMPUTED_VALUE"""),43329.88923726852)</f>
        <v>43329.88924</v>
      </c>
      <c r="B1523" t="s">
        <v>40</v>
      </c>
    </row>
    <row r="1524" hidden="1">
      <c r="A1524" s="32">
        <f>IFERROR(__xludf.DUMMYFUNCTION("""COMPUTED_VALUE"""),43329.94942885417)</f>
        <v>43329.94943</v>
      </c>
      <c r="B1524" t="s">
        <v>36</v>
      </c>
    </row>
    <row r="1525" hidden="1">
      <c r="A1525" s="32">
        <f>IFERROR(__xludf.DUMMYFUNCTION("""COMPUTED_VALUE"""),43329.957567627316)</f>
        <v>43329.95757</v>
      </c>
      <c r="B1525" t="s">
        <v>80</v>
      </c>
    </row>
    <row r="1526" hidden="1">
      <c r="A1526" s="32">
        <f>IFERROR(__xludf.DUMMYFUNCTION("""COMPUTED_VALUE"""),43329.96776474537)</f>
        <v>43329.96776</v>
      </c>
      <c r="B1526" t="s">
        <v>124</v>
      </c>
    </row>
    <row r="1527" hidden="1">
      <c r="A1527" s="32">
        <f>IFERROR(__xludf.DUMMYFUNCTION("""COMPUTED_VALUE"""),43329.98603537037)</f>
        <v>43329.98604</v>
      </c>
      <c r="B1527" t="s">
        <v>123</v>
      </c>
    </row>
    <row r="1528" hidden="1">
      <c r="A1528" s="32">
        <f>IFERROR(__xludf.DUMMYFUNCTION("""COMPUTED_VALUE"""),43330.00196902778)</f>
        <v>43330.00197</v>
      </c>
      <c r="B1528" t="s">
        <v>258</v>
      </c>
    </row>
    <row r="1529" hidden="1">
      <c r="A1529" s="32">
        <f>IFERROR(__xludf.DUMMYFUNCTION("""COMPUTED_VALUE"""),43330.07022461806)</f>
        <v>43330.07022</v>
      </c>
      <c r="B1529" t="s">
        <v>33</v>
      </c>
    </row>
    <row r="1530" hidden="1">
      <c r="A1530" s="32">
        <f>IFERROR(__xludf.DUMMYFUNCTION("""COMPUTED_VALUE"""),43330.07122699074)</f>
        <v>43330.07123</v>
      </c>
      <c r="B1530" t="s">
        <v>282</v>
      </c>
    </row>
    <row r="1531" hidden="1">
      <c r="A1531" s="32">
        <f>IFERROR(__xludf.DUMMYFUNCTION("""COMPUTED_VALUE"""),43330.42129599537)</f>
        <v>43330.4213</v>
      </c>
      <c r="B1531" t="s">
        <v>204</v>
      </c>
    </row>
    <row r="1532" hidden="1">
      <c r="A1532" s="32">
        <f>IFERROR(__xludf.DUMMYFUNCTION("""COMPUTED_VALUE"""),43330.48411715278)</f>
        <v>43330.48412</v>
      </c>
      <c r="B1532" t="s">
        <v>40</v>
      </c>
    </row>
    <row r="1533" hidden="1">
      <c r="A1533" s="32">
        <f>IFERROR(__xludf.DUMMYFUNCTION("""COMPUTED_VALUE"""),43330.491098819446)</f>
        <v>43330.4911</v>
      </c>
      <c r="B1533" t="s">
        <v>40</v>
      </c>
    </row>
    <row r="1534" hidden="1">
      <c r="A1534" s="32">
        <f>IFERROR(__xludf.DUMMYFUNCTION("""COMPUTED_VALUE"""),43330.514481273145)</f>
        <v>43330.51448</v>
      </c>
      <c r="B1534" t="s">
        <v>33</v>
      </c>
    </row>
    <row r="1535" hidden="1">
      <c r="A1535" s="32">
        <f>IFERROR(__xludf.DUMMYFUNCTION("""COMPUTED_VALUE"""),43330.56548409723)</f>
        <v>43330.56548</v>
      </c>
      <c r="B1535" t="s">
        <v>40</v>
      </c>
    </row>
    <row r="1536" hidden="1">
      <c r="A1536" s="32">
        <f>IFERROR(__xludf.DUMMYFUNCTION("""COMPUTED_VALUE"""),43330.56812059028)</f>
        <v>43330.56812</v>
      </c>
      <c r="B1536" t="s">
        <v>2658</v>
      </c>
    </row>
    <row r="1537" hidden="1">
      <c r="A1537" s="32">
        <f>IFERROR(__xludf.DUMMYFUNCTION("""COMPUTED_VALUE"""),43330.61336658565)</f>
        <v>43330.61337</v>
      </c>
      <c r="B1537" t="s">
        <v>40</v>
      </c>
    </row>
    <row r="1538" hidden="1">
      <c r="A1538" s="32">
        <f>IFERROR(__xludf.DUMMYFUNCTION("""COMPUTED_VALUE"""),43330.695715497684)</f>
        <v>43330.69572</v>
      </c>
      <c r="B1538" t="s">
        <v>268</v>
      </c>
    </row>
    <row r="1539" hidden="1">
      <c r="A1539" s="32">
        <f>IFERROR(__xludf.DUMMYFUNCTION("""COMPUTED_VALUE"""),43330.733510763894)</f>
        <v>43330.73351</v>
      </c>
      <c r="B1539" t="s">
        <v>40</v>
      </c>
    </row>
    <row r="1540" hidden="1">
      <c r="A1540" s="32">
        <f>IFERROR(__xludf.DUMMYFUNCTION("""COMPUTED_VALUE"""),43330.74097481482)</f>
        <v>43330.74097</v>
      </c>
      <c r="B1540" t="s">
        <v>204</v>
      </c>
    </row>
    <row r="1541" hidden="1">
      <c r="A1541" s="32">
        <f>IFERROR(__xludf.DUMMYFUNCTION("""COMPUTED_VALUE"""),43330.77057445602)</f>
        <v>43330.77057</v>
      </c>
      <c r="B1541" t="s">
        <v>36</v>
      </c>
    </row>
    <row r="1542" hidden="1">
      <c r="A1542" s="32">
        <f>IFERROR(__xludf.DUMMYFUNCTION("""COMPUTED_VALUE"""),43330.82991409722)</f>
        <v>43330.82991</v>
      </c>
      <c r="B1542" t="s">
        <v>25</v>
      </c>
    </row>
    <row r="1543" hidden="1">
      <c r="A1543" s="32">
        <f>IFERROR(__xludf.DUMMYFUNCTION("""COMPUTED_VALUE"""),43330.88418407408)</f>
        <v>43330.88418</v>
      </c>
      <c r="B1543" t="s">
        <v>157</v>
      </c>
    </row>
    <row r="1544" hidden="1">
      <c r="A1544" s="32">
        <f>IFERROR(__xludf.DUMMYFUNCTION("""COMPUTED_VALUE"""),43330.91713563657)</f>
        <v>43330.91714</v>
      </c>
      <c r="B1544" t="s">
        <v>407</v>
      </c>
    </row>
    <row r="1545" hidden="1">
      <c r="A1545" s="32">
        <f>IFERROR(__xludf.DUMMYFUNCTION("""COMPUTED_VALUE"""),43330.91865577546)</f>
        <v>43330.91866</v>
      </c>
      <c r="B1545" t="s">
        <v>387</v>
      </c>
    </row>
    <row r="1546" hidden="1">
      <c r="A1546" s="32">
        <f>IFERROR(__xludf.DUMMYFUNCTION("""COMPUTED_VALUE"""),43331.08850355324)</f>
        <v>43331.0885</v>
      </c>
      <c r="B1546" t="s">
        <v>40</v>
      </c>
    </row>
    <row r="1547" hidden="1">
      <c r="A1547" s="32">
        <f>IFERROR(__xludf.DUMMYFUNCTION("""COMPUTED_VALUE"""),43331.14203537037)</f>
        <v>43331.14204</v>
      </c>
      <c r="B1547" t="s">
        <v>33</v>
      </c>
    </row>
    <row r="1548" hidden="1">
      <c r="A1548" s="32">
        <f>IFERROR(__xludf.DUMMYFUNCTION("""COMPUTED_VALUE"""),43331.424044907406)</f>
        <v>43331.42404</v>
      </c>
      <c r="B1548" t="s">
        <v>33</v>
      </c>
    </row>
    <row r="1549" hidden="1">
      <c r="A1549" s="32">
        <f>IFERROR(__xludf.DUMMYFUNCTION("""COMPUTED_VALUE"""),43331.44191774305)</f>
        <v>43331.44192</v>
      </c>
      <c r="B1549" t="s">
        <v>48</v>
      </c>
    </row>
    <row r="1550" hidden="1">
      <c r="A1550" s="32">
        <f>IFERROR(__xludf.DUMMYFUNCTION("""COMPUTED_VALUE"""),43331.453024710645)</f>
        <v>43331.45302</v>
      </c>
      <c r="B1550" t="s">
        <v>170</v>
      </c>
    </row>
    <row r="1551" hidden="1">
      <c r="A1551" s="32">
        <f>IFERROR(__xludf.DUMMYFUNCTION("""COMPUTED_VALUE"""),43331.467858275464)</f>
        <v>43331.46786</v>
      </c>
      <c r="B1551" t="s">
        <v>40</v>
      </c>
    </row>
    <row r="1552" hidden="1">
      <c r="A1552" s="32">
        <f>IFERROR(__xludf.DUMMYFUNCTION("""COMPUTED_VALUE"""),43331.47813575232)</f>
        <v>43331.47814</v>
      </c>
      <c r="B1552" t="s">
        <v>40</v>
      </c>
    </row>
    <row r="1553" hidden="1">
      <c r="A1553" s="32">
        <f>IFERROR(__xludf.DUMMYFUNCTION("""COMPUTED_VALUE"""),43331.62160067129)</f>
        <v>43331.6216</v>
      </c>
      <c r="B1553" t="s">
        <v>40</v>
      </c>
    </row>
    <row r="1554" hidden="1">
      <c r="A1554" s="32">
        <f>IFERROR(__xludf.DUMMYFUNCTION("""COMPUTED_VALUE"""),43331.65771375)</f>
        <v>43331.65771</v>
      </c>
      <c r="B1554" t="s">
        <v>33</v>
      </c>
    </row>
    <row r="1555" hidden="1">
      <c r="A1555" s="32">
        <f>IFERROR(__xludf.DUMMYFUNCTION("""COMPUTED_VALUE"""),43331.66106932871)</f>
        <v>43331.66107</v>
      </c>
      <c r="B1555" t="s">
        <v>33</v>
      </c>
    </row>
    <row r="1556" hidden="1">
      <c r="A1556" s="32">
        <f>IFERROR(__xludf.DUMMYFUNCTION("""COMPUTED_VALUE"""),43331.74311228009)</f>
        <v>43331.74311</v>
      </c>
      <c r="B1556" t="s">
        <v>33</v>
      </c>
    </row>
    <row r="1557" hidden="1">
      <c r="A1557" s="32">
        <f>IFERROR(__xludf.DUMMYFUNCTION("""COMPUTED_VALUE"""),43331.81814928241)</f>
        <v>43331.81815</v>
      </c>
      <c r="B1557" t="s">
        <v>80</v>
      </c>
    </row>
    <row r="1558" hidden="1">
      <c r="A1558" s="32">
        <f>IFERROR(__xludf.DUMMYFUNCTION("""COMPUTED_VALUE"""),43331.82343626158)</f>
        <v>43331.82344</v>
      </c>
      <c r="B1558" t="s">
        <v>48</v>
      </c>
    </row>
    <row r="1559" hidden="1">
      <c r="A1559" s="32">
        <f>IFERROR(__xludf.DUMMYFUNCTION("""COMPUTED_VALUE"""),43331.8552840162)</f>
        <v>43331.85528</v>
      </c>
      <c r="B1559" t="s">
        <v>1188</v>
      </c>
    </row>
    <row r="1560" hidden="1">
      <c r="A1560" s="32">
        <f>IFERROR(__xludf.DUMMYFUNCTION("""COMPUTED_VALUE"""),43331.952089722225)</f>
        <v>43331.95209</v>
      </c>
      <c r="B1560" t="s">
        <v>80</v>
      </c>
    </row>
    <row r="1561" hidden="1">
      <c r="A1561" s="32">
        <f>IFERROR(__xludf.DUMMYFUNCTION("""COMPUTED_VALUE"""),43331.964001388886)</f>
        <v>43331.964</v>
      </c>
      <c r="B1561" t="s">
        <v>139</v>
      </c>
    </row>
    <row r="1562" hidden="1">
      <c r="A1562" s="32">
        <f>IFERROR(__xludf.DUMMYFUNCTION("""COMPUTED_VALUE"""),43331.97883248843)</f>
        <v>43331.97883</v>
      </c>
      <c r="B1562" t="s">
        <v>119</v>
      </c>
    </row>
    <row r="1563" hidden="1">
      <c r="A1563" s="32">
        <f>IFERROR(__xludf.DUMMYFUNCTION("""COMPUTED_VALUE"""),43332.370523819445)</f>
        <v>43332.37052</v>
      </c>
      <c r="B1563" t="s">
        <v>40</v>
      </c>
    </row>
    <row r="1564" hidden="1">
      <c r="A1564" s="32">
        <f>IFERROR(__xludf.DUMMYFUNCTION("""COMPUTED_VALUE"""),43332.39325525463)</f>
        <v>43332.39326</v>
      </c>
      <c r="B1564" t="s">
        <v>40</v>
      </c>
    </row>
    <row r="1565" hidden="1">
      <c r="A1565" s="32">
        <f>IFERROR(__xludf.DUMMYFUNCTION("""COMPUTED_VALUE"""),43332.52276989583)</f>
        <v>43332.52277</v>
      </c>
      <c r="B1565" t="s">
        <v>1193</v>
      </c>
    </row>
    <row r="1566" hidden="1">
      <c r="A1566" s="32">
        <f>IFERROR(__xludf.DUMMYFUNCTION("""COMPUTED_VALUE"""),43332.529585868055)</f>
        <v>43332.52959</v>
      </c>
      <c r="B1566" t="s">
        <v>33</v>
      </c>
    </row>
    <row r="1567" hidden="1">
      <c r="A1567" s="32">
        <f>IFERROR(__xludf.DUMMYFUNCTION("""COMPUTED_VALUE"""),43332.57873237268)</f>
        <v>43332.57873</v>
      </c>
      <c r="B1567" t="s">
        <v>2668</v>
      </c>
    </row>
    <row r="1568" hidden="1">
      <c r="A1568" s="32">
        <f>IFERROR(__xludf.DUMMYFUNCTION("""COMPUTED_VALUE"""),43332.622890555554)</f>
        <v>43332.62289</v>
      </c>
      <c r="B1568" t="s">
        <v>40</v>
      </c>
    </row>
    <row r="1569" hidden="1">
      <c r="A1569" s="32">
        <f>IFERROR(__xludf.DUMMYFUNCTION("""COMPUTED_VALUE"""),43332.661846585645)</f>
        <v>43332.66185</v>
      </c>
      <c r="B1569" t="s">
        <v>1196</v>
      </c>
    </row>
    <row r="1570" hidden="1">
      <c r="A1570" s="32">
        <f>IFERROR(__xludf.DUMMYFUNCTION("""COMPUTED_VALUE"""),43332.793449363424)</f>
        <v>43332.79345</v>
      </c>
      <c r="B1570" t="s">
        <v>33</v>
      </c>
    </row>
    <row r="1571" hidden="1">
      <c r="A1571" s="32">
        <f>IFERROR(__xludf.DUMMYFUNCTION("""COMPUTED_VALUE"""),43332.86141020834)</f>
        <v>43332.86141</v>
      </c>
      <c r="B1571" t="s">
        <v>268</v>
      </c>
    </row>
    <row r="1572" hidden="1">
      <c r="A1572" s="32">
        <f>IFERROR(__xludf.DUMMYFUNCTION("""COMPUTED_VALUE"""),43332.87426805556)</f>
        <v>43332.87427</v>
      </c>
      <c r="B1572" t="s">
        <v>40</v>
      </c>
    </row>
    <row r="1573" hidden="1">
      <c r="A1573" s="32">
        <f>IFERROR(__xludf.DUMMYFUNCTION("""COMPUTED_VALUE"""),43332.8949878125)</f>
        <v>43332.89499</v>
      </c>
      <c r="B1573" t="s">
        <v>40</v>
      </c>
    </row>
    <row r="1574" hidden="1">
      <c r="A1574" s="32">
        <f>IFERROR(__xludf.DUMMYFUNCTION("""COMPUTED_VALUE"""),43332.930109305555)</f>
        <v>43332.93011</v>
      </c>
      <c r="B1574" t="s">
        <v>40</v>
      </c>
    </row>
    <row r="1575" hidden="1">
      <c r="A1575" s="32">
        <f>IFERROR(__xludf.DUMMYFUNCTION("""COMPUTED_VALUE"""),43332.94449954861)</f>
        <v>43332.9445</v>
      </c>
      <c r="B1575" t="s">
        <v>25</v>
      </c>
    </row>
    <row r="1576" hidden="1">
      <c r="A1576" s="32">
        <f>IFERROR(__xludf.DUMMYFUNCTION("""COMPUTED_VALUE"""),43333.224368668976)</f>
        <v>43333.22437</v>
      </c>
      <c r="B1576" t="s">
        <v>48</v>
      </c>
    </row>
    <row r="1577" hidden="1">
      <c r="A1577" s="32">
        <f>IFERROR(__xludf.DUMMYFUNCTION("""COMPUTED_VALUE"""),43333.32056224537)</f>
        <v>43333.32056</v>
      </c>
      <c r="B1577" t="s">
        <v>1199</v>
      </c>
    </row>
    <row r="1578" hidden="1">
      <c r="A1578" s="32">
        <f>IFERROR(__xludf.DUMMYFUNCTION("""COMPUTED_VALUE"""),43333.397150543984)</f>
        <v>43333.39715</v>
      </c>
      <c r="B1578" t="s">
        <v>36</v>
      </c>
    </row>
    <row r="1579" hidden="1">
      <c r="A1579" s="32">
        <f>IFERROR(__xludf.DUMMYFUNCTION("""COMPUTED_VALUE"""),43333.42637197916)</f>
        <v>43333.42637</v>
      </c>
      <c r="B1579" t="s">
        <v>40</v>
      </c>
    </row>
    <row r="1580" hidden="1">
      <c r="A1580" s="32">
        <f>IFERROR(__xludf.DUMMYFUNCTION("""COMPUTED_VALUE"""),43333.428887754635)</f>
        <v>43333.42889</v>
      </c>
      <c r="B1580" t="s">
        <v>282</v>
      </c>
    </row>
    <row r="1581" hidden="1">
      <c r="A1581" s="32">
        <f>IFERROR(__xludf.DUMMYFUNCTION("""COMPUTED_VALUE"""),43333.50326585648)</f>
        <v>43333.50327</v>
      </c>
      <c r="B1581" t="s">
        <v>45</v>
      </c>
    </row>
    <row r="1582" hidden="1">
      <c r="A1582" s="32">
        <f>IFERROR(__xludf.DUMMYFUNCTION("""COMPUTED_VALUE"""),43333.5816221412)</f>
        <v>43333.58162</v>
      </c>
      <c r="B1582" t="s">
        <v>40</v>
      </c>
    </row>
    <row r="1583" hidden="1">
      <c r="A1583" s="32">
        <f>IFERROR(__xludf.DUMMYFUNCTION("""COMPUTED_VALUE"""),43333.89041277778)</f>
        <v>43333.89041</v>
      </c>
      <c r="B1583" t="s">
        <v>119</v>
      </c>
    </row>
    <row r="1584" hidden="1">
      <c r="A1584" s="32">
        <f>IFERROR(__xludf.DUMMYFUNCTION("""COMPUTED_VALUE"""),43333.927679872686)</f>
        <v>43333.92768</v>
      </c>
      <c r="B1584" t="s">
        <v>33</v>
      </c>
    </row>
    <row r="1585" hidden="1">
      <c r="A1585" s="32">
        <f>IFERROR(__xludf.DUMMYFUNCTION("""COMPUTED_VALUE"""),43334.00079097222)</f>
        <v>43334.00079</v>
      </c>
      <c r="B1585" t="s">
        <v>40</v>
      </c>
    </row>
    <row r="1586" hidden="1">
      <c r="A1586" s="32">
        <f>IFERROR(__xludf.DUMMYFUNCTION("""COMPUTED_VALUE"""),43334.00466525463)</f>
        <v>43334.00467</v>
      </c>
      <c r="B1586" t="s">
        <v>2710</v>
      </c>
    </row>
    <row r="1587" hidden="1">
      <c r="A1587" s="32">
        <f>IFERROR(__xludf.DUMMYFUNCTION("""COMPUTED_VALUE"""),43334.00583412037)</f>
        <v>43334.00583</v>
      </c>
      <c r="B1587" t="s">
        <v>48</v>
      </c>
    </row>
    <row r="1588" hidden="1">
      <c r="A1588" s="32">
        <f>IFERROR(__xludf.DUMMYFUNCTION("""COMPUTED_VALUE"""),43334.15112971065)</f>
        <v>43334.15113</v>
      </c>
      <c r="B1588" t="s">
        <v>1196</v>
      </c>
    </row>
    <row r="1589" hidden="1">
      <c r="A1589" s="32">
        <f>IFERROR(__xludf.DUMMYFUNCTION("""COMPUTED_VALUE"""),43334.170303946754)</f>
        <v>43334.1703</v>
      </c>
      <c r="B1589" t="s">
        <v>33</v>
      </c>
    </row>
    <row r="1590" hidden="1">
      <c r="A1590" s="32">
        <f>IFERROR(__xludf.DUMMYFUNCTION("""COMPUTED_VALUE"""),43334.319040347225)</f>
        <v>43334.31904</v>
      </c>
      <c r="B1590" t="s">
        <v>80</v>
      </c>
    </row>
    <row r="1591" hidden="1">
      <c r="A1591" s="32">
        <f>IFERROR(__xludf.DUMMYFUNCTION("""COMPUTED_VALUE"""),43334.42587547454)</f>
        <v>43334.42588</v>
      </c>
      <c r="B1591" t="s">
        <v>80</v>
      </c>
    </row>
    <row r="1592" hidden="1">
      <c r="A1592" s="32">
        <f>IFERROR(__xludf.DUMMYFUNCTION("""COMPUTED_VALUE"""),43334.444758645834)</f>
        <v>43334.44476</v>
      </c>
      <c r="B1592" t="s">
        <v>33</v>
      </c>
    </row>
    <row r="1593" hidden="1">
      <c r="A1593" s="32">
        <f>IFERROR(__xludf.DUMMYFUNCTION("""COMPUTED_VALUE"""),43334.500802939816)</f>
        <v>43334.5008</v>
      </c>
      <c r="B1593" t="s">
        <v>40</v>
      </c>
    </row>
    <row r="1594" hidden="1">
      <c r="A1594" s="32">
        <f>IFERROR(__xludf.DUMMYFUNCTION("""COMPUTED_VALUE"""),43334.51730836806)</f>
        <v>43334.51731</v>
      </c>
      <c r="B1594" t="s">
        <v>40</v>
      </c>
    </row>
    <row r="1595" hidden="1">
      <c r="A1595" s="32">
        <f>IFERROR(__xludf.DUMMYFUNCTION("""COMPUTED_VALUE"""),43334.51945361111)</f>
        <v>43334.51945</v>
      </c>
      <c r="B1595" t="s">
        <v>204</v>
      </c>
    </row>
    <row r="1596" hidden="1">
      <c r="A1596" s="32">
        <f>IFERROR(__xludf.DUMMYFUNCTION("""COMPUTED_VALUE"""),43334.60028434028)</f>
        <v>43334.60028</v>
      </c>
      <c r="B1596" t="s">
        <v>40</v>
      </c>
    </row>
    <row r="1597" hidden="1">
      <c r="A1597" s="32">
        <f>IFERROR(__xludf.DUMMYFUNCTION("""COMPUTED_VALUE"""),43334.60697221065)</f>
        <v>43334.60697</v>
      </c>
      <c r="B1597" t="s">
        <v>45</v>
      </c>
    </row>
    <row r="1598" hidden="1">
      <c r="A1598" s="32">
        <f>IFERROR(__xludf.DUMMYFUNCTION("""COMPUTED_VALUE"""),43334.61439773148)</f>
        <v>43334.6144</v>
      </c>
      <c r="B1598" t="s">
        <v>33</v>
      </c>
    </row>
    <row r="1599" hidden="1">
      <c r="A1599" s="32">
        <f>IFERROR(__xludf.DUMMYFUNCTION("""COMPUTED_VALUE"""),43334.672515185186)</f>
        <v>43334.67252</v>
      </c>
      <c r="B1599" t="s">
        <v>40</v>
      </c>
    </row>
    <row r="1600" hidden="1">
      <c r="A1600" s="32">
        <f>IFERROR(__xludf.DUMMYFUNCTION("""COMPUTED_VALUE"""),43334.691089687505)</f>
        <v>43334.69109</v>
      </c>
      <c r="B1600" t="s">
        <v>40</v>
      </c>
    </row>
    <row r="1601" hidden="1">
      <c r="A1601" s="32">
        <f>IFERROR(__xludf.DUMMYFUNCTION("""COMPUTED_VALUE"""),43334.70120068287)</f>
        <v>43334.7012</v>
      </c>
      <c r="B1601" t="s">
        <v>80</v>
      </c>
    </row>
    <row r="1602" hidden="1">
      <c r="A1602" s="32">
        <f>IFERROR(__xludf.DUMMYFUNCTION("""COMPUTED_VALUE"""),43334.791427916665)</f>
        <v>43334.79143</v>
      </c>
      <c r="B1602" t="s">
        <v>40</v>
      </c>
    </row>
    <row r="1603" hidden="1">
      <c r="A1603" s="32">
        <f>IFERROR(__xludf.DUMMYFUNCTION("""COMPUTED_VALUE"""),43334.80567861111)</f>
        <v>43334.80568</v>
      </c>
      <c r="B1603" t="s">
        <v>1212</v>
      </c>
    </row>
    <row r="1604" hidden="1">
      <c r="A1604" s="32">
        <f>IFERROR(__xludf.DUMMYFUNCTION("""COMPUTED_VALUE"""),43334.84057925926)</f>
        <v>43334.84058</v>
      </c>
      <c r="B1604" t="s">
        <v>119</v>
      </c>
    </row>
    <row r="1605" hidden="1">
      <c r="A1605" s="32">
        <f>IFERROR(__xludf.DUMMYFUNCTION("""COMPUTED_VALUE"""),43334.84096743056)</f>
        <v>43334.84097</v>
      </c>
      <c r="B1605" t="s">
        <v>33</v>
      </c>
    </row>
    <row r="1606" hidden="1">
      <c r="A1606" s="32">
        <f>IFERROR(__xludf.DUMMYFUNCTION("""COMPUTED_VALUE"""),43334.878706076386)</f>
        <v>43334.87871</v>
      </c>
      <c r="B1606" t="s">
        <v>80</v>
      </c>
    </row>
    <row r="1607" hidden="1">
      <c r="A1607" s="32">
        <f>IFERROR(__xludf.DUMMYFUNCTION("""COMPUTED_VALUE"""),43334.95357420139)</f>
        <v>43334.95357</v>
      </c>
      <c r="B1607" t="s">
        <v>40</v>
      </c>
    </row>
    <row r="1608" hidden="1">
      <c r="A1608" s="32">
        <f>IFERROR(__xludf.DUMMYFUNCTION("""COMPUTED_VALUE"""),43335.00768310185)</f>
        <v>43335.00768</v>
      </c>
      <c r="B1608" t="s">
        <v>40</v>
      </c>
    </row>
    <row r="1609" hidden="1">
      <c r="A1609" s="32">
        <f>IFERROR(__xludf.DUMMYFUNCTION("""COMPUTED_VALUE"""),43335.39484878472)</f>
        <v>43335.39485</v>
      </c>
      <c r="B1609" t="s">
        <v>40</v>
      </c>
    </row>
    <row r="1610" hidden="1">
      <c r="A1610" s="32">
        <f>IFERROR(__xludf.DUMMYFUNCTION("""COMPUTED_VALUE"""),43335.400469988424)</f>
        <v>43335.40047</v>
      </c>
      <c r="B1610" t="s">
        <v>371</v>
      </c>
    </row>
    <row r="1611" hidden="1">
      <c r="A1611" s="32">
        <f>IFERROR(__xludf.DUMMYFUNCTION("""COMPUTED_VALUE"""),43335.40136754629)</f>
        <v>43335.40137</v>
      </c>
      <c r="B1611" t="s">
        <v>371</v>
      </c>
    </row>
    <row r="1612" hidden="1">
      <c r="A1612" s="32">
        <f>IFERROR(__xludf.DUMMYFUNCTION("""COMPUTED_VALUE"""),43335.565101932865)</f>
        <v>43335.5651</v>
      </c>
      <c r="B1612" t="s">
        <v>33</v>
      </c>
    </row>
    <row r="1613" hidden="1">
      <c r="A1613" s="32">
        <f>IFERROR(__xludf.DUMMYFUNCTION("""COMPUTED_VALUE"""),43335.56766479167)</f>
        <v>43335.56766</v>
      </c>
      <c r="B1613" t="s">
        <v>33</v>
      </c>
    </row>
    <row r="1614" hidden="1">
      <c r="A1614" s="32">
        <f>IFERROR(__xludf.DUMMYFUNCTION("""COMPUTED_VALUE"""),43335.58663666667)</f>
        <v>43335.58664</v>
      </c>
      <c r="B1614" t="s">
        <v>80</v>
      </c>
    </row>
    <row r="1615" hidden="1">
      <c r="A1615" s="32">
        <f>IFERROR(__xludf.DUMMYFUNCTION("""COMPUTED_VALUE"""),43335.58752390047)</f>
        <v>43335.58752</v>
      </c>
      <c r="B1615" t="s">
        <v>1217</v>
      </c>
    </row>
    <row r="1616" hidden="1">
      <c r="A1616" s="32">
        <f>IFERROR(__xludf.DUMMYFUNCTION("""COMPUTED_VALUE"""),43335.60519451389)</f>
        <v>43335.60519</v>
      </c>
      <c r="B1616" t="s">
        <v>452</v>
      </c>
    </row>
    <row r="1617" hidden="1">
      <c r="A1617" s="32">
        <f>IFERROR(__xludf.DUMMYFUNCTION("""COMPUTED_VALUE"""),43335.62288200231)</f>
        <v>43335.62288</v>
      </c>
      <c r="B1617" t="s">
        <v>80</v>
      </c>
    </row>
    <row r="1618" hidden="1">
      <c r="A1618" s="32">
        <f>IFERROR(__xludf.DUMMYFUNCTION("""COMPUTED_VALUE"""),43335.63594984954)</f>
        <v>43335.63595</v>
      </c>
      <c r="B1618" t="s">
        <v>187</v>
      </c>
    </row>
    <row r="1619" hidden="1">
      <c r="A1619" s="32">
        <f>IFERROR(__xludf.DUMMYFUNCTION("""COMPUTED_VALUE"""),43335.644040370375)</f>
        <v>43335.64404</v>
      </c>
      <c r="B1619" t="s">
        <v>40</v>
      </c>
    </row>
    <row r="1620" hidden="1">
      <c r="A1620" s="32">
        <f>IFERROR(__xludf.DUMMYFUNCTION("""COMPUTED_VALUE"""),43335.65015988426)</f>
        <v>43335.65016</v>
      </c>
      <c r="B1620" t="s">
        <v>40</v>
      </c>
    </row>
    <row r="1621" hidden="1">
      <c r="A1621" s="32">
        <f>IFERROR(__xludf.DUMMYFUNCTION("""COMPUTED_VALUE"""),43335.65138216435)</f>
        <v>43335.65138</v>
      </c>
      <c r="B1621" t="s">
        <v>139</v>
      </c>
    </row>
    <row r="1622" hidden="1">
      <c r="A1622" s="32">
        <f>IFERROR(__xludf.DUMMYFUNCTION("""COMPUTED_VALUE"""),43335.67860663195)</f>
        <v>43335.67861</v>
      </c>
      <c r="B1622" t="s">
        <v>40</v>
      </c>
    </row>
    <row r="1623" hidden="1">
      <c r="A1623" s="32">
        <f>IFERROR(__xludf.DUMMYFUNCTION("""COMPUTED_VALUE"""),43335.69252773148)</f>
        <v>43335.69253</v>
      </c>
      <c r="B1623" t="s">
        <v>119</v>
      </c>
    </row>
    <row r="1624" hidden="1">
      <c r="A1624" s="32">
        <f>IFERROR(__xludf.DUMMYFUNCTION("""COMPUTED_VALUE"""),43335.71891177083)</f>
        <v>43335.71891</v>
      </c>
      <c r="B1624" t="s">
        <v>95</v>
      </c>
    </row>
    <row r="1625" hidden="1">
      <c r="A1625" s="32">
        <f>IFERROR(__xludf.DUMMYFUNCTION("""COMPUTED_VALUE"""),43335.74689944445)</f>
        <v>43335.7469</v>
      </c>
      <c r="B1625" t="s">
        <v>33</v>
      </c>
    </row>
    <row r="1626" hidden="1">
      <c r="A1626" s="32">
        <f>IFERROR(__xludf.DUMMYFUNCTION("""COMPUTED_VALUE"""),43335.77864853009)</f>
        <v>43335.77865</v>
      </c>
      <c r="B1626" t="s">
        <v>1229</v>
      </c>
    </row>
    <row r="1627" hidden="1">
      <c r="A1627" s="32">
        <f>IFERROR(__xludf.DUMMYFUNCTION("""COMPUTED_VALUE"""),43335.786635833334)</f>
        <v>43335.78664</v>
      </c>
      <c r="B1627" t="s">
        <v>80</v>
      </c>
    </row>
    <row r="1628" hidden="1">
      <c r="A1628" s="32">
        <f>IFERROR(__xludf.DUMMYFUNCTION("""COMPUTED_VALUE"""),43335.83702395833)</f>
        <v>43335.83702</v>
      </c>
      <c r="B1628" t="s">
        <v>2665</v>
      </c>
    </row>
    <row r="1629" hidden="1">
      <c r="A1629" s="32">
        <f>IFERROR(__xludf.DUMMYFUNCTION("""COMPUTED_VALUE"""),43335.84078121527)</f>
        <v>43335.84078</v>
      </c>
      <c r="B1629" t="s">
        <v>124</v>
      </c>
    </row>
    <row r="1630" hidden="1">
      <c r="A1630" s="32">
        <f>IFERROR(__xludf.DUMMYFUNCTION("""COMPUTED_VALUE"""),43335.842625150464)</f>
        <v>43335.84263</v>
      </c>
      <c r="B1630" t="s">
        <v>124</v>
      </c>
    </row>
    <row r="1631" hidden="1">
      <c r="A1631" s="32">
        <f>IFERROR(__xludf.DUMMYFUNCTION("""COMPUTED_VALUE"""),43335.89703756945)</f>
        <v>43335.89704</v>
      </c>
      <c r="B1631" t="s">
        <v>48</v>
      </c>
    </row>
    <row r="1632" hidden="1">
      <c r="A1632" s="32">
        <f>IFERROR(__xludf.DUMMYFUNCTION("""COMPUTED_VALUE"""),43335.90745451389)</f>
        <v>43335.90745</v>
      </c>
      <c r="B1632" t="s">
        <v>33</v>
      </c>
    </row>
    <row r="1633" hidden="1">
      <c r="A1633" s="32">
        <f>IFERROR(__xludf.DUMMYFUNCTION("""COMPUTED_VALUE"""),43335.92483550926)</f>
        <v>43335.92484</v>
      </c>
      <c r="B1633" t="s">
        <v>33</v>
      </c>
    </row>
    <row r="1634" hidden="1">
      <c r="A1634" s="32">
        <f>IFERROR(__xludf.DUMMYFUNCTION("""COMPUTED_VALUE"""),43335.935859386576)</f>
        <v>43335.93586</v>
      </c>
      <c r="B1634" t="s">
        <v>428</v>
      </c>
    </row>
    <row r="1635" hidden="1">
      <c r="A1635" s="32">
        <f>IFERROR(__xludf.DUMMYFUNCTION("""COMPUTED_VALUE"""),43335.93679021991)</f>
        <v>43335.93679</v>
      </c>
      <c r="B1635" t="s">
        <v>33</v>
      </c>
    </row>
    <row r="1636" hidden="1">
      <c r="A1636" s="32">
        <f>IFERROR(__xludf.DUMMYFUNCTION("""COMPUTED_VALUE"""),43335.962833391204)</f>
        <v>43335.96283</v>
      </c>
      <c r="B1636" t="s">
        <v>124</v>
      </c>
    </row>
    <row r="1637" hidden="1">
      <c r="A1637" s="32">
        <f>IFERROR(__xludf.DUMMYFUNCTION("""COMPUTED_VALUE"""),43336.049757500004)</f>
        <v>43336.04976</v>
      </c>
      <c r="B1637" t="s">
        <v>33</v>
      </c>
    </row>
    <row r="1638" hidden="1">
      <c r="A1638" s="32">
        <f>IFERROR(__xludf.DUMMYFUNCTION("""COMPUTED_VALUE"""),43336.36414560185)</f>
        <v>43336.36415</v>
      </c>
      <c r="B1638" t="s">
        <v>1235</v>
      </c>
    </row>
    <row r="1639" hidden="1">
      <c r="A1639" s="32">
        <f>IFERROR(__xludf.DUMMYFUNCTION("""COMPUTED_VALUE"""),43336.38167178241)</f>
        <v>43336.38167</v>
      </c>
      <c r="B1639" t="s">
        <v>2711</v>
      </c>
    </row>
    <row r="1640" hidden="1">
      <c r="A1640" s="32">
        <f>IFERROR(__xludf.DUMMYFUNCTION("""COMPUTED_VALUE"""),43336.39148997686)</f>
        <v>43336.39149</v>
      </c>
      <c r="B1640" t="s">
        <v>1240</v>
      </c>
    </row>
    <row r="1641" hidden="1">
      <c r="A1641" s="32">
        <f>IFERROR(__xludf.DUMMYFUNCTION("""COMPUTED_VALUE"""),43336.423438645834)</f>
        <v>43336.42344</v>
      </c>
      <c r="B1641" t="s">
        <v>40</v>
      </c>
    </row>
    <row r="1642" hidden="1">
      <c r="A1642" s="32">
        <f>IFERROR(__xludf.DUMMYFUNCTION("""COMPUTED_VALUE"""),43336.46699538194)</f>
        <v>43336.467</v>
      </c>
      <c r="B1642" t="s">
        <v>40</v>
      </c>
    </row>
    <row r="1643" hidden="1">
      <c r="A1643" s="32">
        <f>IFERROR(__xludf.DUMMYFUNCTION("""COMPUTED_VALUE"""),43336.47118418981)</f>
        <v>43336.47118</v>
      </c>
      <c r="B1643" t="s">
        <v>371</v>
      </c>
    </row>
    <row r="1644" hidden="1">
      <c r="A1644" s="32">
        <f>IFERROR(__xludf.DUMMYFUNCTION("""COMPUTED_VALUE"""),43336.471789884265)</f>
        <v>43336.47179</v>
      </c>
      <c r="B1644" t="s">
        <v>371</v>
      </c>
    </row>
    <row r="1645" hidden="1">
      <c r="A1645" s="32">
        <f>IFERROR(__xludf.DUMMYFUNCTION("""COMPUTED_VALUE"""),43336.47245380787)</f>
        <v>43336.47245</v>
      </c>
      <c r="B1645" t="s">
        <v>371</v>
      </c>
    </row>
    <row r="1646" hidden="1">
      <c r="A1646" s="32">
        <f>IFERROR(__xludf.DUMMYFUNCTION("""COMPUTED_VALUE"""),43336.47310934028)</f>
        <v>43336.47311</v>
      </c>
      <c r="B1646" t="s">
        <v>371</v>
      </c>
    </row>
    <row r="1647" hidden="1">
      <c r="A1647" s="32">
        <f>IFERROR(__xludf.DUMMYFUNCTION("""COMPUTED_VALUE"""),43336.47387782407)</f>
        <v>43336.47388</v>
      </c>
      <c r="B1647" t="s">
        <v>371</v>
      </c>
    </row>
    <row r="1648" hidden="1">
      <c r="A1648" s="32">
        <f>IFERROR(__xludf.DUMMYFUNCTION("""COMPUTED_VALUE"""),43336.47929368056)</f>
        <v>43336.47929</v>
      </c>
      <c r="B1648" t="s">
        <v>371</v>
      </c>
    </row>
    <row r="1649" hidden="1">
      <c r="A1649" s="32">
        <f>IFERROR(__xludf.DUMMYFUNCTION("""COMPUTED_VALUE"""),43336.48013063657)</f>
        <v>43336.48013</v>
      </c>
      <c r="B1649" t="s">
        <v>371</v>
      </c>
    </row>
    <row r="1650" hidden="1">
      <c r="A1650" s="32">
        <f>IFERROR(__xludf.DUMMYFUNCTION("""COMPUTED_VALUE"""),43336.4809303125)</f>
        <v>43336.48093</v>
      </c>
      <c r="B1650" t="s">
        <v>371</v>
      </c>
    </row>
    <row r="1651" hidden="1">
      <c r="A1651" s="32">
        <f>IFERROR(__xludf.DUMMYFUNCTION("""COMPUTED_VALUE"""),43336.49467269676)</f>
        <v>43336.49467</v>
      </c>
      <c r="B1651" t="s">
        <v>40</v>
      </c>
    </row>
    <row r="1652" hidden="1">
      <c r="A1652" s="32">
        <f>IFERROR(__xludf.DUMMYFUNCTION("""COMPUTED_VALUE"""),43336.49472120371)</f>
        <v>43336.49472</v>
      </c>
      <c r="B1652" t="s">
        <v>40</v>
      </c>
    </row>
    <row r="1653" hidden="1">
      <c r="A1653" s="32">
        <f>IFERROR(__xludf.DUMMYFUNCTION("""COMPUTED_VALUE"""),43336.50167760417)</f>
        <v>43336.50168</v>
      </c>
      <c r="B1653" t="s">
        <v>371</v>
      </c>
    </row>
    <row r="1654" hidden="1">
      <c r="A1654" s="32">
        <f>IFERROR(__xludf.DUMMYFUNCTION("""COMPUTED_VALUE"""),43336.505005625004)</f>
        <v>43336.50501</v>
      </c>
      <c r="B1654" t="s">
        <v>33</v>
      </c>
    </row>
    <row r="1655" hidden="1">
      <c r="A1655" s="32">
        <f>IFERROR(__xludf.DUMMYFUNCTION("""COMPUTED_VALUE"""),43336.528520949076)</f>
        <v>43336.52852</v>
      </c>
      <c r="B1655" t="s">
        <v>371</v>
      </c>
    </row>
    <row r="1656" hidden="1">
      <c r="A1656" s="32">
        <f>IFERROR(__xludf.DUMMYFUNCTION("""COMPUTED_VALUE"""),43336.572807523145)</f>
        <v>43336.57281</v>
      </c>
      <c r="B1656" t="s">
        <v>40</v>
      </c>
    </row>
    <row r="1657" hidden="1">
      <c r="A1657" s="32">
        <f>IFERROR(__xludf.DUMMYFUNCTION("""COMPUTED_VALUE"""),43336.79545109953)</f>
        <v>43336.79545</v>
      </c>
      <c r="B1657" t="s">
        <v>123</v>
      </c>
    </row>
    <row r="1658" hidden="1">
      <c r="A1658" s="32">
        <f>IFERROR(__xludf.DUMMYFUNCTION("""COMPUTED_VALUE"""),43336.82175841436)</f>
        <v>43336.82176</v>
      </c>
      <c r="B1658" t="s">
        <v>40</v>
      </c>
    </row>
    <row r="1659" hidden="1">
      <c r="A1659" s="32">
        <f>IFERROR(__xludf.DUMMYFUNCTION("""COMPUTED_VALUE"""),43336.86724736111)</f>
        <v>43336.86725</v>
      </c>
      <c r="B1659" t="s">
        <v>139</v>
      </c>
    </row>
    <row r="1660" hidden="1">
      <c r="A1660" s="32">
        <f>IFERROR(__xludf.DUMMYFUNCTION("""COMPUTED_VALUE"""),43336.89283991898)</f>
        <v>43336.89284</v>
      </c>
      <c r="B1660" t="s">
        <v>1196</v>
      </c>
    </row>
    <row r="1661" hidden="1">
      <c r="A1661" s="32">
        <f>IFERROR(__xludf.DUMMYFUNCTION("""COMPUTED_VALUE"""),43336.89816773148)</f>
        <v>43336.89817</v>
      </c>
      <c r="B1661" t="s">
        <v>80</v>
      </c>
    </row>
    <row r="1662" hidden="1">
      <c r="A1662" s="32">
        <f>IFERROR(__xludf.DUMMYFUNCTION("""COMPUTED_VALUE"""),43336.91897096064)</f>
        <v>43336.91897</v>
      </c>
      <c r="B1662" t="s">
        <v>40</v>
      </c>
    </row>
    <row r="1663" hidden="1">
      <c r="A1663" s="32">
        <f>IFERROR(__xludf.DUMMYFUNCTION("""COMPUTED_VALUE"""),43336.9841967824)</f>
        <v>43336.9842</v>
      </c>
      <c r="B1663" t="s">
        <v>256</v>
      </c>
    </row>
    <row r="1664" hidden="1">
      <c r="A1664" s="32">
        <f>IFERROR(__xludf.DUMMYFUNCTION("""COMPUTED_VALUE"""),43337.05751953703)</f>
        <v>43337.05752</v>
      </c>
      <c r="B1664" t="s">
        <v>40</v>
      </c>
    </row>
    <row r="1665" hidden="1">
      <c r="A1665" s="32">
        <f>IFERROR(__xludf.DUMMYFUNCTION("""COMPUTED_VALUE"""),43337.08219502315)</f>
        <v>43337.0822</v>
      </c>
      <c r="B1665" t="s">
        <v>2424</v>
      </c>
    </row>
    <row r="1666" hidden="1">
      <c r="A1666" s="32">
        <f>IFERROR(__xludf.DUMMYFUNCTION("""COMPUTED_VALUE"""),43337.2925405787)</f>
        <v>43337.29254</v>
      </c>
      <c r="B1666" t="s">
        <v>188</v>
      </c>
    </row>
    <row r="1667" hidden="1">
      <c r="A1667" s="32">
        <f>IFERROR(__xludf.DUMMYFUNCTION("""COMPUTED_VALUE"""),43337.313725266205)</f>
        <v>43337.31373</v>
      </c>
      <c r="B1667" t="s">
        <v>371</v>
      </c>
    </row>
    <row r="1668" hidden="1">
      <c r="A1668" s="32">
        <f>IFERROR(__xludf.DUMMYFUNCTION("""COMPUTED_VALUE"""),43337.34711328703)</f>
        <v>43337.34711</v>
      </c>
      <c r="B1668" t="s">
        <v>40</v>
      </c>
    </row>
    <row r="1669" hidden="1">
      <c r="A1669" s="32">
        <f>IFERROR(__xludf.DUMMYFUNCTION("""COMPUTED_VALUE"""),43337.610360300925)</f>
        <v>43337.61036</v>
      </c>
      <c r="B1669" t="s">
        <v>40</v>
      </c>
    </row>
    <row r="1670" hidden="1">
      <c r="A1670" s="32">
        <f>IFERROR(__xludf.DUMMYFUNCTION("""COMPUTED_VALUE"""),43337.61228716435)</f>
        <v>43337.61229</v>
      </c>
      <c r="B1670" t="s">
        <v>40</v>
      </c>
    </row>
    <row r="1671" hidden="1">
      <c r="A1671" s="32">
        <f>IFERROR(__xludf.DUMMYFUNCTION("""COMPUTED_VALUE"""),43337.62859180555)</f>
        <v>43337.62859</v>
      </c>
      <c r="B1671" t="s">
        <v>371</v>
      </c>
    </row>
    <row r="1672" hidden="1">
      <c r="A1672" s="32">
        <f>IFERROR(__xludf.DUMMYFUNCTION("""COMPUTED_VALUE"""),43337.69217913195)</f>
        <v>43337.69218</v>
      </c>
      <c r="B1672" t="s">
        <v>1255</v>
      </c>
    </row>
    <row r="1673" hidden="1">
      <c r="A1673" s="32">
        <f>IFERROR(__xludf.DUMMYFUNCTION("""COMPUTED_VALUE"""),43337.76001931713)</f>
        <v>43337.76002</v>
      </c>
      <c r="B1673" t="s">
        <v>77</v>
      </c>
    </row>
    <row r="1674" hidden="1">
      <c r="A1674" s="32">
        <f>IFERROR(__xludf.DUMMYFUNCTION("""COMPUTED_VALUE"""),43337.76196355324)</f>
        <v>43337.76196</v>
      </c>
      <c r="B1674" t="s">
        <v>77</v>
      </c>
    </row>
    <row r="1675" hidden="1">
      <c r="A1675" s="32">
        <f>IFERROR(__xludf.DUMMYFUNCTION("""COMPUTED_VALUE"""),43337.781997604165)</f>
        <v>43337.782</v>
      </c>
      <c r="B1675" t="s">
        <v>48</v>
      </c>
    </row>
    <row r="1676" hidden="1">
      <c r="A1676" s="32">
        <f>IFERROR(__xludf.DUMMYFUNCTION("""COMPUTED_VALUE"""),43337.80779600695)</f>
        <v>43337.8078</v>
      </c>
      <c r="B1676" t="s">
        <v>123</v>
      </c>
    </row>
    <row r="1677" hidden="1">
      <c r="A1677" s="32">
        <f>IFERROR(__xludf.DUMMYFUNCTION("""COMPUTED_VALUE"""),43337.84545418981)</f>
        <v>43337.84545</v>
      </c>
      <c r="B1677" t="s">
        <v>1160</v>
      </c>
    </row>
    <row r="1678" hidden="1">
      <c r="A1678" s="32">
        <f>IFERROR(__xludf.DUMMYFUNCTION("""COMPUTED_VALUE"""),43337.84546633102)</f>
        <v>43337.84547</v>
      </c>
      <c r="B1678" t="s">
        <v>45</v>
      </c>
    </row>
    <row r="1679" hidden="1">
      <c r="A1679" s="32">
        <f>IFERROR(__xludf.DUMMYFUNCTION("""COMPUTED_VALUE"""),43337.911969583336)</f>
        <v>43337.91197</v>
      </c>
      <c r="B1679" t="s">
        <v>1259</v>
      </c>
    </row>
    <row r="1680" hidden="1">
      <c r="A1680" s="32">
        <f>IFERROR(__xludf.DUMMYFUNCTION("""COMPUTED_VALUE"""),43337.960770578706)</f>
        <v>43337.96077</v>
      </c>
      <c r="B1680" t="s">
        <v>80</v>
      </c>
    </row>
    <row r="1681" hidden="1">
      <c r="A1681" s="32">
        <f>IFERROR(__xludf.DUMMYFUNCTION("""COMPUTED_VALUE"""),43337.96519362269)</f>
        <v>43337.96519</v>
      </c>
      <c r="B1681" t="s">
        <v>45</v>
      </c>
    </row>
    <row r="1682" hidden="1">
      <c r="A1682" s="32">
        <f>IFERROR(__xludf.DUMMYFUNCTION("""COMPUTED_VALUE"""),43338.00235703704)</f>
        <v>43338.00236</v>
      </c>
      <c r="B1682" t="s">
        <v>258</v>
      </c>
    </row>
    <row r="1683" hidden="1">
      <c r="A1683" s="32">
        <f>IFERROR(__xludf.DUMMYFUNCTION("""COMPUTED_VALUE"""),43338.066583912034)</f>
        <v>43338.06658</v>
      </c>
      <c r="B1683" t="s">
        <v>40</v>
      </c>
    </row>
    <row r="1684" hidden="1">
      <c r="A1684" s="32">
        <f>IFERROR(__xludf.DUMMYFUNCTION("""COMPUTED_VALUE"""),43338.195150983796)</f>
        <v>43338.19515</v>
      </c>
      <c r="B1684" t="s">
        <v>538</v>
      </c>
    </row>
    <row r="1685" hidden="1">
      <c r="A1685" s="32">
        <f>IFERROR(__xludf.DUMMYFUNCTION("""COMPUTED_VALUE"""),43338.408553587964)</f>
        <v>43338.40855</v>
      </c>
      <c r="B1685" t="s">
        <v>40</v>
      </c>
    </row>
    <row r="1686" hidden="1">
      <c r="A1686" s="32">
        <f>IFERROR(__xludf.DUMMYFUNCTION("""COMPUTED_VALUE"""),43338.41660280093)</f>
        <v>43338.4166</v>
      </c>
      <c r="B1686" t="s">
        <v>40</v>
      </c>
    </row>
    <row r="1687" hidden="1">
      <c r="A1687" s="32">
        <f>IFERROR(__xludf.DUMMYFUNCTION("""COMPUTED_VALUE"""),43338.42849106481)</f>
        <v>43338.42849</v>
      </c>
      <c r="B1687" t="s">
        <v>45</v>
      </c>
    </row>
    <row r="1688" hidden="1">
      <c r="A1688" s="32">
        <f>IFERROR(__xludf.DUMMYFUNCTION("""COMPUTED_VALUE"""),43338.42849364583)</f>
        <v>43338.42849</v>
      </c>
      <c r="B1688" t="s">
        <v>45</v>
      </c>
    </row>
    <row r="1689" hidden="1">
      <c r="A1689" s="32">
        <f>IFERROR(__xludf.DUMMYFUNCTION("""COMPUTED_VALUE"""),43338.51192858796)</f>
        <v>43338.51193</v>
      </c>
      <c r="B1689" t="s">
        <v>48</v>
      </c>
    </row>
    <row r="1690" hidden="1">
      <c r="A1690" s="32">
        <f>IFERROR(__xludf.DUMMYFUNCTION("""COMPUTED_VALUE"""),43338.66463179398)</f>
        <v>43338.66463</v>
      </c>
      <c r="B1690" t="s">
        <v>350</v>
      </c>
    </row>
    <row r="1691" hidden="1">
      <c r="A1691" s="32">
        <f>IFERROR(__xludf.DUMMYFUNCTION("""COMPUTED_VALUE"""),43338.671812395834)</f>
        <v>43338.67181</v>
      </c>
      <c r="B1691" t="s">
        <v>1265</v>
      </c>
    </row>
    <row r="1692" hidden="1">
      <c r="A1692" s="32">
        <f>IFERROR(__xludf.DUMMYFUNCTION("""COMPUTED_VALUE"""),43338.84049116899)</f>
        <v>43338.84049</v>
      </c>
      <c r="B1692" t="s">
        <v>33</v>
      </c>
    </row>
    <row r="1693" hidden="1">
      <c r="A1693" s="32">
        <f>IFERROR(__xludf.DUMMYFUNCTION("""COMPUTED_VALUE"""),43338.873609988426)</f>
        <v>43338.87361</v>
      </c>
      <c r="B1693" t="s">
        <v>40</v>
      </c>
    </row>
    <row r="1694" hidden="1">
      <c r="A1694" s="32">
        <f>IFERROR(__xludf.DUMMYFUNCTION("""COMPUTED_VALUE"""),43338.89074805556)</f>
        <v>43338.89075</v>
      </c>
      <c r="B1694" t="s">
        <v>33</v>
      </c>
    </row>
    <row r="1695" hidden="1">
      <c r="A1695" s="32">
        <f>IFERROR(__xludf.DUMMYFUNCTION("""COMPUTED_VALUE"""),43338.997497847224)</f>
        <v>43338.9975</v>
      </c>
      <c r="B1695" t="s">
        <v>45</v>
      </c>
    </row>
    <row r="1696" hidden="1">
      <c r="A1696" s="32">
        <f>IFERROR(__xludf.DUMMYFUNCTION("""COMPUTED_VALUE"""),43339.019672442126)</f>
        <v>43339.01967</v>
      </c>
      <c r="B1696" t="s">
        <v>45</v>
      </c>
    </row>
    <row r="1697" hidden="1">
      <c r="A1697" s="32">
        <f>IFERROR(__xludf.DUMMYFUNCTION("""COMPUTED_VALUE"""),43339.31894695602)</f>
        <v>43339.31895</v>
      </c>
      <c r="B1697" t="s">
        <v>2712</v>
      </c>
    </row>
    <row r="1698" hidden="1">
      <c r="A1698" s="32">
        <f>IFERROR(__xludf.DUMMYFUNCTION("""COMPUTED_VALUE"""),43339.321502719904)</f>
        <v>43339.3215</v>
      </c>
      <c r="B1698" t="s">
        <v>2713</v>
      </c>
    </row>
    <row r="1699" hidden="1">
      <c r="A1699" s="32">
        <f>IFERROR(__xludf.DUMMYFUNCTION("""COMPUTED_VALUE"""),43339.32177248843)</f>
        <v>43339.32177</v>
      </c>
      <c r="B1699" t="s">
        <v>2714</v>
      </c>
    </row>
    <row r="1700" hidden="1">
      <c r="A1700" s="32">
        <f>IFERROR(__xludf.DUMMYFUNCTION("""COMPUTED_VALUE"""),43339.33648269676)</f>
        <v>43339.33648</v>
      </c>
      <c r="B1700" t="s">
        <v>40</v>
      </c>
    </row>
    <row r="1701" hidden="1">
      <c r="A1701" s="32">
        <f>IFERROR(__xludf.DUMMYFUNCTION("""COMPUTED_VALUE"""),43339.39591453703)</f>
        <v>43339.39591</v>
      </c>
      <c r="B1701" t="s">
        <v>371</v>
      </c>
    </row>
    <row r="1702" hidden="1">
      <c r="A1702" s="32">
        <f>IFERROR(__xludf.DUMMYFUNCTION("""COMPUTED_VALUE"""),43339.40864650463)</f>
        <v>43339.40865</v>
      </c>
      <c r="B1702" t="s">
        <v>1273</v>
      </c>
    </row>
    <row r="1703" hidden="1">
      <c r="A1703" s="32">
        <f>IFERROR(__xludf.DUMMYFUNCTION("""COMPUTED_VALUE"""),43339.4656693287)</f>
        <v>43339.46567</v>
      </c>
      <c r="B1703" t="s">
        <v>40</v>
      </c>
    </row>
    <row r="1704" hidden="1">
      <c r="A1704" s="32">
        <f>IFERROR(__xludf.DUMMYFUNCTION("""COMPUTED_VALUE"""),43339.52419621528)</f>
        <v>43339.5242</v>
      </c>
      <c r="B1704" t="s">
        <v>40</v>
      </c>
    </row>
    <row r="1705" hidden="1">
      <c r="A1705" s="32">
        <f>IFERROR(__xludf.DUMMYFUNCTION("""COMPUTED_VALUE"""),43339.56070486111)</f>
        <v>43339.5607</v>
      </c>
      <c r="B1705" t="s">
        <v>1276</v>
      </c>
    </row>
    <row r="1706" hidden="1">
      <c r="A1706" s="32">
        <f>IFERROR(__xludf.DUMMYFUNCTION("""COMPUTED_VALUE"""),43339.66400710648)</f>
        <v>43339.66401</v>
      </c>
      <c r="B1706" t="s">
        <v>1160</v>
      </c>
    </row>
    <row r="1707" hidden="1">
      <c r="A1707" s="32">
        <f>IFERROR(__xludf.DUMMYFUNCTION("""COMPUTED_VALUE"""),43339.67086288195)</f>
        <v>43339.67086</v>
      </c>
      <c r="B1707" t="s">
        <v>80</v>
      </c>
    </row>
    <row r="1708" hidden="1">
      <c r="A1708" s="32">
        <f>IFERROR(__xludf.DUMMYFUNCTION("""COMPUTED_VALUE"""),43339.72246978009)</f>
        <v>43339.72247</v>
      </c>
      <c r="B1708" t="s">
        <v>77</v>
      </c>
    </row>
    <row r="1709" hidden="1">
      <c r="A1709" s="32">
        <f>IFERROR(__xludf.DUMMYFUNCTION("""COMPUTED_VALUE"""),43339.83671123843)</f>
        <v>43339.83671</v>
      </c>
      <c r="B1709" t="s">
        <v>33</v>
      </c>
    </row>
    <row r="1710" hidden="1">
      <c r="A1710" s="32">
        <f>IFERROR(__xludf.DUMMYFUNCTION("""COMPUTED_VALUE"""),43339.8393268287)</f>
        <v>43339.83933</v>
      </c>
      <c r="B1710" t="s">
        <v>40</v>
      </c>
    </row>
    <row r="1711" hidden="1">
      <c r="A1711" s="32">
        <f>IFERROR(__xludf.DUMMYFUNCTION("""COMPUTED_VALUE"""),43339.88538412037)</f>
        <v>43339.88538</v>
      </c>
      <c r="B1711" t="s">
        <v>170</v>
      </c>
    </row>
    <row r="1712" hidden="1">
      <c r="A1712" s="32">
        <f>IFERROR(__xludf.DUMMYFUNCTION("""COMPUTED_VALUE"""),43339.89920554398)</f>
        <v>43339.89921</v>
      </c>
      <c r="B1712" t="s">
        <v>371</v>
      </c>
    </row>
    <row r="1713" hidden="1">
      <c r="A1713" s="32">
        <f>IFERROR(__xludf.DUMMYFUNCTION("""COMPUTED_VALUE"""),43339.92769104167)</f>
        <v>43339.92769</v>
      </c>
      <c r="B1713" t="s">
        <v>1282</v>
      </c>
    </row>
    <row r="1714" hidden="1">
      <c r="A1714" s="32">
        <f>IFERROR(__xludf.DUMMYFUNCTION("""COMPUTED_VALUE"""),43339.97999153935)</f>
        <v>43339.97999</v>
      </c>
      <c r="B1714" t="s">
        <v>40</v>
      </c>
    </row>
    <row r="1715" hidden="1">
      <c r="A1715" s="32">
        <f>IFERROR(__xludf.DUMMYFUNCTION("""COMPUTED_VALUE"""),43340.01793159722)</f>
        <v>43340.01793</v>
      </c>
      <c r="B1715" t="s">
        <v>40</v>
      </c>
    </row>
    <row r="1716" hidden="1">
      <c r="A1716" s="32">
        <f>IFERROR(__xludf.DUMMYFUNCTION("""COMPUTED_VALUE"""),43340.34836532407)</f>
        <v>43340.34837</v>
      </c>
      <c r="B1716" t="s">
        <v>40</v>
      </c>
    </row>
    <row r="1717" hidden="1">
      <c r="A1717" s="32">
        <f>IFERROR(__xludf.DUMMYFUNCTION("""COMPUTED_VALUE"""),43340.36932694445)</f>
        <v>43340.36933</v>
      </c>
      <c r="B1717" t="s">
        <v>33</v>
      </c>
    </row>
    <row r="1718" hidden="1">
      <c r="A1718" s="32">
        <f>IFERROR(__xludf.DUMMYFUNCTION("""COMPUTED_VALUE"""),43340.43990878473)</f>
        <v>43340.43991</v>
      </c>
      <c r="B1718" t="s">
        <v>139</v>
      </c>
    </row>
    <row r="1719" hidden="1">
      <c r="A1719" s="32">
        <f>IFERROR(__xludf.DUMMYFUNCTION("""COMPUTED_VALUE"""),43340.45240983796)</f>
        <v>43340.45241</v>
      </c>
      <c r="B1719" t="s">
        <v>45</v>
      </c>
    </row>
    <row r="1720" hidden="1">
      <c r="A1720" s="32">
        <f>IFERROR(__xludf.DUMMYFUNCTION("""COMPUTED_VALUE"""),43340.490542245374)</f>
        <v>43340.49054</v>
      </c>
      <c r="B1720" t="s">
        <v>48</v>
      </c>
    </row>
    <row r="1721" hidden="1">
      <c r="A1721" s="32">
        <f>IFERROR(__xludf.DUMMYFUNCTION("""COMPUTED_VALUE"""),43340.55038202547)</f>
        <v>43340.55038</v>
      </c>
      <c r="B1721" t="s">
        <v>256</v>
      </c>
    </row>
    <row r="1722" hidden="1">
      <c r="A1722" s="32">
        <f>IFERROR(__xludf.DUMMYFUNCTION("""COMPUTED_VALUE"""),43340.67493479166)</f>
        <v>43340.67493</v>
      </c>
      <c r="B1722" t="s">
        <v>268</v>
      </c>
    </row>
    <row r="1723" hidden="1">
      <c r="A1723" s="32">
        <f>IFERROR(__xludf.DUMMYFUNCTION("""COMPUTED_VALUE"""),43340.67817489583)</f>
        <v>43340.67817</v>
      </c>
      <c r="B1723" t="s">
        <v>1286</v>
      </c>
    </row>
    <row r="1724" hidden="1">
      <c r="A1724" s="32">
        <f>IFERROR(__xludf.DUMMYFUNCTION("""COMPUTED_VALUE"""),43340.67842888889)</f>
        <v>43340.67843</v>
      </c>
      <c r="B1724" t="s">
        <v>268</v>
      </c>
    </row>
    <row r="1725" hidden="1">
      <c r="A1725" s="32">
        <f>IFERROR(__xludf.DUMMYFUNCTION("""COMPUTED_VALUE"""),43340.73381515047)</f>
        <v>43340.73382</v>
      </c>
      <c r="B1725" t="s">
        <v>2715</v>
      </c>
    </row>
    <row r="1726" hidden="1">
      <c r="A1726" s="32">
        <f>IFERROR(__xludf.DUMMYFUNCTION("""COMPUTED_VALUE"""),43340.83413736111)</f>
        <v>43340.83414</v>
      </c>
      <c r="B1726" t="s">
        <v>2665</v>
      </c>
    </row>
    <row r="1727" hidden="1">
      <c r="A1727" s="32">
        <f>IFERROR(__xludf.DUMMYFUNCTION("""COMPUTED_VALUE"""),43340.89562814815)</f>
        <v>43340.89563</v>
      </c>
      <c r="B1727" t="s">
        <v>33</v>
      </c>
    </row>
    <row r="1728" hidden="1">
      <c r="A1728" s="32">
        <f>IFERROR(__xludf.DUMMYFUNCTION("""COMPUTED_VALUE"""),43340.90205708334)</f>
        <v>43340.90206</v>
      </c>
      <c r="B1728" t="s">
        <v>40</v>
      </c>
    </row>
    <row r="1729" hidden="1">
      <c r="A1729" s="32">
        <f>IFERROR(__xludf.DUMMYFUNCTION("""COMPUTED_VALUE"""),43340.93117848379)</f>
        <v>43340.93118</v>
      </c>
      <c r="B1729" t="s">
        <v>1037</v>
      </c>
    </row>
    <row r="1730" hidden="1">
      <c r="A1730" s="32">
        <f>IFERROR(__xludf.DUMMYFUNCTION("""COMPUTED_VALUE"""),43340.93931487268)</f>
        <v>43340.93931</v>
      </c>
      <c r="B1730" t="s">
        <v>45</v>
      </c>
    </row>
    <row r="1731" hidden="1">
      <c r="A1731" s="32">
        <f>IFERROR(__xludf.DUMMYFUNCTION("""COMPUTED_VALUE"""),43340.953845717595)</f>
        <v>43340.95385</v>
      </c>
      <c r="B1731" t="s">
        <v>48</v>
      </c>
    </row>
    <row r="1732" hidden="1">
      <c r="A1732" s="32">
        <f>IFERROR(__xludf.DUMMYFUNCTION("""COMPUTED_VALUE"""),43341.58504041667)</f>
        <v>43341.58504</v>
      </c>
      <c r="B1732" t="s">
        <v>2424</v>
      </c>
    </row>
    <row r="1733" hidden="1">
      <c r="A1733" s="32">
        <f>IFERROR(__xludf.DUMMYFUNCTION("""COMPUTED_VALUE"""),43341.58654060186)</f>
        <v>43341.58654</v>
      </c>
      <c r="B1733" t="s">
        <v>2424</v>
      </c>
    </row>
    <row r="1734" hidden="1">
      <c r="A1734" s="32">
        <f>IFERROR(__xludf.DUMMYFUNCTION("""COMPUTED_VALUE"""),43341.59663809028)</f>
        <v>43341.59664</v>
      </c>
      <c r="B1734" t="s">
        <v>1295</v>
      </c>
    </row>
    <row r="1735" hidden="1">
      <c r="A1735" s="32">
        <f>IFERROR(__xludf.DUMMYFUNCTION("""COMPUTED_VALUE"""),43341.630945185185)</f>
        <v>43341.63095</v>
      </c>
      <c r="B1735" t="s">
        <v>33</v>
      </c>
    </row>
    <row r="1736" hidden="1">
      <c r="A1736" s="32">
        <f>IFERROR(__xludf.DUMMYFUNCTION("""COMPUTED_VALUE"""),43341.8233858912)</f>
        <v>43341.82339</v>
      </c>
      <c r="B1736" t="s">
        <v>2716</v>
      </c>
    </row>
    <row r="1737" hidden="1">
      <c r="A1737" s="32">
        <f>IFERROR(__xludf.DUMMYFUNCTION("""COMPUTED_VALUE"""),43341.841764745375)</f>
        <v>43341.84176</v>
      </c>
      <c r="B1737" t="s">
        <v>540</v>
      </c>
    </row>
    <row r="1738" hidden="1">
      <c r="A1738" s="32">
        <f>IFERROR(__xludf.DUMMYFUNCTION("""COMPUTED_VALUE"""),43341.88741082176)</f>
        <v>43341.88741</v>
      </c>
      <c r="B1738" t="s">
        <v>48</v>
      </c>
    </row>
    <row r="1739" hidden="1">
      <c r="A1739" s="32">
        <f>IFERROR(__xludf.DUMMYFUNCTION("""COMPUTED_VALUE"""),43341.972932766206)</f>
        <v>43341.97293</v>
      </c>
      <c r="B1739" t="s">
        <v>2717</v>
      </c>
    </row>
    <row r="1740" hidden="1">
      <c r="A1740" s="32">
        <f>IFERROR(__xludf.DUMMYFUNCTION("""COMPUTED_VALUE"""),43342.01002030092)</f>
        <v>43342.01002</v>
      </c>
      <c r="B1740" t="s">
        <v>170</v>
      </c>
    </row>
    <row r="1741" hidden="1">
      <c r="A1741" s="32">
        <f>IFERROR(__xludf.DUMMYFUNCTION("""COMPUTED_VALUE"""),43342.12727733796)</f>
        <v>43342.12728</v>
      </c>
      <c r="B1741" t="s">
        <v>40</v>
      </c>
    </row>
    <row r="1742" hidden="1">
      <c r="A1742" s="32">
        <f>IFERROR(__xludf.DUMMYFUNCTION("""COMPUTED_VALUE"""),43342.359936249995)</f>
        <v>43342.35994</v>
      </c>
      <c r="B1742" t="s">
        <v>40</v>
      </c>
    </row>
    <row r="1743" hidden="1">
      <c r="A1743" s="32">
        <f>IFERROR(__xludf.DUMMYFUNCTION("""COMPUTED_VALUE"""),43342.44476003472)</f>
        <v>43342.44476</v>
      </c>
      <c r="B1743" t="s">
        <v>124</v>
      </c>
    </row>
    <row r="1744" hidden="1">
      <c r="A1744" s="32">
        <f>IFERROR(__xludf.DUMMYFUNCTION("""COMPUTED_VALUE"""),43342.49615013889)</f>
        <v>43342.49615</v>
      </c>
      <c r="B1744" t="s">
        <v>658</v>
      </c>
    </row>
    <row r="1745" hidden="1">
      <c r="A1745" s="32">
        <f>IFERROR(__xludf.DUMMYFUNCTION("""COMPUTED_VALUE"""),43342.54033383101)</f>
        <v>43342.54033</v>
      </c>
      <c r="B1745" t="s">
        <v>2718</v>
      </c>
    </row>
    <row r="1746" hidden="1">
      <c r="A1746" s="32">
        <f>IFERROR(__xludf.DUMMYFUNCTION("""COMPUTED_VALUE"""),43342.54174570602)</f>
        <v>43342.54175</v>
      </c>
      <c r="B1746" t="s">
        <v>123</v>
      </c>
    </row>
    <row r="1747" hidden="1">
      <c r="A1747" s="32">
        <f>IFERROR(__xludf.DUMMYFUNCTION("""COMPUTED_VALUE"""),43342.5723928125)</f>
        <v>43342.57239</v>
      </c>
      <c r="B1747" t="s">
        <v>80</v>
      </c>
    </row>
    <row r="1748" hidden="1">
      <c r="A1748" s="32">
        <f>IFERROR(__xludf.DUMMYFUNCTION("""COMPUTED_VALUE"""),43342.66825756944)</f>
        <v>43342.66826</v>
      </c>
      <c r="B1748" t="s">
        <v>122</v>
      </c>
    </row>
    <row r="1749" hidden="1">
      <c r="A1749" s="32">
        <f>IFERROR(__xludf.DUMMYFUNCTION("""COMPUTED_VALUE"""),43342.67418714121)</f>
        <v>43342.67419</v>
      </c>
      <c r="B1749" t="s">
        <v>1313</v>
      </c>
    </row>
    <row r="1750" hidden="1">
      <c r="A1750" s="32">
        <f>IFERROR(__xludf.DUMMYFUNCTION("""COMPUTED_VALUE"""),43342.716890104166)</f>
        <v>43342.71689</v>
      </c>
      <c r="B1750" t="s">
        <v>170</v>
      </c>
    </row>
    <row r="1751" hidden="1">
      <c r="A1751" s="32">
        <f>IFERROR(__xludf.DUMMYFUNCTION("""COMPUTED_VALUE"""),43342.74237003472)</f>
        <v>43342.74237</v>
      </c>
      <c r="B1751" t="s">
        <v>1160</v>
      </c>
    </row>
    <row r="1752" hidden="1">
      <c r="A1752" s="32">
        <f>IFERROR(__xludf.DUMMYFUNCTION("""COMPUTED_VALUE"""),43342.786147743056)</f>
        <v>43342.78615</v>
      </c>
      <c r="B1752" t="s">
        <v>204</v>
      </c>
    </row>
    <row r="1753" hidden="1">
      <c r="A1753" s="32">
        <f>IFERROR(__xludf.DUMMYFUNCTION("""COMPUTED_VALUE"""),43342.80580792824)</f>
        <v>43342.80581</v>
      </c>
      <c r="B1753" t="s">
        <v>139</v>
      </c>
    </row>
    <row r="1754" hidden="1">
      <c r="A1754" s="32">
        <f>IFERROR(__xludf.DUMMYFUNCTION("""COMPUTED_VALUE"""),43342.821046122684)</f>
        <v>43342.82105</v>
      </c>
      <c r="B1754" t="s">
        <v>1160</v>
      </c>
    </row>
    <row r="1755" hidden="1">
      <c r="A1755" s="32">
        <f>IFERROR(__xludf.DUMMYFUNCTION("""COMPUTED_VALUE"""),43342.837405046295)</f>
        <v>43342.83741</v>
      </c>
      <c r="B1755" t="s">
        <v>33</v>
      </c>
    </row>
    <row r="1756" hidden="1">
      <c r="A1756" s="32">
        <f>IFERROR(__xludf.DUMMYFUNCTION("""COMPUTED_VALUE"""),43342.85925202546)</f>
        <v>43342.85925</v>
      </c>
      <c r="B1756" t="s">
        <v>40</v>
      </c>
    </row>
    <row r="1757" hidden="1">
      <c r="A1757" s="32">
        <f>IFERROR(__xludf.DUMMYFUNCTION("""COMPUTED_VALUE"""),43342.88510726852)</f>
        <v>43342.88511</v>
      </c>
      <c r="B1757" t="s">
        <v>263</v>
      </c>
    </row>
    <row r="1758" hidden="1">
      <c r="A1758" s="32">
        <f>IFERROR(__xludf.DUMMYFUNCTION("""COMPUTED_VALUE"""),43342.896871944446)</f>
        <v>43342.89687</v>
      </c>
      <c r="B1758" t="s">
        <v>40</v>
      </c>
    </row>
    <row r="1759" hidden="1">
      <c r="A1759" s="32">
        <f>IFERROR(__xludf.DUMMYFUNCTION("""COMPUTED_VALUE"""),43342.95664575232)</f>
        <v>43342.95665</v>
      </c>
      <c r="B1759" t="s">
        <v>40</v>
      </c>
    </row>
    <row r="1760" hidden="1">
      <c r="A1760" s="32">
        <f>IFERROR(__xludf.DUMMYFUNCTION("""COMPUTED_VALUE"""),43343.015124224534)</f>
        <v>43343.01512</v>
      </c>
      <c r="B1760" t="s">
        <v>33</v>
      </c>
    </row>
    <row r="1761" hidden="1">
      <c r="A1761" s="32">
        <f>IFERROR(__xludf.DUMMYFUNCTION("""COMPUTED_VALUE"""),43343.01768075231)</f>
        <v>43343.01768</v>
      </c>
      <c r="B1761" t="s">
        <v>40</v>
      </c>
    </row>
    <row r="1762" hidden="1">
      <c r="A1762" s="32">
        <f>IFERROR(__xludf.DUMMYFUNCTION("""COMPUTED_VALUE"""),43343.07251290509)</f>
        <v>43343.07251</v>
      </c>
      <c r="B1762" t="s">
        <v>1320</v>
      </c>
    </row>
    <row r="1763" hidden="1">
      <c r="A1763" s="32">
        <f>IFERROR(__xludf.DUMMYFUNCTION("""COMPUTED_VALUE"""),43343.2989766088)</f>
        <v>43343.29898</v>
      </c>
      <c r="B1763" t="s">
        <v>1321</v>
      </c>
    </row>
    <row r="1764" hidden="1">
      <c r="A1764" s="32">
        <f>IFERROR(__xludf.DUMMYFUNCTION("""COMPUTED_VALUE"""),43343.30092148148)</f>
        <v>43343.30092</v>
      </c>
      <c r="B1764" t="s">
        <v>2719</v>
      </c>
    </row>
    <row r="1765" hidden="1">
      <c r="A1765" s="32">
        <f>IFERROR(__xludf.DUMMYFUNCTION("""COMPUTED_VALUE"""),43343.43721181713)</f>
        <v>43343.43721</v>
      </c>
      <c r="B1765" t="s">
        <v>1325</v>
      </c>
    </row>
    <row r="1766" hidden="1">
      <c r="A1766" s="32">
        <f>IFERROR(__xludf.DUMMYFUNCTION("""COMPUTED_VALUE"""),43343.450963043986)</f>
        <v>43343.45096</v>
      </c>
      <c r="B1766" t="s">
        <v>371</v>
      </c>
    </row>
    <row r="1767" hidden="1">
      <c r="A1767" s="32">
        <f>IFERROR(__xludf.DUMMYFUNCTION("""COMPUTED_VALUE"""),43343.5138841088)</f>
        <v>43343.51388</v>
      </c>
      <c r="B1767" t="s">
        <v>170</v>
      </c>
    </row>
    <row r="1768" hidden="1">
      <c r="A1768" s="32">
        <f>IFERROR(__xludf.DUMMYFUNCTION("""COMPUTED_VALUE"""),43343.51444571759)</f>
        <v>43343.51445</v>
      </c>
      <c r="B1768" t="s">
        <v>40</v>
      </c>
    </row>
    <row r="1769" hidden="1">
      <c r="A1769" s="32">
        <f>IFERROR(__xludf.DUMMYFUNCTION("""COMPUTED_VALUE"""),43343.56582554398)</f>
        <v>43343.56583</v>
      </c>
      <c r="B1769" t="s">
        <v>258</v>
      </c>
    </row>
    <row r="1770" hidden="1">
      <c r="A1770" s="32">
        <f>IFERROR(__xludf.DUMMYFUNCTION("""COMPUTED_VALUE"""),43343.63047497685)</f>
        <v>43343.63047</v>
      </c>
      <c r="B1770" t="s">
        <v>40</v>
      </c>
    </row>
    <row r="1771" hidden="1">
      <c r="A1771" s="32">
        <f>IFERROR(__xludf.DUMMYFUNCTION("""COMPUTED_VALUE"""),43343.672865659726)</f>
        <v>43343.67287</v>
      </c>
      <c r="B1771" t="s">
        <v>2720</v>
      </c>
    </row>
    <row r="1772" hidden="1">
      <c r="A1772" s="32">
        <f>IFERROR(__xludf.DUMMYFUNCTION("""COMPUTED_VALUE"""),43343.680299189815)</f>
        <v>43343.6803</v>
      </c>
      <c r="B1772" t="s">
        <v>139</v>
      </c>
    </row>
    <row r="1773" hidden="1">
      <c r="A1773" s="32">
        <f>IFERROR(__xludf.DUMMYFUNCTION("""COMPUTED_VALUE"""),43343.74282076389)</f>
        <v>43343.74282</v>
      </c>
      <c r="B1773" t="s">
        <v>40</v>
      </c>
    </row>
    <row r="1774" hidden="1">
      <c r="A1774" s="32">
        <f>IFERROR(__xludf.DUMMYFUNCTION("""COMPUTED_VALUE"""),43343.847464756946)</f>
        <v>43343.84746</v>
      </c>
      <c r="B1774" t="s">
        <v>80</v>
      </c>
    </row>
    <row r="1775" hidden="1">
      <c r="A1775" s="32">
        <f>IFERROR(__xludf.DUMMYFUNCTION("""COMPUTED_VALUE"""),43343.96926863426)</f>
        <v>43343.96927</v>
      </c>
      <c r="B1775" t="s">
        <v>33</v>
      </c>
    </row>
    <row r="1776" hidden="1">
      <c r="A1776" s="32">
        <f>IFERROR(__xludf.DUMMYFUNCTION("""COMPUTED_VALUE"""),43344.07665033565)</f>
        <v>43344.07665</v>
      </c>
      <c r="B1776" t="s">
        <v>387</v>
      </c>
    </row>
    <row r="1777" hidden="1">
      <c r="A1777" s="32">
        <f>IFERROR(__xludf.DUMMYFUNCTION("""COMPUTED_VALUE"""),43344.441847696755)</f>
        <v>43344.44185</v>
      </c>
      <c r="B1777" t="s">
        <v>40</v>
      </c>
    </row>
    <row r="1778" hidden="1">
      <c r="A1778" s="32">
        <f>IFERROR(__xludf.DUMMYFUNCTION("""COMPUTED_VALUE"""),43344.70973646991)</f>
        <v>43344.70974</v>
      </c>
      <c r="B1778" t="s">
        <v>36</v>
      </c>
    </row>
    <row r="1779" hidden="1">
      <c r="A1779" s="32">
        <f>IFERROR(__xludf.DUMMYFUNCTION("""COMPUTED_VALUE"""),43344.748756608795)</f>
        <v>43344.74876</v>
      </c>
      <c r="B1779" t="s">
        <v>45</v>
      </c>
    </row>
    <row r="1780" hidden="1">
      <c r="A1780" s="32">
        <f>IFERROR(__xludf.DUMMYFUNCTION("""COMPUTED_VALUE"""),43344.798390509255)</f>
        <v>43344.79839</v>
      </c>
      <c r="B1780" t="s">
        <v>371</v>
      </c>
    </row>
    <row r="1781" hidden="1">
      <c r="A1781" s="32">
        <f>IFERROR(__xludf.DUMMYFUNCTION("""COMPUTED_VALUE"""),43344.87640638889)</f>
        <v>43344.87641</v>
      </c>
      <c r="B1781" t="s">
        <v>40</v>
      </c>
    </row>
    <row r="1782" hidden="1">
      <c r="A1782" s="32">
        <f>IFERROR(__xludf.DUMMYFUNCTION("""COMPUTED_VALUE"""),43344.915406493055)</f>
        <v>43344.91541</v>
      </c>
      <c r="B1782" t="s">
        <v>2424</v>
      </c>
    </row>
    <row r="1783" hidden="1">
      <c r="A1783" s="32">
        <f>IFERROR(__xludf.DUMMYFUNCTION("""COMPUTED_VALUE"""),43345.01228753472)</f>
        <v>43345.01229</v>
      </c>
      <c r="B1783" t="s">
        <v>123</v>
      </c>
    </row>
    <row r="1784" hidden="1">
      <c r="A1784" s="32">
        <f>IFERROR(__xludf.DUMMYFUNCTION("""COMPUTED_VALUE"""),43345.11708815972)</f>
        <v>43345.11709</v>
      </c>
      <c r="B1784" t="s">
        <v>48</v>
      </c>
    </row>
    <row r="1785" hidden="1">
      <c r="A1785" s="32">
        <f>IFERROR(__xludf.DUMMYFUNCTION("""COMPUTED_VALUE"""),43345.12526825232)</f>
        <v>43345.12527</v>
      </c>
      <c r="B1785" t="s">
        <v>33</v>
      </c>
    </row>
    <row r="1786" hidden="1">
      <c r="A1786" s="32">
        <f>IFERROR(__xludf.DUMMYFUNCTION("""COMPUTED_VALUE"""),43345.47592917824)</f>
        <v>43345.47593</v>
      </c>
      <c r="B1786" t="s">
        <v>48</v>
      </c>
    </row>
    <row r="1787" hidden="1">
      <c r="A1787" s="32">
        <f>IFERROR(__xludf.DUMMYFUNCTION("""COMPUTED_VALUE"""),43345.80565563658)</f>
        <v>43345.80566</v>
      </c>
      <c r="B1787" t="s">
        <v>40</v>
      </c>
    </row>
    <row r="1788" hidden="1">
      <c r="A1788" s="32">
        <f>IFERROR(__xludf.DUMMYFUNCTION("""COMPUTED_VALUE"""),43345.85626082176)</f>
        <v>43345.85626</v>
      </c>
      <c r="B1788" t="s">
        <v>371</v>
      </c>
    </row>
    <row r="1789" hidden="1">
      <c r="A1789" s="32">
        <f>IFERROR(__xludf.DUMMYFUNCTION("""COMPUTED_VALUE"""),43345.93998841435)</f>
        <v>43345.93999</v>
      </c>
      <c r="B1789" t="s">
        <v>33</v>
      </c>
    </row>
    <row r="1790" hidden="1">
      <c r="A1790" s="32">
        <f>IFERROR(__xludf.DUMMYFUNCTION("""COMPUTED_VALUE"""),43345.95415291667)</f>
        <v>43345.95415</v>
      </c>
      <c r="B1790" t="s">
        <v>48</v>
      </c>
    </row>
    <row r="1791" hidden="1">
      <c r="A1791" s="32">
        <f>IFERROR(__xludf.DUMMYFUNCTION("""COMPUTED_VALUE"""),43346.24518391203)</f>
        <v>43346.24518</v>
      </c>
      <c r="B1791" t="s">
        <v>513</v>
      </c>
    </row>
    <row r="1792" hidden="1">
      <c r="A1792" s="32">
        <f>IFERROR(__xludf.DUMMYFUNCTION("""COMPUTED_VALUE"""),43346.58929640046)</f>
        <v>43346.5893</v>
      </c>
      <c r="B1792" t="s">
        <v>380</v>
      </c>
    </row>
    <row r="1793" hidden="1">
      <c r="A1793" s="32">
        <f>IFERROR(__xludf.DUMMYFUNCTION("""COMPUTED_VALUE"""),43346.63515313657)</f>
        <v>43346.63515</v>
      </c>
      <c r="B1793" t="s">
        <v>80</v>
      </c>
    </row>
    <row r="1794" hidden="1">
      <c r="A1794" s="32">
        <f>IFERROR(__xludf.DUMMYFUNCTION("""COMPUTED_VALUE"""),43346.67433122685)</f>
        <v>43346.67433</v>
      </c>
      <c r="B1794" t="s">
        <v>33</v>
      </c>
    </row>
    <row r="1795" hidden="1">
      <c r="A1795" s="32">
        <f>IFERROR(__xludf.DUMMYFUNCTION("""COMPUTED_VALUE"""),43346.679266527775)</f>
        <v>43346.67927</v>
      </c>
      <c r="B1795" t="s">
        <v>40</v>
      </c>
    </row>
    <row r="1796" hidden="1">
      <c r="A1796" s="32">
        <f>IFERROR(__xludf.DUMMYFUNCTION("""COMPUTED_VALUE"""),43346.775754745366)</f>
        <v>43346.77575</v>
      </c>
      <c r="B1796" t="s">
        <v>40</v>
      </c>
    </row>
    <row r="1797" hidden="1">
      <c r="A1797" s="32">
        <f>IFERROR(__xludf.DUMMYFUNCTION("""COMPUTED_VALUE"""),43346.86785663194)</f>
        <v>43346.86786</v>
      </c>
      <c r="B1797" t="s">
        <v>1160</v>
      </c>
    </row>
    <row r="1798" hidden="1">
      <c r="A1798" s="32">
        <f>IFERROR(__xludf.DUMMYFUNCTION("""COMPUTED_VALUE"""),43346.95764366898)</f>
        <v>43346.95764</v>
      </c>
      <c r="B1798" t="s">
        <v>80</v>
      </c>
    </row>
    <row r="1799" hidden="1">
      <c r="A1799" s="32">
        <f>IFERROR(__xludf.DUMMYFUNCTION("""COMPUTED_VALUE"""),43347.31897460648)</f>
        <v>43347.31897</v>
      </c>
      <c r="B1799" t="s">
        <v>33</v>
      </c>
    </row>
    <row r="1800" hidden="1">
      <c r="A1800" s="32">
        <f>IFERROR(__xludf.DUMMYFUNCTION("""COMPUTED_VALUE"""),43347.379201979165)</f>
        <v>43347.3792</v>
      </c>
      <c r="B1800" t="s">
        <v>80</v>
      </c>
    </row>
    <row r="1801" hidden="1">
      <c r="A1801" s="32">
        <f>IFERROR(__xludf.DUMMYFUNCTION("""COMPUTED_VALUE"""),43347.422487557866)</f>
        <v>43347.42249</v>
      </c>
      <c r="B1801" t="s">
        <v>45</v>
      </c>
    </row>
    <row r="1802" hidden="1">
      <c r="A1802" s="32">
        <f>IFERROR(__xludf.DUMMYFUNCTION("""COMPUTED_VALUE"""),43347.44350366898)</f>
        <v>43347.4435</v>
      </c>
      <c r="B1802" t="s">
        <v>371</v>
      </c>
    </row>
    <row r="1803" hidden="1">
      <c r="A1803" s="32">
        <f>IFERROR(__xludf.DUMMYFUNCTION("""COMPUTED_VALUE"""),43347.48162157407)</f>
        <v>43347.48162</v>
      </c>
      <c r="B1803" t="s">
        <v>33</v>
      </c>
    </row>
    <row r="1804" hidden="1">
      <c r="A1804" s="32">
        <f>IFERROR(__xludf.DUMMYFUNCTION("""COMPUTED_VALUE"""),43347.49028100695)</f>
        <v>43347.49028</v>
      </c>
      <c r="B1804" t="s">
        <v>40</v>
      </c>
    </row>
    <row r="1805" hidden="1">
      <c r="A1805" s="32">
        <f>IFERROR(__xludf.DUMMYFUNCTION("""COMPUTED_VALUE"""),43347.50723908565)</f>
        <v>43347.50724</v>
      </c>
      <c r="B1805" t="s">
        <v>1344</v>
      </c>
    </row>
    <row r="1806" hidden="1">
      <c r="A1806" s="32">
        <f>IFERROR(__xludf.DUMMYFUNCTION("""COMPUTED_VALUE"""),43347.526835972225)</f>
        <v>43347.52684</v>
      </c>
      <c r="B1806" t="s">
        <v>2721</v>
      </c>
    </row>
    <row r="1807" hidden="1">
      <c r="A1807" s="32">
        <f>IFERROR(__xludf.DUMMYFUNCTION("""COMPUTED_VALUE"""),43347.53614149305)</f>
        <v>43347.53614</v>
      </c>
      <c r="B1807" t="s">
        <v>268</v>
      </c>
    </row>
    <row r="1808" hidden="1">
      <c r="A1808" s="32">
        <f>IFERROR(__xludf.DUMMYFUNCTION("""COMPUTED_VALUE"""),43347.559248969905)</f>
        <v>43347.55925</v>
      </c>
      <c r="B1808" t="s">
        <v>40</v>
      </c>
    </row>
    <row r="1809" hidden="1">
      <c r="A1809" s="32">
        <f>IFERROR(__xludf.DUMMYFUNCTION("""COMPUTED_VALUE"""),43347.563530659725)</f>
        <v>43347.56353</v>
      </c>
      <c r="B1809" t="s">
        <v>80</v>
      </c>
    </row>
    <row r="1810" hidden="1">
      <c r="A1810" s="32">
        <f>IFERROR(__xludf.DUMMYFUNCTION("""COMPUTED_VALUE"""),43347.62548469908)</f>
        <v>43347.62548</v>
      </c>
      <c r="B1810" t="s">
        <v>36</v>
      </c>
    </row>
    <row r="1811" hidden="1">
      <c r="A1811" s="32">
        <f>IFERROR(__xludf.DUMMYFUNCTION("""COMPUTED_VALUE"""),43347.6542471875)</f>
        <v>43347.65425</v>
      </c>
      <c r="B1811" t="s">
        <v>2722</v>
      </c>
    </row>
    <row r="1812" hidden="1">
      <c r="A1812" s="32">
        <f>IFERROR(__xludf.DUMMYFUNCTION("""COMPUTED_VALUE"""),43347.67434305555)</f>
        <v>43347.67434</v>
      </c>
      <c r="B1812" t="s">
        <v>33</v>
      </c>
    </row>
    <row r="1813" hidden="1">
      <c r="A1813" s="32">
        <f>IFERROR(__xludf.DUMMYFUNCTION("""COMPUTED_VALUE"""),43347.68912476852)</f>
        <v>43347.68912</v>
      </c>
      <c r="B1813" t="s">
        <v>139</v>
      </c>
    </row>
    <row r="1814" hidden="1">
      <c r="A1814" s="32">
        <f>IFERROR(__xludf.DUMMYFUNCTION("""COMPUTED_VALUE"""),43347.727658414355)</f>
        <v>43347.72766</v>
      </c>
      <c r="B1814" t="s">
        <v>426</v>
      </c>
    </row>
    <row r="1815" hidden="1">
      <c r="A1815" s="32">
        <f>IFERROR(__xludf.DUMMYFUNCTION("""COMPUTED_VALUE"""),43347.79264835648)</f>
        <v>43347.79265</v>
      </c>
      <c r="B1815" t="s">
        <v>33</v>
      </c>
    </row>
    <row r="1816" hidden="1">
      <c r="A1816" s="32">
        <f>IFERROR(__xludf.DUMMYFUNCTION("""COMPUTED_VALUE"""),43347.79921747685)</f>
        <v>43347.79922</v>
      </c>
      <c r="B1816" t="s">
        <v>119</v>
      </c>
    </row>
    <row r="1817" hidden="1">
      <c r="A1817" s="32">
        <f>IFERROR(__xludf.DUMMYFUNCTION("""COMPUTED_VALUE"""),43347.96302685185)</f>
        <v>43347.96303</v>
      </c>
      <c r="B1817" t="s">
        <v>80</v>
      </c>
    </row>
    <row r="1818" hidden="1">
      <c r="A1818" s="32">
        <f>IFERROR(__xludf.DUMMYFUNCTION("""COMPUTED_VALUE"""),43347.99882584491)</f>
        <v>43347.99883</v>
      </c>
      <c r="B1818" t="s">
        <v>80</v>
      </c>
    </row>
    <row r="1819" hidden="1">
      <c r="A1819" s="32">
        <f>IFERROR(__xludf.DUMMYFUNCTION("""COMPUTED_VALUE"""),43348.04688538195)</f>
        <v>43348.04689</v>
      </c>
      <c r="B1819" t="s">
        <v>36</v>
      </c>
    </row>
    <row r="1820" hidden="1">
      <c r="A1820" s="32">
        <f>IFERROR(__xludf.DUMMYFUNCTION("""COMPUTED_VALUE"""),43348.05877981482)</f>
        <v>43348.05878</v>
      </c>
      <c r="B1820" t="s">
        <v>80</v>
      </c>
    </row>
    <row r="1821" hidden="1">
      <c r="A1821" s="32">
        <f>IFERROR(__xludf.DUMMYFUNCTION("""COMPUTED_VALUE"""),43348.11984083333)</f>
        <v>43348.11984</v>
      </c>
      <c r="B1821" t="s">
        <v>2313</v>
      </c>
    </row>
    <row r="1822" hidden="1">
      <c r="A1822" s="32">
        <f>IFERROR(__xludf.DUMMYFUNCTION("""COMPUTED_VALUE"""),43348.17294099537)</f>
        <v>43348.17294</v>
      </c>
      <c r="B1822" t="s">
        <v>170</v>
      </c>
    </row>
    <row r="1823" hidden="1">
      <c r="A1823" s="32">
        <f>IFERROR(__xludf.DUMMYFUNCTION("""COMPUTED_VALUE"""),43348.25214736111)</f>
        <v>43348.25215</v>
      </c>
      <c r="B1823" t="s">
        <v>1135</v>
      </c>
    </row>
    <row r="1824" hidden="1">
      <c r="A1824" s="32">
        <f>IFERROR(__xludf.DUMMYFUNCTION("""COMPUTED_VALUE"""),43348.34740078704)</f>
        <v>43348.3474</v>
      </c>
      <c r="B1824" t="s">
        <v>25</v>
      </c>
    </row>
    <row r="1825" hidden="1">
      <c r="A1825" s="32">
        <f>IFERROR(__xludf.DUMMYFUNCTION("""COMPUTED_VALUE"""),43348.43409304398)</f>
        <v>43348.43409</v>
      </c>
      <c r="B1825" t="s">
        <v>40</v>
      </c>
    </row>
    <row r="1826" hidden="1">
      <c r="A1826" s="32">
        <f>IFERROR(__xludf.DUMMYFUNCTION("""COMPUTED_VALUE"""),43348.46664979166)</f>
        <v>43348.46665</v>
      </c>
      <c r="B1826" t="s">
        <v>2723</v>
      </c>
    </row>
    <row r="1827" hidden="1">
      <c r="A1827" s="32">
        <f>IFERROR(__xludf.DUMMYFUNCTION("""COMPUTED_VALUE"""),43348.50227390046)</f>
        <v>43348.50227</v>
      </c>
      <c r="B1827" t="s">
        <v>36</v>
      </c>
    </row>
    <row r="1828" hidden="1">
      <c r="A1828" s="32">
        <f>IFERROR(__xludf.DUMMYFUNCTION("""COMPUTED_VALUE"""),43348.52616592593)</f>
        <v>43348.52617</v>
      </c>
      <c r="B1828" t="s">
        <v>33</v>
      </c>
    </row>
    <row r="1829" hidden="1">
      <c r="A1829" s="32">
        <f>IFERROR(__xludf.DUMMYFUNCTION("""COMPUTED_VALUE"""),43348.582869641206)</f>
        <v>43348.58287</v>
      </c>
      <c r="B1829" t="s">
        <v>538</v>
      </c>
    </row>
    <row r="1830" hidden="1">
      <c r="A1830" s="32">
        <f>IFERROR(__xludf.DUMMYFUNCTION("""COMPUTED_VALUE"""),43348.601287708334)</f>
        <v>43348.60129</v>
      </c>
      <c r="B1830" t="s">
        <v>80</v>
      </c>
    </row>
    <row r="1831" hidden="1">
      <c r="A1831" s="32">
        <f>IFERROR(__xludf.DUMMYFUNCTION("""COMPUTED_VALUE"""),43348.626976354164)</f>
        <v>43348.62698</v>
      </c>
      <c r="B1831" t="s">
        <v>157</v>
      </c>
    </row>
    <row r="1832" hidden="1">
      <c r="A1832" s="32">
        <f>IFERROR(__xludf.DUMMYFUNCTION("""COMPUTED_VALUE"""),43348.63971120371)</f>
        <v>43348.63971</v>
      </c>
      <c r="B1832" t="s">
        <v>95</v>
      </c>
    </row>
    <row r="1833" hidden="1">
      <c r="A1833" s="32">
        <f>IFERROR(__xludf.DUMMYFUNCTION("""COMPUTED_VALUE"""),43348.66367142361)</f>
        <v>43348.66367</v>
      </c>
      <c r="B1833" t="s">
        <v>2665</v>
      </c>
    </row>
    <row r="1834" hidden="1">
      <c r="A1834" s="32">
        <f>IFERROR(__xludf.DUMMYFUNCTION("""COMPUTED_VALUE"""),43348.693706018516)</f>
        <v>43348.69371</v>
      </c>
      <c r="B1834" t="s">
        <v>1371</v>
      </c>
    </row>
    <row r="1835" hidden="1">
      <c r="A1835" s="32">
        <f>IFERROR(__xludf.DUMMYFUNCTION("""COMPUTED_VALUE"""),43348.73886197917)</f>
        <v>43348.73886</v>
      </c>
      <c r="B1835" t="s">
        <v>80</v>
      </c>
    </row>
    <row r="1836" hidden="1">
      <c r="A1836" s="32">
        <f>IFERROR(__xludf.DUMMYFUNCTION("""COMPUTED_VALUE"""),43348.788610185184)</f>
        <v>43348.78861</v>
      </c>
      <c r="B1836" t="s">
        <v>282</v>
      </c>
    </row>
    <row r="1837" hidden="1">
      <c r="A1837" s="32">
        <f>IFERROR(__xludf.DUMMYFUNCTION("""COMPUTED_VALUE"""),43348.83177030092)</f>
        <v>43348.83177</v>
      </c>
      <c r="B1837" t="s">
        <v>819</v>
      </c>
    </row>
    <row r="1838" hidden="1">
      <c r="A1838" s="32">
        <f>IFERROR(__xludf.DUMMYFUNCTION("""COMPUTED_VALUE"""),43348.88378923611)</f>
        <v>43348.88379</v>
      </c>
      <c r="B1838" t="s">
        <v>1372</v>
      </c>
    </row>
    <row r="1839" hidden="1">
      <c r="A1839" s="32">
        <f>IFERROR(__xludf.DUMMYFUNCTION("""COMPUTED_VALUE"""),43348.95091671296)</f>
        <v>43348.95092</v>
      </c>
      <c r="B1839" t="s">
        <v>268</v>
      </c>
    </row>
    <row r="1840" hidden="1">
      <c r="A1840" s="32">
        <f>IFERROR(__xludf.DUMMYFUNCTION("""COMPUTED_VALUE"""),43348.952373402775)</f>
        <v>43348.95237</v>
      </c>
      <c r="B1840" t="s">
        <v>1373</v>
      </c>
    </row>
    <row r="1841" hidden="1">
      <c r="A1841" s="32">
        <f>IFERROR(__xludf.DUMMYFUNCTION("""COMPUTED_VALUE"""),43348.953436979165)</f>
        <v>43348.95344</v>
      </c>
      <c r="B1841" t="s">
        <v>1373</v>
      </c>
    </row>
    <row r="1842" hidden="1">
      <c r="A1842" s="32">
        <f>IFERROR(__xludf.DUMMYFUNCTION("""COMPUTED_VALUE"""),43348.97788465278)</f>
        <v>43348.97788</v>
      </c>
      <c r="B1842" t="s">
        <v>371</v>
      </c>
    </row>
    <row r="1843" hidden="1">
      <c r="A1843" s="32">
        <f>IFERROR(__xludf.DUMMYFUNCTION("""COMPUTED_VALUE"""),43349.01927815972)</f>
        <v>43349.01928</v>
      </c>
      <c r="B1843" t="s">
        <v>258</v>
      </c>
    </row>
    <row r="1844" hidden="1">
      <c r="A1844" s="32">
        <f>IFERROR(__xludf.DUMMYFUNCTION("""COMPUTED_VALUE"""),43349.03492777778)</f>
        <v>43349.03493</v>
      </c>
      <c r="B1844" t="s">
        <v>48</v>
      </c>
    </row>
    <row r="1845" hidden="1">
      <c r="A1845" s="32">
        <f>IFERROR(__xludf.DUMMYFUNCTION("""COMPUTED_VALUE"""),43349.04387678241)</f>
        <v>43349.04388</v>
      </c>
      <c r="B1845" t="s">
        <v>45</v>
      </c>
    </row>
    <row r="1846" hidden="1">
      <c r="A1846" s="32">
        <f>IFERROR(__xludf.DUMMYFUNCTION("""COMPUTED_VALUE"""),43349.41727795139)</f>
        <v>43349.41728</v>
      </c>
      <c r="B1846" t="s">
        <v>40</v>
      </c>
    </row>
    <row r="1847" hidden="1">
      <c r="A1847" s="32">
        <f>IFERROR(__xludf.DUMMYFUNCTION("""COMPUTED_VALUE"""),43349.42343005787)</f>
        <v>43349.42343</v>
      </c>
      <c r="B1847" t="s">
        <v>33</v>
      </c>
    </row>
    <row r="1848" hidden="1">
      <c r="A1848" s="32">
        <f>IFERROR(__xludf.DUMMYFUNCTION("""COMPUTED_VALUE"""),43349.533833379624)</f>
        <v>43349.53383</v>
      </c>
      <c r="B1848" t="s">
        <v>2724</v>
      </c>
    </row>
    <row r="1849" hidden="1">
      <c r="A1849" s="32">
        <f>IFERROR(__xludf.DUMMYFUNCTION("""COMPUTED_VALUE"""),43349.56653548611)</f>
        <v>43349.56654</v>
      </c>
      <c r="B1849" t="s">
        <v>1379</v>
      </c>
    </row>
    <row r="1850" hidden="1">
      <c r="A1850" s="32">
        <f>IFERROR(__xludf.DUMMYFUNCTION("""COMPUTED_VALUE"""),43349.61319579861)</f>
        <v>43349.6132</v>
      </c>
      <c r="B1850" t="s">
        <v>1382</v>
      </c>
    </row>
    <row r="1851" hidden="1">
      <c r="A1851" s="32">
        <f>IFERROR(__xludf.DUMMYFUNCTION("""COMPUTED_VALUE"""),43349.64906167824)</f>
        <v>43349.64906</v>
      </c>
      <c r="B1851" t="s">
        <v>48</v>
      </c>
    </row>
    <row r="1852" hidden="1">
      <c r="A1852" s="32">
        <f>IFERROR(__xludf.DUMMYFUNCTION("""COMPUTED_VALUE"""),43349.69891196759)</f>
        <v>43349.69891</v>
      </c>
      <c r="B1852" t="s">
        <v>80</v>
      </c>
    </row>
    <row r="1853" hidden="1">
      <c r="A1853" s="32">
        <f>IFERROR(__xludf.DUMMYFUNCTION("""COMPUTED_VALUE"""),43349.70220056713)</f>
        <v>43349.7022</v>
      </c>
      <c r="B1853" t="s">
        <v>1385</v>
      </c>
    </row>
    <row r="1854" hidden="1">
      <c r="A1854" s="32">
        <f>IFERROR(__xludf.DUMMYFUNCTION("""COMPUTED_VALUE"""),43349.73695358796)</f>
        <v>43349.73695</v>
      </c>
      <c r="B1854" t="s">
        <v>40</v>
      </c>
    </row>
    <row r="1855" hidden="1">
      <c r="A1855" s="32">
        <f>IFERROR(__xludf.DUMMYFUNCTION("""COMPUTED_VALUE"""),43349.73764931713)</f>
        <v>43349.73765</v>
      </c>
      <c r="B1855" t="s">
        <v>1385</v>
      </c>
    </row>
    <row r="1856" hidden="1">
      <c r="A1856" s="32">
        <f>IFERROR(__xludf.DUMMYFUNCTION("""COMPUTED_VALUE"""),43349.75613460648)</f>
        <v>43349.75613</v>
      </c>
      <c r="B1856" t="s">
        <v>40</v>
      </c>
    </row>
    <row r="1857" hidden="1">
      <c r="A1857" s="32">
        <f>IFERROR(__xludf.DUMMYFUNCTION("""COMPUTED_VALUE"""),43349.7863168287)</f>
        <v>43349.78632</v>
      </c>
      <c r="B1857" t="s">
        <v>1389</v>
      </c>
    </row>
    <row r="1858" hidden="1">
      <c r="A1858" s="32">
        <f>IFERROR(__xludf.DUMMYFUNCTION("""COMPUTED_VALUE"""),43349.78778201389)</f>
        <v>43349.78778</v>
      </c>
      <c r="B1858" t="s">
        <v>2693</v>
      </c>
    </row>
    <row r="1859" hidden="1">
      <c r="A1859" s="32">
        <f>IFERROR(__xludf.DUMMYFUNCTION("""COMPUTED_VALUE"""),43349.79387675926)</f>
        <v>43349.79388</v>
      </c>
      <c r="B1859" t="s">
        <v>40</v>
      </c>
    </row>
    <row r="1860" hidden="1">
      <c r="A1860" s="32">
        <f>IFERROR(__xludf.DUMMYFUNCTION("""COMPUTED_VALUE"""),43349.80556167824)</f>
        <v>43349.80556</v>
      </c>
      <c r="B1860" t="s">
        <v>80</v>
      </c>
    </row>
    <row r="1861" hidden="1">
      <c r="A1861" s="32">
        <f>IFERROR(__xludf.DUMMYFUNCTION("""COMPUTED_VALUE"""),43349.811509907406)</f>
        <v>43349.81151</v>
      </c>
      <c r="B1861" t="s">
        <v>1392</v>
      </c>
    </row>
    <row r="1862" hidden="1">
      <c r="A1862" s="32">
        <f>IFERROR(__xludf.DUMMYFUNCTION("""COMPUTED_VALUE"""),43349.816410370375)</f>
        <v>43349.81641</v>
      </c>
      <c r="B1862" t="s">
        <v>1394</v>
      </c>
    </row>
    <row r="1863" hidden="1">
      <c r="A1863" s="32">
        <f>IFERROR(__xludf.DUMMYFUNCTION("""COMPUTED_VALUE"""),43349.82502142361)</f>
        <v>43349.82502</v>
      </c>
      <c r="B1863" t="s">
        <v>2721</v>
      </c>
    </row>
    <row r="1864" hidden="1">
      <c r="A1864" s="32">
        <f>IFERROR(__xludf.DUMMYFUNCTION("""COMPUTED_VALUE"""),43349.841774560184)</f>
        <v>43349.84177</v>
      </c>
      <c r="B1864" t="s">
        <v>2725</v>
      </c>
    </row>
    <row r="1865" hidden="1">
      <c r="A1865" s="32">
        <f>IFERROR(__xludf.DUMMYFUNCTION("""COMPUTED_VALUE"""),43349.84314810185)</f>
        <v>43349.84315</v>
      </c>
      <c r="B1865" t="s">
        <v>2726</v>
      </c>
    </row>
    <row r="1866" hidden="1">
      <c r="A1866" s="32">
        <f>IFERROR(__xludf.DUMMYFUNCTION("""COMPUTED_VALUE"""),43349.84520063657)</f>
        <v>43349.8452</v>
      </c>
      <c r="B1866" t="s">
        <v>2727</v>
      </c>
    </row>
    <row r="1867" hidden="1">
      <c r="A1867" s="32">
        <f>IFERROR(__xludf.DUMMYFUNCTION("""COMPUTED_VALUE"""),43349.84838241898)</f>
        <v>43349.84838</v>
      </c>
      <c r="B1867" t="s">
        <v>2728</v>
      </c>
    </row>
    <row r="1868" hidden="1">
      <c r="A1868" s="32">
        <f>IFERROR(__xludf.DUMMYFUNCTION("""COMPUTED_VALUE"""),43349.85189413195)</f>
        <v>43349.85189</v>
      </c>
      <c r="B1868" t="s">
        <v>1385</v>
      </c>
    </row>
    <row r="1869" hidden="1">
      <c r="A1869" s="32">
        <f>IFERROR(__xludf.DUMMYFUNCTION("""COMPUTED_VALUE"""),43349.85656584491)</f>
        <v>43349.85657</v>
      </c>
      <c r="B1869" t="s">
        <v>2729</v>
      </c>
    </row>
    <row r="1870" hidden="1">
      <c r="A1870" s="32">
        <f>IFERROR(__xludf.DUMMYFUNCTION("""COMPUTED_VALUE"""),43349.88029966435)</f>
        <v>43349.8803</v>
      </c>
      <c r="B1870" t="s">
        <v>944</v>
      </c>
    </row>
    <row r="1871" hidden="1">
      <c r="A1871" s="32">
        <f>IFERROR(__xludf.DUMMYFUNCTION("""COMPUTED_VALUE"""),43349.88036576389)</f>
        <v>43349.88037</v>
      </c>
      <c r="B1871" t="s">
        <v>119</v>
      </c>
    </row>
    <row r="1872" hidden="1">
      <c r="A1872" s="32">
        <f>IFERROR(__xludf.DUMMYFUNCTION("""COMPUTED_VALUE"""),43349.88147784722)</f>
        <v>43349.88148</v>
      </c>
      <c r="B1872" t="s">
        <v>123</v>
      </c>
    </row>
    <row r="1873" hidden="1">
      <c r="A1873" s="32">
        <f>IFERROR(__xludf.DUMMYFUNCTION("""COMPUTED_VALUE"""),43349.89214599537)</f>
        <v>43349.89215</v>
      </c>
      <c r="B1873" t="s">
        <v>33</v>
      </c>
    </row>
    <row r="1874" hidden="1">
      <c r="A1874" s="32">
        <f>IFERROR(__xludf.DUMMYFUNCTION("""COMPUTED_VALUE"""),43349.9069875)</f>
        <v>43349.90699</v>
      </c>
      <c r="B1874" t="s">
        <v>1414</v>
      </c>
    </row>
    <row r="1875" hidden="1">
      <c r="A1875" s="32">
        <f>IFERROR(__xludf.DUMMYFUNCTION("""COMPUTED_VALUE"""),43349.92632236111)</f>
        <v>43349.92632</v>
      </c>
      <c r="B1875" t="s">
        <v>268</v>
      </c>
    </row>
    <row r="1876" hidden="1">
      <c r="A1876" s="32">
        <f>IFERROR(__xludf.DUMMYFUNCTION("""COMPUTED_VALUE"""),43349.92686096065)</f>
        <v>43349.92686</v>
      </c>
      <c r="B1876" t="s">
        <v>80</v>
      </c>
    </row>
    <row r="1877" hidden="1">
      <c r="A1877" s="32">
        <f>IFERROR(__xludf.DUMMYFUNCTION("""COMPUTED_VALUE"""),43349.93600327546)</f>
        <v>43349.936</v>
      </c>
      <c r="B1877" t="s">
        <v>1418</v>
      </c>
    </row>
    <row r="1878" hidden="1">
      <c r="A1878" s="32">
        <f>IFERROR(__xludf.DUMMYFUNCTION("""COMPUTED_VALUE"""),43349.950519895836)</f>
        <v>43349.95052</v>
      </c>
      <c r="B1878" t="s">
        <v>2424</v>
      </c>
    </row>
    <row r="1879" hidden="1">
      <c r="A1879" s="32">
        <f>IFERROR(__xludf.DUMMYFUNCTION("""COMPUTED_VALUE"""),43349.95663543981)</f>
        <v>43349.95664</v>
      </c>
      <c r="B1879" t="s">
        <v>1421</v>
      </c>
    </row>
    <row r="1880" hidden="1">
      <c r="A1880" s="32">
        <f>IFERROR(__xludf.DUMMYFUNCTION("""COMPUTED_VALUE"""),43349.96035883102)</f>
        <v>43349.96036</v>
      </c>
      <c r="B1880" t="s">
        <v>40</v>
      </c>
    </row>
    <row r="1881" hidden="1">
      <c r="A1881" s="32">
        <f>IFERROR(__xludf.DUMMYFUNCTION("""COMPUTED_VALUE"""),43349.96562054398)</f>
        <v>43349.96562</v>
      </c>
      <c r="B1881" t="s">
        <v>40</v>
      </c>
    </row>
    <row r="1882" hidden="1">
      <c r="A1882" s="32">
        <f>IFERROR(__xludf.DUMMYFUNCTION("""COMPUTED_VALUE"""),43349.97589328703)</f>
        <v>43349.97589</v>
      </c>
      <c r="B1882" t="s">
        <v>40</v>
      </c>
    </row>
    <row r="1883" hidden="1">
      <c r="A1883" s="32">
        <f>IFERROR(__xludf.DUMMYFUNCTION("""COMPUTED_VALUE"""),43349.98684304398)</f>
        <v>43349.98684</v>
      </c>
      <c r="B1883" t="s">
        <v>40</v>
      </c>
    </row>
    <row r="1884" hidden="1">
      <c r="A1884" s="32">
        <f>IFERROR(__xludf.DUMMYFUNCTION("""COMPUTED_VALUE"""),43350.016377141204)</f>
        <v>43350.01638</v>
      </c>
      <c r="B1884" t="s">
        <v>45</v>
      </c>
    </row>
    <row r="1885" hidden="1">
      <c r="A1885" s="32">
        <f>IFERROR(__xludf.DUMMYFUNCTION("""COMPUTED_VALUE"""),43350.02977289352)</f>
        <v>43350.02977</v>
      </c>
      <c r="B1885" t="s">
        <v>40</v>
      </c>
    </row>
    <row r="1886" hidden="1">
      <c r="A1886" s="32">
        <f>IFERROR(__xludf.DUMMYFUNCTION("""COMPUTED_VALUE"""),43350.03222013889)</f>
        <v>43350.03222</v>
      </c>
      <c r="B1886" t="s">
        <v>1426</v>
      </c>
    </row>
    <row r="1887" hidden="1">
      <c r="A1887" s="32">
        <f>IFERROR(__xludf.DUMMYFUNCTION("""COMPUTED_VALUE"""),43350.078149560184)</f>
        <v>43350.07815</v>
      </c>
      <c r="B1887" t="s">
        <v>40</v>
      </c>
    </row>
    <row r="1888" hidden="1">
      <c r="A1888" s="32">
        <f>IFERROR(__xludf.DUMMYFUNCTION("""COMPUTED_VALUE"""),43350.08538142361)</f>
        <v>43350.08538</v>
      </c>
      <c r="B1888" t="s">
        <v>80</v>
      </c>
    </row>
    <row r="1889" hidden="1">
      <c r="A1889" s="32">
        <f>IFERROR(__xludf.DUMMYFUNCTION("""COMPUTED_VALUE"""),43350.13828267361)</f>
        <v>43350.13828</v>
      </c>
      <c r="B1889" t="s">
        <v>1430</v>
      </c>
    </row>
    <row r="1890" hidden="1">
      <c r="A1890" s="32">
        <f>IFERROR(__xludf.DUMMYFUNCTION("""COMPUTED_VALUE"""),43350.14353622685)</f>
        <v>43350.14354</v>
      </c>
      <c r="B1890" t="s">
        <v>80</v>
      </c>
    </row>
    <row r="1891" hidden="1">
      <c r="A1891" s="32">
        <f>IFERROR(__xludf.DUMMYFUNCTION("""COMPUTED_VALUE"""),43350.174193287035)</f>
        <v>43350.17419</v>
      </c>
      <c r="B1891" t="s">
        <v>33</v>
      </c>
    </row>
    <row r="1892" hidden="1">
      <c r="A1892" s="32">
        <f>IFERROR(__xludf.DUMMYFUNCTION("""COMPUTED_VALUE"""),43350.17933825232)</f>
        <v>43350.17934</v>
      </c>
      <c r="B1892" t="s">
        <v>40</v>
      </c>
    </row>
    <row r="1893" hidden="1">
      <c r="A1893" s="32">
        <f>IFERROR(__xludf.DUMMYFUNCTION("""COMPUTED_VALUE"""),43350.19698260417)</f>
        <v>43350.19698</v>
      </c>
      <c r="B1893" t="s">
        <v>268</v>
      </c>
    </row>
    <row r="1894" hidden="1">
      <c r="A1894" s="32">
        <f>IFERROR(__xludf.DUMMYFUNCTION("""COMPUTED_VALUE"""),43350.22143613426)</f>
        <v>43350.22144</v>
      </c>
      <c r="B1894" t="s">
        <v>1434</v>
      </c>
    </row>
    <row r="1895" hidden="1">
      <c r="A1895" s="32">
        <f>IFERROR(__xludf.DUMMYFUNCTION("""COMPUTED_VALUE"""),43350.237522407406)</f>
        <v>43350.23752</v>
      </c>
      <c r="B1895" t="s">
        <v>2730</v>
      </c>
    </row>
    <row r="1896" hidden="1">
      <c r="A1896" s="32">
        <f>IFERROR(__xludf.DUMMYFUNCTION("""COMPUTED_VALUE"""),43350.23833394676)</f>
        <v>43350.23833</v>
      </c>
      <c r="B1896" t="s">
        <v>2731</v>
      </c>
    </row>
    <row r="1897" hidden="1">
      <c r="A1897" s="32">
        <f>IFERROR(__xludf.DUMMYFUNCTION("""COMPUTED_VALUE"""),43350.244465428244)</f>
        <v>43350.24447</v>
      </c>
      <c r="B1897" t="s">
        <v>1442</v>
      </c>
    </row>
    <row r="1898" hidden="1">
      <c r="A1898" s="32">
        <f>IFERROR(__xludf.DUMMYFUNCTION("""COMPUTED_VALUE"""),43350.244646875)</f>
        <v>43350.24465</v>
      </c>
      <c r="B1898" t="s">
        <v>2732</v>
      </c>
    </row>
    <row r="1899" hidden="1">
      <c r="A1899" s="32">
        <f>IFERROR(__xludf.DUMMYFUNCTION("""COMPUTED_VALUE"""),43350.24840927083)</f>
        <v>43350.24841</v>
      </c>
      <c r="B1899" t="s">
        <v>1446</v>
      </c>
    </row>
    <row r="1900" hidden="1">
      <c r="A1900" s="32">
        <f>IFERROR(__xludf.DUMMYFUNCTION("""COMPUTED_VALUE"""),43350.269871296296)</f>
        <v>43350.26987</v>
      </c>
      <c r="B1900" t="s">
        <v>40</v>
      </c>
    </row>
    <row r="1901" hidden="1">
      <c r="A1901" s="32">
        <f>IFERROR(__xludf.DUMMYFUNCTION("""COMPUTED_VALUE"""),43350.2734971412)</f>
        <v>43350.2735</v>
      </c>
      <c r="B1901" t="s">
        <v>1450</v>
      </c>
    </row>
    <row r="1902" hidden="1">
      <c r="A1902" s="32">
        <f>IFERROR(__xludf.DUMMYFUNCTION("""COMPUTED_VALUE"""),43350.30293668981)</f>
        <v>43350.30294</v>
      </c>
      <c r="B1902" t="s">
        <v>1452</v>
      </c>
    </row>
    <row r="1903" hidden="1">
      <c r="A1903" s="32">
        <f>IFERROR(__xludf.DUMMYFUNCTION("""COMPUTED_VALUE"""),43350.3053775463)</f>
        <v>43350.30538</v>
      </c>
      <c r="B1903" t="s">
        <v>1454</v>
      </c>
    </row>
    <row r="1904" hidden="1">
      <c r="A1904" s="32">
        <f>IFERROR(__xludf.DUMMYFUNCTION("""COMPUTED_VALUE"""),43350.30572208333)</f>
        <v>43350.30572</v>
      </c>
      <c r="B1904" t="s">
        <v>1457</v>
      </c>
    </row>
    <row r="1905" hidden="1">
      <c r="A1905" s="32">
        <f>IFERROR(__xludf.DUMMYFUNCTION("""COMPUTED_VALUE"""),43350.33084909723)</f>
        <v>43350.33085</v>
      </c>
      <c r="B1905" t="s">
        <v>2733</v>
      </c>
    </row>
    <row r="1906" hidden="1">
      <c r="A1906" s="32">
        <f>IFERROR(__xludf.DUMMYFUNCTION("""COMPUTED_VALUE"""),43350.33209739583)</f>
        <v>43350.3321</v>
      </c>
      <c r="B1906" t="s">
        <v>2</v>
      </c>
    </row>
    <row r="1907" hidden="1">
      <c r="A1907" s="32">
        <f>IFERROR(__xludf.DUMMYFUNCTION("""COMPUTED_VALUE"""),43350.362077557875)</f>
        <v>43350.36208</v>
      </c>
      <c r="B1907" t="s">
        <v>2734</v>
      </c>
    </row>
    <row r="1908" hidden="1">
      <c r="A1908" s="32">
        <f>IFERROR(__xludf.DUMMYFUNCTION("""COMPUTED_VALUE"""),43350.366953969904)</f>
        <v>43350.36695</v>
      </c>
      <c r="B1908" t="s">
        <v>1466</v>
      </c>
    </row>
    <row r="1909" hidden="1">
      <c r="A1909" s="32">
        <f>IFERROR(__xludf.DUMMYFUNCTION("""COMPUTED_VALUE"""),43350.380638877316)</f>
        <v>43350.38064</v>
      </c>
      <c r="B1909" t="s">
        <v>80</v>
      </c>
    </row>
    <row r="1910" hidden="1">
      <c r="A1910" s="32">
        <f>IFERROR(__xludf.DUMMYFUNCTION("""COMPUTED_VALUE"""),43350.405216597224)</f>
        <v>43350.40522</v>
      </c>
      <c r="B1910" t="s">
        <v>2735</v>
      </c>
    </row>
    <row r="1911" hidden="1">
      <c r="A1911" s="32">
        <f>IFERROR(__xludf.DUMMYFUNCTION("""COMPUTED_VALUE"""),43350.40565638889)</f>
        <v>43350.40566</v>
      </c>
      <c r="B1911" t="s">
        <v>1470</v>
      </c>
    </row>
    <row r="1912" hidden="1">
      <c r="A1912" s="32">
        <f>IFERROR(__xludf.DUMMYFUNCTION("""COMPUTED_VALUE"""),43350.40696958333)</f>
        <v>43350.40697</v>
      </c>
      <c r="B1912" t="s">
        <v>1473</v>
      </c>
    </row>
    <row r="1913" hidden="1">
      <c r="A1913" s="32">
        <f>IFERROR(__xludf.DUMMYFUNCTION("""COMPUTED_VALUE"""),43350.43302729167)</f>
        <v>43350.43303</v>
      </c>
      <c r="B1913" t="s">
        <v>371</v>
      </c>
    </row>
    <row r="1914" hidden="1">
      <c r="A1914" s="32">
        <f>IFERROR(__xludf.DUMMYFUNCTION("""COMPUTED_VALUE"""),43350.434033391204)</f>
        <v>43350.43403</v>
      </c>
      <c r="B1914" t="s">
        <v>80</v>
      </c>
    </row>
    <row r="1915" hidden="1">
      <c r="A1915" s="32">
        <f>IFERROR(__xludf.DUMMYFUNCTION("""COMPUTED_VALUE"""),43350.43425681713)</f>
        <v>43350.43426</v>
      </c>
      <c r="B1915" t="s">
        <v>371</v>
      </c>
    </row>
    <row r="1916" hidden="1">
      <c r="A1916" s="32">
        <f>IFERROR(__xludf.DUMMYFUNCTION("""COMPUTED_VALUE"""),43350.43512646991)</f>
        <v>43350.43513</v>
      </c>
      <c r="B1916" t="s">
        <v>371</v>
      </c>
    </row>
    <row r="1917" hidden="1">
      <c r="A1917" s="32">
        <f>IFERROR(__xludf.DUMMYFUNCTION("""COMPUTED_VALUE"""),43350.45945822917)</f>
        <v>43350.45946</v>
      </c>
      <c r="B1917" t="s">
        <v>40</v>
      </c>
    </row>
    <row r="1918" hidden="1">
      <c r="A1918" s="32">
        <f>IFERROR(__xludf.DUMMYFUNCTION("""COMPUTED_VALUE"""),43350.50711847222)</f>
        <v>43350.50712</v>
      </c>
      <c r="B1918" t="s">
        <v>1452</v>
      </c>
    </row>
    <row r="1919" hidden="1">
      <c r="A1919" s="32">
        <f>IFERROR(__xludf.DUMMYFUNCTION("""COMPUTED_VALUE"""),43350.51429119213)</f>
        <v>43350.51429</v>
      </c>
      <c r="B1919" t="s">
        <v>2736</v>
      </c>
    </row>
    <row r="1920" hidden="1">
      <c r="A1920" s="32">
        <f>IFERROR(__xludf.DUMMYFUNCTION("""COMPUTED_VALUE"""),43350.53498210648)</f>
        <v>43350.53498</v>
      </c>
      <c r="B1920" t="s">
        <v>40</v>
      </c>
    </row>
    <row r="1921" hidden="1">
      <c r="A1921" s="32">
        <f>IFERROR(__xludf.DUMMYFUNCTION("""COMPUTED_VALUE"""),43350.547553125)</f>
        <v>43350.54755</v>
      </c>
      <c r="B1921" t="s">
        <v>2737</v>
      </c>
    </row>
    <row r="1922" hidden="1">
      <c r="A1922" s="32">
        <f>IFERROR(__xludf.DUMMYFUNCTION("""COMPUTED_VALUE"""),43350.60242326389)</f>
        <v>43350.60242</v>
      </c>
      <c r="B1922" t="s">
        <v>1483</v>
      </c>
    </row>
    <row r="1923" hidden="1">
      <c r="A1923" s="32">
        <f>IFERROR(__xludf.DUMMYFUNCTION("""COMPUTED_VALUE"""),43350.66632289352)</f>
        <v>43350.66632</v>
      </c>
      <c r="B1923" t="s">
        <v>105</v>
      </c>
    </row>
    <row r="1924" hidden="1">
      <c r="A1924" s="32">
        <f>IFERROR(__xludf.DUMMYFUNCTION("""COMPUTED_VALUE"""),43350.67921809028)</f>
        <v>43350.67922</v>
      </c>
      <c r="B1924" t="s">
        <v>1484</v>
      </c>
    </row>
    <row r="1925" hidden="1">
      <c r="A1925" s="32">
        <f>IFERROR(__xludf.DUMMYFUNCTION("""COMPUTED_VALUE"""),43350.6792180787)</f>
        <v>43350.67922</v>
      </c>
      <c r="B1925" t="s">
        <v>1484</v>
      </c>
    </row>
    <row r="1926" hidden="1">
      <c r="A1926" s="32">
        <f>IFERROR(__xludf.DUMMYFUNCTION("""COMPUTED_VALUE"""),43350.69867046297)</f>
        <v>43350.69867</v>
      </c>
      <c r="B1926" t="s">
        <v>33</v>
      </c>
    </row>
    <row r="1927" hidden="1">
      <c r="A1927" s="32">
        <f>IFERROR(__xludf.DUMMYFUNCTION("""COMPUTED_VALUE"""),43350.730194965276)</f>
        <v>43350.73019</v>
      </c>
      <c r="B1927" t="s">
        <v>40</v>
      </c>
    </row>
    <row r="1928" hidden="1">
      <c r="A1928" s="32">
        <f>IFERROR(__xludf.DUMMYFUNCTION("""COMPUTED_VALUE"""),43350.73707094908)</f>
        <v>43350.73707</v>
      </c>
      <c r="B1928" t="s">
        <v>1486</v>
      </c>
    </row>
    <row r="1929" hidden="1">
      <c r="A1929" s="32">
        <f>IFERROR(__xludf.DUMMYFUNCTION("""COMPUTED_VALUE"""),43350.76252015046)</f>
        <v>43350.76252</v>
      </c>
      <c r="B1929" t="s">
        <v>2738</v>
      </c>
    </row>
    <row r="1930" hidden="1">
      <c r="A1930" s="32">
        <f>IFERROR(__xludf.DUMMYFUNCTION("""COMPUTED_VALUE"""),43350.8245809838)</f>
        <v>43350.82458</v>
      </c>
      <c r="B1930" t="s">
        <v>33</v>
      </c>
    </row>
    <row r="1931" hidden="1">
      <c r="A1931" s="32">
        <f>IFERROR(__xludf.DUMMYFUNCTION("""COMPUTED_VALUE"""),43350.919338113425)</f>
        <v>43350.91934</v>
      </c>
      <c r="B1931" t="s">
        <v>36</v>
      </c>
    </row>
    <row r="1932" hidden="1">
      <c r="A1932" s="32">
        <f>IFERROR(__xludf.DUMMYFUNCTION("""COMPUTED_VALUE"""),43350.971341400465)</f>
        <v>43350.97134</v>
      </c>
      <c r="B1932" t="s">
        <v>1491</v>
      </c>
    </row>
    <row r="1933" hidden="1">
      <c r="A1933" s="32">
        <f>IFERROR(__xludf.DUMMYFUNCTION("""COMPUTED_VALUE"""),43350.99526185185)</f>
        <v>43350.99526</v>
      </c>
      <c r="B1933" t="s">
        <v>1492</v>
      </c>
    </row>
    <row r="1934" hidden="1">
      <c r="A1934" s="32">
        <f>IFERROR(__xludf.DUMMYFUNCTION("""COMPUTED_VALUE"""),43351.00077414352)</f>
        <v>43351.00077</v>
      </c>
      <c r="B1934" t="s">
        <v>40</v>
      </c>
    </row>
    <row r="1935" hidden="1">
      <c r="A1935" s="32">
        <f>IFERROR(__xludf.DUMMYFUNCTION("""COMPUTED_VALUE"""),43351.06516106482)</f>
        <v>43351.06516</v>
      </c>
      <c r="B1935" t="s">
        <v>123</v>
      </c>
    </row>
    <row r="1936" hidden="1">
      <c r="A1936" s="32">
        <f>IFERROR(__xludf.DUMMYFUNCTION("""COMPUTED_VALUE"""),43351.09577105324)</f>
        <v>43351.09577</v>
      </c>
      <c r="B1936" t="s">
        <v>40</v>
      </c>
    </row>
    <row r="1937" hidden="1">
      <c r="A1937" s="32">
        <f>IFERROR(__xludf.DUMMYFUNCTION("""COMPUTED_VALUE"""),43351.164856759264)</f>
        <v>43351.16486</v>
      </c>
      <c r="B1937" t="s">
        <v>80</v>
      </c>
    </row>
    <row r="1938" hidden="1">
      <c r="A1938" s="32">
        <f>IFERROR(__xludf.DUMMYFUNCTION("""COMPUTED_VALUE"""),43351.307266840275)</f>
        <v>43351.30727</v>
      </c>
      <c r="B1938" t="s">
        <v>80</v>
      </c>
    </row>
    <row r="1939" hidden="1">
      <c r="A1939" s="32">
        <f>IFERROR(__xludf.DUMMYFUNCTION("""COMPUTED_VALUE"""),43351.39737931713)</f>
        <v>43351.39738</v>
      </c>
      <c r="B1939" t="s">
        <v>40</v>
      </c>
    </row>
    <row r="1940" hidden="1">
      <c r="A1940" s="32">
        <f>IFERROR(__xludf.DUMMYFUNCTION("""COMPUTED_VALUE"""),43351.452425763884)</f>
        <v>43351.45243</v>
      </c>
      <c r="B1940" t="s">
        <v>40</v>
      </c>
    </row>
    <row r="1941" hidden="1">
      <c r="A1941" s="32">
        <f>IFERROR(__xludf.DUMMYFUNCTION("""COMPUTED_VALUE"""),43351.46858821759)</f>
        <v>43351.46859</v>
      </c>
      <c r="B1941" t="s">
        <v>2658</v>
      </c>
    </row>
    <row r="1942" hidden="1">
      <c r="A1942" s="32">
        <f>IFERROR(__xludf.DUMMYFUNCTION("""COMPUTED_VALUE"""),43351.471639456024)</f>
        <v>43351.47164</v>
      </c>
      <c r="B1942" t="s">
        <v>95</v>
      </c>
    </row>
    <row r="1943" hidden="1">
      <c r="A1943" s="32">
        <f>IFERROR(__xludf.DUMMYFUNCTION("""COMPUTED_VALUE"""),43351.58409392361)</f>
        <v>43351.58409</v>
      </c>
      <c r="B1943" t="s">
        <v>282</v>
      </c>
    </row>
    <row r="1944" hidden="1">
      <c r="A1944" s="32">
        <f>IFERROR(__xludf.DUMMYFUNCTION("""COMPUTED_VALUE"""),43351.61402126157)</f>
        <v>43351.61402</v>
      </c>
      <c r="B1944" t="s">
        <v>1497</v>
      </c>
    </row>
    <row r="1945" hidden="1">
      <c r="A1945" s="32">
        <f>IFERROR(__xludf.DUMMYFUNCTION("""COMPUTED_VALUE"""),43351.62479609954)</f>
        <v>43351.6248</v>
      </c>
      <c r="B1945" t="s">
        <v>123</v>
      </c>
    </row>
    <row r="1946" hidden="1">
      <c r="A1946" s="32">
        <f>IFERROR(__xludf.DUMMYFUNCTION("""COMPUTED_VALUE"""),43351.666302604164)</f>
        <v>43351.6663</v>
      </c>
      <c r="B1946" t="s">
        <v>1499</v>
      </c>
    </row>
    <row r="1947" hidden="1">
      <c r="A1947" s="32">
        <f>IFERROR(__xludf.DUMMYFUNCTION("""COMPUTED_VALUE"""),43351.671607118056)</f>
        <v>43351.67161</v>
      </c>
      <c r="B1947" t="s">
        <v>123</v>
      </c>
    </row>
    <row r="1948" hidden="1">
      <c r="A1948" s="32">
        <f>IFERROR(__xludf.DUMMYFUNCTION("""COMPUTED_VALUE"""),43351.68807618055)</f>
        <v>43351.68808</v>
      </c>
      <c r="B1948" t="s">
        <v>1502</v>
      </c>
    </row>
    <row r="1949" hidden="1">
      <c r="A1949" s="32">
        <f>IFERROR(__xludf.DUMMYFUNCTION("""COMPUTED_VALUE"""),43351.78949378472)</f>
        <v>43351.78949</v>
      </c>
      <c r="B1949" t="s">
        <v>1504</v>
      </c>
    </row>
    <row r="1950" hidden="1">
      <c r="A1950" s="32">
        <f>IFERROR(__xludf.DUMMYFUNCTION("""COMPUTED_VALUE"""),43351.959496469906)</f>
        <v>43351.9595</v>
      </c>
      <c r="B1950" t="s">
        <v>122</v>
      </c>
    </row>
    <row r="1951" hidden="1">
      <c r="A1951" s="32">
        <f>IFERROR(__xludf.DUMMYFUNCTION("""COMPUTED_VALUE"""),43351.96062053241)</f>
        <v>43351.96062</v>
      </c>
      <c r="B1951" t="s">
        <v>122</v>
      </c>
    </row>
    <row r="1952" hidden="1">
      <c r="A1952" s="32">
        <f>IFERROR(__xludf.DUMMYFUNCTION("""COMPUTED_VALUE"""),43352.02251940972)</f>
        <v>43352.02252</v>
      </c>
      <c r="B1952" t="s">
        <v>80</v>
      </c>
    </row>
    <row r="1953" hidden="1">
      <c r="A1953" s="32">
        <f>IFERROR(__xludf.DUMMYFUNCTION("""COMPUTED_VALUE"""),43352.12583063658)</f>
        <v>43352.12583</v>
      </c>
      <c r="B1953" t="s">
        <v>506</v>
      </c>
    </row>
    <row r="1954" hidden="1">
      <c r="A1954" s="32">
        <f>IFERROR(__xludf.DUMMYFUNCTION("""COMPUTED_VALUE"""),43352.34552940972)</f>
        <v>43352.34553</v>
      </c>
      <c r="B1954" t="s">
        <v>380</v>
      </c>
    </row>
    <row r="1955" hidden="1">
      <c r="A1955" s="32">
        <f>IFERROR(__xludf.DUMMYFUNCTION("""COMPUTED_VALUE"""),43352.37128961805)</f>
        <v>43352.37129</v>
      </c>
      <c r="B1955" t="s">
        <v>48</v>
      </c>
    </row>
    <row r="1956" hidden="1">
      <c r="A1956" s="32">
        <f>IFERROR(__xludf.DUMMYFUNCTION("""COMPUTED_VALUE"""),43352.43297605324)</f>
        <v>43352.43298</v>
      </c>
      <c r="B1956" t="s">
        <v>40</v>
      </c>
    </row>
    <row r="1957" hidden="1">
      <c r="A1957" s="32">
        <f>IFERROR(__xludf.DUMMYFUNCTION("""COMPUTED_VALUE"""),43352.48897686343)</f>
        <v>43352.48898</v>
      </c>
      <c r="B1957" t="s">
        <v>36</v>
      </c>
    </row>
    <row r="1958" hidden="1">
      <c r="A1958" s="32">
        <f>IFERROR(__xludf.DUMMYFUNCTION("""COMPUTED_VALUE"""),43352.49481524306)</f>
        <v>43352.49482</v>
      </c>
      <c r="B1958" t="s">
        <v>80</v>
      </c>
    </row>
    <row r="1959" hidden="1">
      <c r="A1959" s="32">
        <f>IFERROR(__xludf.DUMMYFUNCTION("""COMPUTED_VALUE"""),43352.50125133102)</f>
        <v>43352.50125</v>
      </c>
      <c r="B1959" t="s">
        <v>268</v>
      </c>
    </row>
    <row r="1960" hidden="1">
      <c r="A1960" s="32">
        <f>IFERROR(__xludf.DUMMYFUNCTION("""COMPUTED_VALUE"""),43352.530441423616)</f>
        <v>43352.53044</v>
      </c>
      <c r="B1960" t="s">
        <v>33</v>
      </c>
    </row>
    <row r="1961" hidden="1">
      <c r="A1961" s="32">
        <f>IFERROR(__xludf.DUMMYFUNCTION("""COMPUTED_VALUE"""),43352.54138538195)</f>
        <v>43352.54139</v>
      </c>
      <c r="B1961" t="s">
        <v>204</v>
      </c>
    </row>
    <row r="1962" hidden="1">
      <c r="A1962" s="32">
        <f>IFERROR(__xludf.DUMMYFUNCTION("""COMPUTED_VALUE"""),43352.585722476855)</f>
        <v>43352.58572</v>
      </c>
      <c r="B1962" t="s">
        <v>123</v>
      </c>
    </row>
    <row r="1963" hidden="1">
      <c r="A1963" s="32">
        <f>IFERROR(__xludf.DUMMYFUNCTION("""COMPUTED_VALUE"""),43352.77813923611)</f>
        <v>43352.77814</v>
      </c>
      <c r="B1963" t="s">
        <v>1160</v>
      </c>
    </row>
    <row r="1964" hidden="1">
      <c r="A1964" s="32">
        <f>IFERROR(__xludf.DUMMYFUNCTION("""COMPUTED_VALUE"""),43352.80086180556)</f>
        <v>43352.80086</v>
      </c>
      <c r="B1964" t="s">
        <v>1509</v>
      </c>
    </row>
    <row r="1965" hidden="1">
      <c r="A1965" s="32">
        <f>IFERROR(__xludf.DUMMYFUNCTION("""COMPUTED_VALUE"""),43352.81637606482)</f>
        <v>43352.81638</v>
      </c>
      <c r="B1965" t="s">
        <v>33</v>
      </c>
    </row>
    <row r="1966" hidden="1">
      <c r="A1966" s="32">
        <f>IFERROR(__xludf.DUMMYFUNCTION("""COMPUTED_VALUE"""),43352.857045185185)</f>
        <v>43352.85705</v>
      </c>
      <c r="B1966" t="s">
        <v>1325</v>
      </c>
    </row>
    <row r="1967" hidden="1">
      <c r="A1967" s="32">
        <f>IFERROR(__xludf.DUMMYFUNCTION("""COMPUTED_VALUE"""),43352.86452386574)</f>
        <v>43352.86452</v>
      </c>
      <c r="B1967" t="s">
        <v>40</v>
      </c>
    </row>
    <row r="1968" hidden="1">
      <c r="A1968" s="32">
        <f>IFERROR(__xludf.DUMMYFUNCTION("""COMPUTED_VALUE"""),43352.99822997685)</f>
        <v>43352.99823</v>
      </c>
      <c r="B1968" t="s">
        <v>139</v>
      </c>
    </row>
    <row r="1969" hidden="1">
      <c r="A1969" s="32">
        <f>IFERROR(__xludf.DUMMYFUNCTION("""COMPUTED_VALUE"""),43353.10658385417)</f>
        <v>43353.10658</v>
      </c>
      <c r="B1969" t="s">
        <v>371</v>
      </c>
    </row>
    <row r="1970" hidden="1">
      <c r="A1970" s="32">
        <f>IFERROR(__xludf.DUMMYFUNCTION("""COMPUTED_VALUE"""),43353.24322048611)</f>
        <v>43353.24322</v>
      </c>
      <c r="B1970" t="s">
        <v>1426</v>
      </c>
    </row>
    <row r="1971" hidden="1">
      <c r="A1971" s="32">
        <f>IFERROR(__xludf.DUMMYFUNCTION("""COMPUTED_VALUE"""),43353.24598752314)</f>
        <v>43353.24599</v>
      </c>
      <c r="B1971" t="s">
        <v>1515</v>
      </c>
    </row>
    <row r="1972" hidden="1">
      <c r="A1972" s="32">
        <f>IFERROR(__xludf.DUMMYFUNCTION("""COMPUTED_VALUE"""),43353.38464887731)</f>
        <v>43353.38465</v>
      </c>
      <c r="B1972" t="s">
        <v>2424</v>
      </c>
    </row>
    <row r="1973" hidden="1">
      <c r="A1973" s="32">
        <f>IFERROR(__xludf.DUMMYFUNCTION("""COMPUTED_VALUE"""),43353.46410618056)</f>
        <v>43353.46411</v>
      </c>
      <c r="B1973" t="s">
        <v>170</v>
      </c>
    </row>
    <row r="1974" hidden="1">
      <c r="A1974" s="32">
        <f>IFERROR(__xludf.DUMMYFUNCTION("""COMPUTED_VALUE"""),43353.47856047454)</f>
        <v>43353.47856</v>
      </c>
      <c r="B1974" t="s">
        <v>80</v>
      </c>
    </row>
    <row r="1975" hidden="1">
      <c r="A1975" s="32">
        <f>IFERROR(__xludf.DUMMYFUNCTION("""COMPUTED_VALUE"""),43353.532772453706)</f>
        <v>43353.53277</v>
      </c>
      <c r="B1975" t="s">
        <v>40</v>
      </c>
    </row>
    <row r="1976" hidden="1">
      <c r="A1976" s="32">
        <f>IFERROR(__xludf.DUMMYFUNCTION("""COMPUTED_VALUE"""),43353.5408649537)</f>
        <v>43353.54086</v>
      </c>
      <c r="B1976" t="s">
        <v>48</v>
      </c>
    </row>
    <row r="1977" hidden="1">
      <c r="A1977" s="32">
        <f>IFERROR(__xludf.DUMMYFUNCTION("""COMPUTED_VALUE"""),43353.77968703704)</f>
        <v>43353.77969</v>
      </c>
      <c r="B1977" t="s">
        <v>1519</v>
      </c>
    </row>
    <row r="1978" hidden="1">
      <c r="A1978" s="32">
        <f>IFERROR(__xludf.DUMMYFUNCTION("""COMPUTED_VALUE"""),43353.81987315972)</f>
        <v>43353.81987</v>
      </c>
      <c r="B1978" t="s">
        <v>1521</v>
      </c>
    </row>
    <row r="1979" hidden="1">
      <c r="A1979" s="32">
        <f>IFERROR(__xludf.DUMMYFUNCTION("""COMPUTED_VALUE"""),43353.831342986115)</f>
        <v>43353.83134</v>
      </c>
      <c r="B1979" t="s">
        <v>523</v>
      </c>
    </row>
    <row r="1980" hidden="1">
      <c r="A1980" s="32">
        <f>IFERROR(__xludf.DUMMYFUNCTION("""COMPUTED_VALUE"""),43353.860031585646)</f>
        <v>43353.86003</v>
      </c>
      <c r="B1980" t="s">
        <v>40</v>
      </c>
    </row>
    <row r="1981" hidden="1">
      <c r="A1981" s="32">
        <f>IFERROR(__xludf.DUMMYFUNCTION("""COMPUTED_VALUE"""),43353.895025439815)</f>
        <v>43353.89503</v>
      </c>
      <c r="B1981" t="s">
        <v>36</v>
      </c>
    </row>
    <row r="1982" hidden="1">
      <c r="A1982" s="32">
        <f>IFERROR(__xludf.DUMMYFUNCTION("""COMPUTED_VALUE"""),43353.95851165509)</f>
        <v>43353.95851</v>
      </c>
      <c r="B1982" t="s">
        <v>1524</v>
      </c>
    </row>
    <row r="1983" hidden="1">
      <c r="A1983" s="32">
        <f>IFERROR(__xludf.DUMMYFUNCTION("""COMPUTED_VALUE"""),43353.96332318287)</f>
        <v>43353.96332</v>
      </c>
      <c r="B1983" t="s">
        <v>1528</v>
      </c>
    </row>
    <row r="1984" hidden="1">
      <c r="A1984" s="32">
        <f>IFERROR(__xludf.DUMMYFUNCTION("""COMPUTED_VALUE"""),43353.995149131944)</f>
        <v>43353.99515</v>
      </c>
      <c r="B1984" t="s">
        <v>40</v>
      </c>
    </row>
    <row r="1985" hidden="1">
      <c r="A1985" s="32">
        <f>IFERROR(__xludf.DUMMYFUNCTION("""COMPUTED_VALUE"""),43354.01541953704)</f>
        <v>43354.01542</v>
      </c>
      <c r="B1985" t="s">
        <v>45</v>
      </c>
    </row>
    <row r="1986" hidden="1">
      <c r="A1986" s="32">
        <f>IFERROR(__xludf.DUMMYFUNCTION("""COMPUTED_VALUE"""),43354.289782175925)</f>
        <v>43354.28978</v>
      </c>
      <c r="B1986" t="s">
        <v>80</v>
      </c>
    </row>
    <row r="1987" hidden="1">
      <c r="A1987" s="32">
        <f>IFERROR(__xludf.DUMMYFUNCTION("""COMPUTED_VALUE"""),43354.31743314815)</f>
        <v>43354.31743</v>
      </c>
      <c r="B1987" t="s">
        <v>371</v>
      </c>
    </row>
    <row r="1988" hidden="1">
      <c r="A1988" s="32">
        <f>IFERROR(__xludf.DUMMYFUNCTION("""COMPUTED_VALUE"""),43354.379145659725)</f>
        <v>43354.37915</v>
      </c>
      <c r="B1988" t="s">
        <v>40</v>
      </c>
    </row>
    <row r="1989" hidden="1">
      <c r="A1989" s="32">
        <f>IFERROR(__xludf.DUMMYFUNCTION("""COMPUTED_VALUE"""),43354.401663055556)</f>
        <v>43354.40166</v>
      </c>
      <c r="B1989" t="s">
        <v>268</v>
      </c>
    </row>
    <row r="1990" hidden="1">
      <c r="A1990" s="32">
        <f>IFERROR(__xludf.DUMMYFUNCTION("""COMPUTED_VALUE"""),43354.44795515046)</f>
        <v>43354.44796</v>
      </c>
      <c r="B1990" t="s">
        <v>33</v>
      </c>
    </row>
    <row r="1991" hidden="1">
      <c r="A1991" s="32">
        <f>IFERROR(__xludf.DUMMYFUNCTION("""COMPUTED_VALUE"""),43354.47118087963)</f>
        <v>43354.47118</v>
      </c>
      <c r="B1991" t="s">
        <v>813</v>
      </c>
    </row>
    <row r="1992" hidden="1">
      <c r="A1992" s="32">
        <f>IFERROR(__xludf.DUMMYFUNCTION("""COMPUTED_VALUE"""),43354.47428293982)</f>
        <v>43354.47428</v>
      </c>
      <c r="B1992" t="s">
        <v>2740</v>
      </c>
    </row>
    <row r="1993" hidden="1">
      <c r="A1993" s="32">
        <f>IFERROR(__xludf.DUMMYFUNCTION("""COMPUTED_VALUE"""),43354.48717079861)</f>
        <v>43354.48717</v>
      </c>
      <c r="B1993" t="s">
        <v>40</v>
      </c>
    </row>
    <row r="1994" hidden="1">
      <c r="A1994" s="32">
        <f>IFERROR(__xludf.DUMMYFUNCTION("""COMPUTED_VALUE"""),43354.49375638889)</f>
        <v>43354.49376</v>
      </c>
      <c r="B1994" t="s">
        <v>119</v>
      </c>
    </row>
    <row r="1995" hidden="1">
      <c r="A1995" s="32">
        <f>IFERROR(__xludf.DUMMYFUNCTION("""COMPUTED_VALUE"""),43354.495545)</f>
        <v>43354.49555</v>
      </c>
      <c r="B1995" t="s">
        <v>40</v>
      </c>
    </row>
    <row r="1996" hidden="1">
      <c r="A1996" s="32">
        <f>IFERROR(__xludf.DUMMYFUNCTION("""COMPUTED_VALUE"""),43354.52077231482)</f>
        <v>43354.52077</v>
      </c>
      <c r="B1996" t="s">
        <v>1160</v>
      </c>
    </row>
    <row r="1997" hidden="1">
      <c r="A1997" s="32">
        <f>IFERROR(__xludf.DUMMYFUNCTION("""COMPUTED_VALUE"""),43354.58075979167)</f>
        <v>43354.58076</v>
      </c>
      <c r="B1997" t="s">
        <v>124</v>
      </c>
    </row>
    <row r="1998" hidden="1">
      <c r="A1998" s="32">
        <f>IFERROR(__xludf.DUMMYFUNCTION("""COMPUTED_VALUE"""),43354.59965599537)</f>
        <v>43354.59966</v>
      </c>
      <c r="B1998" t="s">
        <v>45</v>
      </c>
    </row>
    <row r="1999" hidden="1">
      <c r="A1999" s="32">
        <f>IFERROR(__xludf.DUMMYFUNCTION("""COMPUTED_VALUE"""),43354.6545925463)</f>
        <v>43354.65459</v>
      </c>
      <c r="B1999" t="s">
        <v>80</v>
      </c>
    </row>
    <row r="2000" hidden="1">
      <c r="A2000" s="32">
        <f>IFERROR(__xludf.DUMMYFUNCTION("""COMPUTED_VALUE"""),43354.67482555556)</f>
        <v>43354.67483</v>
      </c>
      <c r="B2000" t="s">
        <v>80</v>
      </c>
    </row>
    <row r="2001" hidden="1">
      <c r="A2001" s="32">
        <f>IFERROR(__xludf.DUMMYFUNCTION("""COMPUTED_VALUE"""),43354.761036111115)</f>
        <v>43354.76104</v>
      </c>
      <c r="B2001" t="s">
        <v>33</v>
      </c>
    </row>
    <row r="2002" hidden="1">
      <c r="A2002" s="32">
        <f>IFERROR(__xludf.DUMMYFUNCTION("""COMPUTED_VALUE"""),43354.83250671296)</f>
        <v>43354.83251</v>
      </c>
      <c r="B2002" t="s">
        <v>48</v>
      </c>
    </row>
    <row r="2003" hidden="1">
      <c r="A2003" s="32">
        <f>IFERROR(__xludf.DUMMYFUNCTION("""COMPUTED_VALUE"""),43354.86738831019)</f>
        <v>43354.86739</v>
      </c>
      <c r="B2003" t="s">
        <v>33</v>
      </c>
    </row>
    <row r="2004" hidden="1">
      <c r="A2004" s="32">
        <f>IFERROR(__xludf.DUMMYFUNCTION("""COMPUTED_VALUE"""),43354.901575509255)</f>
        <v>43354.90158</v>
      </c>
      <c r="B2004" t="s">
        <v>40</v>
      </c>
    </row>
    <row r="2005" hidden="1">
      <c r="A2005" s="32">
        <f>IFERROR(__xludf.DUMMYFUNCTION("""COMPUTED_VALUE"""),43354.92643908565)</f>
        <v>43354.92644</v>
      </c>
      <c r="B2005" t="s">
        <v>2667</v>
      </c>
    </row>
    <row r="2006" hidden="1">
      <c r="A2006" s="32">
        <f>IFERROR(__xludf.DUMMYFUNCTION("""COMPUTED_VALUE"""),43354.946915486114)</f>
        <v>43354.94692</v>
      </c>
      <c r="B2006" t="s">
        <v>80</v>
      </c>
    </row>
    <row r="2007" hidden="1">
      <c r="A2007" s="32">
        <f>IFERROR(__xludf.DUMMYFUNCTION("""COMPUTED_VALUE"""),43354.96600905093)</f>
        <v>43354.96601</v>
      </c>
      <c r="B2007" t="s">
        <v>33</v>
      </c>
    </row>
    <row r="2008" hidden="1">
      <c r="A2008" s="32">
        <f>IFERROR(__xludf.DUMMYFUNCTION("""COMPUTED_VALUE"""),43355.05890137731)</f>
        <v>43355.0589</v>
      </c>
      <c r="B2008" t="s">
        <v>1540</v>
      </c>
    </row>
    <row r="2009" hidden="1">
      <c r="A2009" s="32">
        <f>IFERROR(__xludf.DUMMYFUNCTION("""COMPUTED_VALUE"""),43355.17329719907)</f>
        <v>43355.1733</v>
      </c>
      <c r="B2009" t="s">
        <v>80</v>
      </c>
    </row>
    <row r="2010" hidden="1">
      <c r="A2010" s="32">
        <f>IFERROR(__xludf.DUMMYFUNCTION("""COMPUTED_VALUE"""),43355.3277325)</f>
        <v>43355.32773</v>
      </c>
      <c r="B2010" t="s">
        <v>188</v>
      </c>
    </row>
    <row r="2011" hidden="1">
      <c r="A2011" s="32">
        <f>IFERROR(__xludf.DUMMYFUNCTION("""COMPUTED_VALUE"""),43355.47492353009)</f>
        <v>43355.47492</v>
      </c>
      <c r="B2011" t="s">
        <v>33</v>
      </c>
    </row>
    <row r="2012" hidden="1">
      <c r="A2012" s="32">
        <f>IFERROR(__xludf.DUMMYFUNCTION("""COMPUTED_VALUE"""),43355.62447556713)</f>
        <v>43355.62448</v>
      </c>
      <c r="B2012" t="s">
        <v>25</v>
      </c>
    </row>
    <row r="2013" hidden="1">
      <c r="A2013" s="32">
        <f>IFERROR(__xludf.DUMMYFUNCTION("""COMPUTED_VALUE"""),43355.74976034722)</f>
        <v>43355.74976</v>
      </c>
      <c r="B2013" t="s">
        <v>124</v>
      </c>
    </row>
    <row r="2014" hidden="1">
      <c r="A2014" s="32">
        <f>IFERROR(__xludf.DUMMYFUNCTION("""COMPUTED_VALUE"""),43355.80247113426)</f>
        <v>43355.80247</v>
      </c>
      <c r="B2014" t="s">
        <v>187</v>
      </c>
    </row>
    <row r="2015" hidden="1">
      <c r="A2015" s="32">
        <f>IFERROR(__xludf.DUMMYFUNCTION("""COMPUTED_VALUE"""),43355.86265760417)</f>
        <v>43355.86266</v>
      </c>
      <c r="B2015" t="s">
        <v>387</v>
      </c>
    </row>
    <row r="2016" hidden="1">
      <c r="A2016" s="32">
        <f>IFERROR(__xludf.DUMMYFUNCTION("""COMPUTED_VALUE"""),43355.92140905093)</f>
        <v>43355.92141</v>
      </c>
      <c r="B2016" t="s">
        <v>33</v>
      </c>
    </row>
    <row r="2017" hidden="1">
      <c r="A2017" s="32">
        <f>IFERROR(__xludf.DUMMYFUNCTION("""COMPUTED_VALUE"""),43356.00524334491)</f>
        <v>43356.00524</v>
      </c>
      <c r="B2017" t="s">
        <v>40</v>
      </c>
    </row>
    <row r="2018" hidden="1">
      <c r="A2018" s="32">
        <f>IFERROR(__xludf.DUMMYFUNCTION("""COMPUTED_VALUE"""),43356.03499424769)</f>
        <v>43356.03499</v>
      </c>
      <c r="B2018" t="s">
        <v>33</v>
      </c>
    </row>
    <row r="2019" hidden="1">
      <c r="A2019" s="32">
        <f>IFERROR(__xludf.DUMMYFUNCTION("""COMPUTED_VALUE"""),43356.062619027776)</f>
        <v>43356.06262</v>
      </c>
      <c r="B2019" t="s">
        <v>40</v>
      </c>
    </row>
    <row r="2020" hidden="1">
      <c r="A2020" s="32">
        <f>IFERROR(__xludf.DUMMYFUNCTION("""COMPUTED_VALUE"""),43356.309626284725)</f>
        <v>43356.30963</v>
      </c>
      <c r="B2020" t="s">
        <v>40</v>
      </c>
    </row>
    <row r="2021" hidden="1">
      <c r="A2021" s="32">
        <f>IFERROR(__xludf.DUMMYFUNCTION("""COMPUTED_VALUE"""),43356.3121646875)</f>
        <v>43356.31216</v>
      </c>
      <c r="B2021" t="s">
        <v>40</v>
      </c>
    </row>
    <row r="2022" hidden="1">
      <c r="A2022" s="32">
        <f>IFERROR(__xludf.DUMMYFUNCTION("""COMPUTED_VALUE"""),43356.349671516204)</f>
        <v>43356.34967</v>
      </c>
      <c r="B2022" t="s">
        <v>40</v>
      </c>
    </row>
    <row r="2023" hidden="1">
      <c r="A2023" s="32">
        <f>IFERROR(__xludf.DUMMYFUNCTION("""COMPUTED_VALUE"""),43356.41722545139)</f>
        <v>43356.41723</v>
      </c>
      <c r="B2023" t="s">
        <v>45</v>
      </c>
    </row>
    <row r="2024" hidden="1">
      <c r="A2024" s="32">
        <f>IFERROR(__xludf.DUMMYFUNCTION("""COMPUTED_VALUE"""),43356.42777753472)</f>
        <v>43356.42778</v>
      </c>
      <c r="B2024" t="s">
        <v>45</v>
      </c>
    </row>
    <row r="2025" hidden="1">
      <c r="A2025" s="32">
        <f>IFERROR(__xludf.DUMMYFUNCTION("""COMPUTED_VALUE"""),43356.49759142361)</f>
        <v>43356.49759</v>
      </c>
      <c r="B2025" t="s">
        <v>40</v>
      </c>
    </row>
    <row r="2026" hidden="1">
      <c r="A2026" s="32">
        <f>IFERROR(__xludf.DUMMYFUNCTION("""COMPUTED_VALUE"""),43356.50181003472)</f>
        <v>43356.50181</v>
      </c>
      <c r="B2026" t="s">
        <v>268</v>
      </c>
    </row>
    <row r="2027" hidden="1">
      <c r="A2027" s="32">
        <f>IFERROR(__xludf.DUMMYFUNCTION("""COMPUTED_VALUE"""),43356.52420210648)</f>
        <v>43356.5242</v>
      </c>
      <c r="B2027" t="s">
        <v>2741</v>
      </c>
    </row>
    <row r="2028" hidden="1">
      <c r="A2028" s="32">
        <f>IFERROR(__xludf.DUMMYFUNCTION("""COMPUTED_VALUE"""),43356.53334083333)</f>
        <v>43356.53334</v>
      </c>
      <c r="B2028" t="s">
        <v>123</v>
      </c>
    </row>
    <row r="2029" hidden="1">
      <c r="A2029" s="32">
        <f>IFERROR(__xludf.DUMMYFUNCTION("""COMPUTED_VALUE"""),43356.60832414352)</f>
        <v>43356.60832</v>
      </c>
      <c r="B2029" t="s">
        <v>2742</v>
      </c>
    </row>
    <row r="2030" hidden="1">
      <c r="A2030" s="32">
        <f>IFERROR(__xludf.DUMMYFUNCTION("""COMPUTED_VALUE"""),43356.65091216435)</f>
        <v>43356.65091</v>
      </c>
      <c r="B2030" t="s">
        <v>187</v>
      </c>
    </row>
    <row r="2031" hidden="1">
      <c r="A2031" s="32">
        <f>IFERROR(__xludf.DUMMYFUNCTION("""COMPUTED_VALUE"""),43356.703924155096)</f>
        <v>43356.70392</v>
      </c>
      <c r="B2031" t="s">
        <v>45</v>
      </c>
    </row>
    <row r="2032" hidden="1">
      <c r="A2032" s="32">
        <f>IFERROR(__xludf.DUMMYFUNCTION("""COMPUTED_VALUE"""),43356.75227324074)</f>
        <v>43356.75227</v>
      </c>
      <c r="B2032" t="s">
        <v>36</v>
      </c>
    </row>
    <row r="2033" hidden="1">
      <c r="A2033" s="32">
        <f>IFERROR(__xludf.DUMMYFUNCTION("""COMPUTED_VALUE"""),43356.75227321759)</f>
        <v>43356.75227</v>
      </c>
      <c r="B2033" t="s">
        <v>36</v>
      </c>
    </row>
    <row r="2034" hidden="1">
      <c r="A2034" s="32">
        <f>IFERROR(__xludf.DUMMYFUNCTION("""COMPUTED_VALUE"""),43356.75227324074)</f>
        <v>43356.75227</v>
      </c>
      <c r="B2034" t="s">
        <v>36</v>
      </c>
    </row>
    <row r="2035" hidden="1">
      <c r="A2035" s="32">
        <f>IFERROR(__xludf.DUMMYFUNCTION("""COMPUTED_VALUE"""),43356.80409769676)</f>
        <v>43356.8041</v>
      </c>
      <c r="B2035" t="s">
        <v>241</v>
      </c>
    </row>
    <row r="2036" hidden="1">
      <c r="A2036" s="32">
        <f>IFERROR(__xludf.DUMMYFUNCTION("""COMPUTED_VALUE"""),43356.80512966435)</f>
        <v>43356.80513</v>
      </c>
      <c r="B2036" t="s">
        <v>1553</v>
      </c>
    </row>
    <row r="2037" hidden="1">
      <c r="A2037" s="32">
        <f>IFERROR(__xludf.DUMMYFUNCTION("""COMPUTED_VALUE"""),43356.809273680556)</f>
        <v>43356.80927</v>
      </c>
      <c r="B2037" t="s">
        <v>80</v>
      </c>
    </row>
    <row r="2038" hidden="1">
      <c r="A2038" s="32">
        <f>IFERROR(__xludf.DUMMYFUNCTION("""COMPUTED_VALUE"""),43356.809857314816)</f>
        <v>43356.80986</v>
      </c>
      <c r="B2038" t="s">
        <v>33</v>
      </c>
    </row>
    <row r="2039" hidden="1">
      <c r="A2039" s="32">
        <f>IFERROR(__xludf.DUMMYFUNCTION("""COMPUTED_VALUE"""),43356.823706724535)</f>
        <v>43356.82371</v>
      </c>
      <c r="B2039" t="s">
        <v>40</v>
      </c>
    </row>
    <row r="2040" hidden="1">
      <c r="A2040" s="32">
        <f>IFERROR(__xludf.DUMMYFUNCTION("""COMPUTED_VALUE"""),43356.87409894676)</f>
        <v>43356.8741</v>
      </c>
      <c r="B2040" t="s">
        <v>371</v>
      </c>
    </row>
    <row r="2041" hidden="1">
      <c r="A2041" s="32">
        <f>IFERROR(__xludf.DUMMYFUNCTION("""COMPUTED_VALUE"""),43356.89278895833)</f>
        <v>43356.89279</v>
      </c>
      <c r="B2041" t="s">
        <v>122</v>
      </c>
    </row>
    <row r="2042" hidden="1">
      <c r="A2042" s="32">
        <f>IFERROR(__xludf.DUMMYFUNCTION("""COMPUTED_VALUE"""),43356.94894195602)</f>
        <v>43356.94894</v>
      </c>
      <c r="B2042" t="s">
        <v>40</v>
      </c>
    </row>
    <row r="2043" hidden="1">
      <c r="A2043" s="32">
        <f>IFERROR(__xludf.DUMMYFUNCTION("""COMPUTED_VALUE"""),43356.99761679398)</f>
        <v>43356.99762</v>
      </c>
      <c r="B2043" t="s">
        <v>170</v>
      </c>
    </row>
    <row r="2044" hidden="1">
      <c r="A2044" s="32">
        <f>IFERROR(__xludf.DUMMYFUNCTION("""COMPUTED_VALUE"""),43357.01609311343)</f>
        <v>43357.01609</v>
      </c>
      <c r="B2044" t="s">
        <v>40</v>
      </c>
    </row>
    <row r="2045" hidden="1">
      <c r="A2045" s="32">
        <f>IFERROR(__xludf.DUMMYFUNCTION("""COMPUTED_VALUE"""),43357.020638229165)</f>
        <v>43357.02064</v>
      </c>
      <c r="B2045" t="s">
        <v>80</v>
      </c>
    </row>
    <row r="2046" hidden="1">
      <c r="A2046" s="32">
        <f>IFERROR(__xludf.DUMMYFUNCTION("""COMPUTED_VALUE"""),43357.25734434028)</f>
        <v>43357.25734</v>
      </c>
      <c r="B2046" t="s">
        <v>80</v>
      </c>
    </row>
    <row r="2047" hidden="1">
      <c r="A2047" s="32">
        <f>IFERROR(__xludf.DUMMYFUNCTION("""COMPUTED_VALUE"""),43357.31116945602)</f>
        <v>43357.31117</v>
      </c>
      <c r="B2047" t="s">
        <v>33</v>
      </c>
    </row>
    <row r="2048" hidden="1">
      <c r="A2048" s="32">
        <f>IFERROR(__xludf.DUMMYFUNCTION("""COMPUTED_VALUE"""),43357.48899225694)</f>
        <v>43357.48899</v>
      </c>
      <c r="B2048" t="s">
        <v>40</v>
      </c>
    </row>
    <row r="2049" hidden="1">
      <c r="A2049" s="32">
        <f>IFERROR(__xludf.DUMMYFUNCTION("""COMPUTED_VALUE"""),43357.49941060186)</f>
        <v>43357.49941</v>
      </c>
      <c r="B2049" t="s">
        <v>36</v>
      </c>
    </row>
    <row r="2050" hidden="1">
      <c r="A2050" s="32">
        <f>IFERROR(__xludf.DUMMYFUNCTION("""COMPUTED_VALUE"""),43357.61974234953)</f>
        <v>43357.61974</v>
      </c>
      <c r="B2050" t="s">
        <v>407</v>
      </c>
    </row>
    <row r="2051" hidden="1">
      <c r="A2051" s="32">
        <f>IFERROR(__xludf.DUMMYFUNCTION("""COMPUTED_VALUE"""),43357.65983574074)</f>
        <v>43357.65984</v>
      </c>
      <c r="B2051" t="s">
        <v>1160</v>
      </c>
    </row>
    <row r="2052" hidden="1">
      <c r="A2052" s="32">
        <f>IFERROR(__xludf.DUMMYFUNCTION("""COMPUTED_VALUE"""),43357.780578935184)</f>
        <v>43357.78058</v>
      </c>
      <c r="B2052" t="s">
        <v>1559</v>
      </c>
    </row>
    <row r="2053" hidden="1">
      <c r="A2053" s="32">
        <f>IFERROR(__xludf.DUMMYFUNCTION("""COMPUTED_VALUE"""),43357.80091019676)</f>
        <v>43357.80091</v>
      </c>
      <c r="B2053" t="s">
        <v>371</v>
      </c>
    </row>
    <row r="2054" hidden="1">
      <c r="A2054" s="32">
        <f>IFERROR(__xludf.DUMMYFUNCTION("""COMPUTED_VALUE"""),43357.805432141206)</f>
        <v>43357.80543</v>
      </c>
      <c r="B2054" t="s">
        <v>371</v>
      </c>
    </row>
    <row r="2055" hidden="1">
      <c r="A2055" s="32">
        <f>IFERROR(__xludf.DUMMYFUNCTION("""COMPUTED_VALUE"""),43357.868184907406)</f>
        <v>43357.86818</v>
      </c>
      <c r="B2055" t="s">
        <v>371</v>
      </c>
    </row>
    <row r="2056" hidden="1">
      <c r="A2056" s="32">
        <f>IFERROR(__xludf.DUMMYFUNCTION("""COMPUTED_VALUE"""),43357.922418125)</f>
        <v>43357.92242</v>
      </c>
      <c r="B2056" t="s">
        <v>48</v>
      </c>
    </row>
    <row r="2057" hidden="1">
      <c r="A2057" s="32">
        <f>IFERROR(__xludf.DUMMYFUNCTION("""COMPUTED_VALUE"""),43358.0725516088)</f>
        <v>43358.07255</v>
      </c>
      <c r="B2057" t="s">
        <v>407</v>
      </c>
    </row>
    <row r="2058" hidden="1">
      <c r="A2058" s="32">
        <f>IFERROR(__xludf.DUMMYFUNCTION("""COMPUTED_VALUE"""),43358.47576752315)</f>
        <v>43358.47577</v>
      </c>
      <c r="B2058" t="s">
        <v>95</v>
      </c>
    </row>
    <row r="2059" hidden="1">
      <c r="A2059" s="32">
        <f>IFERROR(__xludf.DUMMYFUNCTION("""COMPUTED_VALUE"""),43358.49307484954)</f>
        <v>43358.49307</v>
      </c>
      <c r="B2059" t="s">
        <v>1562</v>
      </c>
    </row>
    <row r="2060" hidden="1">
      <c r="A2060" s="32">
        <f>IFERROR(__xludf.DUMMYFUNCTION("""COMPUTED_VALUE"""),43358.49406041666)</f>
        <v>43358.49406</v>
      </c>
      <c r="B2060" t="s">
        <v>2711</v>
      </c>
    </row>
    <row r="2061" hidden="1">
      <c r="A2061" s="32">
        <f>IFERROR(__xludf.DUMMYFUNCTION("""COMPUTED_VALUE"""),43358.517693483795)</f>
        <v>43358.51769</v>
      </c>
      <c r="B2061" t="s">
        <v>371</v>
      </c>
    </row>
    <row r="2062" hidden="1">
      <c r="A2062" s="32">
        <f>IFERROR(__xludf.DUMMYFUNCTION("""COMPUTED_VALUE"""),43358.832895162035)</f>
        <v>43358.8329</v>
      </c>
      <c r="B2062" t="s">
        <v>911</v>
      </c>
    </row>
    <row r="2063" hidden="1">
      <c r="A2063" s="32">
        <f>IFERROR(__xludf.DUMMYFUNCTION("""COMPUTED_VALUE"""),43358.89116655092)</f>
        <v>43358.89117</v>
      </c>
      <c r="B2063" t="s">
        <v>119</v>
      </c>
    </row>
    <row r="2064" hidden="1">
      <c r="A2064" s="32">
        <f>IFERROR(__xludf.DUMMYFUNCTION("""COMPUTED_VALUE"""),43358.988467800926)</f>
        <v>43358.98847</v>
      </c>
      <c r="B2064" t="s">
        <v>268</v>
      </c>
    </row>
    <row r="2065" hidden="1">
      <c r="A2065" s="32">
        <f>IFERROR(__xludf.DUMMYFUNCTION("""COMPUTED_VALUE"""),43358.98899333333)</f>
        <v>43358.98899</v>
      </c>
      <c r="B2065" t="s">
        <v>268</v>
      </c>
    </row>
    <row r="2066" hidden="1">
      <c r="A2066" s="32">
        <f>IFERROR(__xludf.DUMMYFUNCTION("""COMPUTED_VALUE"""),43358.990135995366)</f>
        <v>43358.99014</v>
      </c>
      <c r="B2066" t="s">
        <v>170</v>
      </c>
    </row>
    <row r="2067" hidden="1">
      <c r="A2067" s="32">
        <f>IFERROR(__xludf.DUMMYFUNCTION("""COMPUTED_VALUE"""),43359.08230091435)</f>
        <v>43359.0823</v>
      </c>
      <c r="B2067" t="s">
        <v>380</v>
      </c>
    </row>
    <row r="2068" hidden="1">
      <c r="A2068" s="32">
        <f>IFERROR(__xludf.DUMMYFUNCTION("""COMPUTED_VALUE"""),43359.15328400463)</f>
        <v>43359.15328</v>
      </c>
      <c r="B2068" t="s">
        <v>1564</v>
      </c>
    </row>
    <row r="2069" hidden="1">
      <c r="A2069" s="32">
        <f>IFERROR(__xludf.DUMMYFUNCTION("""COMPUTED_VALUE"""),43359.192113067125)</f>
        <v>43359.19211</v>
      </c>
      <c r="B2069" t="s">
        <v>40</v>
      </c>
    </row>
    <row r="2070" hidden="1">
      <c r="A2070" s="32">
        <f>IFERROR(__xludf.DUMMYFUNCTION("""COMPUTED_VALUE"""),43359.320839259264)</f>
        <v>43359.32084</v>
      </c>
      <c r="B2070" t="s">
        <v>40</v>
      </c>
    </row>
    <row r="2071" hidden="1">
      <c r="A2071" s="32">
        <f>IFERROR(__xludf.DUMMYFUNCTION("""COMPUTED_VALUE"""),43359.32497194444)</f>
        <v>43359.32497</v>
      </c>
      <c r="B2071" t="s">
        <v>80</v>
      </c>
    </row>
    <row r="2072" hidden="1">
      <c r="A2072" s="32">
        <f>IFERROR(__xludf.DUMMYFUNCTION("""COMPUTED_VALUE"""),43359.358848055555)</f>
        <v>43359.35885</v>
      </c>
      <c r="B2072" t="s">
        <v>33</v>
      </c>
    </row>
    <row r="2073" hidden="1">
      <c r="A2073" s="32">
        <f>IFERROR(__xludf.DUMMYFUNCTION("""COMPUTED_VALUE"""),43359.401015104166)</f>
        <v>43359.40102</v>
      </c>
      <c r="B2073" t="s">
        <v>36</v>
      </c>
    </row>
    <row r="2074" hidden="1">
      <c r="A2074" s="32">
        <f>IFERROR(__xludf.DUMMYFUNCTION("""COMPUTED_VALUE"""),43359.40993684028)</f>
        <v>43359.40994</v>
      </c>
      <c r="B2074" t="s">
        <v>80</v>
      </c>
    </row>
    <row r="2075" hidden="1">
      <c r="A2075" s="32">
        <f>IFERROR(__xludf.DUMMYFUNCTION("""COMPUTED_VALUE"""),43359.4139475)</f>
        <v>43359.41395</v>
      </c>
      <c r="B2075" t="s">
        <v>33</v>
      </c>
    </row>
    <row r="2076" hidden="1">
      <c r="A2076" s="32">
        <f>IFERROR(__xludf.DUMMYFUNCTION("""COMPUTED_VALUE"""),43359.41799047454)</f>
        <v>43359.41799</v>
      </c>
      <c r="B2076" t="s">
        <v>407</v>
      </c>
    </row>
    <row r="2077" hidden="1">
      <c r="A2077" s="32">
        <f>IFERROR(__xludf.DUMMYFUNCTION("""COMPUTED_VALUE"""),43359.44160939815)</f>
        <v>43359.44161</v>
      </c>
      <c r="B2077" t="s">
        <v>2424</v>
      </c>
    </row>
    <row r="2078" hidden="1">
      <c r="A2078" s="32">
        <f>IFERROR(__xludf.DUMMYFUNCTION("""COMPUTED_VALUE"""),43359.48560383102)</f>
        <v>43359.4856</v>
      </c>
      <c r="B2078" t="s">
        <v>40</v>
      </c>
    </row>
    <row r="2079" hidden="1">
      <c r="A2079" s="32">
        <f>IFERROR(__xludf.DUMMYFUNCTION("""COMPUTED_VALUE"""),43359.500729039355)</f>
        <v>43359.50073</v>
      </c>
      <c r="B2079" t="s">
        <v>33</v>
      </c>
    </row>
    <row r="2080" hidden="1">
      <c r="A2080" s="32">
        <f>IFERROR(__xludf.DUMMYFUNCTION("""COMPUTED_VALUE"""),43359.54708069444)</f>
        <v>43359.54708</v>
      </c>
      <c r="B2080" t="s">
        <v>80</v>
      </c>
    </row>
    <row r="2081" hidden="1">
      <c r="A2081" s="32">
        <f>IFERROR(__xludf.DUMMYFUNCTION("""COMPUTED_VALUE"""),43359.58342601852)</f>
        <v>43359.58343</v>
      </c>
      <c r="B2081" t="s">
        <v>33</v>
      </c>
    </row>
    <row r="2082" hidden="1">
      <c r="A2082" s="32">
        <f>IFERROR(__xludf.DUMMYFUNCTION("""COMPUTED_VALUE"""),43359.620101134264)</f>
        <v>43359.6201</v>
      </c>
      <c r="B2082" t="s">
        <v>33</v>
      </c>
    </row>
    <row r="2083" hidden="1">
      <c r="A2083" s="32">
        <f>IFERROR(__xludf.DUMMYFUNCTION("""COMPUTED_VALUE"""),43359.67402185185)</f>
        <v>43359.67402</v>
      </c>
      <c r="B2083" t="s">
        <v>119</v>
      </c>
    </row>
    <row r="2084" hidden="1">
      <c r="A2084" s="32">
        <f>IFERROR(__xludf.DUMMYFUNCTION("""COMPUTED_VALUE"""),43359.69152783565)</f>
        <v>43359.69153</v>
      </c>
      <c r="B2084" t="s">
        <v>2697</v>
      </c>
    </row>
    <row r="2085" hidden="1">
      <c r="A2085" s="32">
        <f>IFERROR(__xludf.DUMMYFUNCTION("""COMPUTED_VALUE"""),43359.871337731485)</f>
        <v>43359.87134</v>
      </c>
      <c r="B2085" t="s">
        <v>2743</v>
      </c>
    </row>
    <row r="2086" hidden="1">
      <c r="A2086" s="32">
        <f>IFERROR(__xludf.DUMMYFUNCTION("""COMPUTED_VALUE"""),43359.87891586806)</f>
        <v>43359.87892</v>
      </c>
      <c r="B2086" t="s">
        <v>1574</v>
      </c>
    </row>
    <row r="2087" hidden="1">
      <c r="A2087" s="32">
        <f>IFERROR(__xludf.DUMMYFUNCTION("""COMPUTED_VALUE"""),43359.89311225695)</f>
        <v>43359.89311</v>
      </c>
      <c r="B2087" t="s">
        <v>123</v>
      </c>
    </row>
    <row r="2088" hidden="1">
      <c r="A2088" s="32">
        <f>IFERROR(__xludf.DUMMYFUNCTION("""COMPUTED_VALUE"""),43359.909148900464)</f>
        <v>43359.90915</v>
      </c>
      <c r="B2088" t="s">
        <v>33</v>
      </c>
    </row>
    <row r="2089" hidden="1">
      <c r="A2089" s="32">
        <f>IFERROR(__xludf.DUMMYFUNCTION("""COMPUTED_VALUE"""),43359.98091449074)</f>
        <v>43359.98091</v>
      </c>
      <c r="B2089" t="s">
        <v>40</v>
      </c>
    </row>
    <row r="2090" hidden="1">
      <c r="A2090" s="32">
        <f>IFERROR(__xludf.DUMMYFUNCTION("""COMPUTED_VALUE"""),43360.04856848379)</f>
        <v>43360.04857</v>
      </c>
      <c r="B2090" t="s">
        <v>371</v>
      </c>
    </row>
    <row r="2091" hidden="1">
      <c r="A2091" s="32">
        <f>IFERROR(__xludf.DUMMYFUNCTION("""COMPUTED_VALUE"""),43360.105658182874)</f>
        <v>43360.10566</v>
      </c>
      <c r="B2091" t="s">
        <v>80</v>
      </c>
    </row>
    <row r="2092" hidden="1">
      <c r="A2092" s="32">
        <f>IFERROR(__xludf.DUMMYFUNCTION("""COMPUTED_VALUE"""),43360.29773774305)</f>
        <v>43360.29774</v>
      </c>
      <c r="B2092" t="s">
        <v>1434</v>
      </c>
    </row>
    <row r="2093" hidden="1">
      <c r="A2093" s="32">
        <f>IFERROR(__xludf.DUMMYFUNCTION("""COMPUTED_VALUE"""),43360.331478101856)</f>
        <v>43360.33148</v>
      </c>
      <c r="B2093" t="s">
        <v>123</v>
      </c>
    </row>
    <row r="2094" hidden="1">
      <c r="A2094" s="32">
        <f>IFERROR(__xludf.DUMMYFUNCTION("""COMPUTED_VALUE"""),43360.55314393518)</f>
        <v>43360.55314</v>
      </c>
      <c r="B2094" t="s">
        <v>268</v>
      </c>
    </row>
    <row r="2095" hidden="1">
      <c r="A2095" s="32">
        <f>IFERROR(__xludf.DUMMYFUNCTION("""COMPUTED_VALUE"""),43360.61986577546)</f>
        <v>43360.61987</v>
      </c>
      <c r="B2095" t="s">
        <v>154</v>
      </c>
    </row>
    <row r="2096" hidden="1">
      <c r="A2096" s="32">
        <f>IFERROR(__xludf.DUMMYFUNCTION("""COMPUTED_VALUE"""),43360.62353928241)</f>
        <v>43360.62354</v>
      </c>
      <c r="B2096" t="s">
        <v>40</v>
      </c>
    </row>
    <row r="2097" hidden="1">
      <c r="A2097" s="32">
        <f>IFERROR(__xludf.DUMMYFUNCTION("""COMPUTED_VALUE"""),43360.651020590274)</f>
        <v>43360.65102</v>
      </c>
      <c r="B2097" t="s">
        <v>48</v>
      </c>
    </row>
    <row r="2098" hidden="1">
      <c r="A2098" s="32">
        <f>IFERROR(__xludf.DUMMYFUNCTION("""COMPUTED_VALUE"""),43360.68318883102)</f>
        <v>43360.68319</v>
      </c>
      <c r="B2098" t="s">
        <v>2744</v>
      </c>
    </row>
    <row r="2099" hidden="1">
      <c r="A2099" s="32">
        <f>IFERROR(__xludf.DUMMYFUNCTION("""COMPUTED_VALUE"""),43360.69587185185)</f>
        <v>43360.69587</v>
      </c>
      <c r="B2099" t="s">
        <v>36</v>
      </c>
    </row>
    <row r="2100" hidden="1">
      <c r="A2100" s="32">
        <f>IFERROR(__xludf.DUMMYFUNCTION("""COMPUTED_VALUE"""),43360.69656844907)</f>
        <v>43360.69657</v>
      </c>
      <c r="B2100" t="s">
        <v>268</v>
      </c>
    </row>
    <row r="2101" hidden="1">
      <c r="A2101" s="32">
        <f>IFERROR(__xludf.DUMMYFUNCTION("""COMPUTED_VALUE"""),43360.698587465275)</f>
        <v>43360.69859</v>
      </c>
      <c r="B2101" t="s">
        <v>48</v>
      </c>
    </row>
    <row r="2102" hidden="1">
      <c r="A2102" s="32">
        <f>IFERROR(__xludf.DUMMYFUNCTION("""COMPUTED_VALUE"""),43360.704717361106)</f>
        <v>43360.70472</v>
      </c>
      <c r="B2102" t="s">
        <v>33</v>
      </c>
    </row>
    <row r="2103" hidden="1">
      <c r="A2103" s="32">
        <f>IFERROR(__xludf.DUMMYFUNCTION("""COMPUTED_VALUE"""),43360.711360416666)</f>
        <v>43360.71136</v>
      </c>
      <c r="B2103" t="s">
        <v>45</v>
      </c>
    </row>
    <row r="2104" hidden="1">
      <c r="A2104" s="32">
        <f>IFERROR(__xludf.DUMMYFUNCTION("""COMPUTED_VALUE"""),43360.73638333334)</f>
        <v>43360.73638</v>
      </c>
      <c r="B2104" t="s">
        <v>80</v>
      </c>
    </row>
    <row r="2105" hidden="1">
      <c r="A2105" s="32">
        <f>IFERROR(__xludf.DUMMYFUNCTION("""COMPUTED_VALUE"""),43360.787742291664)</f>
        <v>43360.78774</v>
      </c>
      <c r="B2105" t="s">
        <v>40</v>
      </c>
    </row>
    <row r="2106" hidden="1">
      <c r="A2106" s="32">
        <f>IFERROR(__xludf.DUMMYFUNCTION("""COMPUTED_VALUE"""),43360.884268124995)</f>
        <v>43360.88427</v>
      </c>
      <c r="B2106" t="s">
        <v>33</v>
      </c>
    </row>
    <row r="2107" hidden="1">
      <c r="A2107" s="32">
        <f>IFERROR(__xludf.DUMMYFUNCTION("""COMPUTED_VALUE"""),43360.8901931713)</f>
        <v>43360.89019</v>
      </c>
      <c r="B2107" t="s">
        <v>1574</v>
      </c>
    </row>
    <row r="2108" hidden="1">
      <c r="A2108" s="32">
        <f>IFERROR(__xludf.DUMMYFUNCTION("""COMPUTED_VALUE"""),43360.891395706014)</f>
        <v>43360.8914</v>
      </c>
      <c r="B2108" t="s">
        <v>33</v>
      </c>
    </row>
    <row r="2109" hidden="1">
      <c r="A2109" s="32">
        <f>IFERROR(__xludf.DUMMYFUNCTION("""COMPUTED_VALUE"""),43360.925134247685)</f>
        <v>43360.92513</v>
      </c>
      <c r="B2109" t="s">
        <v>33</v>
      </c>
    </row>
    <row r="2110" hidden="1">
      <c r="A2110" s="32">
        <f>IFERROR(__xludf.DUMMYFUNCTION("""COMPUTED_VALUE"""),43360.966477766204)</f>
        <v>43360.96648</v>
      </c>
      <c r="B2110" t="s">
        <v>119</v>
      </c>
    </row>
    <row r="2111" hidden="1">
      <c r="A2111" s="32">
        <f>IFERROR(__xludf.DUMMYFUNCTION("""COMPUTED_VALUE"""),43361.2162947801)</f>
        <v>43361.21629</v>
      </c>
      <c r="B2111" t="s">
        <v>1582</v>
      </c>
    </row>
    <row r="2112" hidden="1">
      <c r="A2112" s="32">
        <f>IFERROR(__xludf.DUMMYFUNCTION("""COMPUTED_VALUE"""),43361.31943265046)</f>
        <v>43361.31943</v>
      </c>
      <c r="B2112" t="s">
        <v>45</v>
      </c>
    </row>
    <row r="2113" hidden="1">
      <c r="A2113" s="32">
        <f>IFERROR(__xludf.DUMMYFUNCTION("""COMPUTED_VALUE"""),43361.40122119213)</f>
        <v>43361.40122</v>
      </c>
      <c r="B2113" t="s">
        <v>48</v>
      </c>
    </row>
    <row r="2114" hidden="1">
      <c r="A2114" s="32">
        <f>IFERROR(__xludf.DUMMYFUNCTION("""COMPUTED_VALUE"""),43361.40377704861)</f>
        <v>43361.40378</v>
      </c>
      <c r="B2114" t="s">
        <v>2658</v>
      </c>
    </row>
    <row r="2115" hidden="1">
      <c r="A2115" s="32">
        <f>IFERROR(__xludf.DUMMYFUNCTION("""COMPUTED_VALUE"""),43361.40648331019)</f>
        <v>43361.40648</v>
      </c>
      <c r="B2115" t="s">
        <v>36</v>
      </c>
    </row>
    <row r="2116" hidden="1">
      <c r="A2116" s="32">
        <f>IFERROR(__xludf.DUMMYFUNCTION("""COMPUTED_VALUE"""),43361.45002023148)</f>
        <v>43361.45002</v>
      </c>
      <c r="B2116" t="s">
        <v>40</v>
      </c>
    </row>
    <row r="2117" hidden="1">
      <c r="A2117" s="32">
        <f>IFERROR(__xludf.DUMMYFUNCTION("""COMPUTED_VALUE"""),43361.46807663194)</f>
        <v>43361.46808</v>
      </c>
      <c r="B2117" t="s">
        <v>1585</v>
      </c>
    </row>
    <row r="2118" hidden="1">
      <c r="A2118" s="32">
        <f>IFERROR(__xludf.DUMMYFUNCTION("""COMPUTED_VALUE"""),43361.48175446759)</f>
        <v>43361.48175</v>
      </c>
      <c r="B2118" t="s">
        <v>270</v>
      </c>
    </row>
    <row r="2119" hidden="1">
      <c r="A2119" s="32">
        <f>IFERROR(__xludf.DUMMYFUNCTION("""COMPUTED_VALUE"""),43361.48443483796)</f>
        <v>43361.48443</v>
      </c>
      <c r="B2119" t="s">
        <v>270</v>
      </c>
    </row>
    <row r="2120" hidden="1">
      <c r="A2120" s="32">
        <f>IFERROR(__xludf.DUMMYFUNCTION("""COMPUTED_VALUE"""),43361.57391190973)</f>
        <v>43361.57391</v>
      </c>
      <c r="B2120" t="s">
        <v>33</v>
      </c>
    </row>
    <row r="2121" hidden="1">
      <c r="A2121" s="32">
        <f>IFERROR(__xludf.DUMMYFUNCTION("""COMPUTED_VALUE"""),43361.67379877315)</f>
        <v>43361.6738</v>
      </c>
      <c r="B2121" t="s">
        <v>1587</v>
      </c>
    </row>
    <row r="2122" hidden="1">
      <c r="A2122" s="32">
        <f>IFERROR(__xludf.DUMMYFUNCTION("""COMPUTED_VALUE"""),43361.74817670139)</f>
        <v>43361.74818</v>
      </c>
      <c r="B2122" t="s">
        <v>123</v>
      </c>
    </row>
    <row r="2123" hidden="1">
      <c r="A2123" s="32">
        <f>IFERROR(__xludf.DUMMYFUNCTION("""COMPUTED_VALUE"""),43361.86047167824)</f>
        <v>43361.86047</v>
      </c>
      <c r="B2123" t="s">
        <v>123</v>
      </c>
    </row>
    <row r="2124" hidden="1">
      <c r="A2124" s="32">
        <f>IFERROR(__xludf.DUMMYFUNCTION("""COMPUTED_VALUE"""),43361.86724530093)</f>
        <v>43361.86725</v>
      </c>
      <c r="B2124" t="s">
        <v>2745</v>
      </c>
    </row>
    <row r="2125" hidden="1">
      <c r="A2125" s="32">
        <f>IFERROR(__xludf.DUMMYFUNCTION("""COMPUTED_VALUE"""),43361.90893372685)</f>
        <v>43361.90893</v>
      </c>
      <c r="B2125" t="s">
        <v>95</v>
      </c>
    </row>
    <row r="2126" hidden="1">
      <c r="A2126" s="32">
        <f>IFERROR(__xludf.DUMMYFUNCTION("""COMPUTED_VALUE"""),43361.947319224535)</f>
        <v>43361.94732</v>
      </c>
      <c r="B2126" t="s">
        <v>40</v>
      </c>
    </row>
    <row r="2127" hidden="1">
      <c r="A2127" s="32">
        <f>IFERROR(__xludf.DUMMYFUNCTION("""COMPUTED_VALUE"""),43362.032726273144)</f>
        <v>43362.03273</v>
      </c>
      <c r="B2127" t="s">
        <v>371</v>
      </c>
    </row>
    <row r="2128" hidden="1">
      <c r="A2128" s="32">
        <f>IFERROR(__xludf.DUMMYFUNCTION("""COMPUTED_VALUE"""),43362.316972141205)</f>
        <v>43362.31697</v>
      </c>
      <c r="B2128" t="s">
        <v>1594</v>
      </c>
    </row>
    <row r="2129" hidden="1">
      <c r="A2129" s="32">
        <f>IFERROR(__xludf.DUMMYFUNCTION("""COMPUTED_VALUE"""),43362.324363506945)</f>
        <v>43362.32436</v>
      </c>
      <c r="B2129" t="s">
        <v>45</v>
      </c>
    </row>
    <row r="2130" hidden="1">
      <c r="A2130" s="32">
        <f>IFERROR(__xludf.DUMMYFUNCTION("""COMPUTED_VALUE"""),43362.60097018519)</f>
        <v>43362.60097</v>
      </c>
      <c r="B2130" t="s">
        <v>33</v>
      </c>
    </row>
    <row r="2131" hidden="1">
      <c r="A2131" s="32">
        <f>IFERROR(__xludf.DUMMYFUNCTION("""COMPUTED_VALUE"""),43362.601505405095)</f>
        <v>43362.60151</v>
      </c>
      <c r="B2131" t="s">
        <v>33</v>
      </c>
    </row>
    <row r="2132" hidden="1">
      <c r="A2132" s="32">
        <f>IFERROR(__xludf.DUMMYFUNCTION("""COMPUTED_VALUE"""),43362.61977263889)</f>
        <v>43362.61977</v>
      </c>
      <c r="B2132" t="s">
        <v>33</v>
      </c>
    </row>
    <row r="2133" hidden="1">
      <c r="A2133" s="32">
        <f>IFERROR(__xludf.DUMMYFUNCTION("""COMPUTED_VALUE"""),43362.71337783565)</f>
        <v>43362.71338</v>
      </c>
      <c r="B2133" t="s">
        <v>2746</v>
      </c>
    </row>
    <row r="2134" hidden="1">
      <c r="A2134" s="32">
        <f>IFERROR(__xludf.DUMMYFUNCTION("""COMPUTED_VALUE"""),43362.717817233795)</f>
        <v>43362.71782</v>
      </c>
      <c r="B2134" t="s">
        <v>95</v>
      </c>
    </row>
    <row r="2135" hidden="1">
      <c r="A2135" s="32">
        <f>IFERROR(__xludf.DUMMYFUNCTION("""COMPUTED_VALUE"""),43362.72983358796)</f>
        <v>43362.72983</v>
      </c>
      <c r="B2135" t="s">
        <v>1603</v>
      </c>
    </row>
    <row r="2136" hidden="1">
      <c r="A2136" s="32">
        <f>IFERROR(__xludf.DUMMYFUNCTION("""COMPUTED_VALUE"""),43362.736589594904)</f>
        <v>43362.73659</v>
      </c>
      <c r="B2136" t="s">
        <v>33</v>
      </c>
    </row>
    <row r="2137" hidden="1">
      <c r="A2137" s="32">
        <f>IFERROR(__xludf.DUMMYFUNCTION("""COMPUTED_VALUE"""),43362.791399849535)</f>
        <v>43362.7914</v>
      </c>
      <c r="B2137" t="s">
        <v>1606</v>
      </c>
    </row>
    <row r="2138" hidden="1">
      <c r="A2138" s="32">
        <f>IFERROR(__xludf.DUMMYFUNCTION("""COMPUTED_VALUE"""),43362.87074532408)</f>
        <v>43362.87075</v>
      </c>
      <c r="B2138" t="s">
        <v>1609</v>
      </c>
    </row>
    <row r="2139" hidden="1">
      <c r="A2139" s="32">
        <f>IFERROR(__xludf.DUMMYFUNCTION("""COMPUTED_VALUE"""),43362.894904375)</f>
        <v>43362.8949</v>
      </c>
      <c r="B2139" t="s">
        <v>1610</v>
      </c>
    </row>
    <row r="2140" hidden="1">
      <c r="A2140" s="32">
        <f>IFERROR(__xludf.DUMMYFUNCTION("""COMPUTED_VALUE"""),43362.895188634255)</f>
        <v>43362.89519</v>
      </c>
      <c r="B2140" t="s">
        <v>80</v>
      </c>
    </row>
    <row r="2141" hidden="1">
      <c r="A2141" s="32">
        <f>IFERROR(__xludf.DUMMYFUNCTION("""COMPUTED_VALUE"""),43362.89680396991)</f>
        <v>43362.8968</v>
      </c>
      <c r="B2141" t="s">
        <v>80</v>
      </c>
    </row>
    <row r="2142" hidden="1">
      <c r="A2142" s="32">
        <f>IFERROR(__xludf.DUMMYFUNCTION("""COMPUTED_VALUE"""),43362.90432778935)</f>
        <v>43362.90433</v>
      </c>
      <c r="B2142" t="s">
        <v>48</v>
      </c>
    </row>
    <row r="2143" hidden="1">
      <c r="A2143" s="32">
        <f>IFERROR(__xludf.DUMMYFUNCTION("""COMPUTED_VALUE"""),43362.96517556713)</f>
        <v>43362.96518</v>
      </c>
      <c r="B2143" t="s">
        <v>45</v>
      </c>
    </row>
    <row r="2144" hidden="1">
      <c r="A2144" s="32">
        <f>IFERROR(__xludf.DUMMYFUNCTION("""COMPUTED_VALUE"""),43363.00135172454)</f>
        <v>43363.00135</v>
      </c>
      <c r="B2144" t="s">
        <v>40</v>
      </c>
    </row>
    <row r="2145" hidden="1">
      <c r="A2145" s="32">
        <f>IFERROR(__xludf.DUMMYFUNCTION("""COMPUTED_VALUE"""),43363.003232187504)</f>
        <v>43363.00323</v>
      </c>
      <c r="B2145" t="s">
        <v>77</v>
      </c>
    </row>
    <row r="2146" hidden="1">
      <c r="A2146" s="32">
        <f>IFERROR(__xludf.DUMMYFUNCTION("""COMPUTED_VALUE"""),43363.010113553246)</f>
        <v>43363.01011</v>
      </c>
      <c r="B2146" t="s">
        <v>204</v>
      </c>
    </row>
    <row r="2147" hidden="1">
      <c r="A2147" s="32">
        <f>IFERROR(__xludf.DUMMYFUNCTION("""COMPUTED_VALUE"""),43363.090361423616)</f>
        <v>43363.09036</v>
      </c>
      <c r="B2147" t="s">
        <v>36</v>
      </c>
    </row>
    <row r="2148" hidden="1">
      <c r="A2148" s="32">
        <f>IFERROR(__xludf.DUMMYFUNCTION("""COMPUTED_VALUE"""),43363.24724864583)</f>
        <v>43363.24725</v>
      </c>
      <c r="B2148" t="s">
        <v>1612</v>
      </c>
    </row>
    <row r="2149" hidden="1">
      <c r="A2149" s="32">
        <f>IFERROR(__xludf.DUMMYFUNCTION("""COMPUTED_VALUE"""),43363.43585913195)</f>
        <v>43363.43586</v>
      </c>
      <c r="B2149" t="s">
        <v>80</v>
      </c>
    </row>
    <row r="2150" hidden="1">
      <c r="A2150" s="32">
        <f>IFERROR(__xludf.DUMMYFUNCTION("""COMPUTED_VALUE"""),43363.44824226852)</f>
        <v>43363.44824</v>
      </c>
      <c r="B2150" t="s">
        <v>48</v>
      </c>
    </row>
    <row r="2151" hidden="1">
      <c r="A2151" s="32">
        <f>IFERROR(__xludf.DUMMYFUNCTION("""COMPUTED_VALUE"""),43363.453775462964)</f>
        <v>43363.45378</v>
      </c>
      <c r="B2151" t="s">
        <v>142</v>
      </c>
    </row>
    <row r="2152" hidden="1">
      <c r="A2152" s="32">
        <f>IFERROR(__xludf.DUMMYFUNCTION("""COMPUTED_VALUE"""),43363.470722314814)</f>
        <v>43363.47072</v>
      </c>
      <c r="B2152" t="s">
        <v>187</v>
      </c>
    </row>
    <row r="2153" hidden="1">
      <c r="A2153" s="32">
        <f>IFERROR(__xludf.DUMMYFUNCTION("""COMPUTED_VALUE"""),43363.55413993055)</f>
        <v>43363.55414</v>
      </c>
      <c r="B2153" t="s">
        <v>33</v>
      </c>
    </row>
    <row r="2154" hidden="1">
      <c r="A2154" s="32">
        <f>IFERROR(__xludf.DUMMYFUNCTION("""COMPUTED_VALUE"""),43363.59912136574)</f>
        <v>43363.59912</v>
      </c>
      <c r="B2154" t="s">
        <v>95</v>
      </c>
    </row>
    <row r="2155" hidden="1">
      <c r="A2155" s="32">
        <f>IFERROR(__xludf.DUMMYFUNCTION("""COMPUTED_VALUE"""),43363.625116967596)</f>
        <v>43363.62512</v>
      </c>
      <c r="B2155" t="s">
        <v>2747</v>
      </c>
    </row>
    <row r="2156" hidden="1">
      <c r="A2156" s="32">
        <f>IFERROR(__xludf.DUMMYFUNCTION("""COMPUTED_VALUE"""),43363.64789502315)</f>
        <v>43363.6479</v>
      </c>
      <c r="B2156" t="s">
        <v>2675</v>
      </c>
    </row>
    <row r="2157" hidden="1">
      <c r="A2157" s="32">
        <f>IFERROR(__xludf.DUMMYFUNCTION("""COMPUTED_VALUE"""),43363.71755325231)</f>
        <v>43363.71755</v>
      </c>
      <c r="B2157" t="s">
        <v>1609</v>
      </c>
    </row>
    <row r="2158" hidden="1">
      <c r="A2158" s="32">
        <f>IFERROR(__xludf.DUMMYFUNCTION("""COMPUTED_VALUE"""),43363.89108480324)</f>
        <v>43363.89108</v>
      </c>
      <c r="B2158" t="s">
        <v>40</v>
      </c>
    </row>
    <row r="2159" hidden="1">
      <c r="A2159" s="32">
        <f>IFERROR(__xludf.DUMMYFUNCTION("""COMPUTED_VALUE"""),43363.90875833333)</f>
        <v>43363.90876</v>
      </c>
      <c r="B2159" t="s">
        <v>1625</v>
      </c>
    </row>
    <row r="2160" hidden="1">
      <c r="A2160" s="32">
        <f>IFERROR(__xludf.DUMMYFUNCTION("""COMPUTED_VALUE"""),43363.927303495366)</f>
        <v>43363.9273</v>
      </c>
      <c r="B2160" t="s">
        <v>123</v>
      </c>
    </row>
    <row r="2161" hidden="1">
      <c r="A2161" s="32">
        <f>IFERROR(__xludf.DUMMYFUNCTION("""COMPUTED_VALUE"""),43363.93290997685)</f>
        <v>43363.93291</v>
      </c>
      <c r="B2161" t="s">
        <v>95</v>
      </c>
    </row>
    <row r="2162" hidden="1">
      <c r="A2162" s="32">
        <f>IFERROR(__xludf.DUMMYFUNCTION("""COMPUTED_VALUE"""),43363.945117766205)</f>
        <v>43363.94512</v>
      </c>
      <c r="B2162" t="s">
        <v>95</v>
      </c>
    </row>
    <row r="2163" hidden="1">
      <c r="A2163" s="32">
        <f>IFERROR(__xludf.DUMMYFUNCTION("""COMPUTED_VALUE"""),43363.97272978009)</f>
        <v>43363.97273</v>
      </c>
      <c r="B2163" t="s">
        <v>80</v>
      </c>
    </row>
    <row r="2164" hidden="1">
      <c r="A2164" s="32">
        <f>IFERROR(__xludf.DUMMYFUNCTION("""COMPUTED_VALUE"""),43364.153100787036)</f>
        <v>43364.1531</v>
      </c>
      <c r="B2164" t="s">
        <v>170</v>
      </c>
    </row>
    <row r="2165" hidden="1">
      <c r="A2165" s="32">
        <f>IFERROR(__xludf.DUMMYFUNCTION("""COMPUTED_VALUE"""),43364.25021827546)</f>
        <v>43364.25022</v>
      </c>
      <c r="B2165" t="s">
        <v>124</v>
      </c>
    </row>
    <row r="2166" hidden="1">
      <c r="A2166" s="32">
        <f>IFERROR(__xludf.DUMMYFUNCTION("""COMPUTED_VALUE"""),43364.29193443287)</f>
        <v>43364.29193</v>
      </c>
      <c r="B2166" t="s">
        <v>80</v>
      </c>
    </row>
    <row r="2167" hidden="1">
      <c r="A2167" s="32">
        <f>IFERROR(__xludf.DUMMYFUNCTION("""COMPUTED_VALUE"""),43364.32735385417)</f>
        <v>43364.32735</v>
      </c>
      <c r="B2167" t="s">
        <v>33</v>
      </c>
    </row>
    <row r="2168" hidden="1">
      <c r="A2168" s="32">
        <f>IFERROR(__xludf.DUMMYFUNCTION("""COMPUTED_VALUE"""),43364.33431199074)</f>
        <v>43364.33431</v>
      </c>
      <c r="B2168" t="s">
        <v>142</v>
      </c>
    </row>
    <row r="2169" hidden="1">
      <c r="A2169" s="32">
        <f>IFERROR(__xludf.DUMMYFUNCTION("""COMPUTED_VALUE"""),43364.33431520833)</f>
        <v>43364.33432</v>
      </c>
      <c r="B2169" t="s">
        <v>142</v>
      </c>
    </row>
    <row r="2170" hidden="1">
      <c r="A2170" s="32">
        <f>IFERROR(__xludf.DUMMYFUNCTION("""COMPUTED_VALUE"""),43364.36967267361)</f>
        <v>43364.36967</v>
      </c>
      <c r="B2170" t="s">
        <v>33</v>
      </c>
    </row>
    <row r="2171" hidden="1">
      <c r="A2171" s="32">
        <f>IFERROR(__xludf.DUMMYFUNCTION("""COMPUTED_VALUE"""),43364.387523067126)</f>
        <v>43364.38752</v>
      </c>
      <c r="B2171" t="s">
        <v>33</v>
      </c>
    </row>
    <row r="2172" hidden="1">
      <c r="A2172" s="32">
        <f>IFERROR(__xludf.DUMMYFUNCTION("""COMPUTED_VALUE"""),43364.39113082176)</f>
        <v>43364.39113</v>
      </c>
      <c r="B2172" t="s">
        <v>371</v>
      </c>
    </row>
    <row r="2173" hidden="1">
      <c r="A2173" s="32">
        <f>IFERROR(__xludf.DUMMYFUNCTION("""COMPUTED_VALUE"""),43364.524372280095)</f>
        <v>43364.52437</v>
      </c>
      <c r="B2173" t="s">
        <v>33</v>
      </c>
    </row>
    <row r="2174" hidden="1">
      <c r="A2174" s="32">
        <f>IFERROR(__xludf.DUMMYFUNCTION("""COMPUTED_VALUE"""),43364.53159491898)</f>
        <v>43364.53159</v>
      </c>
      <c r="B2174" t="s">
        <v>371</v>
      </c>
    </row>
    <row r="2175" hidden="1">
      <c r="A2175" s="32">
        <f>IFERROR(__xludf.DUMMYFUNCTION("""COMPUTED_VALUE"""),43364.73696887732)</f>
        <v>43364.73697</v>
      </c>
      <c r="B2175" t="s">
        <v>463</v>
      </c>
    </row>
    <row r="2176" hidden="1">
      <c r="A2176" s="32">
        <f>IFERROR(__xludf.DUMMYFUNCTION("""COMPUTED_VALUE"""),43364.74862741899)</f>
        <v>43364.74863</v>
      </c>
      <c r="B2176" t="s">
        <v>1636</v>
      </c>
    </row>
    <row r="2177" hidden="1">
      <c r="A2177" s="32">
        <f>IFERROR(__xludf.DUMMYFUNCTION("""COMPUTED_VALUE"""),43364.797324618055)</f>
        <v>43364.79732</v>
      </c>
      <c r="B2177" t="s">
        <v>40</v>
      </c>
    </row>
    <row r="2178" hidden="1">
      <c r="A2178" s="32">
        <f>IFERROR(__xludf.DUMMYFUNCTION("""COMPUTED_VALUE"""),43364.80952888889)</f>
        <v>43364.80953</v>
      </c>
      <c r="B2178" t="s">
        <v>33</v>
      </c>
    </row>
    <row r="2179" hidden="1">
      <c r="A2179" s="32">
        <f>IFERROR(__xludf.DUMMYFUNCTION("""COMPUTED_VALUE"""),43364.83277408565)</f>
        <v>43364.83277</v>
      </c>
      <c r="B2179" t="s">
        <v>36</v>
      </c>
    </row>
    <row r="2180" hidden="1">
      <c r="A2180" s="32">
        <f>IFERROR(__xludf.DUMMYFUNCTION("""COMPUTED_VALUE"""),43364.85070967593)</f>
        <v>43364.85071</v>
      </c>
      <c r="B2180" t="s">
        <v>33</v>
      </c>
    </row>
    <row r="2181" hidden="1">
      <c r="A2181" s="32">
        <f>IFERROR(__xludf.DUMMYFUNCTION("""COMPUTED_VALUE"""),43364.85353582176)</f>
        <v>43364.85354</v>
      </c>
      <c r="B2181" t="s">
        <v>33</v>
      </c>
    </row>
    <row r="2182" hidden="1">
      <c r="A2182" s="32">
        <f>IFERROR(__xludf.DUMMYFUNCTION("""COMPUTED_VALUE"""),43364.942730497685)</f>
        <v>43364.94273</v>
      </c>
      <c r="B2182" t="s">
        <v>1502</v>
      </c>
    </row>
    <row r="2183" hidden="1">
      <c r="A2183" s="32">
        <f>IFERROR(__xludf.DUMMYFUNCTION("""COMPUTED_VALUE"""),43364.96464287037)</f>
        <v>43364.96464</v>
      </c>
      <c r="B2183" t="s">
        <v>45</v>
      </c>
    </row>
    <row r="2184" hidden="1">
      <c r="A2184" s="32">
        <f>IFERROR(__xludf.DUMMYFUNCTION("""COMPUTED_VALUE"""),43364.97247622685)</f>
        <v>43364.97248</v>
      </c>
      <c r="B2184" t="s">
        <v>25</v>
      </c>
    </row>
    <row r="2185" hidden="1">
      <c r="A2185" s="32">
        <f>IFERROR(__xludf.DUMMYFUNCTION("""COMPUTED_VALUE"""),43364.97344266204)</f>
        <v>43364.97344</v>
      </c>
      <c r="B2185" t="s">
        <v>25</v>
      </c>
    </row>
    <row r="2186" hidden="1">
      <c r="A2186" s="32">
        <f>IFERROR(__xludf.DUMMYFUNCTION("""COMPUTED_VALUE"""),43365.017990057866)</f>
        <v>43365.01799</v>
      </c>
      <c r="B2186" t="s">
        <v>1642</v>
      </c>
    </row>
    <row r="2187" hidden="1">
      <c r="A2187" s="32">
        <f>IFERROR(__xludf.DUMMYFUNCTION("""COMPUTED_VALUE"""),43365.02486957176)</f>
        <v>43365.02487</v>
      </c>
      <c r="B2187" t="s">
        <v>2658</v>
      </c>
    </row>
    <row r="2188" hidden="1">
      <c r="A2188" s="32">
        <f>IFERROR(__xludf.DUMMYFUNCTION("""COMPUTED_VALUE"""),43365.02679614583)</f>
        <v>43365.0268</v>
      </c>
      <c r="B2188" t="s">
        <v>40</v>
      </c>
    </row>
    <row r="2189" hidden="1">
      <c r="A2189" s="32">
        <f>IFERROR(__xludf.DUMMYFUNCTION("""COMPUTED_VALUE"""),43365.02774394676)</f>
        <v>43365.02774</v>
      </c>
      <c r="B2189" t="s">
        <v>204</v>
      </c>
    </row>
    <row r="2190" hidden="1">
      <c r="A2190" s="32">
        <f>IFERROR(__xludf.DUMMYFUNCTION("""COMPUTED_VALUE"""),43365.04988222222)</f>
        <v>43365.04988</v>
      </c>
      <c r="B2190" t="s">
        <v>33</v>
      </c>
    </row>
    <row r="2191" hidden="1">
      <c r="A2191" s="32">
        <f>IFERROR(__xludf.DUMMYFUNCTION("""COMPUTED_VALUE"""),43365.067228935186)</f>
        <v>43365.06723</v>
      </c>
      <c r="B2191" t="s">
        <v>33</v>
      </c>
    </row>
    <row r="2192" hidden="1">
      <c r="A2192" s="32">
        <f>IFERROR(__xludf.DUMMYFUNCTION("""COMPUTED_VALUE"""),43365.12528037037)</f>
        <v>43365.12528</v>
      </c>
      <c r="B2192" t="s">
        <v>40</v>
      </c>
    </row>
    <row r="2193" hidden="1">
      <c r="A2193" s="32">
        <f>IFERROR(__xludf.DUMMYFUNCTION("""COMPUTED_VALUE"""),43365.20015480324)</f>
        <v>43365.20015</v>
      </c>
      <c r="B2193" t="s">
        <v>2691</v>
      </c>
    </row>
    <row r="2194" hidden="1">
      <c r="A2194" s="32">
        <f>IFERROR(__xludf.DUMMYFUNCTION("""COMPUTED_VALUE"""),43365.20163513889)</f>
        <v>43365.20164</v>
      </c>
      <c r="B2194" t="s">
        <v>819</v>
      </c>
    </row>
    <row r="2195" hidden="1">
      <c r="A2195" s="32">
        <f>IFERROR(__xludf.DUMMYFUNCTION("""COMPUTED_VALUE"""),43365.28330728009)</f>
        <v>43365.28331</v>
      </c>
      <c r="B2195" t="s">
        <v>33</v>
      </c>
    </row>
    <row r="2196" hidden="1">
      <c r="A2196" s="32">
        <f>IFERROR(__xludf.DUMMYFUNCTION("""COMPUTED_VALUE"""),43365.28487334491)</f>
        <v>43365.28487</v>
      </c>
      <c r="B2196" t="s">
        <v>45</v>
      </c>
    </row>
    <row r="2197" hidden="1">
      <c r="A2197" s="32">
        <f>IFERROR(__xludf.DUMMYFUNCTION("""COMPUTED_VALUE"""),43365.32769571759)</f>
        <v>43365.3277</v>
      </c>
      <c r="B2197" t="s">
        <v>36</v>
      </c>
    </row>
    <row r="2198" hidden="1">
      <c r="A2198" s="32">
        <f>IFERROR(__xludf.DUMMYFUNCTION("""COMPUTED_VALUE"""),43365.43284783565)</f>
        <v>43365.43285</v>
      </c>
      <c r="B2198" t="s">
        <v>48</v>
      </c>
    </row>
    <row r="2199" hidden="1">
      <c r="A2199" s="32">
        <f>IFERROR(__xludf.DUMMYFUNCTION("""COMPUTED_VALUE"""),43365.436022395836)</f>
        <v>43365.43602</v>
      </c>
      <c r="B2199" t="s">
        <v>48</v>
      </c>
    </row>
    <row r="2200" hidden="1">
      <c r="A2200" s="32">
        <f>IFERROR(__xludf.DUMMYFUNCTION("""COMPUTED_VALUE"""),43365.44532621528)</f>
        <v>43365.44533</v>
      </c>
      <c r="B2200" t="s">
        <v>80</v>
      </c>
    </row>
    <row r="2201" hidden="1">
      <c r="A2201" s="32">
        <f>IFERROR(__xludf.DUMMYFUNCTION("""COMPUTED_VALUE"""),43365.44535309028)</f>
        <v>43365.44535</v>
      </c>
      <c r="B2201" t="s">
        <v>80</v>
      </c>
    </row>
    <row r="2202" hidden="1">
      <c r="A2202" s="32">
        <f>IFERROR(__xludf.DUMMYFUNCTION("""COMPUTED_VALUE"""),43365.44673402778)</f>
        <v>43365.44673</v>
      </c>
      <c r="B2202" t="s">
        <v>33</v>
      </c>
    </row>
    <row r="2203" hidden="1">
      <c r="A2203" s="32">
        <f>IFERROR(__xludf.DUMMYFUNCTION("""COMPUTED_VALUE"""),43365.512940243054)</f>
        <v>43365.51294</v>
      </c>
      <c r="B2203" t="s">
        <v>40</v>
      </c>
    </row>
    <row r="2204" hidden="1">
      <c r="A2204" s="32">
        <f>IFERROR(__xludf.DUMMYFUNCTION("""COMPUTED_VALUE"""),43365.51686667824)</f>
        <v>43365.51687</v>
      </c>
      <c r="B2204" t="s">
        <v>1655</v>
      </c>
    </row>
    <row r="2205" hidden="1">
      <c r="A2205" s="32">
        <f>IFERROR(__xludf.DUMMYFUNCTION("""COMPUTED_VALUE"""),43365.64269283565)</f>
        <v>43365.64269</v>
      </c>
      <c r="B2205" t="s">
        <v>80</v>
      </c>
    </row>
    <row r="2206" hidden="1">
      <c r="A2206" s="32">
        <f>IFERROR(__xludf.DUMMYFUNCTION("""COMPUTED_VALUE"""),43365.68308501157)</f>
        <v>43365.68309</v>
      </c>
      <c r="B2206" t="s">
        <v>371</v>
      </c>
    </row>
    <row r="2207" hidden="1">
      <c r="A2207" s="32">
        <f>IFERROR(__xludf.DUMMYFUNCTION("""COMPUTED_VALUE"""),43365.69308660879)</f>
        <v>43365.69309</v>
      </c>
      <c r="B2207" t="s">
        <v>1657</v>
      </c>
    </row>
    <row r="2208" hidden="1">
      <c r="A2208" s="32">
        <f>IFERROR(__xludf.DUMMYFUNCTION("""COMPUTED_VALUE"""),43365.84244680556)</f>
        <v>43365.84245</v>
      </c>
      <c r="B2208" t="s">
        <v>1658</v>
      </c>
    </row>
    <row r="2209" hidden="1">
      <c r="A2209" s="32">
        <f>IFERROR(__xludf.DUMMYFUNCTION("""COMPUTED_VALUE"""),43365.84709163195)</f>
        <v>43365.84709</v>
      </c>
      <c r="B2209" t="s">
        <v>48</v>
      </c>
    </row>
    <row r="2210" hidden="1">
      <c r="A2210" s="32">
        <f>IFERROR(__xludf.DUMMYFUNCTION("""COMPUTED_VALUE"""),43365.91444045139)</f>
        <v>43365.91444</v>
      </c>
      <c r="B2210" t="s">
        <v>80</v>
      </c>
    </row>
    <row r="2211" hidden="1">
      <c r="A2211" s="32">
        <f>IFERROR(__xludf.DUMMYFUNCTION("""COMPUTED_VALUE"""),43365.915809004626)</f>
        <v>43365.91581</v>
      </c>
      <c r="B2211" t="s">
        <v>33</v>
      </c>
    </row>
    <row r="2212" hidden="1">
      <c r="A2212" s="32">
        <f>IFERROR(__xludf.DUMMYFUNCTION("""COMPUTED_VALUE"""),43365.95390079861)</f>
        <v>43365.9539</v>
      </c>
      <c r="B2212" t="s">
        <v>80</v>
      </c>
    </row>
    <row r="2213" hidden="1">
      <c r="A2213" s="32">
        <f>IFERROR(__xludf.DUMMYFUNCTION("""COMPUTED_VALUE"""),43365.99243778935)</f>
        <v>43365.99244</v>
      </c>
      <c r="B2213" t="s">
        <v>33</v>
      </c>
    </row>
    <row r="2214" hidden="1">
      <c r="A2214" s="32">
        <f>IFERROR(__xludf.DUMMYFUNCTION("""COMPUTED_VALUE"""),43365.996935462965)</f>
        <v>43365.99694</v>
      </c>
      <c r="B2214" t="s">
        <v>40</v>
      </c>
    </row>
    <row r="2215" hidden="1">
      <c r="A2215" s="32">
        <f>IFERROR(__xludf.DUMMYFUNCTION("""COMPUTED_VALUE"""),43366.03139920138)</f>
        <v>43366.0314</v>
      </c>
      <c r="B2215" t="s">
        <v>40</v>
      </c>
    </row>
    <row r="2216" hidden="1">
      <c r="A2216" s="32">
        <f>IFERROR(__xludf.DUMMYFUNCTION("""COMPUTED_VALUE"""),43366.0420519676)</f>
        <v>43366.04205</v>
      </c>
      <c r="B2216" t="s">
        <v>45</v>
      </c>
    </row>
    <row r="2217" hidden="1">
      <c r="A2217" s="32">
        <f>IFERROR(__xludf.DUMMYFUNCTION("""COMPUTED_VALUE"""),43366.16231572916)</f>
        <v>43366.16232</v>
      </c>
      <c r="B2217" t="s">
        <v>33</v>
      </c>
    </row>
    <row r="2218" hidden="1">
      <c r="A2218" s="32">
        <f>IFERROR(__xludf.DUMMYFUNCTION("""COMPUTED_VALUE"""),43366.18708059027)</f>
        <v>43366.18708</v>
      </c>
      <c r="B2218" t="s">
        <v>40</v>
      </c>
    </row>
    <row r="2219" hidden="1">
      <c r="A2219" s="32">
        <f>IFERROR(__xludf.DUMMYFUNCTION("""COMPUTED_VALUE"""),43366.347026944444)</f>
        <v>43366.34703</v>
      </c>
      <c r="B2219" t="s">
        <v>33</v>
      </c>
    </row>
    <row r="2220" hidden="1">
      <c r="A2220" s="32">
        <f>IFERROR(__xludf.DUMMYFUNCTION("""COMPUTED_VALUE"""),43366.355467650465)</f>
        <v>43366.35547</v>
      </c>
      <c r="B2220" t="s">
        <v>40</v>
      </c>
    </row>
    <row r="2221" hidden="1">
      <c r="A2221" s="32">
        <f>IFERROR(__xludf.DUMMYFUNCTION("""COMPUTED_VALUE"""),43366.44723979167)</f>
        <v>43366.44724</v>
      </c>
      <c r="B2221" t="s">
        <v>45</v>
      </c>
    </row>
    <row r="2222" hidden="1">
      <c r="A2222" s="32">
        <f>IFERROR(__xludf.DUMMYFUNCTION("""COMPUTED_VALUE"""),43366.507516990736)</f>
        <v>43366.50752</v>
      </c>
      <c r="B2222" t="s">
        <v>77</v>
      </c>
    </row>
    <row r="2223" hidden="1">
      <c r="A2223" s="32">
        <f>IFERROR(__xludf.DUMMYFUNCTION("""COMPUTED_VALUE"""),43366.51754328704)</f>
        <v>43366.51754</v>
      </c>
      <c r="B2223" t="s">
        <v>40</v>
      </c>
    </row>
    <row r="2224" hidden="1">
      <c r="A2224" s="32">
        <f>IFERROR(__xludf.DUMMYFUNCTION("""COMPUTED_VALUE"""),43366.560048541665)</f>
        <v>43366.56005</v>
      </c>
      <c r="B2224" t="s">
        <v>658</v>
      </c>
    </row>
    <row r="2225" hidden="1">
      <c r="A2225" s="32">
        <f>IFERROR(__xludf.DUMMYFUNCTION("""COMPUTED_VALUE"""),43366.59429170139)</f>
        <v>43366.59429</v>
      </c>
      <c r="B2225" t="s">
        <v>40</v>
      </c>
    </row>
    <row r="2226" hidden="1">
      <c r="A2226" s="32">
        <f>IFERROR(__xludf.DUMMYFUNCTION("""COMPUTED_VALUE"""),43366.641473020834)</f>
        <v>43366.64147</v>
      </c>
      <c r="B2226" t="s">
        <v>80</v>
      </c>
    </row>
    <row r="2227" hidden="1">
      <c r="A2227" s="32">
        <f>IFERROR(__xludf.DUMMYFUNCTION("""COMPUTED_VALUE"""),43366.65254751158)</f>
        <v>43366.65255</v>
      </c>
      <c r="B2227" t="s">
        <v>665</v>
      </c>
    </row>
    <row r="2228" hidden="1">
      <c r="A2228" s="32">
        <f>IFERROR(__xludf.DUMMYFUNCTION("""COMPUTED_VALUE"""),43366.65390553241)</f>
        <v>43366.65391</v>
      </c>
      <c r="B2228" t="s">
        <v>80</v>
      </c>
    </row>
    <row r="2229" hidden="1">
      <c r="A2229" s="32">
        <f>IFERROR(__xludf.DUMMYFUNCTION("""COMPUTED_VALUE"""),43366.661954525465)</f>
        <v>43366.66195</v>
      </c>
      <c r="B2229" t="s">
        <v>174</v>
      </c>
    </row>
    <row r="2230" hidden="1">
      <c r="A2230" s="32">
        <f>IFERROR(__xludf.DUMMYFUNCTION("""COMPUTED_VALUE"""),43366.78528211806)</f>
        <v>43366.78528</v>
      </c>
      <c r="B2230" t="s">
        <v>2424</v>
      </c>
    </row>
    <row r="2231" hidden="1">
      <c r="A2231" s="32">
        <f>IFERROR(__xludf.DUMMYFUNCTION("""COMPUTED_VALUE"""),43366.87548275463)</f>
        <v>43366.87548</v>
      </c>
      <c r="B2231" t="s">
        <v>40</v>
      </c>
    </row>
    <row r="2232" hidden="1">
      <c r="A2232" s="32">
        <f>IFERROR(__xludf.DUMMYFUNCTION("""COMPUTED_VALUE"""),43366.876773958335)</f>
        <v>43366.87677</v>
      </c>
      <c r="B2232" t="s">
        <v>40</v>
      </c>
    </row>
    <row r="2233" hidden="1">
      <c r="A2233" s="32">
        <f>IFERROR(__xludf.DUMMYFUNCTION("""COMPUTED_VALUE"""),43366.880075787034)</f>
        <v>43366.88008</v>
      </c>
      <c r="B2233" t="s">
        <v>2687</v>
      </c>
    </row>
    <row r="2234" hidden="1">
      <c r="A2234" s="32">
        <f>IFERROR(__xludf.DUMMYFUNCTION("""COMPUTED_VALUE"""),43366.91012295139)</f>
        <v>43366.91012</v>
      </c>
      <c r="B2234" t="s">
        <v>80</v>
      </c>
    </row>
    <row r="2235" hidden="1">
      <c r="A2235" s="32">
        <f>IFERROR(__xludf.DUMMYFUNCTION("""COMPUTED_VALUE"""),43366.94587954861)</f>
        <v>43366.94588</v>
      </c>
      <c r="B2235" t="s">
        <v>33</v>
      </c>
    </row>
    <row r="2236" hidden="1">
      <c r="A2236" s="32">
        <f>IFERROR(__xludf.DUMMYFUNCTION("""COMPUTED_VALUE"""),43366.97926425926)</f>
        <v>43366.97926</v>
      </c>
      <c r="B2236" t="s">
        <v>25</v>
      </c>
    </row>
    <row r="2237" hidden="1">
      <c r="A2237" s="32">
        <f>IFERROR(__xludf.DUMMYFUNCTION("""COMPUTED_VALUE"""),43367.461575243055)</f>
        <v>43367.46158</v>
      </c>
      <c r="B2237" t="s">
        <v>48</v>
      </c>
    </row>
    <row r="2238" hidden="1">
      <c r="A2238" s="32">
        <f>IFERROR(__xludf.DUMMYFUNCTION("""COMPUTED_VALUE"""),43367.48668179398)</f>
        <v>43367.48668</v>
      </c>
      <c r="B2238" t="s">
        <v>48</v>
      </c>
    </row>
    <row r="2239" hidden="1">
      <c r="A2239" s="32">
        <f>IFERROR(__xludf.DUMMYFUNCTION("""COMPUTED_VALUE"""),43367.52951310185)</f>
        <v>43367.52951</v>
      </c>
      <c r="B2239" t="s">
        <v>33</v>
      </c>
    </row>
    <row r="2240" hidden="1">
      <c r="A2240" s="32">
        <f>IFERROR(__xludf.DUMMYFUNCTION("""COMPUTED_VALUE"""),43367.59946138889)</f>
        <v>43367.59946</v>
      </c>
      <c r="B2240" t="s">
        <v>139</v>
      </c>
    </row>
    <row r="2241" hidden="1">
      <c r="A2241" s="32">
        <f>IFERROR(__xludf.DUMMYFUNCTION("""COMPUTED_VALUE"""),43367.6494925463)</f>
        <v>43367.64949</v>
      </c>
      <c r="B2241" t="s">
        <v>1677</v>
      </c>
    </row>
    <row r="2242" hidden="1">
      <c r="A2242" s="32">
        <f>IFERROR(__xludf.DUMMYFUNCTION("""COMPUTED_VALUE"""),43367.6604497338)</f>
        <v>43367.66045</v>
      </c>
      <c r="B2242" t="s">
        <v>33</v>
      </c>
    </row>
    <row r="2243" hidden="1">
      <c r="A2243" s="32">
        <f>IFERROR(__xludf.DUMMYFUNCTION("""COMPUTED_VALUE"""),43367.667187847226)</f>
        <v>43367.66719</v>
      </c>
      <c r="B2243" t="s">
        <v>523</v>
      </c>
    </row>
    <row r="2244" hidden="1">
      <c r="A2244" s="32">
        <f>IFERROR(__xludf.DUMMYFUNCTION("""COMPUTED_VALUE"""),43367.75373165509)</f>
        <v>43367.75373</v>
      </c>
      <c r="B2244" t="s">
        <v>2687</v>
      </c>
    </row>
    <row r="2245" hidden="1">
      <c r="A2245" s="32">
        <f>IFERROR(__xludf.DUMMYFUNCTION("""COMPUTED_VALUE"""),43367.761735162036)</f>
        <v>43367.76174</v>
      </c>
      <c r="B2245" t="s">
        <v>33</v>
      </c>
    </row>
    <row r="2246" hidden="1">
      <c r="A2246" s="32">
        <f>IFERROR(__xludf.DUMMYFUNCTION("""COMPUTED_VALUE"""),43367.82828008102)</f>
        <v>43367.82828</v>
      </c>
      <c r="B2246" t="s">
        <v>48</v>
      </c>
    </row>
    <row r="2247" hidden="1">
      <c r="A2247" s="32">
        <f>IFERROR(__xludf.DUMMYFUNCTION("""COMPUTED_VALUE"""),43367.843225335644)</f>
        <v>43367.84323</v>
      </c>
      <c r="B2247" t="s">
        <v>33</v>
      </c>
    </row>
    <row r="2248" hidden="1">
      <c r="A2248" s="32">
        <f>IFERROR(__xludf.DUMMYFUNCTION("""COMPUTED_VALUE"""),43367.852229421296)</f>
        <v>43367.85223</v>
      </c>
      <c r="B2248" t="s">
        <v>33</v>
      </c>
    </row>
    <row r="2249" hidden="1">
      <c r="A2249" s="32">
        <f>IFERROR(__xludf.DUMMYFUNCTION("""COMPUTED_VALUE"""),43367.886832777775)</f>
        <v>43367.88683</v>
      </c>
      <c r="B2249" t="s">
        <v>371</v>
      </c>
    </row>
    <row r="2250" hidden="1">
      <c r="A2250" s="32">
        <f>IFERROR(__xludf.DUMMYFUNCTION("""COMPUTED_VALUE"""),43367.94556025463)</f>
        <v>43367.94556</v>
      </c>
      <c r="B2250" t="s">
        <v>268</v>
      </c>
    </row>
    <row r="2251" hidden="1">
      <c r="A2251" s="32">
        <f>IFERROR(__xludf.DUMMYFUNCTION("""COMPUTED_VALUE"""),43368.13876271991)</f>
        <v>43368.13876</v>
      </c>
      <c r="B2251" t="s">
        <v>45</v>
      </c>
    </row>
    <row r="2252" hidden="1">
      <c r="A2252" s="32">
        <f>IFERROR(__xludf.DUMMYFUNCTION("""COMPUTED_VALUE"""),43368.27908256944)</f>
        <v>43368.27908</v>
      </c>
      <c r="B2252" t="s">
        <v>548</v>
      </c>
    </row>
    <row r="2253" hidden="1">
      <c r="A2253" s="32">
        <f>IFERROR(__xludf.DUMMYFUNCTION("""COMPUTED_VALUE"""),43368.333863645836)</f>
        <v>43368.33386</v>
      </c>
      <c r="B2253" t="s">
        <v>873</v>
      </c>
    </row>
    <row r="2254" hidden="1">
      <c r="A2254" s="32">
        <f>IFERROR(__xludf.DUMMYFUNCTION("""COMPUTED_VALUE"""),43368.36933130787)</f>
        <v>43368.36933</v>
      </c>
      <c r="B2254" t="s">
        <v>2424</v>
      </c>
    </row>
    <row r="2255" hidden="1">
      <c r="A2255" s="32">
        <f>IFERROR(__xludf.DUMMYFUNCTION("""COMPUTED_VALUE"""),43368.383513078705)</f>
        <v>43368.38351</v>
      </c>
      <c r="B2255" t="s">
        <v>2748</v>
      </c>
    </row>
    <row r="2256" hidden="1">
      <c r="A2256" s="32">
        <f>IFERROR(__xludf.DUMMYFUNCTION("""COMPUTED_VALUE"""),43368.38379071759)</f>
        <v>43368.38379</v>
      </c>
      <c r="B2256" t="s">
        <v>48</v>
      </c>
    </row>
    <row r="2257" hidden="1">
      <c r="A2257" s="32">
        <f>IFERROR(__xludf.DUMMYFUNCTION("""COMPUTED_VALUE"""),43368.38756930556)</f>
        <v>43368.38757</v>
      </c>
      <c r="B2257" t="s">
        <v>523</v>
      </c>
    </row>
    <row r="2258" hidden="1">
      <c r="A2258" s="32">
        <f>IFERROR(__xludf.DUMMYFUNCTION("""COMPUTED_VALUE"""),43368.40024761574)</f>
        <v>43368.40025</v>
      </c>
      <c r="B2258" t="s">
        <v>1686</v>
      </c>
    </row>
    <row r="2259" hidden="1">
      <c r="A2259" s="32">
        <f>IFERROR(__xludf.DUMMYFUNCTION("""COMPUTED_VALUE"""),43368.45176108796)</f>
        <v>43368.45176</v>
      </c>
      <c r="B2259" t="s">
        <v>48</v>
      </c>
    </row>
    <row r="2260" hidden="1">
      <c r="A2260" s="32">
        <f>IFERROR(__xludf.DUMMYFUNCTION("""COMPUTED_VALUE"""),43368.52476796297)</f>
        <v>43368.52477</v>
      </c>
      <c r="B2260" t="s">
        <v>1691</v>
      </c>
    </row>
    <row r="2261" hidden="1">
      <c r="A2261" s="32">
        <f>IFERROR(__xludf.DUMMYFUNCTION("""COMPUTED_VALUE"""),43368.60519307871)</f>
        <v>43368.60519</v>
      </c>
      <c r="B2261" t="s">
        <v>783</v>
      </c>
    </row>
    <row r="2262" hidden="1">
      <c r="A2262" s="32">
        <f>IFERROR(__xludf.DUMMYFUNCTION("""COMPUTED_VALUE"""),43368.664365543984)</f>
        <v>43368.66437</v>
      </c>
      <c r="B2262" t="s">
        <v>33</v>
      </c>
    </row>
    <row r="2263" hidden="1">
      <c r="A2263" s="32">
        <f>IFERROR(__xludf.DUMMYFUNCTION("""COMPUTED_VALUE"""),43368.69357444445)</f>
        <v>43368.69357</v>
      </c>
      <c r="B2263" t="s">
        <v>187</v>
      </c>
    </row>
    <row r="2264" hidden="1">
      <c r="A2264" s="32">
        <f>IFERROR(__xludf.DUMMYFUNCTION("""COMPUTED_VALUE"""),43368.75489231481)</f>
        <v>43368.75489</v>
      </c>
      <c r="B2264" t="s">
        <v>33</v>
      </c>
    </row>
    <row r="2265" hidden="1">
      <c r="A2265" s="32">
        <f>IFERROR(__xludf.DUMMYFUNCTION("""COMPUTED_VALUE"""),43368.76339773148)</f>
        <v>43368.7634</v>
      </c>
      <c r="B2265" t="s">
        <v>170</v>
      </c>
    </row>
    <row r="2266" hidden="1">
      <c r="A2266" s="32">
        <f>IFERROR(__xludf.DUMMYFUNCTION("""COMPUTED_VALUE"""),43368.85935532408)</f>
        <v>43368.85936</v>
      </c>
      <c r="B2266" t="s">
        <v>139</v>
      </c>
    </row>
    <row r="2267" hidden="1">
      <c r="A2267" s="32">
        <f>IFERROR(__xludf.DUMMYFUNCTION("""COMPUTED_VALUE"""),43368.89213596065)</f>
        <v>43368.89214</v>
      </c>
      <c r="B2267" t="s">
        <v>123</v>
      </c>
    </row>
    <row r="2268" hidden="1">
      <c r="A2268" s="32">
        <f>IFERROR(__xludf.DUMMYFUNCTION("""COMPUTED_VALUE"""),43368.91743083333)</f>
        <v>43368.91743</v>
      </c>
      <c r="B2268" t="s">
        <v>80</v>
      </c>
    </row>
    <row r="2269" hidden="1">
      <c r="A2269" s="32">
        <f>IFERROR(__xludf.DUMMYFUNCTION("""COMPUTED_VALUE"""),43368.93292253472)</f>
        <v>43368.93292</v>
      </c>
      <c r="B2269" t="s">
        <v>45</v>
      </c>
    </row>
    <row r="2270">
      <c r="A2270" s="32">
        <f>IFERROR(__xludf.DUMMYFUNCTION("""COMPUTED_VALUE"""),43369.03625226852)</f>
        <v>43369.03625</v>
      </c>
      <c r="B2270" t="s">
        <v>80</v>
      </c>
    </row>
    <row r="2271">
      <c r="A2271" s="32">
        <f>IFERROR(__xludf.DUMMYFUNCTION("""COMPUTED_VALUE"""),43369.05085402778)</f>
        <v>43369.05085</v>
      </c>
      <c r="B2271" t="s">
        <v>40</v>
      </c>
    </row>
    <row r="2272">
      <c r="A2272" s="32">
        <f>IFERROR(__xludf.DUMMYFUNCTION("""COMPUTED_VALUE"""),43369.18233214121)</f>
        <v>43369.18233</v>
      </c>
      <c r="B2272" t="s">
        <v>1695</v>
      </c>
    </row>
    <row r="2273">
      <c r="A2273" s="32">
        <f>IFERROR(__xludf.DUMMYFUNCTION("""COMPUTED_VALUE"""),43369.242042812504)</f>
        <v>43369.24204</v>
      </c>
      <c r="B2273" t="s">
        <v>944</v>
      </c>
    </row>
    <row r="2274">
      <c r="A2274" s="32">
        <f>IFERROR(__xludf.DUMMYFUNCTION("""COMPUTED_VALUE"""),43369.25162047453)</f>
        <v>43369.25162</v>
      </c>
      <c r="B2274" t="s">
        <v>665</v>
      </c>
    </row>
    <row r="2275">
      <c r="A2275" s="32">
        <f>IFERROR(__xludf.DUMMYFUNCTION("""COMPUTED_VALUE"""),43369.25549173611)</f>
        <v>43369.25549</v>
      </c>
      <c r="B2275" t="s">
        <v>33</v>
      </c>
    </row>
    <row r="2276">
      <c r="A2276" s="32">
        <f>IFERROR(__xludf.DUMMYFUNCTION("""COMPUTED_VALUE"""),43369.3035583912)</f>
        <v>43369.30356</v>
      </c>
      <c r="B2276" t="s">
        <v>268</v>
      </c>
    </row>
    <row r="2277">
      <c r="A2277" s="32">
        <f>IFERROR(__xludf.DUMMYFUNCTION("""COMPUTED_VALUE"""),43369.31811248843)</f>
        <v>43369.31811</v>
      </c>
      <c r="B2277" t="s">
        <v>1677</v>
      </c>
    </row>
    <row r="2278">
      <c r="A2278" s="32">
        <f>IFERROR(__xludf.DUMMYFUNCTION("""COMPUTED_VALUE"""),43369.33207366898)</f>
        <v>43369.33207</v>
      </c>
      <c r="B2278" t="s">
        <v>1698</v>
      </c>
    </row>
    <row r="2279">
      <c r="A2279" s="32">
        <f>IFERROR(__xludf.DUMMYFUNCTION("""COMPUTED_VALUE"""),43369.39871150463)</f>
        <v>43369.39871</v>
      </c>
      <c r="B2279" t="s">
        <v>33</v>
      </c>
    </row>
    <row r="2280">
      <c r="A2280" s="32">
        <f>IFERROR(__xludf.DUMMYFUNCTION("""COMPUTED_VALUE"""),43369.42107581018)</f>
        <v>43369.42108</v>
      </c>
      <c r="B2280" t="s">
        <v>2749</v>
      </c>
    </row>
    <row r="2281">
      <c r="A2281" s="32">
        <f>IFERROR(__xludf.DUMMYFUNCTION("""COMPUTED_VALUE"""),43369.424688796295)</f>
        <v>43369.42469</v>
      </c>
      <c r="B2281" t="s">
        <v>2693</v>
      </c>
    </row>
    <row r="2282">
      <c r="A2282" s="32">
        <f>IFERROR(__xludf.DUMMYFUNCTION("""COMPUTED_VALUE"""),43369.42486944444)</f>
        <v>43369.42487</v>
      </c>
      <c r="B2282" t="s">
        <v>2658</v>
      </c>
    </row>
    <row r="2283">
      <c r="A2283" s="32">
        <f>IFERROR(__xludf.DUMMYFUNCTION("""COMPUTED_VALUE"""),43369.47879804399)</f>
        <v>43369.4788</v>
      </c>
      <c r="B2283" t="s">
        <v>371</v>
      </c>
    </row>
    <row r="2284">
      <c r="A2284" s="32">
        <f>IFERROR(__xludf.DUMMYFUNCTION("""COMPUTED_VALUE"""),43369.47951881944)</f>
        <v>43369.47952</v>
      </c>
      <c r="B2284" t="s">
        <v>371</v>
      </c>
    </row>
    <row r="2285">
      <c r="A2285" s="32">
        <f>IFERROR(__xludf.DUMMYFUNCTION("""COMPUTED_VALUE"""),43369.49702458333)</f>
        <v>43369.49702</v>
      </c>
      <c r="B2285" t="s">
        <v>371</v>
      </c>
    </row>
    <row r="2286">
      <c r="A2286" s="32">
        <f>IFERROR(__xludf.DUMMYFUNCTION("""COMPUTED_VALUE"""),43369.50688184028)</f>
        <v>43369.50688</v>
      </c>
      <c r="B2286" t="s">
        <v>343</v>
      </c>
    </row>
    <row r="2287">
      <c r="A2287" s="32">
        <f>IFERROR(__xludf.DUMMYFUNCTION("""COMPUTED_VALUE"""),43369.50733289352)</f>
        <v>43369.50733</v>
      </c>
      <c r="B2287" t="s">
        <v>343</v>
      </c>
    </row>
    <row r="2288">
      <c r="A2288" s="32">
        <f>IFERROR(__xludf.DUMMYFUNCTION("""COMPUTED_VALUE"""),43369.50777930555)</f>
        <v>43369.50778</v>
      </c>
      <c r="B2288" t="s">
        <v>343</v>
      </c>
    </row>
    <row r="2289">
      <c r="A2289" s="32">
        <f>IFERROR(__xludf.DUMMYFUNCTION("""COMPUTED_VALUE"""),43369.50800503472)</f>
        <v>43369.50801</v>
      </c>
      <c r="B2289" t="s">
        <v>343</v>
      </c>
    </row>
    <row r="2290">
      <c r="A2290" s="32">
        <f>IFERROR(__xludf.DUMMYFUNCTION("""COMPUTED_VALUE"""),43369.51969136574)</f>
        <v>43369.51969</v>
      </c>
      <c r="B2290" t="s">
        <v>506</v>
      </c>
    </row>
    <row r="2291">
      <c r="A2291" s="32">
        <f>IFERROR(__xludf.DUMMYFUNCTION("""COMPUTED_VALUE"""),43369.53949966435)</f>
        <v>43369.5395</v>
      </c>
      <c r="B2291" t="s">
        <v>371</v>
      </c>
    </row>
    <row r="2292">
      <c r="A2292" s="32">
        <f>IFERROR(__xludf.DUMMYFUNCTION("""COMPUTED_VALUE"""),43369.54184690972)</f>
        <v>43369.54185</v>
      </c>
      <c r="B2292" t="s">
        <v>2424</v>
      </c>
    </row>
    <row r="2293">
      <c r="A2293" s="32">
        <f>IFERROR(__xludf.DUMMYFUNCTION("""COMPUTED_VALUE"""),43369.542077129634)</f>
        <v>43369.54208</v>
      </c>
      <c r="B2293" t="s">
        <v>80</v>
      </c>
    </row>
    <row r="2294">
      <c r="A2294" s="32">
        <f>IFERROR(__xludf.DUMMYFUNCTION("""COMPUTED_VALUE"""),43369.57655309028)</f>
        <v>43369.57655</v>
      </c>
      <c r="B2294" t="s">
        <v>2750</v>
      </c>
    </row>
    <row r="2295">
      <c r="A2295" s="32">
        <f>IFERROR(__xludf.DUMMYFUNCTION("""COMPUTED_VALUE"""),43369.59848954861)</f>
        <v>43369.59849</v>
      </c>
      <c r="B2295" t="s">
        <v>1709</v>
      </c>
    </row>
    <row r="2296">
      <c r="A2296" s="32">
        <f>IFERROR(__xludf.DUMMYFUNCTION("""COMPUTED_VALUE"""),43369.62303445602)</f>
        <v>43369.62303</v>
      </c>
      <c r="B2296" t="s">
        <v>33</v>
      </c>
    </row>
    <row r="2297">
      <c r="A2297" s="32">
        <f>IFERROR(__xludf.DUMMYFUNCTION("""COMPUTED_VALUE"""),43369.655493495375)</f>
        <v>43369.65549</v>
      </c>
      <c r="B2297" t="s">
        <v>256</v>
      </c>
    </row>
    <row r="2298">
      <c r="A2298" s="32">
        <f>IFERROR(__xludf.DUMMYFUNCTION("""COMPUTED_VALUE"""),43369.76173913194)</f>
        <v>43369.76174</v>
      </c>
      <c r="B2298" t="s">
        <v>80</v>
      </c>
    </row>
    <row r="2299">
      <c r="A2299" s="32">
        <f>IFERROR(__xludf.DUMMYFUNCTION("""COMPUTED_VALUE"""),43369.77121641204)</f>
        <v>43369.77122</v>
      </c>
      <c r="B2299" t="s">
        <v>2424</v>
      </c>
    </row>
    <row r="2300">
      <c r="A2300" s="32">
        <f>IFERROR(__xludf.DUMMYFUNCTION("""COMPUTED_VALUE"""),43369.80585729166)</f>
        <v>43369.80586</v>
      </c>
      <c r="B2300" t="s">
        <v>33</v>
      </c>
    </row>
    <row r="2301">
      <c r="A2301" s="32">
        <f>IFERROR(__xludf.DUMMYFUNCTION("""COMPUTED_VALUE"""),43369.806311747685)</f>
        <v>43369.80631</v>
      </c>
      <c r="B2301" t="s">
        <v>40</v>
      </c>
    </row>
    <row r="2302">
      <c r="A2302" s="32">
        <f>IFERROR(__xludf.DUMMYFUNCTION("""COMPUTED_VALUE"""),43369.807581064815)</f>
        <v>43369.80758</v>
      </c>
      <c r="B2302" t="s">
        <v>2751</v>
      </c>
    </row>
    <row r="2303">
      <c r="A2303" s="32">
        <f>IFERROR(__xludf.DUMMYFUNCTION("""COMPUTED_VALUE"""),43369.8083561574)</f>
        <v>43369.80836</v>
      </c>
      <c r="B2303" t="s">
        <v>33</v>
      </c>
    </row>
    <row r="2304">
      <c r="A2304" s="32">
        <f>IFERROR(__xludf.DUMMYFUNCTION("""COMPUTED_VALUE"""),43369.83590818287)</f>
        <v>43369.83591</v>
      </c>
      <c r="B2304" t="s">
        <v>270</v>
      </c>
    </row>
    <row r="2305">
      <c r="A2305" s="32">
        <f>IFERROR(__xludf.DUMMYFUNCTION("""COMPUTED_VALUE"""),43369.83682420139)</f>
        <v>43369.83682</v>
      </c>
      <c r="B2305" t="s">
        <v>33</v>
      </c>
    </row>
    <row r="2306">
      <c r="A2306" s="32">
        <f>IFERROR(__xludf.DUMMYFUNCTION("""COMPUTED_VALUE"""),43369.83914939815)</f>
        <v>43369.83915</v>
      </c>
      <c r="B2306" t="s">
        <v>33</v>
      </c>
    </row>
    <row r="2307">
      <c r="A2307" s="32">
        <f>IFERROR(__xludf.DUMMYFUNCTION("""COMPUTED_VALUE"""),43369.84587747685)</f>
        <v>43369.84588</v>
      </c>
      <c r="B2307" t="s">
        <v>36</v>
      </c>
    </row>
    <row r="2308">
      <c r="A2308" s="32">
        <f>IFERROR(__xludf.DUMMYFUNCTION("""COMPUTED_VALUE"""),43369.86614005787)</f>
        <v>43369.86614</v>
      </c>
      <c r="B2308" t="s">
        <v>40</v>
      </c>
    </row>
    <row r="2309">
      <c r="A2309" s="32">
        <f>IFERROR(__xludf.DUMMYFUNCTION("""COMPUTED_VALUE"""),43369.89967456018)</f>
        <v>43369.89967</v>
      </c>
      <c r="B2309" t="s">
        <v>95</v>
      </c>
    </row>
    <row r="2310">
      <c r="A2310" s="32">
        <f>IFERROR(__xludf.DUMMYFUNCTION("""COMPUTED_VALUE"""),43369.926715740745)</f>
        <v>43369.92672</v>
      </c>
      <c r="B2310" t="s">
        <v>80</v>
      </c>
    </row>
    <row r="2311">
      <c r="A2311" s="32">
        <f>IFERROR(__xludf.DUMMYFUNCTION("""COMPUTED_VALUE"""),43369.92749770833)</f>
        <v>43369.9275</v>
      </c>
      <c r="B2311" t="s">
        <v>80</v>
      </c>
    </row>
    <row r="2312">
      <c r="A2312" s="32">
        <f>IFERROR(__xludf.DUMMYFUNCTION("""COMPUTED_VALUE"""),43369.963224374995)</f>
        <v>43369.96322</v>
      </c>
      <c r="B2312" t="s">
        <v>170</v>
      </c>
    </row>
    <row r="2313">
      <c r="A2313" s="32">
        <f>IFERROR(__xludf.DUMMYFUNCTION("""COMPUTED_VALUE"""),43369.96343263889)</f>
        <v>43369.96343</v>
      </c>
      <c r="B2313" t="s">
        <v>123</v>
      </c>
    </row>
    <row r="2314">
      <c r="A2314" s="32">
        <f>IFERROR(__xludf.DUMMYFUNCTION("""COMPUTED_VALUE"""),43369.98528810185)</f>
        <v>43369.98529</v>
      </c>
      <c r="B2314" t="s">
        <v>40</v>
      </c>
    </row>
    <row r="2315">
      <c r="A2315" s="32">
        <f>IFERROR(__xludf.DUMMYFUNCTION("""COMPUTED_VALUE"""),43370.0100349537)</f>
        <v>43370.01003</v>
      </c>
      <c r="B2315" t="s">
        <v>40</v>
      </c>
    </row>
    <row r="2316">
      <c r="A2316" s="32">
        <f>IFERROR(__xludf.DUMMYFUNCTION("""COMPUTED_VALUE"""),43370.01136966435)</f>
        <v>43370.01137</v>
      </c>
      <c r="B2316" t="s">
        <v>45</v>
      </c>
    </row>
    <row r="2317">
      <c r="A2317" s="32">
        <f>IFERROR(__xludf.DUMMYFUNCTION("""COMPUTED_VALUE"""),43370.10095384259)</f>
        <v>43370.10095</v>
      </c>
      <c r="B2317" t="s">
        <v>45</v>
      </c>
    </row>
    <row r="2318">
      <c r="A2318" s="32">
        <f>IFERROR(__xludf.DUMMYFUNCTION("""COMPUTED_VALUE"""),43370.1073693287)</f>
        <v>43370.10737</v>
      </c>
      <c r="B2318" t="s">
        <v>33</v>
      </c>
    </row>
    <row r="2319">
      <c r="A2319" s="32">
        <f>IFERROR(__xludf.DUMMYFUNCTION("""COMPUTED_VALUE"""),43370.11115994213)</f>
        <v>43370.11116</v>
      </c>
      <c r="B2319" t="s">
        <v>45</v>
      </c>
    </row>
    <row r="2320">
      <c r="A2320" s="32">
        <f>IFERROR(__xludf.DUMMYFUNCTION("""COMPUTED_VALUE"""),43370.11685665509)</f>
        <v>43370.11686</v>
      </c>
      <c r="B2320" t="s">
        <v>33</v>
      </c>
    </row>
    <row r="2321">
      <c r="A2321" s="32">
        <f>IFERROR(__xludf.DUMMYFUNCTION("""COMPUTED_VALUE"""),43370.12410943287)</f>
        <v>43370.12411</v>
      </c>
      <c r="B2321" t="s">
        <v>33</v>
      </c>
    </row>
    <row r="2322">
      <c r="A2322" s="32">
        <f>IFERROR(__xludf.DUMMYFUNCTION("""COMPUTED_VALUE"""),43370.12414854167)</f>
        <v>43370.12415</v>
      </c>
      <c r="B2322" t="s">
        <v>33</v>
      </c>
    </row>
    <row r="2323">
      <c r="A2323" s="32">
        <f>IFERROR(__xludf.DUMMYFUNCTION("""COMPUTED_VALUE"""),43370.131237546295)</f>
        <v>43370.13124</v>
      </c>
      <c r="B2323" t="s">
        <v>2658</v>
      </c>
    </row>
    <row r="2324">
      <c r="A2324" s="32">
        <f>IFERROR(__xludf.DUMMYFUNCTION("""COMPUTED_VALUE"""),43370.140346527776)</f>
        <v>43370.14035</v>
      </c>
      <c r="B2324" t="s">
        <v>123</v>
      </c>
    </row>
    <row r="2325">
      <c r="A2325" s="32">
        <f>IFERROR(__xludf.DUMMYFUNCTION("""COMPUTED_VALUE"""),43370.1448353125)</f>
        <v>43370.14484</v>
      </c>
      <c r="B2325" t="s">
        <v>819</v>
      </c>
    </row>
    <row r="2326">
      <c r="A2326" s="32">
        <f>IFERROR(__xludf.DUMMYFUNCTION("""COMPUTED_VALUE"""),43370.203588564815)</f>
        <v>43370.20359</v>
      </c>
      <c r="B2326" t="s">
        <v>48</v>
      </c>
    </row>
    <row r="2327">
      <c r="A2327" s="32">
        <f>IFERROR(__xludf.DUMMYFUNCTION("""COMPUTED_VALUE"""),43370.213820902776)</f>
        <v>43370.21382</v>
      </c>
      <c r="B2327" t="s">
        <v>258</v>
      </c>
    </row>
    <row r="2328">
      <c r="A2328" s="32">
        <f>IFERROR(__xludf.DUMMYFUNCTION("""COMPUTED_VALUE"""),43370.21885103009)</f>
        <v>43370.21885</v>
      </c>
      <c r="B2328" t="s">
        <v>105</v>
      </c>
    </row>
    <row r="2329">
      <c r="A2329" s="32">
        <f>IFERROR(__xludf.DUMMYFUNCTION("""COMPUTED_VALUE"""),43370.27222341435)</f>
        <v>43370.27222</v>
      </c>
      <c r="B2329" t="s">
        <v>33</v>
      </c>
    </row>
    <row r="2330">
      <c r="A2330" s="32">
        <f>IFERROR(__xludf.DUMMYFUNCTION("""COMPUTED_VALUE"""),43370.29801496528)</f>
        <v>43370.29801</v>
      </c>
      <c r="B2330" t="s">
        <v>36</v>
      </c>
    </row>
    <row r="2331">
      <c r="A2331" s="32">
        <f>IFERROR(__xludf.DUMMYFUNCTION("""COMPUTED_VALUE"""),43370.29883636574)</f>
        <v>43370.29884</v>
      </c>
      <c r="B2331" t="s">
        <v>45</v>
      </c>
    </row>
    <row r="2332">
      <c r="A2332" s="32">
        <f>IFERROR(__xludf.DUMMYFUNCTION("""COMPUTED_VALUE"""),43370.311742986116)</f>
        <v>43370.31174</v>
      </c>
      <c r="B2332" t="s">
        <v>45</v>
      </c>
    </row>
    <row r="2333">
      <c r="A2333" s="32">
        <f>IFERROR(__xludf.DUMMYFUNCTION("""COMPUTED_VALUE"""),43370.313996111116)</f>
        <v>43370.314</v>
      </c>
      <c r="B2333" t="s">
        <v>282</v>
      </c>
    </row>
    <row r="2334">
      <c r="A2334" s="32">
        <f>IFERROR(__xludf.DUMMYFUNCTION("""COMPUTED_VALUE"""),43370.331800740736)</f>
        <v>43370.3318</v>
      </c>
      <c r="B2334" t="s">
        <v>33</v>
      </c>
    </row>
    <row r="2335">
      <c r="A2335" s="32">
        <f>IFERROR(__xludf.DUMMYFUNCTION("""COMPUTED_VALUE"""),43370.35251336805)</f>
        <v>43370.35251</v>
      </c>
      <c r="B2335" t="s">
        <v>282</v>
      </c>
    </row>
    <row r="2336">
      <c r="A2336" s="32">
        <f>IFERROR(__xludf.DUMMYFUNCTION("""COMPUTED_VALUE"""),43370.35415223379)</f>
        <v>43370.35415</v>
      </c>
      <c r="B2336" t="s">
        <v>123</v>
      </c>
    </row>
    <row r="2337">
      <c r="A2337" s="32">
        <f>IFERROR(__xludf.DUMMYFUNCTION("""COMPUTED_VALUE"""),43370.43575446759)</f>
        <v>43370.43575</v>
      </c>
      <c r="B2337" t="s">
        <v>123</v>
      </c>
    </row>
    <row r="2338">
      <c r="A2338" s="32">
        <f>IFERROR(__xludf.DUMMYFUNCTION("""COMPUTED_VALUE"""),43370.44159122685)</f>
        <v>43370.44159</v>
      </c>
      <c r="B2338" t="s">
        <v>1726</v>
      </c>
    </row>
    <row r="2339">
      <c r="A2339" s="32">
        <f>IFERROR(__xludf.DUMMYFUNCTION("""COMPUTED_VALUE"""),43370.457855636574)</f>
        <v>43370.45786</v>
      </c>
      <c r="B2339" t="s">
        <v>1727</v>
      </c>
    </row>
    <row r="2340">
      <c r="A2340" s="32">
        <f>IFERROR(__xludf.DUMMYFUNCTION("""COMPUTED_VALUE"""),43370.463407083334)</f>
        <v>43370.46341</v>
      </c>
      <c r="B2340" t="s">
        <v>77</v>
      </c>
    </row>
    <row r="2341">
      <c r="A2341" s="32">
        <f>IFERROR(__xludf.DUMMYFUNCTION("""COMPUTED_VALUE"""),43370.4740681713)</f>
        <v>43370.47407</v>
      </c>
      <c r="B2341" t="s">
        <v>45</v>
      </c>
    </row>
    <row r="2342">
      <c r="A2342" s="32">
        <f>IFERROR(__xludf.DUMMYFUNCTION("""COMPUTED_VALUE"""),43370.48918774306)</f>
        <v>43370.48919</v>
      </c>
      <c r="B2342" t="s">
        <v>33</v>
      </c>
    </row>
    <row r="2343">
      <c r="A2343" s="32">
        <f>IFERROR(__xludf.DUMMYFUNCTION("""COMPUTED_VALUE"""),43370.49971708334)</f>
        <v>43370.49972</v>
      </c>
      <c r="B2343" t="s">
        <v>1731</v>
      </c>
    </row>
    <row r="2344">
      <c r="A2344" s="32">
        <f>IFERROR(__xludf.DUMMYFUNCTION("""COMPUTED_VALUE"""),43370.501318483795)</f>
        <v>43370.50132</v>
      </c>
      <c r="B2344" t="s">
        <v>200</v>
      </c>
    </row>
    <row r="2345">
      <c r="A2345" s="32">
        <f>IFERROR(__xludf.DUMMYFUNCTION("""COMPUTED_VALUE"""),43370.52500988426)</f>
        <v>43370.52501</v>
      </c>
      <c r="B2345" t="s">
        <v>371</v>
      </c>
    </row>
    <row r="2346">
      <c r="A2346" s="32">
        <f>IFERROR(__xludf.DUMMYFUNCTION("""COMPUTED_VALUE"""),43370.54331685185)</f>
        <v>43370.54332</v>
      </c>
      <c r="B2346" t="s">
        <v>45</v>
      </c>
    </row>
    <row r="2347">
      <c r="A2347" s="32">
        <f>IFERROR(__xludf.DUMMYFUNCTION("""COMPUTED_VALUE"""),43370.56448851852)</f>
        <v>43370.56449</v>
      </c>
      <c r="B2347" t="s">
        <v>170</v>
      </c>
    </row>
    <row r="2348">
      <c r="A2348" s="32">
        <f>IFERROR(__xludf.DUMMYFUNCTION("""COMPUTED_VALUE"""),43370.58623872686)</f>
        <v>43370.58624</v>
      </c>
      <c r="B2348" t="s">
        <v>80</v>
      </c>
    </row>
    <row r="2349">
      <c r="A2349" s="32">
        <f>IFERROR(__xludf.DUMMYFUNCTION("""COMPUTED_VALUE"""),43370.59694216435)</f>
        <v>43370.59694</v>
      </c>
      <c r="B2349" t="s">
        <v>123</v>
      </c>
    </row>
    <row r="2350">
      <c r="A2350" s="32">
        <f>IFERROR(__xludf.DUMMYFUNCTION("""COMPUTED_VALUE"""),43370.600625127314)</f>
        <v>43370.60063</v>
      </c>
      <c r="B2350" t="s">
        <v>45</v>
      </c>
    </row>
    <row r="2351">
      <c r="A2351" s="32">
        <f>IFERROR(__xludf.DUMMYFUNCTION("""COMPUTED_VALUE"""),43370.60478692129)</f>
        <v>43370.60479</v>
      </c>
      <c r="B2351" t="s">
        <v>33</v>
      </c>
    </row>
    <row r="2352">
      <c r="A2352" s="32">
        <f>IFERROR(__xludf.DUMMYFUNCTION("""COMPUTED_VALUE"""),43370.61813859954)</f>
        <v>43370.61814</v>
      </c>
      <c r="B2352" t="s">
        <v>36</v>
      </c>
    </row>
    <row r="2353">
      <c r="A2353" s="32">
        <f>IFERROR(__xludf.DUMMYFUNCTION("""COMPUTED_VALUE"""),43370.61966427084)</f>
        <v>43370.61966</v>
      </c>
      <c r="B2353" t="s">
        <v>204</v>
      </c>
    </row>
    <row r="2354">
      <c r="A2354" s="32">
        <f>IFERROR(__xludf.DUMMYFUNCTION("""COMPUTED_VALUE"""),43370.62186864583)</f>
        <v>43370.62187</v>
      </c>
      <c r="B2354" t="s">
        <v>33</v>
      </c>
    </row>
    <row r="2355">
      <c r="A2355" s="32">
        <f>IFERROR(__xludf.DUMMYFUNCTION("""COMPUTED_VALUE"""),43370.621920034726)</f>
        <v>43370.62192</v>
      </c>
      <c r="B2355" t="s">
        <v>123</v>
      </c>
    </row>
    <row r="2356">
      <c r="A2356" s="32">
        <f>IFERROR(__xludf.DUMMYFUNCTION("""COMPUTED_VALUE"""),43370.628814270836)</f>
        <v>43370.62881</v>
      </c>
      <c r="B2356" t="s">
        <v>48</v>
      </c>
    </row>
    <row r="2357">
      <c r="A2357" s="32">
        <f>IFERROR(__xludf.DUMMYFUNCTION("""COMPUTED_VALUE"""),43370.63127666667)</f>
        <v>43370.63128</v>
      </c>
      <c r="B2357" t="s">
        <v>187</v>
      </c>
    </row>
    <row r="2358">
      <c r="A2358" s="32">
        <f>IFERROR(__xludf.DUMMYFUNCTION("""COMPUTED_VALUE"""),43370.63586375)</f>
        <v>43370.63586</v>
      </c>
      <c r="B2358" t="s">
        <v>187</v>
      </c>
    </row>
    <row r="2359">
      <c r="A2359" s="32">
        <f>IFERROR(__xludf.DUMMYFUNCTION("""COMPUTED_VALUE"""),43370.63937013889)</f>
        <v>43370.63937</v>
      </c>
      <c r="B2359" t="s">
        <v>187</v>
      </c>
    </row>
    <row r="2360">
      <c r="A2360" s="32">
        <f>IFERROR(__xludf.DUMMYFUNCTION("""COMPUTED_VALUE"""),43370.63956549768)</f>
        <v>43370.63957</v>
      </c>
      <c r="B2360" t="s">
        <v>36</v>
      </c>
    </row>
    <row r="2361">
      <c r="A2361" s="32">
        <f>IFERROR(__xludf.DUMMYFUNCTION("""COMPUTED_VALUE"""),43370.64252309028)</f>
        <v>43370.64252</v>
      </c>
      <c r="B2361" t="s">
        <v>33</v>
      </c>
    </row>
    <row r="2362">
      <c r="A2362" s="32">
        <f>IFERROR(__xludf.DUMMYFUNCTION("""COMPUTED_VALUE"""),43370.64666103009)</f>
        <v>43370.64666</v>
      </c>
      <c r="B2362" t="s">
        <v>40</v>
      </c>
    </row>
    <row r="2363">
      <c r="A2363" s="32">
        <f>IFERROR(__xludf.DUMMYFUNCTION("""COMPUTED_VALUE"""),43370.66429383102)</f>
        <v>43370.66429</v>
      </c>
      <c r="B2363" t="s">
        <v>80</v>
      </c>
    </row>
    <row r="2364">
      <c r="A2364" s="32">
        <f>IFERROR(__xludf.DUMMYFUNCTION("""COMPUTED_VALUE"""),43370.66445880787)</f>
        <v>43370.66446</v>
      </c>
      <c r="B2364" t="s">
        <v>819</v>
      </c>
    </row>
    <row r="2365">
      <c r="A2365" s="32">
        <f>IFERROR(__xludf.DUMMYFUNCTION("""COMPUTED_VALUE"""),43370.6769746875)</f>
        <v>43370.67697</v>
      </c>
      <c r="B2365" t="s">
        <v>33</v>
      </c>
    </row>
    <row r="2366">
      <c r="A2366" s="32">
        <f>IFERROR(__xludf.DUMMYFUNCTION("""COMPUTED_VALUE"""),43370.686218622686)</f>
        <v>43370.68622</v>
      </c>
      <c r="B2366" t="s">
        <v>187</v>
      </c>
    </row>
    <row r="2367">
      <c r="A2367" s="32">
        <f>IFERROR(__xludf.DUMMYFUNCTION("""COMPUTED_VALUE"""),43370.70594755787)</f>
        <v>43370.70595</v>
      </c>
      <c r="B2367" t="s">
        <v>45</v>
      </c>
    </row>
    <row r="2368">
      <c r="A2368" s="32">
        <f>IFERROR(__xludf.DUMMYFUNCTION("""COMPUTED_VALUE"""),43370.7088893287)</f>
        <v>43370.70889</v>
      </c>
      <c r="B2368" t="s">
        <v>139</v>
      </c>
    </row>
    <row r="2369">
      <c r="A2369" s="32">
        <f>IFERROR(__xludf.DUMMYFUNCTION("""COMPUTED_VALUE"""),43370.730594085646)</f>
        <v>43370.73059</v>
      </c>
      <c r="B2369" t="s">
        <v>371</v>
      </c>
    </row>
    <row r="2370">
      <c r="A2370" s="32">
        <f>IFERROR(__xludf.DUMMYFUNCTION("""COMPUTED_VALUE"""),43370.73096864583)</f>
        <v>43370.73097</v>
      </c>
      <c r="B2370" t="s">
        <v>256</v>
      </c>
    </row>
    <row r="2371">
      <c r="A2371" s="32">
        <f>IFERROR(__xludf.DUMMYFUNCTION("""COMPUTED_VALUE"""),43370.731333414355)</f>
        <v>43370.73133</v>
      </c>
      <c r="B2371" t="s">
        <v>371</v>
      </c>
    </row>
    <row r="2372">
      <c r="A2372" s="32">
        <f>IFERROR(__xludf.DUMMYFUNCTION("""COMPUTED_VALUE"""),43370.735029166666)</f>
        <v>43370.73503</v>
      </c>
      <c r="B2372" t="s">
        <v>119</v>
      </c>
    </row>
    <row r="2373">
      <c r="A2373" s="32">
        <f>IFERROR(__xludf.DUMMYFUNCTION("""COMPUTED_VALUE"""),43370.7687408912)</f>
        <v>43370.76874</v>
      </c>
      <c r="B2373" t="s">
        <v>1740</v>
      </c>
    </row>
    <row r="2374">
      <c r="A2374" s="32">
        <f>IFERROR(__xludf.DUMMYFUNCTION("""COMPUTED_VALUE"""),43370.781246886574)</f>
        <v>43370.78125</v>
      </c>
      <c r="B2374" t="s">
        <v>119</v>
      </c>
    </row>
    <row r="2375">
      <c r="A2375" s="32">
        <f>IFERROR(__xludf.DUMMYFUNCTION("""COMPUTED_VALUE"""),43370.795262141204)</f>
        <v>43370.79526</v>
      </c>
      <c r="B2375" t="s">
        <v>1744</v>
      </c>
    </row>
    <row r="2376">
      <c r="A2376" s="32">
        <f>IFERROR(__xludf.DUMMYFUNCTION("""COMPUTED_VALUE"""),43370.809353449076)</f>
        <v>43370.80935</v>
      </c>
      <c r="B2376" t="s">
        <v>40</v>
      </c>
    </row>
    <row r="2377">
      <c r="A2377" s="32">
        <f>IFERROR(__xludf.DUMMYFUNCTION("""COMPUTED_VALUE"""),43370.82626619213)</f>
        <v>43370.82627</v>
      </c>
      <c r="B2377" t="s">
        <v>48</v>
      </c>
    </row>
    <row r="2378">
      <c r="A2378" s="32">
        <f>IFERROR(__xludf.DUMMYFUNCTION("""COMPUTED_VALUE"""),43370.82794944444)</f>
        <v>43370.82795</v>
      </c>
      <c r="B2378" t="s">
        <v>40</v>
      </c>
    </row>
    <row r="2379">
      <c r="A2379" s="32">
        <f>IFERROR(__xludf.DUMMYFUNCTION("""COMPUTED_VALUE"""),43370.83717810185)</f>
        <v>43370.83718</v>
      </c>
      <c r="B2379" t="s">
        <v>33</v>
      </c>
    </row>
    <row r="2380">
      <c r="A2380" s="32">
        <f>IFERROR(__xludf.DUMMYFUNCTION("""COMPUTED_VALUE"""),43370.85577534723)</f>
        <v>43370.85578</v>
      </c>
      <c r="B2380" t="s">
        <v>48</v>
      </c>
    </row>
    <row r="2381">
      <c r="A2381" s="32">
        <f>IFERROR(__xludf.DUMMYFUNCTION("""COMPUTED_VALUE"""),43370.857703518515)</f>
        <v>43370.8577</v>
      </c>
      <c r="B2381" t="s">
        <v>48</v>
      </c>
    </row>
    <row r="2382">
      <c r="A2382" s="32">
        <f>IFERROR(__xludf.DUMMYFUNCTION("""COMPUTED_VALUE"""),43370.858747025464)</f>
        <v>43370.85875</v>
      </c>
      <c r="B2382" t="s">
        <v>204</v>
      </c>
    </row>
    <row r="2383">
      <c r="A2383" s="32">
        <f>IFERROR(__xludf.DUMMYFUNCTION("""COMPUTED_VALUE"""),43370.91778017361)</f>
        <v>43370.91778</v>
      </c>
      <c r="B2383" t="s">
        <v>80</v>
      </c>
    </row>
    <row r="2384">
      <c r="A2384" s="32">
        <f>IFERROR(__xludf.DUMMYFUNCTION("""COMPUTED_VALUE"""),43370.92446001158)</f>
        <v>43370.92446</v>
      </c>
      <c r="B2384" t="s">
        <v>119</v>
      </c>
    </row>
    <row r="2385">
      <c r="A2385" s="32">
        <f>IFERROR(__xludf.DUMMYFUNCTION("""COMPUTED_VALUE"""),43370.95735427084)</f>
        <v>43370.95735</v>
      </c>
      <c r="B2385" t="s">
        <v>123</v>
      </c>
    </row>
    <row r="2386">
      <c r="A2386" s="32">
        <f>IFERROR(__xludf.DUMMYFUNCTION("""COMPUTED_VALUE"""),43370.998364224535)</f>
        <v>43370.99836</v>
      </c>
      <c r="B2386" t="s">
        <v>36</v>
      </c>
    </row>
    <row r="2387">
      <c r="A2387" s="32">
        <f>IFERROR(__xludf.DUMMYFUNCTION("""COMPUTED_VALUE"""),43371.00751552083)</f>
        <v>43371.00752</v>
      </c>
      <c r="B2387" t="s">
        <v>80</v>
      </c>
    </row>
    <row r="2388">
      <c r="A2388" s="32">
        <f>IFERROR(__xludf.DUMMYFUNCTION("""COMPUTED_VALUE"""),43371.01047486111)</f>
        <v>43371.01047</v>
      </c>
      <c r="B2388" t="s">
        <v>45</v>
      </c>
    </row>
    <row r="2389">
      <c r="A2389" s="32">
        <f>IFERROR(__xludf.DUMMYFUNCTION("""COMPUTED_VALUE"""),43371.04045479167)</f>
        <v>43371.04045</v>
      </c>
      <c r="B2389" t="s">
        <v>45</v>
      </c>
    </row>
    <row r="2390">
      <c r="A2390" s="32">
        <f>IFERROR(__xludf.DUMMYFUNCTION("""COMPUTED_VALUE"""),43371.05869637731)</f>
        <v>43371.0587</v>
      </c>
      <c r="B2390" t="s">
        <v>45</v>
      </c>
    </row>
    <row r="2391">
      <c r="A2391" s="32">
        <f>IFERROR(__xludf.DUMMYFUNCTION("""COMPUTED_VALUE"""),43371.09364846065)</f>
        <v>43371.09365</v>
      </c>
      <c r="B2391" t="s">
        <v>119</v>
      </c>
    </row>
    <row r="2392">
      <c r="A2392" s="32">
        <f>IFERROR(__xludf.DUMMYFUNCTION("""COMPUTED_VALUE"""),43371.23251289352)</f>
        <v>43371.23251</v>
      </c>
      <c r="B2392" t="s">
        <v>33</v>
      </c>
    </row>
    <row r="2393">
      <c r="A2393" s="32">
        <f>IFERROR(__xludf.DUMMYFUNCTION("""COMPUTED_VALUE"""),43371.291873333335)</f>
        <v>43371.29187</v>
      </c>
      <c r="B2393" t="s">
        <v>80</v>
      </c>
    </row>
    <row r="2394">
      <c r="A2394" s="32">
        <f>IFERROR(__xludf.DUMMYFUNCTION("""COMPUTED_VALUE"""),43371.29914137731)</f>
        <v>43371.29914</v>
      </c>
      <c r="B2394" t="s">
        <v>33</v>
      </c>
    </row>
    <row r="2395">
      <c r="A2395" s="32">
        <f>IFERROR(__xludf.DUMMYFUNCTION("""COMPUTED_VALUE"""),43371.300263784724)</f>
        <v>43371.30026</v>
      </c>
      <c r="B2395" t="s">
        <v>282</v>
      </c>
    </row>
    <row r="2396">
      <c r="A2396" s="32">
        <f>IFERROR(__xludf.DUMMYFUNCTION("""COMPUTED_VALUE"""),43371.315648414355)</f>
        <v>43371.31565</v>
      </c>
      <c r="B2396" t="s">
        <v>48</v>
      </c>
    </row>
    <row r="2397">
      <c r="A2397" s="32">
        <f>IFERROR(__xludf.DUMMYFUNCTION("""COMPUTED_VALUE"""),43371.34706585648)</f>
        <v>43371.34707</v>
      </c>
      <c r="B2397" t="s">
        <v>33</v>
      </c>
    </row>
    <row r="2398">
      <c r="A2398" s="32">
        <f>IFERROR(__xludf.DUMMYFUNCTION("""COMPUTED_VALUE"""),43371.35071950231)</f>
        <v>43371.35072</v>
      </c>
      <c r="B2398" t="s">
        <v>282</v>
      </c>
    </row>
    <row r="2399">
      <c r="A2399" s="32">
        <f>IFERROR(__xludf.DUMMYFUNCTION("""COMPUTED_VALUE"""),43371.35693729167)</f>
        <v>43371.35694</v>
      </c>
      <c r="B2399" t="s">
        <v>45</v>
      </c>
    </row>
    <row r="2400">
      <c r="A2400" s="32">
        <f>IFERROR(__xludf.DUMMYFUNCTION("""COMPUTED_VALUE"""),43371.40360711806)</f>
        <v>43371.40361</v>
      </c>
      <c r="B2400" t="s">
        <v>25</v>
      </c>
    </row>
    <row r="2401">
      <c r="A2401" s="32">
        <f>IFERROR(__xludf.DUMMYFUNCTION("""COMPUTED_VALUE"""),43371.41566435185)</f>
        <v>43371.41566</v>
      </c>
      <c r="B2401" t="s">
        <v>123</v>
      </c>
    </row>
    <row r="2402">
      <c r="A2402" s="32">
        <f>IFERROR(__xludf.DUMMYFUNCTION("""COMPUTED_VALUE"""),43371.41742572917)</f>
        <v>43371.41743</v>
      </c>
      <c r="B2402" t="s">
        <v>40</v>
      </c>
    </row>
    <row r="2403">
      <c r="A2403" s="32">
        <f>IFERROR(__xludf.DUMMYFUNCTION("""COMPUTED_VALUE"""),43371.42606254629)</f>
        <v>43371.42606</v>
      </c>
      <c r="B2403" t="s">
        <v>45</v>
      </c>
    </row>
    <row r="2404">
      <c r="A2404" s="32">
        <f>IFERROR(__xludf.DUMMYFUNCTION("""COMPUTED_VALUE"""),43371.476335671294)</f>
        <v>43371.47634</v>
      </c>
      <c r="B2404" t="s">
        <v>40</v>
      </c>
    </row>
    <row r="2405">
      <c r="A2405" s="32">
        <f>IFERROR(__xludf.DUMMYFUNCTION("""COMPUTED_VALUE"""),43371.484870636574)</f>
        <v>43371.48487</v>
      </c>
      <c r="B2405" t="s">
        <v>426</v>
      </c>
    </row>
    <row r="2406">
      <c r="A2406" s="32">
        <f>IFERROR(__xludf.DUMMYFUNCTION("""COMPUTED_VALUE"""),43371.49112759259)</f>
        <v>43371.49113</v>
      </c>
      <c r="B2406" t="s">
        <v>122</v>
      </c>
    </row>
    <row r="2407">
      <c r="A2407" s="32">
        <f>IFERROR(__xludf.DUMMYFUNCTION("""COMPUTED_VALUE"""),43371.492002349536)</f>
        <v>43371.492</v>
      </c>
      <c r="B2407" t="s">
        <v>80</v>
      </c>
    </row>
    <row r="2408">
      <c r="A2408" s="32">
        <f>IFERROR(__xludf.DUMMYFUNCTION("""COMPUTED_VALUE"""),43371.50360940972)</f>
        <v>43371.50361</v>
      </c>
      <c r="B2408" t="s">
        <v>2424</v>
      </c>
    </row>
    <row r="2409">
      <c r="A2409" s="32">
        <f>IFERROR(__xludf.DUMMYFUNCTION("""COMPUTED_VALUE"""),43371.504500787036)</f>
        <v>43371.5045</v>
      </c>
      <c r="B2409" t="s">
        <v>2424</v>
      </c>
    </row>
    <row r="2410">
      <c r="A2410" s="32">
        <f>IFERROR(__xludf.DUMMYFUNCTION("""COMPUTED_VALUE"""),43371.52293357639)</f>
        <v>43371.52293</v>
      </c>
      <c r="B2410" t="s">
        <v>36</v>
      </c>
    </row>
    <row r="2411">
      <c r="A2411" s="32">
        <f>IFERROR(__xludf.DUMMYFUNCTION("""COMPUTED_VALUE"""),43371.538681805556)</f>
        <v>43371.53868</v>
      </c>
      <c r="B2411" t="s">
        <v>2752</v>
      </c>
    </row>
    <row r="2412">
      <c r="A2412" s="32">
        <f>IFERROR(__xludf.DUMMYFUNCTION("""COMPUTED_VALUE"""),43371.54707355324)</f>
        <v>43371.54707</v>
      </c>
      <c r="B2412" t="s">
        <v>45</v>
      </c>
    </row>
    <row r="2413">
      <c r="A2413" s="32">
        <f>IFERROR(__xludf.DUMMYFUNCTION("""COMPUTED_VALUE"""),43371.591232743056)</f>
        <v>43371.59123</v>
      </c>
      <c r="B2413" t="s">
        <v>40</v>
      </c>
    </row>
    <row r="2414">
      <c r="A2414" s="32">
        <f>IFERROR(__xludf.DUMMYFUNCTION("""COMPUTED_VALUE"""),43371.606939652775)</f>
        <v>43371.60694</v>
      </c>
      <c r="B2414" t="s">
        <v>48</v>
      </c>
    </row>
    <row r="2415">
      <c r="A2415" s="32">
        <f>IFERROR(__xludf.DUMMYFUNCTION("""COMPUTED_VALUE"""),43371.62021342592)</f>
        <v>43371.62021</v>
      </c>
      <c r="B2415" t="s">
        <v>119</v>
      </c>
    </row>
    <row r="2416">
      <c r="A2416" s="32">
        <f>IFERROR(__xludf.DUMMYFUNCTION("""COMPUTED_VALUE"""),43371.627568275464)</f>
        <v>43371.62757</v>
      </c>
      <c r="B2416" t="s">
        <v>36</v>
      </c>
    </row>
    <row r="2417">
      <c r="A2417" s="32">
        <f>IFERROR(__xludf.DUMMYFUNCTION("""COMPUTED_VALUE"""),43371.6363583912)</f>
        <v>43371.63636</v>
      </c>
      <c r="B2417" t="s">
        <v>45</v>
      </c>
    </row>
    <row r="2418">
      <c r="A2418" s="32">
        <f>IFERROR(__xludf.DUMMYFUNCTION("""COMPUTED_VALUE"""),43371.63659783565)</f>
        <v>43371.6366</v>
      </c>
      <c r="B2418" t="s">
        <v>36</v>
      </c>
    </row>
    <row r="2419">
      <c r="A2419" s="32">
        <f>IFERROR(__xludf.DUMMYFUNCTION("""COMPUTED_VALUE"""),43371.636747199074)</f>
        <v>43371.63675</v>
      </c>
      <c r="B2419" t="s">
        <v>48</v>
      </c>
    </row>
    <row r="2420">
      <c r="A2420" s="32">
        <f>IFERROR(__xludf.DUMMYFUNCTION("""COMPUTED_VALUE"""),43371.639680092594)</f>
        <v>43371.63968</v>
      </c>
      <c r="B2420" t="s">
        <v>48</v>
      </c>
    </row>
    <row r="2421">
      <c r="A2421" s="32">
        <f>IFERROR(__xludf.DUMMYFUNCTION("""COMPUTED_VALUE"""),43371.646743958336)</f>
        <v>43371.64674</v>
      </c>
      <c r="B2421" t="s">
        <v>371</v>
      </c>
    </row>
    <row r="2422">
      <c r="A2422" s="32">
        <f>IFERROR(__xludf.DUMMYFUNCTION("""COMPUTED_VALUE"""),43371.662856979165)</f>
        <v>43371.66286</v>
      </c>
      <c r="B2422" t="s">
        <v>33</v>
      </c>
    </row>
    <row r="2423">
      <c r="A2423" s="32">
        <f>IFERROR(__xludf.DUMMYFUNCTION("""COMPUTED_VALUE"""),43371.665708217595)</f>
        <v>43371.66571</v>
      </c>
      <c r="B2423" t="s">
        <v>33</v>
      </c>
    </row>
    <row r="2424">
      <c r="A2424" s="32">
        <f>IFERROR(__xludf.DUMMYFUNCTION("""COMPUTED_VALUE"""),43371.67009636574)</f>
        <v>43371.6701</v>
      </c>
      <c r="B2424" t="s">
        <v>119</v>
      </c>
    </row>
    <row r="2425">
      <c r="A2425" s="32">
        <f>IFERROR(__xludf.DUMMYFUNCTION("""COMPUTED_VALUE"""),43371.672564988425)</f>
        <v>43371.67256</v>
      </c>
      <c r="B2425" t="s">
        <v>33</v>
      </c>
    </row>
    <row r="2426">
      <c r="A2426" s="32">
        <f>IFERROR(__xludf.DUMMYFUNCTION("""COMPUTED_VALUE"""),43371.67443266204)</f>
        <v>43371.67443</v>
      </c>
      <c r="B2426" t="s">
        <v>123</v>
      </c>
    </row>
    <row r="2427">
      <c r="A2427" s="32">
        <f>IFERROR(__xludf.DUMMYFUNCTION("""COMPUTED_VALUE"""),43371.69120248842)</f>
        <v>43371.6912</v>
      </c>
      <c r="B2427" t="s">
        <v>80</v>
      </c>
    </row>
    <row r="2428">
      <c r="A2428" s="32">
        <f>IFERROR(__xludf.DUMMYFUNCTION("""COMPUTED_VALUE"""),43371.691325775464)</f>
        <v>43371.69133</v>
      </c>
      <c r="B2428" t="s">
        <v>33</v>
      </c>
    </row>
    <row r="2429">
      <c r="A2429" s="32">
        <f>IFERROR(__xludf.DUMMYFUNCTION("""COMPUTED_VALUE"""),43371.69390387731)</f>
        <v>43371.6939</v>
      </c>
      <c r="B2429" t="s">
        <v>123</v>
      </c>
    </row>
    <row r="2430">
      <c r="A2430" s="32">
        <f>IFERROR(__xludf.DUMMYFUNCTION("""COMPUTED_VALUE"""),43371.69778171297)</f>
        <v>43371.69778</v>
      </c>
      <c r="B2430" t="s">
        <v>33</v>
      </c>
    </row>
    <row r="2431">
      <c r="A2431" s="32">
        <f>IFERROR(__xludf.DUMMYFUNCTION("""COMPUTED_VALUE"""),43371.704236053236)</f>
        <v>43371.70424</v>
      </c>
      <c r="B2431" t="s">
        <v>170</v>
      </c>
    </row>
    <row r="2432">
      <c r="A2432" s="32">
        <f>IFERROR(__xludf.DUMMYFUNCTION("""COMPUTED_VALUE"""),43371.71125716435)</f>
        <v>43371.71126</v>
      </c>
      <c r="B2432" t="s">
        <v>2658</v>
      </c>
    </row>
    <row r="2433">
      <c r="A2433" s="32">
        <f>IFERROR(__xludf.DUMMYFUNCTION("""COMPUTED_VALUE"""),43371.711728368056)</f>
        <v>43371.71173</v>
      </c>
      <c r="B2433" t="s">
        <v>80</v>
      </c>
    </row>
    <row r="2434">
      <c r="A2434" s="32">
        <f>IFERROR(__xludf.DUMMYFUNCTION("""COMPUTED_VALUE"""),43371.72107368056)</f>
        <v>43371.72107</v>
      </c>
      <c r="B2434" t="s">
        <v>33</v>
      </c>
    </row>
    <row r="2435">
      <c r="A2435" s="32">
        <f>IFERROR(__xludf.DUMMYFUNCTION("""COMPUTED_VALUE"""),43371.731295474536)</f>
        <v>43371.7313</v>
      </c>
      <c r="B2435" t="s">
        <v>40</v>
      </c>
    </row>
    <row r="2436">
      <c r="A2436" s="32">
        <f>IFERROR(__xludf.DUMMYFUNCTION("""COMPUTED_VALUE"""),43371.74576803241)</f>
        <v>43371.74577</v>
      </c>
      <c r="B2436" t="s">
        <v>33</v>
      </c>
    </row>
    <row r="2437">
      <c r="A2437" s="32">
        <f>IFERROR(__xludf.DUMMYFUNCTION("""COMPUTED_VALUE"""),43371.787429918986)</f>
        <v>43371.78743</v>
      </c>
      <c r="B2437" t="s">
        <v>40</v>
      </c>
    </row>
    <row r="2438">
      <c r="A2438" s="32">
        <f>IFERROR(__xludf.DUMMYFUNCTION("""COMPUTED_VALUE"""),43371.79245821759)</f>
        <v>43371.79246</v>
      </c>
      <c r="B2438" t="s">
        <v>33</v>
      </c>
    </row>
    <row r="2439">
      <c r="A2439" s="32">
        <f>IFERROR(__xludf.DUMMYFUNCTION("""COMPUTED_VALUE"""),43371.83181157407)</f>
        <v>43371.83181</v>
      </c>
      <c r="B2439" t="s">
        <v>40</v>
      </c>
    </row>
    <row r="2440">
      <c r="A2440" s="32">
        <f>IFERROR(__xludf.DUMMYFUNCTION("""COMPUTED_VALUE"""),43371.8463290162)</f>
        <v>43371.84633</v>
      </c>
      <c r="B2440" t="s">
        <v>33</v>
      </c>
    </row>
    <row r="2441">
      <c r="A2441" s="32">
        <f>IFERROR(__xludf.DUMMYFUNCTION("""COMPUTED_VALUE"""),43371.850763263894)</f>
        <v>43371.85076</v>
      </c>
      <c r="B2441" t="s">
        <v>119</v>
      </c>
    </row>
    <row r="2442">
      <c r="A2442" s="32">
        <f>IFERROR(__xludf.DUMMYFUNCTION("""COMPUTED_VALUE"""),43371.85461244213)</f>
        <v>43371.85461</v>
      </c>
      <c r="B2442" t="s">
        <v>119</v>
      </c>
    </row>
    <row r="2443">
      <c r="A2443" s="32">
        <f>IFERROR(__xludf.DUMMYFUNCTION("""COMPUTED_VALUE"""),43371.87587726852)</f>
        <v>43371.87588</v>
      </c>
      <c r="B2443" t="s">
        <v>33</v>
      </c>
    </row>
    <row r="2444">
      <c r="A2444" s="32">
        <f>IFERROR(__xludf.DUMMYFUNCTION("""COMPUTED_VALUE"""),43371.879199421295)</f>
        <v>43371.8792</v>
      </c>
      <c r="B2444" t="s">
        <v>33</v>
      </c>
    </row>
    <row r="2445">
      <c r="A2445" s="32">
        <f>IFERROR(__xludf.DUMMYFUNCTION("""COMPUTED_VALUE"""),43371.89717327546)</f>
        <v>43371.89717</v>
      </c>
      <c r="B2445" t="s">
        <v>124</v>
      </c>
    </row>
    <row r="2446">
      <c r="A2446" s="32">
        <f>IFERROR(__xludf.DUMMYFUNCTION("""COMPUTED_VALUE"""),43371.91524556713)</f>
        <v>43371.91525</v>
      </c>
      <c r="B2446" t="s">
        <v>36</v>
      </c>
    </row>
    <row r="2447">
      <c r="A2447" s="32">
        <f>IFERROR(__xludf.DUMMYFUNCTION("""COMPUTED_VALUE"""),43371.91584548611)</f>
        <v>43371.91585</v>
      </c>
      <c r="B2447" t="s">
        <v>45</v>
      </c>
    </row>
    <row r="2448">
      <c r="A2448" s="32">
        <f>IFERROR(__xludf.DUMMYFUNCTION("""COMPUTED_VALUE"""),43371.91606587963)</f>
        <v>43371.91607</v>
      </c>
      <c r="B2448" t="s">
        <v>80</v>
      </c>
    </row>
    <row r="2449">
      <c r="A2449" s="32">
        <f>IFERROR(__xludf.DUMMYFUNCTION("""COMPUTED_VALUE"""),43371.92062668981)</f>
        <v>43371.92063</v>
      </c>
      <c r="B2449" t="s">
        <v>119</v>
      </c>
    </row>
    <row r="2450">
      <c r="A2450" s="32">
        <f>IFERROR(__xludf.DUMMYFUNCTION("""COMPUTED_VALUE"""),43371.92207732639)</f>
        <v>43371.92208</v>
      </c>
      <c r="B2450" t="s">
        <v>48</v>
      </c>
    </row>
    <row r="2451">
      <c r="A2451" s="32">
        <f>IFERROR(__xludf.DUMMYFUNCTION("""COMPUTED_VALUE"""),43371.93060381945)</f>
        <v>43371.9306</v>
      </c>
      <c r="B2451" t="s">
        <v>1769</v>
      </c>
    </row>
    <row r="2452">
      <c r="A2452" s="32">
        <f>IFERROR(__xludf.DUMMYFUNCTION("""COMPUTED_VALUE"""),43371.984040509255)</f>
        <v>43371.98404</v>
      </c>
      <c r="B2452" t="s">
        <v>119</v>
      </c>
    </row>
    <row r="2453">
      <c r="A2453" s="32">
        <f>IFERROR(__xludf.DUMMYFUNCTION("""COMPUTED_VALUE"""),43371.98775585648)</f>
        <v>43371.98776</v>
      </c>
      <c r="B2453" t="s">
        <v>40</v>
      </c>
    </row>
    <row r="2454">
      <c r="A2454" s="32">
        <f>IFERROR(__xludf.DUMMYFUNCTION("""COMPUTED_VALUE"""),43371.99050248842)</f>
        <v>43371.9905</v>
      </c>
      <c r="B2454" t="s">
        <v>33</v>
      </c>
    </row>
    <row r="2455">
      <c r="A2455" s="32">
        <f>IFERROR(__xludf.DUMMYFUNCTION("""COMPUTED_VALUE"""),43371.993055231476)</f>
        <v>43371.99306</v>
      </c>
      <c r="B2455" t="s">
        <v>123</v>
      </c>
    </row>
    <row r="2456">
      <c r="A2456" s="32">
        <f>IFERROR(__xludf.DUMMYFUNCTION("""COMPUTED_VALUE"""),43372.00251171296)</f>
        <v>43372.00251</v>
      </c>
      <c r="B2456" t="s">
        <v>45</v>
      </c>
    </row>
    <row r="2457">
      <c r="A2457" s="32">
        <f>IFERROR(__xludf.DUMMYFUNCTION("""COMPUTED_VALUE"""),43372.03061207176)</f>
        <v>43372.03061</v>
      </c>
      <c r="B2457" t="s">
        <v>819</v>
      </c>
    </row>
    <row r="2458">
      <c r="A2458" s="32">
        <f>IFERROR(__xludf.DUMMYFUNCTION("""COMPUTED_VALUE"""),43372.04885900463)</f>
        <v>43372.04886</v>
      </c>
      <c r="B2458" t="s">
        <v>33</v>
      </c>
    </row>
    <row r="2459">
      <c r="A2459" s="32">
        <f>IFERROR(__xludf.DUMMYFUNCTION("""COMPUTED_VALUE"""),43372.06260780092)</f>
        <v>43372.06261</v>
      </c>
      <c r="B2459" t="s">
        <v>80</v>
      </c>
    </row>
    <row r="2460">
      <c r="A2460" s="32">
        <f>IFERROR(__xludf.DUMMYFUNCTION("""COMPUTED_VALUE"""),43372.10447607639)</f>
        <v>43372.10448</v>
      </c>
      <c r="B2460" t="s">
        <v>119</v>
      </c>
    </row>
    <row r="2461">
      <c r="A2461" s="32">
        <f>IFERROR(__xludf.DUMMYFUNCTION("""COMPUTED_VALUE"""),43372.10607026621)</f>
        <v>43372.10607</v>
      </c>
      <c r="B2461" t="s">
        <v>48</v>
      </c>
    </row>
    <row r="2462">
      <c r="A2462" s="32">
        <f>IFERROR(__xludf.DUMMYFUNCTION("""COMPUTED_VALUE"""),43372.119559224535)</f>
        <v>43372.11956</v>
      </c>
      <c r="B2462" t="s">
        <v>33</v>
      </c>
    </row>
    <row r="2463">
      <c r="A2463" s="32">
        <f>IFERROR(__xludf.DUMMYFUNCTION("""COMPUTED_VALUE"""),43372.125934780095)</f>
        <v>43372.12593</v>
      </c>
      <c r="B2463" t="s">
        <v>45</v>
      </c>
    </row>
    <row r="2464">
      <c r="A2464" s="32">
        <f>IFERROR(__xludf.DUMMYFUNCTION("""COMPUTED_VALUE"""),43372.14782439815)</f>
        <v>43372.14782</v>
      </c>
      <c r="B2464" t="s">
        <v>282</v>
      </c>
    </row>
    <row r="2465">
      <c r="A2465" s="32">
        <f>IFERROR(__xludf.DUMMYFUNCTION("""COMPUTED_VALUE"""),43372.242048831016)</f>
        <v>43372.24205</v>
      </c>
      <c r="B2465" t="s">
        <v>45</v>
      </c>
    </row>
    <row r="2466">
      <c r="A2466" s="32">
        <f>IFERROR(__xludf.DUMMYFUNCTION("""COMPUTED_VALUE"""),43372.245784583334)</f>
        <v>43372.24578</v>
      </c>
      <c r="B2466" t="s">
        <v>282</v>
      </c>
    </row>
    <row r="2467">
      <c r="A2467" s="32">
        <f>IFERROR(__xludf.DUMMYFUNCTION("""COMPUTED_VALUE"""),43372.24786390046)</f>
        <v>43372.24786</v>
      </c>
      <c r="B2467" t="s">
        <v>80</v>
      </c>
    </row>
    <row r="2468">
      <c r="A2468" s="32">
        <f>IFERROR(__xludf.DUMMYFUNCTION("""COMPUTED_VALUE"""),43372.2520965625)</f>
        <v>43372.2521</v>
      </c>
      <c r="B2468" t="s">
        <v>819</v>
      </c>
    </row>
    <row r="2469">
      <c r="A2469" s="32">
        <f>IFERROR(__xludf.DUMMYFUNCTION("""COMPUTED_VALUE"""),43372.25411381944)</f>
        <v>43372.25411</v>
      </c>
      <c r="B2469" t="s">
        <v>45</v>
      </c>
    </row>
    <row r="2470">
      <c r="A2470" s="32">
        <f>IFERROR(__xludf.DUMMYFUNCTION("""COMPUTED_VALUE"""),43372.25679371528)</f>
        <v>43372.25679</v>
      </c>
      <c r="B2470" t="s">
        <v>33</v>
      </c>
    </row>
    <row r="2471">
      <c r="A2471" s="32">
        <f>IFERROR(__xludf.DUMMYFUNCTION("""COMPUTED_VALUE"""),43372.26056825231)</f>
        <v>43372.26057</v>
      </c>
      <c r="B2471" t="s">
        <v>119</v>
      </c>
    </row>
    <row r="2472">
      <c r="A2472" s="32">
        <f>IFERROR(__xludf.DUMMYFUNCTION("""COMPUTED_VALUE"""),43372.266973125)</f>
        <v>43372.26697</v>
      </c>
      <c r="B2472" t="s">
        <v>80</v>
      </c>
    </row>
    <row r="2473">
      <c r="A2473" s="32">
        <f>IFERROR(__xludf.DUMMYFUNCTION("""COMPUTED_VALUE"""),43372.26852612269)</f>
        <v>43372.26853</v>
      </c>
      <c r="B2473" t="s">
        <v>40</v>
      </c>
    </row>
    <row r="2474">
      <c r="A2474" s="32">
        <f>IFERROR(__xludf.DUMMYFUNCTION("""COMPUTED_VALUE"""),43372.2871952662)</f>
        <v>43372.2872</v>
      </c>
      <c r="B2474" t="s">
        <v>33</v>
      </c>
    </row>
    <row r="2475">
      <c r="A2475" s="32">
        <f>IFERROR(__xludf.DUMMYFUNCTION("""COMPUTED_VALUE"""),43372.29982987269)</f>
        <v>43372.29983</v>
      </c>
      <c r="B2475" t="s">
        <v>1371</v>
      </c>
    </row>
    <row r="2476">
      <c r="A2476" s="32">
        <f>IFERROR(__xludf.DUMMYFUNCTION("""COMPUTED_VALUE"""),43372.306807256944)</f>
        <v>43372.30681</v>
      </c>
      <c r="B2476" t="s">
        <v>123</v>
      </c>
    </row>
    <row r="2477">
      <c r="A2477" s="32">
        <f>IFERROR(__xludf.DUMMYFUNCTION("""COMPUTED_VALUE"""),43372.310718506946)</f>
        <v>43372.31072</v>
      </c>
      <c r="B2477" t="s">
        <v>45</v>
      </c>
    </row>
    <row r="2478">
      <c r="A2478" s="32">
        <f>IFERROR(__xludf.DUMMYFUNCTION("""COMPUTED_VALUE"""),43372.316191770835)</f>
        <v>43372.31619</v>
      </c>
      <c r="B2478" t="s">
        <v>548</v>
      </c>
    </row>
    <row r="2479">
      <c r="A2479" s="32">
        <f>IFERROR(__xludf.DUMMYFUNCTION("""COMPUTED_VALUE"""),43372.318650127316)</f>
        <v>43372.31865</v>
      </c>
      <c r="B2479" t="s">
        <v>282</v>
      </c>
    </row>
    <row r="2480">
      <c r="A2480" s="32">
        <f>IFERROR(__xludf.DUMMYFUNCTION("""COMPUTED_VALUE"""),43372.34350452546)</f>
        <v>43372.3435</v>
      </c>
      <c r="B2480" t="s">
        <v>80</v>
      </c>
    </row>
    <row r="2481">
      <c r="A2481" s="32">
        <f>IFERROR(__xludf.DUMMYFUNCTION("""COMPUTED_VALUE"""),43372.3440703125)</f>
        <v>43372.34407</v>
      </c>
      <c r="B2481" t="s">
        <v>33</v>
      </c>
    </row>
    <row r="2482">
      <c r="A2482" s="32">
        <f>IFERROR(__xludf.DUMMYFUNCTION("""COMPUTED_VALUE"""),43372.37304121528)</f>
        <v>43372.37304</v>
      </c>
      <c r="B2482" t="s">
        <v>36</v>
      </c>
    </row>
    <row r="2483">
      <c r="A2483" s="32">
        <f>IFERROR(__xludf.DUMMYFUNCTION("""COMPUTED_VALUE"""),43372.37495384259)</f>
        <v>43372.37495</v>
      </c>
      <c r="B2483" t="s">
        <v>187</v>
      </c>
    </row>
    <row r="2484">
      <c r="A2484" s="32">
        <f>IFERROR(__xludf.DUMMYFUNCTION("""COMPUTED_VALUE"""),43372.38016556713)</f>
        <v>43372.38017</v>
      </c>
      <c r="B2484" t="s">
        <v>873</v>
      </c>
    </row>
    <row r="2485">
      <c r="A2485" s="32">
        <f>IFERROR(__xludf.DUMMYFUNCTION("""COMPUTED_VALUE"""),43372.39004888889)</f>
        <v>43372.39005</v>
      </c>
      <c r="B2485" t="s">
        <v>48</v>
      </c>
    </row>
    <row r="2486">
      <c r="A2486" s="32">
        <f>IFERROR(__xludf.DUMMYFUNCTION("""COMPUTED_VALUE"""),43372.417408368055)</f>
        <v>43372.41741</v>
      </c>
      <c r="B2486" t="s">
        <v>187</v>
      </c>
    </row>
    <row r="2487">
      <c r="A2487" s="32">
        <f>IFERROR(__xludf.DUMMYFUNCTION("""COMPUTED_VALUE"""),43372.44422849537)</f>
        <v>43372.44423</v>
      </c>
      <c r="B2487" t="s">
        <v>80</v>
      </c>
    </row>
    <row r="2488">
      <c r="A2488" s="32">
        <f>IFERROR(__xludf.DUMMYFUNCTION("""COMPUTED_VALUE"""),43372.45120552083)</f>
        <v>43372.45121</v>
      </c>
      <c r="B2488" t="s">
        <v>33</v>
      </c>
    </row>
    <row r="2489">
      <c r="A2489" s="32">
        <f>IFERROR(__xludf.DUMMYFUNCTION("""COMPUTED_VALUE"""),43372.46580643518)</f>
        <v>43372.46581</v>
      </c>
      <c r="B2489" t="s">
        <v>2662</v>
      </c>
    </row>
    <row r="2490">
      <c r="A2490" s="32">
        <f>IFERROR(__xludf.DUMMYFUNCTION("""COMPUTED_VALUE"""),43372.469677650464)</f>
        <v>43372.46968</v>
      </c>
      <c r="B2490" t="s">
        <v>187</v>
      </c>
    </row>
    <row r="2491">
      <c r="A2491" s="32">
        <f>IFERROR(__xludf.DUMMYFUNCTION("""COMPUTED_VALUE"""),43372.473794351856)</f>
        <v>43372.47379</v>
      </c>
      <c r="B2491" t="s">
        <v>33</v>
      </c>
    </row>
    <row r="2492">
      <c r="A2492" s="32">
        <f>IFERROR(__xludf.DUMMYFUNCTION("""COMPUTED_VALUE"""),43372.507602881946)</f>
        <v>43372.5076</v>
      </c>
      <c r="B2492" t="s">
        <v>80</v>
      </c>
    </row>
    <row r="2493">
      <c r="A2493" s="32">
        <f>IFERROR(__xludf.DUMMYFUNCTION("""COMPUTED_VALUE"""),43372.51922429398)</f>
        <v>43372.51922</v>
      </c>
      <c r="B2493" t="s">
        <v>33</v>
      </c>
    </row>
    <row r="2494">
      <c r="A2494" s="32">
        <f>IFERROR(__xludf.DUMMYFUNCTION("""COMPUTED_VALUE"""),43372.52285721065)</f>
        <v>43372.52286</v>
      </c>
      <c r="B2494" t="s">
        <v>119</v>
      </c>
    </row>
    <row r="2495">
      <c r="A2495" s="32">
        <f>IFERROR(__xludf.DUMMYFUNCTION("""COMPUTED_VALUE"""),43372.523116805554)</f>
        <v>43372.52312</v>
      </c>
      <c r="B2495" t="s">
        <v>119</v>
      </c>
    </row>
    <row r="2496">
      <c r="A2496" s="32">
        <f>IFERROR(__xludf.DUMMYFUNCTION("""COMPUTED_VALUE"""),43372.52523159722)</f>
        <v>43372.52523</v>
      </c>
      <c r="B2496" t="s">
        <v>119</v>
      </c>
    </row>
    <row r="2497">
      <c r="A2497" s="32">
        <f>IFERROR(__xludf.DUMMYFUNCTION("""COMPUTED_VALUE"""),43372.52803739584)</f>
        <v>43372.52804</v>
      </c>
      <c r="B2497" t="s">
        <v>119</v>
      </c>
    </row>
    <row r="2498">
      <c r="A2498" s="32">
        <f>IFERROR(__xludf.DUMMYFUNCTION("""COMPUTED_VALUE"""),43372.54435751158)</f>
        <v>43372.54436</v>
      </c>
      <c r="B2498" t="s">
        <v>119</v>
      </c>
    </row>
    <row r="2499">
      <c r="A2499" s="32">
        <f>IFERROR(__xludf.DUMMYFUNCTION("""COMPUTED_VALUE"""),43372.54445414351)</f>
        <v>43372.54445</v>
      </c>
      <c r="B2499" t="s">
        <v>119</v>
      </c>
    </row>
    <row r="2500">
      <c r="A2500" s="32">
        <f>IFERROR(__xludf.DUMMYFUNCTION("""COMPUTED_VALUE"""),43372.54568292824)</f>
        <v>43372.54568</v>
      </c>
      <c r="B2500" t="s">
        <v>119</v>
      </c>
    </row>
    <row r="2501">
      <c r="A2501" s="32">
        <f>IFERROR(__xludf.DUMMYFUNCTION("""COMPUTED_VALUE"""),43372.54928068287)</f>
        <v>43372.54928</v>
      </c>
      <c r="B2501" t="s">
        <v>407</v>
      </c>
    </row>
    <row r="2502">
      <c r="A2502" s="32">
        <f>IFERROR(__xludf.DUMMYFUNCTION("""COMPUTED_VALUE"""),43372.55397645834)</f>
        <v>43372.55398</v>
      </c>
      <c r="B2502" t="s">
        <v>387</v>
      </c>
    </row>
    <row r="2503">
      <c r="A2503" s="32">
        <f>IFERROR(__xludf.DUMMYFUNCTION("""COMPUTED_VALUE"""),43372.55466844907)</f>
        <v>43372.55467</v>
      </c>
      <c r="B2503" t="s">
        <v>119</v>
      </c>
    </row>
    <row r="2504">
      <c r="A2504" s="32">
        <f>IFERROR(__xludf.DUMMYFUNCTION("""COMPUTED_VALUE"""),43372.555642673615)</f>
        <v>43372.55564</v>
      </c>
      <c r="B2504" t="s">
        <v>33</v>
      </c>
    </row>
    <row r="2505">
      <c r="A2505" s="32">
        <f>IFERROR(__xludf.DUMMYFUNCTION("""COMPUTED_VALUE"""),43372.5587471412)</f>
        <v>43372.55875</v>
      </c>
      <c r="B2505" t="s">
        <v>119</v>
      </c>
    </row>
    <row r="2506">
      <c r="A2506" s="32">
        <f>IFERROR(__xludf.DUMMYFUNCTION("""COMPUTED_VALUE"""),43372.566408831015)</f>
        <v>43372.56641</v>
      </c>
      <c r="B2506" t="s">
        <v>119</v>
      </c>
    </row>
    <row r="2507">
      <c r="A2507" s="32">
        <f>IFERROR(__xludf.DUMMYFUNCTION("""COMPUTED_VALUE"""),43372.56788675926)</f>
        <v>43372.56789</v>
      </c>
      <c r="B2507" t="s">
        <v>119</v>
      </c>
    </row>
    <row r="2508">
      <c r="A2508" s="32">
        <f>IFERROR(__xludf.DUMMYFUNCTION("""COMPUTED_VALUE"""),43372.571638865746)</f>
        <v>43372.57164</v>
      </c>
      <c r="B2508" t="s">
        <v>119</v>
      </c>
    </row>
    <row r="2509">
      <c r="A2509" s="32">
        <f>IFERROR(__xludf.DUMMYFUNCTION("""COMPUTED_VALUE"""),43372.57179232639)</f>
        <v>43372.57179</v>
      </c>
      <c r="B2509" t="s">
        <v>40</v>
      </c>
    </row>
    <row r="2510">
      <c r="A2510" s="32">
        <f>IFERROR(__xludf.DUMMYFUNCTION("""COMPUTED_VALUE"""),43372.57373069444)</f>
        <v>43372.57373</v>
      </c>
      <c r="B2510" t="s">
        <v>282</v>
      </c>
    </row>
    <row r="2511">
      <c r="A2511" s="32">
        <f>IFERROR(__xludf.DUMMYFUNCTION("""COMPUTED_VALUE"""),43372.580772939815)</f>
        <v>43372.58077</v>
      </c>
      <c r="B2511" t="s">
        <v>105</v>
      </c>
    </row>
    <row r="2512">
      <c r="A2512" s="32">
        <f>IFERROR(__xludf.DUMMYFUNCTION("""COMPUTED_VALUE"""),43372.58347054398)</f>
        <v>43372.58347</v>
      </c>
      <c r="B2512" t="s">
        <v>33</v>
      </c>
    </row>
    <row r="2513">
      <c r="A2513" s="32">
        <f>IFERROR(__xludf.DUMMYFUNCTION("""COMPUTED_VALUE"""),43372.584298553236)</f>
        <v>43372.5843</v>
      </c>
      <c r="B2513" t="s">
        <v>40</v>
      </c>
    </row>
    <row r="2514">
      <c r="A2514" s="32">
        <f>IFERROR(__xludf.DUMMYFUNCTION("""COMPUTED_VALUE"""),43372.60475479167)</f>
        <v>43372.60475</v>
      </c>
      <c r="B2514" t="s">
        <v>119</v>
      </c>
    </row>
    <row r="2515">
      <c r="A2515" s="32">
        <f>IFERROR(__xludf.DUMMYFUNCTION("""COMPUTED_VALUE"""),43372.61326229166)</f>
        <v>43372.61326</v>
      </c>
      <c r="B2515" t="s">
        <v>80</v>
      </c>
    </row>
    <row r="2516">
      <c r="A2516" s="32">
        <f>IFERROR(__xludf.DUMMYFUNCTION("""COMPUTED_VALUE"""),43372.6203828588)</f>
        <v>43372.62038</v>
      </c>
      <c r="B2516" t="s">
        <v>80</v>
      </c>
    </row>
    <row r="2517">
      <c r="A2517" s="32">
        <f>IFERROR(__xludf.DUMMYFUNCTION("""COMPUTED_VALUE"""),43372.62500005787)</f>
        <v>43372.625</v>
      </c>
      <c r="B2517" t="s">
        <v>80</v>
      </c>
    </row>
    <row r="2518">
      <c r="A2518" s="32">
        <f>IFERROR(__xludf.DUMMYFUNCTION("""COMPUTED_VALUE"""),43372.638278611106)</f>
        <v>43372.63828</v>
      </c>
      <c r="B2518" t="s">
        <v>258</v>
      </c>
    </row>
    <row r="2519">
      <c r="A2519" s="32">
        <f>IFERROR(__xludf.DUMMYFUNCTION("""COMPUTED_VALUE"""),43372.649694155094)</f>
        <v>43372.64969</v>
      </c>
      <c r="B2519" t="s">
        <v>33</v>
      </c>
    </row>
    <row r="2520">
      <c r="A2520" s="32">
        <f>IFERROR(__xludf.DUMMYFUNCTION("""COMPUTED_VALUE"""),43372.6703596875)</f>
        <v>43372.67036</v>
      </c>
      <c r="B2520" t="s">
        <v>80</v>
      </c>
    </row>
    <row r="2521">
      <c r="A2521" s="32">
        <f>IFERROR(__xludf.DUMMYFUNCTION("""COMPUTED_VALUE"""),43372.68102293981)</f>
        <v>43372.68102</v>
      </c>
      <c r="B2521" t="s">
        <v>119</v>
      </c>
    </row>
    <row r="2522">
      <c r="A2522" s="32">
        <f>IFERROR(__xludf.DUMMYFUNCTION("""COMPUTED_VALUE"""),43372.69673768518)</f>
        <v>43372.69674</v>
      </c>
      <c r="B2522" t="s">
        <v>119</v>
      </c>
    </row>
    <row r="2523">
      <c r="A2523" s="32">
        <f>IFERROR(__xludf.DUMMYFUNCTION("""COMPUTED_VALUE"""),43372.70071040509)</f>
        <v>43372.70071</v>
      </c>
      <c r="B2523" t="s">
        <v>119</v>
      </c>
    </row>
    <row r="2524">
      <c r="A2524" s="32">
        <f>IFERROR(__xludf.DUMMYFUNCTION("""COMPUTED_VALUE"""),43372.71668164352)</f>
        <v>43372.71668</v>
      </c>
      <c r="B2524" t="s">
        <v>119</v>
      </c>
    </row>
    <row r="2525">
      <c r="A2525" s="32">
        <f>IFERROR(__xludf.DUMMYFUNCTION("""COMPUTED_VALUE"""),43372.77247765046)</f>
        <v>43372.77248</v>
      </c>
      <c r="B2525" t="s">
        <v>119</v>
      </c>
    </row>
    <row r="2526">
      <c r="A2526" s="32">
        <f>IFERROR(__xludf.DUMMYFUNCTION("""COMPUTED_VALUE"""),43372.772620868054)</f>
        <v>43372.77262</v>
      </c>
      <c r="B2526" t="s">
        <v>119</v>
      </c>
    </row>
    <row r="2527">
      <c r="A2527" s="32">
        <f>IFERROR(__xludf.DUMMYFUNCTION("""COMPUTED_VALUE"""),43372.78945085648)</f>
        <v>43372.78945</v>
      </c>
      <c r="B2527" t="s">
        <v>1788</v>
      </c>
    </row>
    <row r="2528">
      <c r="A2528" s="32">
        <f>IFERROR(__xludf.DUMMYFUNCTION("""COMPUTED_VALUE"""),43372.81420965277)</f>
        <v>43372.81421</v>
      </c>
      <c r="B2528" t="s">
        <v>426</v>
      </c>
    </row>
    <row r="2529">
      <c r="A2529" s="32">
        <f>IFERROR(__xludf.DUMMYFUNCTION("""COMPUTED_VALUE"""),43372.85627059027)</f>
        <v>43372.85627</v>
      </c>
      <c r="B2529" t="s">
        <v>33</v>
      </c>
    </row>
    <row r="2530">
      <c r="A2530" s="32">
        <f>IFERROR(__xludf.DUMMYFUNCTION("""COMPUTED_VALUE"""),43372.892314467594)</f>
        <v>43372.89231</v>
      </c>
      <c r="B2530" t="s">
        <v>40</v>
      </c>
    </row>
    <row r="2531" hidden="1">
      <c r="A2531" s="32">
        <f>IFERROR(__xludf.DUMMYFUNCTION("""COMPUTED_VALUE"""),43373.01257791667)</f>
        <v>43373.01258</v>
      </c>
      <c r="B2531" t="s">
        <v>33</v>
      </c>
    </row>
    <row r="2532" hidden="1">
      <c r="A2532" s="32">
        <f>IFERROR(__xludf.DUMMYFUNCTION("""COMPUTED_VALUE"""),43373.07012145834)</f>
        <v>43373.07012</v>
      </c>
      <c r="B2532" t="s">
        <v>119</v>
      </c>
    </row>
    <row r="2533" hidden="1">
      <c r="A2533" s="32">
        <f>IFERROR(__xludf.DUMMYFUNCTION("""COMPUTED_VALUE"""),43373.161218587964)</f>
        <v>43373.16122</v>
      </c>
      <c r="B2533" t="s">
        <v>119</v>
      </c>
    </row>
    <row r="2534" hidden="1">
      <c r="A2534" s="32">
        <f>IFERROR(__xludf.DUMMYFUNCTION("""COMPUTED_VALUE"""),43373.406378784726)</f>
        <v>43373.40638</v>
      </c>
      <c r="B2534" t="s">
        <v>119</v>
      </c>
    </row>
    <row r="2535" hidden="1">
      <c r="A2535" s="32">
        <f>IFERROR(__xludf.DUMMYFUNCTION("""COMPUTED_VALUE"""),43373.40910736111)</f>
        <v>43373.40911</v>
      </c>
      <c r="B2535" t="s">
        <v>33</v>
      </c>
    </row>
    <row r="2536" hidden="1">
      <c r="A2536" s="32">
        <f>IFERROR(__xludf.DUMMYFUNCTION("""COMPUTED_VALUE"""),43373.53505122685)</f>
        <v>43373.53505</v>
      </c>
      <c r="B2536" t="s">
        <v>40</v>
      </c>
    </row>
    <row r="2537" hidden="1">
      <c r="A2537" s="32">
        <f>IFERROR(__xludf.DUMMYFUNCTION("""COMPUTED_VALUE"""),43373.56884511574)</f>
        <v>43373.56885</v>
      </c>
      <c r="B2537" t="s">
        <v>80</v>
      </c>
    </row>
    <row r="2538" hidden="1">
      <c r="A2538" s="32">
        <f>IFERROR(__xludf.DUMMYFUNCTION("""COMPUTED_VALUE"""),43373.57188369213)</f>
        <v>43373.57188</v>
      </c>
      <c r="B2538" t="s">
        <v>45</v>
      </c>
    </row>
    <row r="2539" hidden="1">
      <c r="A2539" s="32">
        <f>IFERROR(__xludf.DUMMYFUNCTION("""COMPUTED_VALUE"""),43373.57251297454)</f>
        <v>43373.57251</v>
      </c>
      <c r="B2539" t="s">
        <v>45</v>
      </c>
    </row>
    <row r="2540" hidden="1">
      <c r="A2540" s="32">
        <f>IFERROR(__xludf.DUMMYFUNCTION("""COMPUTED_VALUE"""),43373.58106098379)</f>
        <v>43373.58106</v>
      </c>
      <c r="B2540" t="s">
        <v>2658</v>
      </c>
    </row>
    <row r="2541" hidden="1">
      <c r="A2541" s="32">
        <f>IFERROR(__xludf.DUMMYFUNCTION("""COMPUTED_VALUE"""),43373.634965289355)</f>
        <v>43373.63497</v>
      </c>
      <c r="B2541" t="s">
        <v>33</v>
      </c>
    </row>
    <row r="2542" hidden="1">
      <c r="A2542" s="32">
        <f>IFERROR(__xludf.DUMMYFUNCTION("""COMPUTED_VALUE"""),43373.63606453704)</f>
        <v>43373.63606</v>
      </c>
      <c r="B2542" t="s">
        <v>139</v>
      </c>
    </row>
    <row r="2543" hidden="1">
      <c r="A2543" s="32">
        <f>IFERROR(__xludf.DUMMYFUNCTION("""COMPUTED_VALUE"""),43373.65408721065)</f>
        <v>43373.65409</v>
      </c>
      <c r="B2543" t="s">
        <v>123</v>
      </c>
    </row>
    <row r="2544" hidden="1">
      <c r="A2544" s="32">
        <f>IFERROR(__xludf.DUMMYFUNCTION("""COMPUTED_VALUE"""),43373.6655024537)</f>
        <v>43373.6655</v>
      </c>
      <c r="B2544" t="s">
        <v>119</v>
      </c>
    </row>
    <row r="2545" hidden="1">
      <c r="A2545" s="32">
        <f>IFERROR(__xludf.DUMMYFUNCTION("""COMPUTED_VALUE"""),43373.71183019676)</f>
        <v>43373.71183</v>
      </c>
      <c r="B2545" t="s">
        <v>45</v>
      </c>
    </row>
    <row r="2546" hidden="1">
      <c r="A2546" s="32">
        <f>IFERROR(__xludf.DUMMYFUNCTION("""COMPUTED_VALUE"""),43373.72464085648)</f>
        <v>43373.72464</v>
      </c>
      <c r="B2546" t="s">
        <v>268</v>
      </c>
    </row>
    <row r="2547" hidden="1">
      <c r="A2547" s="32">
        <f>IFERROR(__xludf.DUMMYFUNCTION("""COMPUTED_VALUE"""),43373.74233731482)</f>
        <v>43373.74234</v>
      </c>
      <c r="B2547" t="s">
        <v>119</v>
      </c>
    </row>
    <row r="2548" hidden="1">
      <c r="A2548" s="32">
        <f>IFERROR(__xludf.DUMMYFUNCTION("""COMPUTED_VALUE"""),43373.76294994213)</f>
        <v>43373.76295</v>
      </c>
      <c r="B2548" t="s">
        <v>119</v>
      </c>
    </row>
    <row r="2549" hidden="1">
      <c r="A2549" s="32">
        <f>IFERROR(__xludf.DUMMYFUNCTION("""COMPUTED_VALUE"""),43373.7668924537)</f>
        <v>43373.76689</v>
      </c>
      <c r="B2549" t="s">
        <v>80</v>
      </c>
    </row>
    <row r="2550" hidden="1">
      <c r="A2550" s="32">
        <f>IFERROR(__xludf.DUMMYFUNCTION("""COMPUTED_VALUE"""),43373.77443321759)</f>
        <v>43373.77443</v>
      </c>
      <c r="B2550" t="s">
        <v>2424</v>
      </c>
    </row>
    <row r="2551" hidden="1">
      <c r="A2551" s="32">
        <f>IFERROR(__xludf.DUMMYFUNCTION("""COMPUTED_VALUE"""),43373.80693439815)</f>
        <v>43373.80693</v>
      </c>
      <c r="B2551" t="s">
        <v>48</v>
      </c>
    </row>
    <row r="2552" hidden="1">
      <c r="A2552" s="32">
        <f>IFERROR(__xludf.DUMMYFUNCTION("""COMPUTED_VALUE"""),43373.837607291665)</f>
        <v>43373.83761</v>
      </c>
      <c r="B2552" t="s">
        <v>45</v>
      </c>
    </row>
    <row r="2553" hidden="1">
      <c r="A2553" s="32">
        <f>IFERROR(__xludf.DUMMYFUNCTION("""COMPUTED_VALUE"""),43373.85184668981)</f>
        <v>43373.85185</v>
      </c>
      <c r="B2553" t="s">
        <v>1805</v>
      </c>
    </row>
    <row r="2554" hidden="1">
      <c r="A2554" s="32">
        <f>IFERROR(__xludf.DUMMYFUNCTION("""COMPUTED_VALUE"""),43373.85761535879)</f>
        <v>43373.85762</v>
      </c>
      <c r="B2554" t="s">
        <v>380</v>
      </c>
    </row>
    <row r="2555" hidden="1">
      <c r="A2555" s="32">
        <f>IFERROR(__xludf.DUMMYFUNCTION("""COMPUTED_VALUE"""),43373.88103680556)</f>
        <v>43373.88104</v>
      </c>
      <c r="B2555" t="s">
        <v>80</v>
      </c>
    </row>
    <row r="2556" hidden="1">
      <c r="A2556" s="32">
        <f>IFERROR(__xludf.DUMMYFUNCTION("""COMPUTED_VALUE"""),43373.93987199074)</f>
        <v>43373.93987</v>
      </c>
      <c r="B2556" t="s">
        <v>80</v>
      </c>
    </row>
    <row r="2557" hidden="1">
      <c r="A2557" s="32">
        <f>IFERROR(__xludf.DUMMYFUNCTION("""COMPUTED_VALUE"""),43373.953295162035)</f>
        <v>43373.9533</v>
      </c>
      <c r="B2557" t="s">
        <v>45</v>
      </c>
    </row>
    <row r="2558" hidden="1">
      <c r="A2558" s="32">
        <f>IFERROR(__xludf.DUMMYFUNCTION("""COMPUTED_VALUE"""),43373.98487782407)</f>
        <v>43373.98488</v>
      </c>
      <c r="B2558" t="s">
        <v>45</v>
      </c>
    </row>
    <row r="2559" hidden="1">
      <c r="A2559" s="32">
        <f>IFERROR(__xludf.DUMMYFUNCTION("""COMPUTED_VALUE"""),43374.1453796875)</f>
        <v>43374.14538</v>
      </c>
      <c r="B2559" t="s">
        <v>33</v>
      </c>
    </row>
    <row r="2560" hidden="1">
      <c r="A2560" s="32">
        <f>IFERROR(__xludf.DUMMYFUNCTION("""COMPUTED_VALUE"""),43374.237624560184)</f>
        <v>43374.23762</v>
      </c>
      <c r="B2560" t="s">
        <v>1808</v>
      </c>
    </row>
    <row r="2561" hidden="1">
      <c r="A2561" s="32">
        <f>IFERROR(__xludf.DUMMYFUNCTION("""COMPUTED_VALUE"""),43374.35175155093)</f>
        <v>43374.35175</v>
      </c>
      <c r="B2561" t="s">
        <v>123</v>
      </c>
    </row>
    <row r="2562" hidden="1">
      <c r="A2562" s="32">
        <f>IFERROR(__xludf.DUMMYFUNCTION("""COMPUTED_VALUE"""),43374.37530893518)</f>
        <v>43374.37531</v>
      </c>
      <c r="B2562" t="s">
        <v>170</v>
      </c>
    </row>
    <row r="2563" hidden="1">
      <c r="A2563" s="32">
        <f>IFERROR(__xludf.DUMMYFUNCTION("""COMPUTED_VALUE"""),43374.37545759259)</f>
        <v>43374.37546</v>
      </c>
      <c r="B2563" t="s">
        <v>119</v>
      </c>
    </row>
    <row r="2564" hidden="1">
      <c r="A2564" s="32">
        <f>IFERROR(__xludf.DUMMYFUNCTION("""COMPUTED_VALUE"""),43374.426625486114)</f>
        <v>43374.42663</v>
      </c>
      <c r="B2564" t="s">
        <v>282</v>
      </c>
    </row>
    <row r="2565" hidden="1">
      <c r="A2565" s="32">
        <f>IFERROR(__xludf.DUMMYFUNCTION("""COMPUTED_VALUE"""),43374.50000703704)</f>
        <v>43374.50001</v>
      </c>
      <c r="B2565" t="s">
        <v>36</v>
      </c>
    </row>
    <row r="2566" hidden="1">
      <c r="A2566" s="32">
        <f>IFERROR(__xludf.DUMMYFUNCTION("""COMPUTED_VALUE"""),43374.53558821759)</f>
        <v>43374.53559</v>
      </c>
      <c r="B2566" t="s">
        <v>33</v>
      </c>
    </row>
    <row r="2567" hidden="1">
      <c r="A2567" s="32">
        <f>IFERROR(__xludf.DUMMYFUNCTION("""COMPUTED_VALUE"""),43374.59330978009)</f>
        <v>43374.59331</v>
      </c>
      <c r="B2567" t="s">
        <v>170</v>
      </c>
    </row>
    <row r="2568" hidden="1">
      <c r="A2568" s="32">
        <f>IFERROR(__xludf.DUMMYFUNCTION("""COMPUTED_VALUE"""),43374.59477834491)</f>
        <v>43374.59478</v>
      </c>
      <c r="B2568" t="s">
        <v>170</v>
      </c>
    </row>
    <row r="2569" hidden="1">
      <c r="A2569" s="32">
        <f>IFERROR(__xludf.DUMMYFUNCTION("""COMPUTED_VALUE"""),43374.59659717593)</f>
        <v>43374.5966</v>
      </c>
      <c r="B2569" t="s">
        <v>48</v>
      </c>
    </row>
    <row r="2570" hidden="1">
      <c r="A2570" s="32">
        <f>IFERROR(__xludf.DUMMYFUNCTION("""COMPUTED_VALUE"""),43374.60627351852)</f>
        <v>43374.60627</v>
      </c>
      <c r="B2570" t="s">
        <v>105</v>
      </c>
    </row>
    <row r="2571" hidden="1">
      <c r="A2571" s="32">
        <f>IFERROR(__xludf.DUMMYFUNCTION("""COMPUTED_VALUE"""),43374.625154270834)</f>
        <v>43374.62515</v>
      </c>
      <c r="B2571" t="s">
        <v>119</v>
      </c>
    </row>
    <row r="2572" hidden="1">
      <c r="A2572" s="32">
        <f>IFERROR(__xludf.DUMMYFUNCTION("""COMPUTED_VALUE"""),43374.65523616898)</f>
        <v>43374.65524</v>
      </c>
      <c r="B2572" t="s">
        <v>40</v>
      </c>
    </row>
    <row r="2573" hidden="1">
      <c r="A2573" s="32">
        <f>IFERROR(__xludf.DUMMYFUNCTION("""COMPUTED_VALUE"""),43374.716753726854)</f>
        <v>43374.71675</v>
      </c>
      <c r="B2573" t="s">
        <v>119</v>
      </c>
    </row>
    <row r="2574" hidden="1">
      <c r="A2574" s="32">
        <f>IFERROR(__xludf.DUMMYFUNCTION("""COMPUTED_VALUE"""),43374.72887585648)</f>
        <v>43374.72888</v>
      </c>
      <c r="B2574" t="s">
        <v>119</v>
      </c>
    </row>
    <row r="2575" hidden="1">
      <c r="A2575" s="32">
        <f>IFERROR(__xludf.DUMMYFUNCTION("""COMPUTED_VALUE"""),43374.77785270833)</f>
        <v>43374.77785</v>
      </c>
      <c r="B2575" t="s">
        <v>371</v>
      </c>
    </row>
    <row r="2576" hidden="1">
      <c r="A2576" s="32">
        <f>IFERROR(__xludf.DUMMYFUNCTION("""COMPUTED_VALUE"""),43374.77849898148)</f>
        <v>43374.7785</v>
      </c>
      <c r="B2576" t="s">
        <v>371</v>
      </c>
    </row>
    <row r="2577" hidden="1">
      <c r="A2577" s="32">
        <f>IFERROR(__xludf.DUMMYFUNCTION("""COMPUTED_VALUE"""),43374.82281165509)</f>
        <v>43374.82281</v>
      </c>
      <c r="B2577" t="s">
        <v>80</v>
      </c>
    </row>
    <row r="2578" hidden="1">
      <c r="A2578" s="32">
        <f>IFERROR(__xludf.DUMMYFUNCTION("""COMPUTED_VALUE"""),43374.83075824074)</f>
        <v>43374.83076</v>
      </c>
      <c r="B2578" t="s">
        <v>263</v>
      </c>
    </row>
    <row r="2579" hidden="1">
      <c r="A2579" s="32">
        <f>IFERROR(__xludf.DUMMYFUNCTION("""COMPUTED_VALUE"""),43374.83963956019)</f>
        <v>43374.83964</v>
      </c>
      <c r="B2579" t="s">
        <v>40</v>
      </c>
    </row>
    <row r="2580" hidden="1">
      <c r="A2580" s="32">
        <f>IFERROR(__xludf.DUMMYFUNCTION("""COMPUTED_VALUE"""),43374.86095903935)</f>
        <v>43374.86096</v>
      </c>
      <c r="B2580" t="s">
        <v>40</v>
      </c>
    </row>
    <row r="2581" hidden="1">
      <c r="A2581" s="32">
        <f>IFERROR(__xludf.DUMMYFUNCTION("""COMPUTED_VALUE"""),43374.944204768515)</f>
        <v>43374.9442</v>
      </c>
      <c r="B2581" t="s">
        <v>1821</v>
      </c>
    </row>
    <row r="2582" hidden="1">
      <c r="A2582" s="32">
        <f>IFERROR(__xludf.DUMMYFUNCTION("""COMPUTED_VALUE"""),43374.96079923611)</f>
        <v>43374.9608</v>
      </c>
      <c r="B2582" t="s">
        <v>119</v>
      </c>
    </row>
    <row r="2583" hidden="1">
      <c r="A2583" s="32">
        <f>IFERROR(__xludf.DUMMYFUNCTION("""COMPUTED_VALUE"""),43374.99079866898)</f>
        <v>43374.9908</v>
      </c>
      <c r="B2583" t="s">
        <v>33</v>
      </c>
    </row>
    <row r="2584" hidden="1">
      <c r="A2584" s="32">
        <f>IFERROR(__xludf.DUMMYFUNCTION("""COMPUTED_VALUE"""),43374.994018067126)</f>
        <v>43374.99402</v>
      </c>
      <c r="B2584" t="s">
        <v>80</v>
      </c>
    </row>
    <row r="2585" hidden="1">
      <c r="A2585" s="32">
        <f>IFERROR(__xludf.DUMMYFUNCTION("""COMPUTED_VALUE"""),43375.00404695602)</f>
        <v>43375.00405</v>
      </c>
      <c r="B2585" t="s">
        <v>40</v>
      </c>
    </row>
    <row r="2586" hidden="1">
      <c r="A2586" s="32">
        <f>IFERROR(__xludf.DUMMYFUNCTION("""COMPUTED_VALUE"""),43375.40158550926)</f>
        <v>43375.40159</v>
      </c>
      <c r="B2586" t="s">
        <v>40</v>
      </c>
    </row>
    <row r="2587" hidden="1">
      <c r="A2587" s="32">
        <f>IFERROR(__xludf.DUMMYFUNCTION("""COMPUTED_VALUE"""),43375.40446116898)</f>
        <v>43375.40446</v>
      </c>
      <c r="B2587" t="s">
        <v>282</v>
      </c>
    </row>
    <row r="2588" hidden="1">
      <c r="A2588" s="32">
        <f>IFERROR(__xludf.DUMMYFUNCTION("""COMPUTED_VALUE"""),43375.43212840278)</f>
        <v>43375.43213</v>
      </c>
      <c r="B2588" t="s">
        <v>48</v>
      </c>
    </row>
    <row r="2589" hidden="1">
      <c r="A2589" s="32">
        <f>IFERROR(__xludf.DUMMYFUNCTION("""COMPUTED_VALUE"""),43375.438217372684)</f>
        <v>43375.43822</v>
      </c>
      <c r="B2589" t="s">
        <v>40</v>
      </c>
    </row>
    <row r="2590" hidden="1">
      <c r="A2590" s="32">
        <f>IFERROR(__xludf.DUMMYFUNCTION("""COMPUTED_VALUE"""),43375.46083548611)</f>
        <v>43375.46084</v>
      </c>
      <c r="B2590" t="s">
        <v>119</v>
      </c>
    </row>
    <row r="2591" hidden="1">
      <c r="A2591" s="32">
        <f>IFERROR(__xludf.DUMMYFUNCTION("""COMPUTED_VALUE"""),43375.47174641203)</f>
        <v>43375.47175</v>
      </c>
      <c r="B2591" t="s">
        <v>40</v>
      </c>
    </row>
    <row r="2592" hidden="1">
      <c r="A2592" s="32">
        <f>IFERROR(__xludf.DUMMYFUNCTION("""COMPUTED_VALUE"""),43375.51977452546)</f>
        <v>43375.51977</v>
      </c>
      <c r="B2592" t="s">
        <v>33</v>
      </c>
    </row>
    <row r="2593" hidden="1">
      <c r="A2593" s="32">
        <f>IFERROR(__xludf.DUMMYFUNCTION("""COMPUTED_VALUE"""),43375.5501475)</f>
        <v>43375.55015</v>
      </c>
      <c r="B2593" t="s">
        <v>48</v>
      </c>
    </row>
    <row r="2594" hidden="1">
      <c r="A2594" s="32">
        <f>IFERROR(__xludf.DUMMYFUNCTION("""COMPUTED_VALUE"""),43375.565024675925)</f>
        <v>43375.56502</v>
      </c>
      <c r="B2594" t="s">
        <v>33</v>
      </c>
    </row>
    <row r="2595" hidden="1">
      <c r="A2595" s="32">
        <f>IFERROR(__xludf.DUMMYFUNCTION("""COMPUTED_VALUE"""),43375.60662628472)</f>
        <v>43375.60663</v>
      </c>
      <c r="B2595" t="s">
        <v>119</v>
      </c>
    </row>
    <row r="2596" hidden="1">
      <c r="A2596" s="32">
        <f>IFERROR(__xludf.DUMMYFUNCTION("""COMPUTED_VALUE"""),43375.61639921296)</f>
        <v>43375.6164</v>
      </c>
      <c r="B2596" t="s">
        <v>80</v>
      </c>
    </row>
    <row r="2597" hidden="1">
      <c r="A2597" s="32">
        <f>IFERROR(__xludf.DUMMYFUNCTION("""COMPUTED_VALUE"""),43375.637934756945)</f>
        <v>43375.63793</v>
      </c>
      <c r="B2597" t="s">
        <v>1825</v>
      </c>
    </row>
    <row r="2598" hidden="1">
      <c r="A2598" s="32">
        <f>IFERROR(__xludf.DUMMYFUNCTION("""COMPUTED_VALUE"""),43375.654367361116)</f>
        <v>43375.65437</v>
      </c>
      <c r="B2598" t="s">
        <v>1828</v>
      </c>
    </row>
    <row r="2599" hidden="1">
      <c r="A2599" s="32">
        <f>IFERROR(__xludf.DUMMYFUNCTION("""COMPUTED_VALUE"""),43375.688759745375)</f>
        <v>43375.68876</v>
      </c>
      <c r="B2599" t="s">
        <v>48</v>
      </c>
    </row>
    <row r="2600" hidden="1">
      <c r="A2600" s="32">
        <f>IFERROR(__xludf.DUMMYFUNCTION("""COMPUTED_VALUE"""),43375.707676446764)</f>
        <v>43375.70768</v>
      </c>
      <c r="B2600" t="s">
        <v>170</v>
      </c>
    </row>
    <row r="2601" hidden="1">
      <c r="A2601" s="32">
        <f>IFERROR(__xludf.DUMMYFUNCTION("""COMPUTED_VALUE"""),43375.73803777777)</f>
        <v>43375.73804</v>
      </c>
      <c r="B2601" t="s">
        <v>80</v>
      </c>
    </row>
    <row r="2602" hidden="1">
      <c r="A2602" s="32">
        <f>IFERROR(__xludf.DUMMYFUNCTION("""COMPUTED_VALUE"""),43375.82672711805)</f>
        <v>43375.82673</v>
      </c>
      <c r="B2602" t="s">
        <v>40</v>
      </c>
    </row>
    <row r="2603" hidden="1">
      <c r="A2603" s="32">
        <f>IFERROR(__xludf.DUMMYFUNCTION("""COMPUTED_VALUE"""),43375.84169079861)</f>
        <v>43375.84169</v>
      </c>
      <c r="B2603" t="s">
        <v>658</v>
      </c>
    </row>
    <row r="2604" hidden="1">
      <c r="A2604" s="32">
        <f>IFERROR(__xludf.DUMMYFUNCTION("""COMPUTED_VALUE"""),43375.8496528588)</f>
        <v>43375.84965</v>
      </c>
      <c r="B2604" t="s">
        <v>80</v>
      </c>
    </row>
    <row r="2605" hidden="1">
      <c r="A2605" s="32">
        <f>IFERROR(__xludf.DUMMYFUNCTION("""COMPUTED_VALUE"""),43375.85178266204)</f>
        <v>43375.85178</v>
      </c>
      <c r="B2605" t="s">
        <v>45</v>
      </c>
    </row>
    <row r="2606" hidden="1">
      <c r="A2606" s="32">
        <f>IFERROR(__xludf.DUMMYFUNCTION("""COMPUTED_VALUE"""),43375.87478054398)</f>
        <v>43375.87478</v>
      </c>
      <c r="B2606" t="s">
        <v>282</v>
      </c>
    </row>
    <row r="2607" hidden="1">
      <c r="A2607" s="32">
        <f>IFERROR(__xludf.DUMMYFUNCTION("""COMPUTED_VALUE"""),43375.904541689815)</f>
        <v>43375.90454</v>
      </c>
      <c r="B2607" t="s">
        <v>268</v>
      </c>
    </row>
    <row r="2608" hidden="1">
      <c r="A2608" s="32">
        <f>IFERROR(__xludf.DUMMYFUNCTION("""COMPUTED_VALUE"""),43375.91203263889)</f>
        <v>43375.91203</v>
      </c>
      <c r="B2608" t="s">
        <v>45</v>
      </c>
    </row>
    <row r="2609" hidden="1">
      <c r="A2609" s="32">
        <f>IFERROR(__xludf.DUMMYFUNCTION("""COMPUTED_VALUE"""),43375.95046501157)</f>
        <v>43375.95047</v>
      </c>
      <c r="B2609" t="s">
        <v>350</v>
      </c>
    </row>
    <row r="2610" hidden="1">
      <c r="A2610" s="32">
        <f>IFERROR(__xludf.DUMMYFUNCTION("""COMPUTED_VALUE"""),43375.979019618055)</f>
        <v>43375.97902</v>
      </c>
      <c r="B2610" t="s">
        <v>2658</v>
      </c>
    </row>
    <row r="2611" hidden="1">
      <c r="A2611" s="32">
        <f>IFERROR(__xludf.DUMMYFUNCTION("""COMPUTED_VALUE"""),43376.03372153935)</f>
        <v>43376.03372</v>
      </c>
      <c r="B2611" t="s">
        <v>119</v>
      </c>
    </row>
    <row r="2612" hidden="1">
      <c r="A2612" s="32">
        <f>IFERROR(__xludf.DUMMYFUNCTION("""COMPUTED_VALUE"""),43376.044055289356)</f>
        <v>43376.04406</v>
      </c>
      <c r="B2612" t="s">
        <v>119</v>
      </c>
    </row>
    <row r="2613" hidden="1">
      <c r="A2613" s="32">
        <f>IFERROR(__xludf.DUMMYFUNCTION("""COMPUTED_VALUE"""),43376.08389862269)</f>
        <v>43376.0839</v>
      </c>
      <c r="B2613" t="s">
        <v>1744</v>
      </c>
    </row>
    <row r="2614" hidden="1">
      <c r="A2614" s="32">
        <f>IFERROR(__xludf.DUMMYFUNCTION("""COMPUTED_VALUE"""),43376.28703104166)</f>
        <v>43376.28703</v>
      </c>
      <c r="B2614" t="s">
        <v>119</v>
      </c>
    </row>
    <row r="2615" hidden="1">
      <c r="A2615" s="32">
        <f>IFERROR(__xludf.DUMMYFUNCTION("""COMPUTED_VALUE"""),43376.39548633102)</f>
        <v>43376.39549</v>
      </c>
      <c r="B2615" t="s">
        <v>40</v>
      </c>
    </row>
    <row r="2616" hidden="1">
      <c r="A2616" s="32">
        <f>IFERROR(__xludf.DUMMYFUNCTION("""COMPUTED_VALUE"""),43376.41605909722)</f>
        <v>43376.41606</v>
      </c>
      <c r="B2616" t="s">
        <v>119</v>
      </c>
    </row>
    <row r="2617" hidden="1">
      <c r="A2617" s="32">
        <f>IFERROR(__xludf.DUMMYFUNCTION("""COMPUTED_VALUE"""),43376.49829671296)</f>
        <v>43376.4983</v>
      </c>
      <c r="B2617" t="s">
        <v>139</v>
      </c>
    </row>
    <row r="2618" hidden="1">
      <c r="A2618" s="32">
        <f>IFERROR(__xludf.DUMMYFUNCTION("""COMPUTED_VALUE"""),43376.52289298611)</f>
        <v>43376.52289</v>
      </c>
      <c r="B2618" t="s">
        <v>40</v>
      </c>
    </row>
    <row r="2619" hidden="1">
      <c r="A2619" s="32">
        <f>IFERROR(__xludf.DUMMYFUNCTION("""COMPUTED_VALUE"""),43376.53172834491)</f>
        <v>43376.53173</v>
      </c>
      <c r="B2619" t="s">
        <v>1836</v>
      </c>
    </row>
    <row r="2620" hidden="1">
      <c r="A2620" s="32">
        <f>IFERROR(__xludf.DUMMYFUNCTION("""COMPUTED_VALUE"""),43376.53750170139)</f>
        <v>43376.5375</v>
      </c>
      <c r="B2620" t="s">
        <v>80</v>
      </c>
    </row>
    <row r="2621" hidden="1">
      <c r="A2621" s="32">
        <f>IFERROR(__xludf.DUMMYFUNCTION("""COMPUTED_VALUE"""),43376.53923837963)</f>
        <v>43376.53924</v>
      </c>
      <c r="B2621" t="s">
        <v>80</v>
      </c>
    </row>
    <row r="2622" hidden="1">
      <c r="A2622" s="32">
        <f>IFERROR(__xludf.DUMMYFUNCTION("""COMPUTED_VALUE"""),43376.54626112268)</f>
        <v>43376.54626</v>
      </c>
      <c r="B2622" t="s">
        <v>33</v>
      </c>
    </row>
    <row r="2623" hidden="1">
      <c r="A2623" s="32">
        <f>IFERROR(__xludf.DUMMYFUNCTION("""COMPUTED_VALUE"""),43376.59020327547)</f>
        <v>43376.5902</v>
      </c>
      <c r="B2623" t="s">
        <v>40</v>
      </c>
    </row>
    <row r="2624" hidden="1">
      <c r="A2624" s="32">
        <f>IFERROR(__xludf.DUMMYFUNCTION("""COMPUTED_VALUE"""),43376.61619917824)</f>
        <v>43376.6162</v>
      </c>
      <c r="B2624" t="s">
        <v>45</v>
      </c>
    </row>
    <row r="2625" hidden="1">
      <c r="A2625" s="32">
        <f>IFERROR(__xludf.DUMMYFUNCTION("""COMPUTED_VALUE"""),43376.69462189815)</f>
        <v>43376.69462</v>
      </c>
      <c r="B2625" t="s">
        <v>80</v>
      </c>
    </row>
    <row r="2626" hidden="1">
      <c r="A2626" s="32">
        <f>IFERROR(__xludf.DUMMYFUNCTION("""COMPUTED_VALUE"""),43376.76029849537)</f>
        <v>43376.7603</v>
      </c>
      <c r="B2626" t="s">
        <v>119</v>
      </c>
    </row>
    <row r="2627" hidden="1">
      <c r="A2627" s="32">
        <f>IFERROR(__xludf.DUMMYFUNCTION("""COMPUTED_VALUE"""),43376.78254172453)</f>
        <v>43376.78254</v>
      </c>
      <c r="B2627" t="s">
        <v>124</v>
      </c>
    </row>
    <row r="2628" hidden="1">
      <c r="A2628" s="32">
        <f>IFERROR(__xludf.DUMMYFUNCTION("""COMPUTED_VALUE"""),43376.81020085648)</f>
        <v>43376.8102</v>
      </c>
      <c r="B2628" t="s">
        <v>268</v>
      </c>
    </row>
    <row r="2629" hidden="1">
      <c r="A2629" s="32">
        <f>IFERROR(__xludf.DUMMYFUNCTION("""COMPUTED_VALUE"""),43376.83040048611)</f>
        <v>43376.8304</v>
      </c>
      <c r="B2629" t="s">
        <v>40</v>
      </c>
    </row>
    <row r="2630" hidden="1">
      <c r="A2630" s="32">
        <f>IFERROR(__xludf.DUMMYFUNCTION("""COMPUTED_VALUE"""),43376.857346122684)</f>
        <v>43376.85735</v>
      </c>
      <c r="B2630" t="s">
        <v>119</v>
      </c>
    </row>
    <row r="2631" hidden="1">
      <c r="A2631" s="32">
        <f>IFERROR(__xludf.DUMMYFUNCTION("""COMPUTED_VALUE"""),43376.871906851855)</f>
        <v>43376.87191</v>
      </c>
      <c r="B2631" t="s">
        <v>40</v>
      </c>
    </row>
    <row r="2632" hidden="1">
      <c r="A2632" s="32">
        <f>IFERROR(__xludf.DUMMYFUNCTION("""COMPUTED_VALUE"""),43376.88955876157)</f>
        <v>43376.88956</v>
      </c>
      <c r="B2632" t="s">
        <v>33</v>
      </c>
    </row>
    <row r="2633" hidden="1">
      <c r="A2633" s="32">
        <f>IFERROR(__xludf.DUMMYFUNCTION("""COMPUTED_VALUE"""),43376.90191100695)</f>
        <v>43376.90191</v>
      </c>
      <c r="B2633" t="s">
        <v>33</v>
      </c>
    </row>
    <row r="2634" hidden="1">
      <c r="A2634" s="32">
        <f>IFERROR(__xludf.DUMMYFUNCTION("""COMPUTED_VALUE"""),43376.97633542824)</f>
        <v>43376.97634</v>
      </c>
      <c r="B2634" t="s">
        <v>1160</v>
      </c>
    </row>
    <row r="2635" hidden="1">
      <c r="A2635" s="32">
        <f>IFERROR(__xludf.DUMMYFUNCTION("""COMPUTED_VALUE"""),43376.98068300926)</f>
        <v>43376.98068</v>
      </c>
      <c r="B2635" t="s">
        <v>33</v>
      </c>
    </row>
    <row r="2636" hidden="1">
      <c r="A2636" s="32">
        <f>IFERROR(__xludf.DUMMYFUNCTION("""COMPUTED_VALUE"""),43377.0054294213)</f>
        <v>43377.00543</v>
      </c>
      <c r="B2636" t="s">
        <v>40</v>
      </c>
    </row>
    <row r="2637" hidden="1">
      <c r="A2637" s="32">
        <f>IFERROR(__xludf.DUMMYFUNCTION("""COMPUTED_VALUE"""),43377.03200506944)</f>
        <v>43377.03201</v>
      </c>
      <c r="B2637" t="s">
        <v>204</v>
      </c>
    </row>
    <row r="2638" hidden="1">
      <c r="A2638" s="32">
        <f>IFERROR(__xludf.DUMMYFUNCTION("""COMPUTED_VALUE"""),43377.03228484954)</f>
        <v>43377.03228</v>
      </c>
      <c r="B2638" t="s">
        <v>119</v>
      </c>
    </row>
    <row r="2639" hidden="1">
      <c r="A2639" s="32">
        <f>IFERROR(__xludf.DUMMYFUNCTION("""COMPUTED_VALUE"""),43377.033505810185)</f>
        <v>43377.03351</v>
      </c>
      <c r="B2639" t="s">
        <v>204</v>
      </c>
    </row>
    <row r="2640" hidden="1">
      <c r="A2640" s="32">
        <f>IFERROR(__xludf.DUMMYFUNCTION("""COMPUTED_VALUE"""),43377.04725819445)</f>
        <v>43377.04726</v>
      </c>
      <c r="B2640" t="s">
        <v>1636</v>
      </c>
    </row>
    <row r="2641" hidden="1">
      <c r="A2641" s="32">
        <f>IFERROR(__xludf.DUMMYFUNCTION("""COMPUTED_VALUE"""),43377.047657268515)</f>
        <v>43377.04766</v>
      </c>
      <c r="B2641" t="s">
        <v>380</v>
      </c>
    </row>
    <row r="2642" hidden="1">
      <c r="A2642" s="32">
        <f>IFERROR(__xludf.DUMMYFUNCTION("""COMPUTED_VALUE"""),43377.17346653935)</f>
        <v>43377.17347</v>
      </c>
      <c r="B2642" t="s">
        <v>170</v>
      </c>
    </row>
    <row r="2643" hidden="1">
      <c r="A2643" s="32">
        <f>IFERROR(__xludf.DUMMYFUNCTION("""COMPUTED_VALUE"""),43377.17587072917)</f>
        <v>43377.17587</v>
      </c>
      <c r="B2643" t="s">
        <v>2658</v>
      </c>
    </row>
    <row r="2644" hidden="1">
      <c r="A2644" s="32">
        <f>IFERROR(__xludf.DUMMYFUNCTION("""COMPUTED_VALUE"""),43377.34517577547)</f>
        <v>43377.34518</v>
      </c>
      <c r="B2644" t="s">
        <v>119</v>
      </c>
    </row>
    <row r="2645" hidden="1">
      <c r="A2645" s="32">
        <f>IFERROR(__xludf.DUMMYFUNCTION("""COMPUTED_VALUE"""),43377.35707628472)</f>
        <v>43377.35708</v>
      </c>
      <c r="B2645" t="s">
        <v>45</v>
      </c>
    </row>
    <row r="2646" hidden="1">
      <c r="A2646" s="32">
        <f>IFERROR(__xludf.DUMMYFUNCTION("""COMPUTED_VALUE"""),43377.42132486111)</f>
        <v>43377.42132</v>
      </c>
      <c r="B2646" t="s">
        <v>170</v>
      </c>
    </row>
    <row r="2647" hidden="1">
      <c r="A2647" s="32">
        <f>IFERROR(__xludf.DUMMYFUNCTION("""COMPUTED_VALUE"""),43377.441634456016)</f>
        <v>43377.44163</v>
      </c>
      <c r="B2647" t="s">
        <v>40</v>
      </c>
    </row>
    <row r="2648" hidden="1">
      <c r="A2648" s="32">
        <f>IFERROR(__xludf.DUMMYFUNCTION("""COMPUTED_VALUE"""),43377.51213289352)</f>
        <v>43377.51213</v>
      </c>
      <c r="B2648" t="s">
        <v>119</v>
      </c>
    </row>
    <row r="2649" hidden="1">
      <c r="A2649" s="32">
        <f>IFERROR(__xludf.DUMMYFUNCTION("""COMPUTED_VALUE"""),43377.54906696759)</f>
        <v>43377.54907</v>
      </c>
      <c r="B2649" t="s">
        <v>40</v>
      </c>
    </row>
    <row r="2650" hidden="1">
      <c r="A2650" s="32">
        <f>IFERROR(__xludf.DUMMYFUNCTION("""COMPUTED_VALUE"""),43377.568415173606)</f>
        <v>43377.56842</v>
      </c>
      <c r="B2650" t="s">
        <v>371</v>
      </c>
    </row>
    <row r="2651" hidden="1">
      <c r="A2651" s="32">
        <f>IFERROR(__xludf.DUMMYFUNCTION("""COMPUTED_VALUE"""),43377.580035694446)</f>
        <v>43377.58004</v>
      </c>
      <c r="B2651" t="s">
        <v>170</v>
      </c>
    </row>
    <row r="2652" hidden="1">
      <c r="A2652" s="32">
        <f>IFERROR(__xludf.DUMMYFUNCTION("""COMPUTED_VALUE"""),43377.59807962963)</f>
        <v>43377.59808</v>
      </c>
      <c r="B2652" t="s">
        <v>371</v>
      </c>
    </row>
    <row r="2653" hidden="1">
      <c r="A2653" s="32">
        <f>IFERROR(__xludf.DUMMYFUNCTION("""COMPUTED_VALUE"""),43377.635298333335)</f>
        <v>43377.6353</v>
      </c>
      <c r="B2653" t="s">
        <v>40</v>
      </c>
    </row>
    <row r="2654" hidden="1">
      <c r="A2654" s="32">
        <f>IFERROR(__xludf.DUMMYFUNCTION("""COMPUTED_VALUE"""),43377.63984834491)</f>
        <v>43377.63985</v>
      </c>
      <c r="B2654" t="s">
        <v>371</v>
      </c>
    </row>
    <row r="2655" hidden="1">
      <c r="A2655" s="32">
        <f>IFERROR(__xludf.DUMMYFUNCTION("""COMPUTED_VALUE"""),43377.702648182865)</f>
        <v>43377.70265</v>
      </c>
      <c r="B2655" t="s">
        <v>157</v>
      </c>
    </row>
    <row r="2656" hidden="1">
      <c r="A2656" s="32">
        <f>IFERROR(__xludf.DUMMYFUNCTION("""COMPUTED_VALUE"""),43377.70485090278)</f>
        <v>43377.70485</v>
      </c>
      <c r="B2656" t="s">
        <v>1851</v>
      </c>
    </row>
    <row r="2657" hidden="1">
      <c r="A2657" s="32">
        <f>IFERROR(__xludf.DUMMYFUNCTION("""COMPUTED_VALUE"""),43377.73045137731)</f>
        <v>43377.73045</v>
      </c>
      <c r="B2657" t="s">
        <v>40</v>
      </c>
    </row>
    <row r="2658" hidden="1">
      <c r="A2658" s="32">
        <f>IFERROR(__xludf.DUMMYFUNCTION("""COMPUTED_VALUE"""),43377.75948732639)</f>
        <v>43377.75949</v>
      </c>
      <c r="B2658" t="s">
        <v>48</v>
      </c>
    </row>
    <row r="2659" hidden="1">
      <c r="A2659" s="32">
        <f>IFERROR(__xludf.DUMMYFUNCTION("""COMPUTED_VALUE"""),43377.79605616898)</f>
        <v>43377.79606</v>
      </c>
      <c r="B2659" t="s">
        <v>819</v>
      </c>
    </row>
    <row r="2660" hidden="1">
      <c r="A2660" s="32">
        <f>IFERROR(__xludf.DUMMYFUNCTION("""COMPUTED_VALUE"""),43377.79727469907)</f>
        <v>43377.79727</v>
      </c>
      <c r="B2660" t="s">
        <v>33</v>
      </c>
    </row>
    <row r="2661" hidden="1">
      <c r="A2661" s="32">
        <f>IFERROR(__xludf.DUMMYFUNCTION("""COMPUTED_VALUE"""),43377.84072422454)</f>
        <v>43377.84072</v>
      </c>
      <c r="B2661" t="s">
        <v>371</v>
      </c>
    </row>
    <row r="2662" hidden="1">
      <c r="A2662" s="32">
        <f>IFERROR(__xludf.DUMMYFUNCTION("""COMPUTED_VALUE"""),43377.846219513885)</f>
        <v>43377.84622</v>
      </c>
      <c r="B2662" t="s">
        <v>33</v>
      </c>
    </row>
    <row r="2663" hidden="1">
      <c r="A2663" s="32">
        <f>IFERROR(__xludf.DUMMYFUNCTION("""COMPUTED_VALUE"""),43377.9717959838)</f>
        <v>43377.9718</v>
      </c>
      <c r="B2663" t="s">
        <v>33</v>
      </c>
    </row>
    <row r="2664" hidden="1">
      <c r="A2664" s="32">
        <f>IFERROR(__xludf.DUMMYFUNCTION("""COMPUTED_VALUE"""),43377.9787087963)</f>
        <v>43377.97871</v>
      </c>
      <c r="B2664" t="s">
        <v>36</v>
      </c>
    </row>
    <row r="2665" hidden="1">
      <c r="A2665" s="32">
        <f>IFERROR(__xludf.DUMMYFUNCTION("""COMPUTED_VALUE"""),43377.98726895833)</f>
        <v>43377.98727</v>
      </c>
      <c r="B2665" t="s">
        <v>45</v>
      </c>
    </row>
    <row r="2666" hidden="1">
      <c r="A2666" s="32">
        <f>IFERROR(__xludf.DUMMYFUNCTION("""COMPUTED_VALUE"""),43377.99914796297)</f>
        <v>43377.99915</v>
      </c>
      <c r="B2666" t="s">
        <v>40</v>
      </c>
    </row>
    <row r="2667" hidden="1">
      <c r="A2667" s="32">
        <f>IFERROR(__xludf.DUMMYFUNCTION("""COMPUTED_VALUE"""),43378.0574491088)</f>
        <v>43378.05745</v>
      </c>
      <c r="B2667" t="s">
        <v>45</v>
      </c>
    </row>
    <row r="2668" hidden="1">
      <c r="A2668" s="32">
        <f>IFERROR(__xludf.DUMMYFUNCTION("""COMPUTED_VALUE"""),43378.071323703705)</f>
        <v>43378.07132</v>
      </c>
      <c r="B2668" t="s">
        <v>48</v>
      </c>
    </row>
    <row r="2669" hidden="1">
      <c r="A2669" s="32">
        <f>IFERROR(__xludf.DUMMYFUNCTION("""COMPUTED_VALUE"""),43378.10663149305)</f>
        <v>43378.10663</v>
      </c>
      <c r="B2669" t="s">
        <v>119</v>
      </c>
    </row>
    <row r="2670" hidden="1">
      <c r="A2670" s="32">
        <f>IFERROR(__xludf.DUMMYFUNCTION("""COMPUTED_VALUE"""),43378.29202616899)</f>
        <v>43378.29203</v>
      </c>
      <c r="B2670" t="s">
        <v>819</v>
      </c>
    </row>
    <row r="2671" hidden="1">
      <c r="A2671" s="32">
        <f>IFERROR(__xludf.DUMMYFUNCTION("""COMPUTED_VALUE"""),43378.434560486116)</f>
        <v>43378.43456</v>
      </c>
      <c r="B2671" t="s">
        <v>2753</v>
      </c>
    </row>
    <row r="2672" hidden="1">
      <c r="A2672" s="32">
        <f>IFERROR(__xludf.DUMMYFUNCTION("""COMPUTED_VALUE"""),43378.47904196759)</f>
        <v>43378.47904</v>
      </c>
      <c r="B2672" t="s">
        <v>188</v>
      </c>
    </row>
    <row r="2673" hidden="1">
      <c r="A2673" s="32">
        <f>IFERROR(__xludf.DUMMYFUNCTION("""COMPUTED_VALUE"""),43378.48073171296)</f>
        <v>43378.48073</v>
      </c>
      <c r="B2673" t="s">
        <v>188</v>
      </c>
    </row>
    <row r="2674" hidden="1">
      <c r="A2674" s="32">
        <f>IFERROR(__xludf.DUMMYFUNCTION("""COMPUTED_VALUE"""),43378.61294420139)</f>
        <v>43378.61294</v>
      </c>
      <c r="B2674" t="s">
        <v>25</v>
      </c>
    </row>
    <row r="2675" hidden="1">
      <c r="A2675" s="32">
        <f>IFERROR(__xludf.DUMMYFUNCTION("""COMPUTED_VALUE"""),43378.63636700231)</f>
        <v>43378.63637</v>
      </c>
      <c r="B2675" t="s">
        <v>1857</v>
      </c>
    </row>
    <row r="2676" hidden="1">
      <c r="A2676" s="32">
        <f>IFERROR(__xludf.DUMMYFUNCTION("""COMPUTED_VALUE"""),43378.662543136576)</f>
        <v>43378.66254</v>
      </c>
      <c r="B2676" t="s">
        <v>119</v>
      </c>
    </row>
    <row r="2677" hidden="1">
      <c r="A2677" s="32">
        <f>IFERROR(__xludf.DUMMYFUNCTION("""COMPUTED_VALUE"""),43378.66255328704)</f>
        <v>43378.66255</v>
      </c>
      <c r="B2677" t="s">
        <v>119</v>
      </c>
    </row>
    <row r="2678" hidden="1">
      <c r="A2678" s="32">
        <f>IFERROR(__xludf.DUMMYFUNCTION("""COMPUTED_VALUE"""),43378.67086377315)</f>
        <v>43378.67086</v>
      </c>
      <c r="B2678" t="s">
        <v>40</v>
      </c>
    </row>
    <row r="2679" hidden="1">
      <c r="A2679" s="32">
        <f>IFERROR(__xludf.DUMMYFUNCTION("""COMPUTED_VALUE"""),43378.681265844905)</f>
        <v>43378.68127</v>
      </c>
      <c r="B2679" t="s">
        <v>119</v>
      </c>
    </row>
    <row r="2680" hidden="1">
      <c r="A2680" s="32">
        <f>IFERROR(__xludf.DUMMYFUNCTION("""COMPUTED_VALUE"""),43378.80928934028)</f>
        <v>43378.80929</v>
      </c>
      <c r="B2680" t="s">
        <v>33</v>
      </c>
    </row>
    <row r="2681" hidden="1">
      <c r="A2681" s="32">
        <f>IFERROR(__xludf.DUMMYFUNCTION("""COMPUTED_VALUE"""),43378.80979907408)</f>
        <v>43378.8098</v>
      </c>
      <c r="B2681" t="s">
        <v>119</v>
      </c>
    </row>
    <row r="2682" hidden="1">
      <c r="A2682" s="32">
        <f>IFERROR(__xludf.DUMMYFUNCTION("""COMPUTED_VALUE"""),43378.86870273148)</f>
        <v>43378.8687</v>
      </c>
      <c r="B2682" t="s">
        <v>40</v>
      </c>
    </row>
    <row r="2683" hidden="1">
      <c r="A2683" s="32">
        <f>IFERROR(__xludf.DUMMYFUNCTION("""COMPUTED_VALUE"""),43378.88846130787)</f>
        <v>43378.88846</v>
      </c>
      <c r="B2683" t="s">
        <v>139</v>
      </c>
    </row>
    <row r="2684" hidden="1">
      <c r="A2684" s="32">
        <f>IFERROR(__xludf.DUMMYFUNCTION("""COMPUTED_VALUE"""),43378.89399305556)</f>
        <v>43378.89399</v>
      </c>
      <c r="B2684" t="s">
        <v>2754</v>
      </c>
    </row>
    <row r="2685" hidden="1">
      <c r="A2685" s="32">
        <f>IFERROR(__xludf.DUMMYFUNCTION("""COMPUTED_VALUE"""),43378.90950734954)</f>
        <v>43378.90951</v>
      </c>
      <c r="B2685" t="s">
        <v>25</v>
      </c>
    </row>
    <row r="2686" hidden="1">
      <c r="A2686" s="32">
        <f>IFERROR(__xludf.DUMMYFUNCTION("""COMPUTED_VALUE"""),43378.909742476855)</f>
        <v>43378.90974</v>
      </c>
      <c r="B2686" t="s">
        <v>80</v>
      </c>
    </row>
    <row r="2687" hidden="1">
      <c r="A2687" s="32">
        <f>IFERROR(__xludf.DUMMYFUNCTION("""COMPUTED_VALUE"""),43379.00106642361)</f>
        <v>43379.00107</v>
      </c>
      <c r="B2687" t="s">
        <v>790</v>
      </c>
    </row>
    <row r="2688" hidden="1">
      <c r="A2688" s="32">
        <f>IFERROR(__xludf.DUMMYFUNCTION("""COMPUTED_VALUE"""),43379.30607315972)</f>
        <v>43379.30607</v>
      </c>
      <c r="B2688" t="s">
        <v>187</v>
      </c>
    </row>
    <row r="2689" hidden="1">
      <c r="A2689" s="32">
        <f>IFERROR(__xludf.DUMMYFUNCTION("""COMPUTED_VALUE"""),43379.389607199075)</f>
        <v>43379.38961</v>
      </c>
      <c r="B2689" t="s">
        <v>2697</v>
      </c>
    </row>
    <row r="2690" hidden="1">
      <c r="A2690" s="32">
        <f>IFERROR(__xludf.DUMMYFUNCTION("""COMPUTED_VALUE"""),43379.39466842593)</f>
        <v>43379.39467</v>
      </c>
      <c r="B2690" t="s">
        <v>1867</v>
      </c>
    </row>
    <row r="2691" hidden="1">
      <c r="A2691" s="32">
        <f>IFERROR(__xludf.DUMMYFUNCTION("""COMPUTED_VALUE"""),43379.39609917824)</f>
        <v>43379.3961</v>
      </c>
      <c r="B2691" t="s">
        <v>1867</v>
      </c>
    </row>
    <row r="2692" hidden="1">
      <c r="A2692" s="32">
        <f>IFERROR(__xludf.DUMMYFUNCTION("""COMPUTED_VALUE"""),43379.39806680556)</f>
        <v>43379.39807</v>
      </c>
      <c r="B2692" t="s">
        <v>142</v>
      </c>
    </row>
    <row r="2693" hidden="1">
      <c r="A2693" s="32">
        <f>IFERROR(__xludf.DUMMYFUNCTION("""COMPUTED_VALUE"""),43379.44445649306)</f>
        <v>43379.44446</v>
      </c>
      <c r="B2693" t="s">
        <v>36</v>
      </c>
    </row>
    <row r="2694" hidden="1">
      <c r="A2694" s="32">
        <f>IFERROR(__xludf.DUMMYFUNCTION("""COMPUTED_VALUE"""),43379.47565953704)</f>
        <v>43379.47566</v>
      </c>
      <c r="B2694" t="s">
        <v>33</v>
      </c>
    </row>
    <row r="2695" hidden="1">
      <c r="A2695" s="32">
        <f>IFERROR(__xludf.DUMMYFUNCTION("""COMPUTED_VALUE"""),43379.49227835648)</f>
        <v>43379.49228</v>
      </c>
      <c r="B2695" t="s">
        <v>48</v>
      </c>
    </row>
    <row r="2696" hidden="1">
      <c r="A2696" s="32">
        <f>IFERROR(__xludf.DUMMYFUNCTION("""COMPUTED_VALUE"""),43379.50026958333)</f>
        <v>43379.50027</v>
      </c>
      <c r="B2696" t="s">
        <v>40</v>
      </c>
    </row>
    <row r="2697" hidden="1">
      <c r="A2697" s="32">
        <f>IFERROR(__xludf.DUMMYFUNCTION("""COMPUTED_VALUE"""),43379.57704340278)</f>
        <v>43379.57704</v>
      </c>
      <c r="B2697" t="s">
        <v>371</v>
      </c>
    </row>
    <row r="2698" hidden="1">
      <c r="A2698" s="32">
        <f>IFERROR(__xludf.DUMMYFUNCTION("""COMPUTED_VALUE"""),43379.65618380787)</f>
        <v>43379.65618</v>
      </c>
      <c r="B2698" t="s">
        <v>123</v>
      </c>
    </row>
    <row r="2699" hidden="1">
      <c r="A2699" s="32">
        <f>IFERROR(__xludf.DUMMYFUNCTION("""COMPUTED_VALUE"""),43379.72836768518)</f>
        <v>43379.72837</v>
      </c>
      <c r="B2699" t="s">
        <v>45</v>
      </c>
    </row>
    <row r="2700" hidden="1">
      <c r="A2700" s="32">
        <f>IFERROR(__xludf.DUMMYFUNCTION("""COMPUTED_VALUE"""),43379.75588784722)</f>
        <v>43379.75589</v>
      </c>
      <c r="B2700" t="s">
        <v>40</v>
      </c>
    </row>
    <row r="2701" hidden="1">
      <c r="A2701" s="32">
        <f>IFERROR(__xludf.DUMMYFUNCTION("""COMPUTED_VALUE"""),43379.76802509259)</f>
        <v>43379.76803</v>
      </c>
      <c r="B2701" t="s">
        <v>48</v>
      </c>
    </row>
    <row r="2702" hidden="1">
      <c r="A2702" s="32">
        <f>IFERROR(__xludf.DUMMYFUNCTION("""COMPUTED_VALUE"""),43379.89311819444)</f>
        <v>43379.89312</v>
      </c>
      <c r="B2702" t="s">
        <v>48</v>
      </c>
    </row>
    <row r="2703" hidden="1">
      <c r="A2703" s="32">
        <f>IFERROR(__xludf.DUMMYFUNCTION("""COMPUTED_VALUE"""),43379.96678915509)</f>
        <v>43379.96679</v>
      </c>
      <c r="B2703" t="s">
        <v>80</v>
      </c>
    </row>
    <row r="2704" hidden="1">
      <c r="A2704" s="32">
        <f>IFERROR(__xludf.DUMMYFUNCTION("""COMPUTED_VALUE"""),43379.97371039352)</f>
        <v>43379.97371</v>
      </c>
      <c r="B2704" t="s">
        <v>48</v>
      </c>
    </row>
    <row r="2705" hidden="1">
      <c r="A2705" s="32">
        <f>IFERROR(__xludf.DUMMYFUNCTION("""COMPUTED_VALUE"""),43379.97567053241)</f>
        <v>43379.97567</v>
      </c>
      <c r="B2705" t="s">
        <v>33</v>
      </c>
    </row>
    <row r="2706" hidden="1">
      <c r="A2706" s="32">
        <f>IFERROR(__xludf.DUMMYFUNCTION("""COMPUTED_VALUE"""),43380.0032709838)</f>
        <v>43380.00327</v>
      </c>
      <c r="B2706" t="s">
        <v>204</v>
      </c>
    </row>
    <row r="2707" hidden="1">
      <c r="A2707" s="32">
        <f>IFERROR(__xludf.DUMMYFUNCTION("""COMPUTED_VALUE"""),43380.00517611111)</f>
        <v>43380.00518</v>
      </c>
      <c r="B2707" t="s">
        <v>790</v>
      </c>
    </row>
    <row r="2708" hidden="1">
      <c r="A2708" s="32">
        <f>IFERROR(__xludf.DUMMYFUNCTION("""COMPUTED_VALUE"""),43380.31521594907)</f>
        <v>43380.31522</v>
      </c>
      <c r="B2708" t="s">
        <v>36</v>
      </c>
    </row>
    <row r="2709" hidden="1">
      <c r="A2709" s="32">
        <f>IFERROR(__xludf.DUMMYFUNCTION("""COMPUTED_VALUE"""),43380.361971562495)</f>
        <v>43380.36197</v>
      </c>
      <c r="B2709" t="s">
        <v>428</v>
      </c>
    </row>
    <row r="2710" hidden="1">
      <c r="A2710" s="32">
        <f>IFERROR(__xludf.DUMMYFUNCTION("""COMPUTED_VALUE"""),43380.36283445602)</f>
        <v>43380.36283</v>
      </c>
      <c r="B2710" t="s">
        <v>36</v>
      </c>
    </row>
    <row r="2711" hidden="1">
      <c r="A2711" s="32">
        <f>IFERROR(__xludf.DUMMYFUNCTION("""COMPUTED_VALUE"""),43380.47668699074)</f>
        <v>43380.47669</v>
      </c>
      <c r="B2711" t="s">
        <v>2755</v>
      </c>
    </row>
    <row r="2712" hidden="1">
      <c r="A2712" s="32">
        <f>IFERROR(__xludf.DUMMYFUNCTION("""COMPUTED_VALUE"""),43380.53345236111)</f>
        <v>43380.53345</v>
      </c>
      <c r="B2712" t="s">
        <v>45</v>
      </c>
    </row>
    <row r="2713" hidden="1">
      <c r="A2713" s="32">
        <f>IFERROR(__xludf.DUMMYFUNCTION("""COMPUTED_VALUE"""),43380.567665752314)</f>
        <v>43380.56767</v>
      </c>
      <c r="B2713" t="s">
        <v>40</v>
      </c>
    </row>
    <row r="2714" hidden="1">
      <c r="A2714" s="32">
        <f>IFERROR(__xludf.DUMMYFUNCTION("""COMPUTED_VALUE"""),43380.58611230324)</f>
        <v>43380.58611</v>
      </c>
      <c r="B2714" t="s">
        <v>45</v>
      </c>
    </row>
    <row r="2715" hidden="1">
      <c r="A2715" s="32">
        <f>IFERROR(__xludf.DUMMYFUNCTION("""COMPUTED_VALUE"""),43380.60641032408)</f>
        <v>43380.60641</v>
      </c>
      <c r="B2715" t="s">
        <v>268</v>
      </c>
    </row>
    <row r="2716" hidden="1">
      <c r="A2716" s="32">
        <f>IFERROR(__xludf.DUMMYFUNCTION("""COMPUTED_VALUE"""),43380.756096655095)</f>
        <v>43380.7561</v>
      </c>
      <c r="B2716" t="s">
        <v>187</v>
      </c>
    </row>
    <row r="2717" hidden="1">
      <c r="A2717" s="32">
        <f>IFERROR(__xludf.DUMMYFUNCTION("""COMPUTED_VALUE"""),43380.76591216435)</f>
        <v>43380.76591</v>
      </c>
      <c r="B2717" t="s">
        <v>371</v>
      </c>
    </row>
    <row r="2718" hidden="1">
      <c r="A2718" s="32">
        <f>IFERROR(__xludf.DUMMYFUNCTION("""COMPUTED_VALUE"""),43380.854264062495)</f>
        <v>43380.85426</v>
      </c>
      <c r="B2718" t="s">
        <v>371</v>
      </c>
    </row>
    <row r="2719" hidden="1">
      <c r="A2719" s="32">
        <f>IFERROR(__xludf.DUMMYFUNCTION("""COMPUTED_VALUE"""),43380.85649648149)</f>
        <v>43380.8565</v>
      </c>
      <c r="B2719" t="s">
        <v>80</v>
      </c>
    </row>
    <row r="2720" hidden="1">
      <c r="A2720" s="32">
        <f>IFERROR(__xludf.DUMMYFUNCTION("""COMPUTED_VALUE"""),43380.85818435185)</f>
        <v>43380.85818</v>
      </c>
      <c r="B2720" t="s">
        <v>80</v>
      </c>
    </row>
    <row r="2721" hidden="1">
      <c r="A2721" s="32">
        <f>IFERROR(__xludf.DUMMYFUNCTION("""COMPUTED_VALUE"""),43380.88503055555)</f>
        <v>43380.88503</v>
      </c>
      <c r="B2721" t="s">
        <v>154</v>
      </c>
    </row>
    <row r="2722" hidden="1">
      <c r="A2722" s="32">
        <f>IFERROR(__xludf.DUMMYFUNCTION("""COMPUTED_VALUE"""),43380.885824791665)</f>
        <v>43380.88582</v>
      </c>
      <c r="B2722" t="s">
        <v>154</v>
      </c>
    </row>
    <row r="2723" hidden="1">
      <c r="A2723" s="32">
        <f>IFERROR(__xludf.DUMMYFUNCTION("""COMPUTED_VALUE"""),43380.88877100694)</f>
        <v>43380.88877</v>
      </c>
      <c r="B2723" t="s">
        <v>371</v>
      </c>
    </row>
    <row r="2724" hidden="1">
      <c r="A2724" s="32">
        <f>IFERROR(__xludf.DUMMYFUNCTION("""COMPUTED_VALUE"""),43380.89119365741)</f>
        <v>43380.89119</v>
      </c>
      <c r="B2724" t="s">
        <v>119</v>
      </c>
    </row>
    <row r="2725" hidden="1">
      <c r="A2725" s="32">
        <f>IFERROR(__xludf.DUMMYFUNCTION("""COMPUTED_VALUE"""),43380.94400217592)</f>
        <v>43380.944</v>
      </c>
      <c r="B2725" t="s">
        <v>249</v>
      </c>
    </row>
    <row r="2726" hidden="1">
      <c r="A2726" s="32">
        <f>IFERROR(__xludf.DUMMYFUNCTION("""COMPUTED_VALUE"""),43380.95336079861)</f>
        <v>43380.95336</v>
      </c>
      <c r="B2726" t="s">
        <v>119</v>
      </c>
    </row>
    <row r="2727" hidden="1">
      <c r="A2727" s="32">
        <f>IFERROR(__xludf.DUMMYFUNCTION("""COMPUTED_VALUE"""),43380.965927604164)</f>
        <v>43380.96593</v>
      </c>
      <c r="B2727" t="s">
        <v>1884</v>
      </c>
    </row>
    <row r="2728" hidden="1">
      <c r="A2728" s="32">
        <f>IFERROR(__xludf.DUMMYFUNCTION("""COMPUTED_VALUE"""),43380.975156712964)</f>
        <v>43380.97516</v>
      </c>
      <c r="B2728" t="s">
        <v>45</v>
      </c>
    </row>
    <row r="2729" hidden="1">
      <c r="A2729" s="32">
        <f>IFERROR(__xludf.DUMMYFUNCTION("""COMPUTED_VALUE"""),43380.984622488424)</f>
        <v>43380.98462</v>
      </c>
      <c r="B2729" t="s">
        <v>2681</v>
      </c>
    </row>
    <row r="2730" hidden="1">
      <c r="A2730" s="32">
        <f>IFERROR(__xludf.DUMMYFUNCTION("""COMPUTED_VALUE"""),43381.01552282408)</f>
        <v>43381.01552</v>
      </c>
      <c r="B2730" t="s">
        <v>33</v>
      </c>
    </row>
    <row r="2731" hidden="1">
      <c r="A2731" s="32">
        <f>IFERROR(__xludf.DUMMYFUNCTION("""COMPUTED_VALUE"""),43381.020451539356)</f>
        <v>43381.02045</v>
      </c>
      <c r="B2731" t="s">
        <v>40</v>
      </c>
    </row>
    <row r="2732" hidden="1">
      <c r="A2732" s="32">
        <f>IFERROR(__xludf.DUMMYFUNCTION("""COMPUTED_VALUE"""),43381.12382076389)</f>
        <v>43381.12382</v>
      </c>
      <c r="B2732" t="s">
        <v>1887</v>
      </c>
    </row>
    <row r="2733" hidden="1">
      <c r="A2733" s="32">
        <f>IFERROR(__xludf.DUMMYFUNCTION("""COMPUTED_VALUE"""),43381.14629291667)</f>
        <v>43381.14629</v>
      </c>
      <c r="B2733" t="s">
        <v>944</v>
      </c>
    </row>
    <row r="2734" hidden="1">
      <c r="A2734" s="32">
        <f>IFERROR(__xludf.DUMMYFUNCTION("""COMPUTED_VALUE"""),43381.24594782408)</f>
        <v>43381.24595</v>
      </c>
      <c r="B2734" t="s">
        <v>343</v>
      </c>
    </row>
    <row r="2735" hidden="1">
      <c r="A2735" s="32">
        <f>IFERROR(__xludf.DUMMYFUNCTION("""COMPUTED_VALUE"""),43381.26777082176)</f>
        <v>43381.26777</v>
      </c>
      <c r="B2735" t="s">
        <v>45</v>
      </c>
    </row>
    <row r="2736" hidden="1">
      <c r="A2736" s="32">
        <f>IFERROR(__xludf.DUMMYFUNCTION("""COMPUTED_VALUE"""),43381.26991495371)</f>
        <v>43381.26991</v>
      </c>
      <c r="B2736" t="s">
        <v>426</v>
      </c>
    </row>
    <row r="2737" hidden="1">
      <c r="A2737" s="32">
        <f>IFERROR(__xludf.DUMMYFUNCTION("""COMPUTED_VALUE"""),43381.27235049769)</f>
        <v>43381.27235</v>
      </c>
      <c r="B2737" t="s">
        <v>48</v>
      </c>
    </row>
    <row r="2738" hidden="1">
      <c r="A2738" s="32">
        <f>IFERROR(__xludf.DUMMYFUNCTION("""COMPUTED_VALUE"""),43381.30313151621)</f>
        <v>43381.30313</v>
      </c>
      <c r="B2738" t="s">
        <v>2681</v>
      </c>
    </row>
    <row r="2739" hidden="1">
      <c r="A2739" s="32">
        <f>IFERROR(__xludf.DUMMYFUNCTION("""COMPUTED_VALUE"""),43381.33859299769)</f>
        <v>43381.33859</v>
      </c>
      <c r="B2739" t="s">
        <v>36</v>
      </c>
    </row>
    <row r="2740" hidden="1">
      <c r="A2740" s="32">
        <f>IFERROR(__xludf.DUMMYFUNCTION("""COMPUTED_VALUE"""),43381.406537939816)</f>
        <v>43381.40654</v>
      </c>
      <c r="B2740" t="s">
        <v>119</v>
      </c>
    </row>
    <row r="2741" hidden="1">
      <c r="A2741" s="32">
        <f>IFERROR(__xludf.DUMMYFUNCTION("""COMPUTED_VALUE"""),43381.41354883102)</f>
        <v>43381.41355</v>
      </c>
      <c r="B2741" t="s">
        <v>1889</v>
      </c>
    </row>
    <row r="2742" hidden="1">
      <c r="A2742" s="32">
        <f>IFERROR(__xludf.DUMMYFUNCTION("""COMPUTED_VALUE"""),43381.42729922454)</f>
        <v>43381.4273</v>
      </c>
      <c r="B2742" t="s">
        <v>48</v>
      </c>
    </row>
    <row r="2743" hidden="1">
      <c r="A2743" s="32">
        <f>IFERROR(__xludf.DUMMYFUNCTION("""COMPUTED_VALUE"""),43381.46715521991)</f>
        <v>43381.46716</v>
      </c>
      <c r="B2743" t="s">
        <v>371</v>
      </c>
    </row>
    <row r="2744" hidden="1">
      <c r="A2744" s="32">
        <f>IFERROR(__xludf.DUMMYFUNCTION("""COMPUTED_VALUE"""),43381.47289625)</f>
        <v>43381.4729</v>
      </c>
      <c r="B2744" t="s">
        <v>371</v>
      </c>
    </row>
    <row r="2745" hidden="1">
      <c r="A2745" s="32">
        <f>IFERROR(__xludf.DUMMYFUNCTION("""COMPUTED_VALUE"""),43381.47384265046)</f>
        <v>43381.47384</v>
      </c>
      <c r="B2745" t="s">
        <v>371</v>
      </c>
    </row>
    <row r="2746" hidden="1">
      <c r="A2746" s="32">
        <f>IFERROR(__xludf.DUMMYFUNCTION("""COMPUTED_VALUE"""),43381.47451413194)</f>
        <v>43381.47451</v>
      </c>
      <c r="B2746" t="s">
        <v>371</v>
      </c>
    </row>
    <row r="2747" hidden="1">
      <c r="A2747" s="32">
        <f>IFERROR(__xludf.DUMMYFUNCTION("""COMPUTED_VALUE"""),43381.48128638889)</f>
        <v>43381.48129</v>
      </c>
      <c r="B2747" t="s">
        <v>380</v>
      </c>
    </row>
    <row r="2748" hidden="1">
      <c r="A2748" s="32">
        <f>IFERROR(__xludf.DUMMYFUNCTION("""COMPUTED_VALUE"""),43381.518998113424)</f>
        <v>43381.519</v>
      </c>
      <c r="B2748" t="s">
        <v>1891</v>
      </c>
    </row>
    <row r="2749" hidden="1">
      <c r="A2749" s="32">
        <f>IFERROR(__xludf.DUMMYFUNCTION("""COMPUTED_VALUE"""),43381.51907631944)</f>
        <v>43381.51908</v>
      </c>
      <c r="B2749" t="s">
        <v>1893</v>
      </c>
    </row>
    <row r="2750" hidden="1">
      <c r="A2750" s="32">
        <f>IFERROR(__xludf.DUMMYFUNCTION("""COMPUTED_VALUE"""),43381.5876524537)</f>
        <v>43381.58765</v>
      </c>
      <c r="B2750" t="s">
        <v>40</v>
      </c>
    </row>
    <row r="2751" hidden="1">
      <c r="A2751" s="32">
        <f>IFERROR(__xludf.DUMMYFUNCTION("""COMPUTED_VALUE"""),43381.69478571759)</f>
        <v>43381.69479</v>
      </c>
      <c r="B2751" t="s">
        <v>33</v>
      </c>
    </row>
    <row r="2752" hidden="1">
      <c r="A2752" s="32">
        <f>IFERROR(__xludf.DUMMYFUNCTION("""COMPUTED_VALUE"""),43381.70954012731)</f>
        <v>43381.70954</v>
      </c>
      <c r="B2752" t="s">
        <v>1894</v>
      </c>
    </row>
    <row r="2753" hidden="1">
      <c r="A2753" s="32">
        <f>IFERROR(__xludf.DUMMYFUNCTION("""COMPUTED_VALUE"""),43381.76573546296)</f>
        <v>43381.76574</v>
      </c>
      <c r="B2753" t="s">
        <v>33</v>
      </c>
    </row>
    <row r="2754" hidden="1">
      <c r="A2754" s="32">
        <f>IFERROR(__xludf.DUMMYFUNCTION("""COMPUTED_VALUE"""),43381.78314663195)</f>
        <v>43381.78315</v>
      </c>
      <c r="B2754" t="s">
        <v>119</v>
      </c>
    </row>
    <row r="2755" hidden="1">
      <c r="A2755" s="32">
        <f>IFERROR(__xludf.DUMMYFUNCTION("""COMPUTED_VALUE"""),43381.78580247685)</f>
        <v>43381.7858</v>
      </c>
      <c r="B2755" t="s">
        <v>45</v>
      </c>
    </row>
    <row r="2756" hidden="1">
      <c r="A2756" s="32">
        <f>IFERROR(__xludf.DUMMYFUNCTION("""COMPUTED_VALUE"""),43381.80690498842)</f>
        <v>43381.8069</v>
      </c>
      <c r="B2756" t="s">
        <v>33</v>
      </c>
    </row>
    <row r="2757" hidden="1">
      <c r="A2757" s="32">
        <f>IFERROR(__xludf.DUMMYFUNCTION("""COMPUTED_VALUE"""),43381.842780798615)</f>
        <v>43381.84278</v>
      </c>
      <c r="B2757" t="s">
        <v>2756</v>
      </c>
    </row>
    <row r="2758" hidden="1">
      <c r="A2758" s="32">
        <f>IFERROR(__xludf.DUMMYFUNCTION("""COMPUTED_VALUE"""),43381.84651545139)</f>
        <v>43381.84652</v>
      </c>
      <c r="B2758" t="s">
        <v>1240</v>
      </c>
    </row>
    <row r="2759" hidden="1">
      <c r="A2759" s="32">
        <f>IFERROR(__xludf.DUMMYFUNCTION("""COMPUTED_VALUE"""),43381.87124555555)</f>
        <v>43381.87125</v>
      </c>
      <c r="B2759" t="s">
        <v>452</v>
      </c>
    </row>
    <row r="2760" hidden="1">
      <c r="A2760" s="32">
        <f>IFERROR(__xludf.DUMMYFUNCTION("""COMPUTED_VALUE"""),43381.90379751158)</f>
        <v>43381.9038</v>
      </c>
      <c r="B2760" t="s">
        <v>40</v>
      </c>
    </row>
    <row r="2761" hidden="1">
      <c r="A2761" s="32">
        <f>IFERROR(__xludf.DUMMYFUNCTION("""COMPUTED_VALUE"""),43381.91169037037)</f>
        <v>43381.91169</v>
      </c>
      <c r="B2761" t="s">
        <v>119</v>
      </c>
    </row>
    <row r="2762" hidden="1">
      <c r="A2762" s="32">
        <f>IFERROR(__xludf.DUMMYFUNCTION("""COMPUTED_VALUE"""),43381.947801076385)</f>
        <v>43381.9478</v>
      </c>
      <c r="B2762" t="s">
        <v>33</v>
      </c>
    </row>
    <row r="2763" hidden="1">
      <c r="A2763" s="32">
        <f>IFERROR(__xludf.DUMMYFUNCTION("""COMPUTED_VALUE"""),43381.954288865745)</f>
        <v>43381.95429</v>
      </c>
      <c r="B2763" t="s">
        <v>119</v>
      </c>
    </row>
    <row r="2764" hidden="1">
      <c r="A2764" s="32">
        <f>IFERROR(__xludf.DUMMYFUNCTION("""COMPUTED_VALUE"""),43381.95548809027)</f>
        <v>43381.95549</v>
      </c>
      <c r="B2764" t="s">
        <v>33</v>
      </c>
    </row>
    <row r="2765" hidden="1">
      <c r="A2765" s="32">
        <f>IFERROR(__xludf.DUMMYFUNCTION("""COMPUTED_VALUE"""),43381.97354041667)</f>
        <v>43381.97354</v>
      </c>
      <c r="B2765" t="s">
        <v>33</v>
      </c>
    </row>
    <row r="2766" hidden="1">
      <c r="A2766" s="32">
        <f>IFERROR(__xludf.DUMMYFUNCTION("""COMPUTED_VALUE"""),43381.98511451389)</f>
        <v>43381.98511</v>
      </c>
      <c r="B2766" t="s">
        <v>671</v>
      </c>
    </row>
    <row r="2767" hidden="1">
      <c r="A2767" s="32">
        <f>IFERROR(__xludf.DUMMYFUNCTION("""COMPUTED_VALUE"""),43382.088116956016)</f>
        <v>43382.08812</v>
      </c>
      <c r="B2767" t="s">
        <v>36</v>
      </c>
    </row>
    <row r="2768" hidden="1">
      <c r="A2768" s="32">
        <f>IFERROR(__xludf.DUMMYFUNCTION("""COMPUTED_VALUE"""),43382.27199811343)</f>
        <v>43382.272</v>
      </c>
      <c r="B2768" t="s">
        <v>2658</v>
      </c>
    </row>
    <row r="2769" hidden="1">
      <c r="A2769" s="32">
        <f>IFERROR(__xludf.DUMMYFUNCTION("""COMPUTED_VALUE"""),43382.27580751157)</f>
        <v>43382.27581</v>
      </c>
      <c r="B2769" t="s">
        <v>2757</v>
      </c>
    </row>
    <row r="2770" hidden="1">
      <c r="A2770" s="32">
        <f>IFERROR(__xludf.DUMMYFUNCTION("""COMPUTED_VALUE"""),43382.30321599537)</f>
        <v>43382.30322</v>
      </c>
      <c r="B2770" t="s">
        <v>80</v>
      </c>
    </row>
    <row r="2771" hidden="1">
      <c r="A2771" s="32">
        <f>IFERROR(__xludf.DUMMYFUNCTION("""COMPUTED_VALUE"""),43382.36738041667)</f>
        <v>43382.36738</v>
      </c>
      <c r="B2771" t="s">
        <v>2758</v>
      </c>
    </row>
    <row r="2772" hidden="1">
      <c r="A2772" s="32">
        <f>IFERROR(__xludf.DUMMYFUNCTION("""COMPUTED_VALUE"""),43382.394427962965)</f>
        <v>43382.39443</v>
      </c>
      <c r="B2772" t="s">
        <v>119</v>
      </c>
    </row>
    <row r="2773" hidden="1">
      <c r="A2773" s="32">
        <f>IFERROR(__xludf.DUMMYFUNCTION("""COMPUTED_VALUE"""),43382.406874050925)</f>
        <v>43382.40687</v>
      </c>
      <c r="B2773" t="s">
        <v>40</v>
      </c>
    </row>
    <row r="2774" hidden="1">
      <c r="A2774" s="32">
        <f>IFERROR(__xludf.DUMMYFUNCTION("""COMPUTED_VALUE"""),43382.42219295139)</f>
        <v>43382.42219</v>
      </c>
      <c r="B2774" t="s">
        <v>95</v>
      </c>
    </row>
    <row r="2775" hidden="1">
      <c r="A2775" s="32">
        <f>IFERROR(__xludf.DUMMYFUNCTION("""COMPUTED_VALUE"""),43382.46575349537)</f>
        <v>43382.46575</v>
      </c>
      <c r="B2775" t="s">
        <v>25</v>
      </c>
    </row>
    <row r="2776" hidden="1">
      <c r="A2776" s="32">
        <f>IFERROR(__xludf.DUMMYFUNCTION("""COMPUTED_VALUE"""),43382.53283523148)</f>
        <v>43382.53284</v>
      </c>
      <c r="B2776" t="s">
        <v>1910</v>
      </c>
    </row>
    <row r="2777" hidden="1">
      <c r="A2777" s="32">
        <f>IFERROR(__xludf.DUMMYFUNCTION("""COMPUTED_VALUE"""),43382.54080625)</f>
        <v>43382.54081</v>
      </c>
      <c r="B2777" t="s">
        <v>40</v>
      </c>
    </row>
    <row r="2778" hidden="1">
      <c r="A2778" s="32">
        <f>IFERROR(__xludf.DUMMYFUNCTION("""COMPUTED_VALUE"""),43382.59775266204)</f>
        <v>43382.59775</v>
      </c>
      <c r="B2778" t="s">
        <v>124</v>
      </c>
    </row>
    <row r="2779" hidden="1">
      <c r="A2779" s="32">
        <f>IFERROR(__xludf.DUMMYFUNCTION("""COMPUTED_VALUE"""),43382.67145362269)</f>
        <v>43382.67145</v>
      </c>
      <c r="B2779" t="s">
        <v>33</v>
      </c>
    </row>
    <row r="2780" hidden="1">
      <c r="A2780" s="32">
        <f>IFERROR(__xludf.DUMMYFUNCTION("""COMPUTED_VALUE"""),43382.68944174769)</f>
        <v>43382.68944</v>
      </c>
      <c r="B2780" t="s">
        <v>2424</v>
      </c>
    </row>
    <row r="2781" hidden="1">
      <c r="A2781" s="32">
        <f>IFERROR(__xludf.DUMMYFUNCTION("""COMPUTED_VALUE"""),43382.760242812496)</f>
        <v>43382.76024</v>
      </c>
      <c r="B2781" t="s">
        <v>33</v>
      </c>
    </row>
    <row r="2782" hidden="1">
      <c r="A2782" s="32">
        <f>IFERROR(__xludf.DUMMYFUNCTION("""COMPUTED_VALUE"""),43382.77741487269)</f>
        <v>43382.77741</v>
      </c>
      <c r="B2782" t="s">
        <v>1913</v>
      </c>
    </row>
    <row r="2783" hidden="1">
      <c r="A2783" s="32">
        <f>IFERROR(__xludf.DUMMYFUNCTION("""COMPUTED_VALUE"""),43382.78689596065)</f>
        <v>43382.7869</v>
      </c>
      <c r="B2783" t="s">
        <v>33</v>
      </c>
    </row>
    <row r="2784" hidden="1">
      <c r="A2784" s="32">
        <f>IFERROR(__xludf.DUMMYFUNCTION("""COMPUTED_VALUE"""),43382.81344537037)</f>
        <v>43382.81345</v>
      </c>
      <c r="B2784" t="s">
        <v>33</v>
      </c>
    </row>
    <row r="2785" hidden="1">
      <c r="A2785" s="32">
        <f>IFERROR(__xludf.DUMMYFUNCTION("""COMPUTED_VALUE"""),43382.84891741898)</f>
        <v>43382.84892</v>
      </c>
      <c r="B2785" t="s">
        <v>40</v>
      </c>
    </row>
    <row r="2786" hidden="1">
      <c r="A2786" s="32">
        <f>IFERROR(__xludf.DUMMYFUNCTION("""COMPUTED_VALUE"""),43382.87284091435)</f>
        <v>43382.87284</v>
      </c>
      <c r="B2786" t="s">
        <v>36</v>
      </c>
    </row>
    <row r="2787" hidden="1">
      <c r="A2787" s="32">
        <f>IFERROR(__xludf.DUMMYFUNCTION("""COMPUTED_VALUE"""),43382.881758738426)</f>
        <v>43382.88176</v>
      </c>
      <c r="B2787" t="s">
        <v>33</v>
      </c>
    </row>
    <row r="2788" hidden="1">
      <c r="A2788" s="32">
        <f>IFERROR(__xludf.DUMMYFUNCTION("""COMPUTED_VALUE"""),43382.90730467593)</f>
        <v>43382.9073</v>
      </c>
      <c r="B2788" t="s">
        <v>1916</v>
      </c>
    </row>
    <row r="2789" hidden="1">
      <c r="A2789" s="32">
        <f>IFERROR(__xludf.DUMMYFUNCTION("""COMPUTED_VALUE"""),43382.95496752315)</f>
        <v>43382.95497</v>
      </c>
      <c r="B2789" t="s">
        <v>80</v>
      </c>
    </row>
    <row r="2790" hidden="1">
      <c r="A2790" s="32">
        <f>IFERROR(__xludf.DUMMYFUNCTION("""COMPUTED_VALUE"""),43383.06306112268)</f>
        <v>43383.06306</v>
      </c>
      <c r="B2790" t="s">
        <v>45</v>
      </c>
    </row>
    <row r="2791" hidden="1">
      <c r="A2791" s="32">
        <f>IFERROR(__xludf.DUMMYFUNCTION("""COMPUTED_VALUE"""),43383.14556359954)</f>
        <v>43383.14556</v>
      </c>
      <c r="B2791" t="s">
        <v>40</v>
      </c>
    </row>
    <row r="2792" hidden="1">
      <c r="A2792" s="32">
        <f>IFERROR(__xludf.DUMMYFUNCTION("""COMPUTED_VALUE"""),43383.30182864583)</f>
        <v>43383.30183</v>
      </c>
      <c r="B2792" t="s">
        <v>80</v>
      </c>
    </row>
    <row r="2793" hidden="1">
      <c r="A2793" s="32">
        <f>IFERROR(__xludf.DUMMYFUNCTION("""COMPUTED_VALUE"""),43383.30336792824)</f>
        <v>43383.30337</v>
      </c>
      <c r="B2793" t="s">
        <v>40</v>
      </c>
    </row>
    <row r="2794" hidden="1">
      <c r="A2794" s="32">
        <f>IFERROR(__xludf.DUMMYFUNCTION("""COMPUTED_VALUE"""),43383.31542263889)</f>
        <v>43383.31542</v>
      </c>
      <c r="B2794" t="s">
        <v>1918</v>
      </c>
    </row>
    <row r="2795" hidden="1">
      <c r="A2795" s="32">
        <f>IFERROR(__xludf.DUMMYFUNCTION("""COMPUTED_VALUE"""),43383.373825069444)</f>
        <v>43383.37383</v>
      </c>
      <c r="B2795" t="s">
        <v>1920</v>
      </c>
    </row>
    <row r="2796" hidden="1">
      <c r="A2796" s="32">
        <f>IFERROR(__xludf.DUMMYFUNCTION("""COMPUTED_VALUE"""),43383.38909143519)</f>
        <v>43383.38909</v>
      </c>
      <c r="B2796" t="s">
        <v>1920</v>
      </c>
    </row>
    <row r="2797" hidden="1">
      <c r="A2797" s="32">
        <f>IFERROR(__xludf.DUMMYFUNCTION("""COMPUTED_VALUE"""),43383.41673157408)</f>
        <v>43383.41673</v>
      </c>
      <c r="B2797" t="s">
        <v>33</v>
      </c>
    </row>
    <row r="2798" hidden="1">
      <c r="A2798" s="32">
        <f>IFERROR(__xludf.DUMMYFUNCTION("""COMPUTED_VALUE"""),43383.431941030096)</f>
        <v>43383.43194</v>
      </c>
      <c r="B2798" t="s">
        <v>40</v>
      </c>
    </row>
    <row r="2799" hidden="1">
      <c r="A2799" s="32">
        <f>IFERROR(__xludf.DUMMYFUNCTION("""COMPUTED_VALUE"""),43383.44864304399)</f>
        <v>43383.44864</v>
      </c>
      <c r="B2799" t="s">
        <v>45</v>
      </c>
    </row>
    <row r="2800" hidden="1">
      <c r="A2800" s="32">
        <f>IFERROR(__xludf.DUMMYFUNCTION("""COMPUTED_VALUE"""),43383.485786296296)</f>
        <v>43383.48579</v>
      </c>
      <c r="B2800" t="s">
        <v>1929</v>
      </c>
    </row>
    <row r="2801" hidden="1">
      <c r="A2801" s="32">
        <f>IFERROR(__xludf.DUMMYFUNCTION("""COMPUTED_VALUE"""),43383.488874131945)</f>
        <v>43383.48887</v>
      </c>
      <c r="B2801" t="s">
        <v>40</v>
      </c>
    </row>
    <row r="2802" hidden="1">
      <c r="A2802" s="32">
        <f>IFERROR(__xludf.DUMMYFUNCTION("""COMPUTED_VALUE"""),43383.55550832176)</f>
        <v>43383.55551</v>
      </c>
      <c r="B2802" t="s">
        <v>2681</v>
      </c>
    </row>
    <row r="2803" hidden="1">
      <c r="A2803" s="32">
        <f>IFERROR(__xludf.DUMMYFUNCTION("""COMPUTED_VALUE"""),43383.597874178246)</f>
        <v>43383.59787</v>
      </c>
      <c r="B2803" t="s">
        <v>48</v>
      </c>
    </row>
    <row r="2804" hidden="1">
      <c r="A2804" s="32">
        <f>IFERROR(__xludf.DUMMYFUNCTION("""COMPUTED_VALUE"""),43383.646131030095)</f>
        <v>43383.64613</v>
      </c>
      <c r="B2804" t="s">
        <v>268</v>
      </c>
    </row>
    <row r="2805" hidden="1">
      <c r="A2805" s="32">
        <f>IFERROR(__xludf.DUMMYFUNCTION("""COMPUTED_VALUE"""),43383.647309259264)</f>
        <v>43383.64731</v>
      </c>
      <c r="B2805" t="s">
        <v>2658</v>
      </c>
    </row>
    <row r="2806" hidden="1">
      <c r="A2806" s="32">
        <f>IFERROR(__xludf.DUMMYFUNCTION("""COMPUTED_VALUE"""),43383.70288673611)</f>
        <v>43383.70289</v>
      </c>
      <c r="B2806" t="s">
        <v>33</v>
      </c>
    </row>
    <row r="2807" hidden="1">
      <c r="A2807" s="32">
        <f>IFERROR(__xludf.DUMMYFUNCTION("""COMPUTED_VALUE"""),43383.71328527778)</f>
        <v>43383.71329</v>
      </c>
      <c r="B2807" t="s">
        <v>33</v>
      </c>
    </row>
    <row r="2808" hidden="1">
      <c r="A2808" s="32">
        <f>IFERROR(__xludf.DUMMYFUNCTION("""COMPUTED_VALUE"""),43383.73138932871)</f>
        <v>43383.73139</v>
      </c>
      <c r="B2808" t="s">
        <v>1935</v>
      </c>
    </row>
    <row r="2809" hidden="1">
      <c r="A2809" s="32">
        <f>IFERROR(__xludf.DUMMYFUNCTION("""COMPUTED_VALUE"""),43383.77285954861)</f>
        <v>43383.77286</v>
      </c>
      <c r="B2809" t="s">
        <v>2759</v>
      </c>
    </row>
    <row r="2810" hidden="1">
      <c r="A2810" s="32">
        <f>IFERROR(__xludf.DUMMYFUNCTION("""COMPUTED_VALUE"""),43383.88559791667)</f>
        <v>43383.8856</v>
      </c>
      <c r="B2810" t="s">
        <v>80</v>
      </c>
    </row>
    <row r="2811" hidden="1">
      <c r="A2811" s="32">
        <f>IFERROR(__xludf.DUMMYFUNCTION("""COMPUTED_VALUE"""),43383.911199305556)</f>
        <v>43383.9112</v>
      </c>
      <c r="B2811" t="s">
        <v>33</v>
      </c>
    </row>
    <row r="2812" hidden="1">
      <c r="A2812" s="32">
        <f>IFERROR(__xludf.DUMMYFUNCTION("""COMPUTED_VALUE"""),43383.93789763888)</f>
        <v>43383.9379</v>
      </c>
      <c r="B2812" t="s">
        <v>40</v>
      </c>
    </row>
    <row r="2813" hidden="1">
      <c r="A2813" s="32">
        <f>IFERROR(__xludf.DUMMYFUNCTION("""COMPUTED_VALUE"""),43383.96082931713)</f>
        <v>43383.96083</v>
      </c>
      <c r="B2813" t="s">
        <v>263</v>
      </c>
    </row>
    <row r="2814" hidden="1">
      <c r="A2814" s="32">
        <f>IFERROR(__xludf.DUMMYFUNCTION("""COMPUTED_VALUE"""),43384.25890114583)</f>
        <v>43384.2589</v>
      </c>
      <c r="B2814" t="s">
        <v>119</v>
      </c>
    </row>
    <row r="2815" hidden="1">
      <c r="A2815" s="32">
        <f>IFERROR(__xludf.DUMMYFUNCTION("""COMPUTED_VALUE"""),43384.32230605324)</f>
        <v>43384.32231</v>
      </c>
      <c r="B2815" t="s">
        <v>80</v>
      </c>
    </row>
    <row r="2816" hidden="1">
      <c r="A2816" s="32">
        <f>IFERROR(__xludf.DUMMYFUNCTION("""COMPUTED_VALUE"""),43384.375115636576)</f>
        <v>43384.37512</v>
      </c>
      <c r="B2816" t="s">
        <v>1939</v>
      </c>
    </row>
    <row r="2817" hidden="1">
      <c r="A2817" s="32">
        <f>IFERROR(__xludf.DUMMYFUNCTION("""COMPUTED_VALUE"""),43384.40640715278)</f>
        <v>43384.40641</v>
      </c>
      <c r="B2817" t="s">
        <v>170</v>
      </c>
    </row>
    <row r="2818" hidden="1">
      <c r="A2818" s="32">
        <f>IFERROR(__xludf.DUMMYFUNCTION("""COMPUTED_VALUE"""),43384.41291925926)</f>
        <v>43384.41292</v>
      </c>
      <c r="B2818" t="s">
        <v>1920</v>
      </c>
    </row>
    <row r="2819" hidden="1">
      <c r="A2819" s="32">
        <f>IFERROR(__xludf.DUMMYFUNCTION("""COMPUTED_VALUE"""),43384.42959484954)</f>
        <v>43384.42959</v>
      </c>
      <c r="B2819" t="s">
        <v>80</v>
      </c>
    </row>
    <row r="2820" hidden="1">
      <c r="A2820" s="32">
        <f>IFERROR(__xludf.DUMMYFUNCTION("""COMPUTED_VALUE"""),43384.514099293985)</f>
        <v>43384.5141</v>
      </c>
      <c r="B2820" t="s">
        <v>45</v>
      </c>
    </row>
    <row r="2821" hidden="1">
      <c r="A2821" s="32">
        <f>IFERROR(__xludf.DUMMYFUNCTION("""COMPUTED_VALUE"""),43384.526242210646)</f>
        <v>43384.52624</v>
      </c>
      <c r="B2821" t="s">
        <v>105</v>
      </c>
    </row>
    <row r="2822" hidden="1">
      <c r="A2822" s="32">
        <f>IFERROR(__xludf.DUMMYFUNCTION("""COMPUTED_VALUE"""),43384.53007893519)</f>
        <v>43384.53008</v>
      </c>
      <c r="B2822" t="s">
        <v>2424</v>
      </c>
    </row>
    <row r="2823" hidden="1">
      <c r="A2823" s="32">
        <f>IFERROR(__xludf.DUMMYFUNCTION("""COMPUTED_VALUE"""),43384.54874200231)</f>
        <v>43384.54874</v>
      </c>
      <c r="B2823" t="s">
        <v>124</v>
      </c>
    </row>
    <row r="2824" hidden="1">
      <c r="A2824" s="32">
        <f>IFERROR(__xludf.DUMMYFUNCTION("""COMPUTED_VALUE"""),43384.62179635417)</f>
        <v>43384.6218</v>
      </c>
      <c r="B2824" t="s">
        <v>2760</v>
      </c>
    </row>
    <row r="2825" hidden="1">
      <c r="A2825" s="32">
        <f>IFERROR(__xludf.DUMMYFUNCTION("""COMPUTED_VALUE"""),43384.64341366898)</f>
        <v>43384.64341</v>
      </c>
      <c r="B2825" t="s">
        <v>2681</v>
      </c>
    </row>
    <row r="2826" hidden="1">
      <c r="A2826" s="32">
        <f>IFERROR(__xludf.DUMMYFUNCTION("""COMPUTED_VALUE"""),43384.64876469907)</f>
        <v>43384.64876</v>
      </c>
      <c r="B2826" t="s">
        <v>80</v>
      </c>
    </row>
    <row r="2827" hidden="1">
      <c r="A2827" s="32">
        <f>IFERROR(__xludf.DUMMYFUNCTION("""COMPUTED_VALUE"""),43384.65196072917)</f>
        <v>43384.65196</v>
      </c>
      <c r="B2827" t="s">
        <v>282</v>
      </c>
    </row>
    <row r="2828" hidden="1">
      <c r="A2828" s="32">
        <f>IFERROR(__xludf.DUMMYFUNCTION("""COMPUTED_VALUE"""),43384.65780885417)</f>
        <v>43384.65781</v>
      </c>
      <c r="B2828" t="s">
        <v>25</v>
      </c>
    </row>
    <row r="2829" hidden="1">
      <c r="A2829" s="32">
        <f>IFERROR(__xludf.DUMMYFUNCTION("""COMPUTED_VALUE"""),43384.664848541666)</f>
        <v>43384.66485</v>
      </c>
      <c r="B2829" t="s">
        <v>1196</v>
      </c>
    </row>
    <row r="2830" hidden="1">
      <c r="A2830" s="32">
        <f>IFERROR(__xludf.DUMMYFUNCTION("""COMPUTED_VALUE"""),43384.67896777778)</f>
        <v>43384.67897</v>
      </c>
      <c r="B2830" t="s">
        <v>270</v>
      </c>
    </row>
    <row r="2831" hidden="1">
      <c r="A2831" s="32">
        <f>IFERROR(__xludf.DUMMYFUNCTION("""COMPUTED_VALUE"""),43384.7000128588)</f>
        <v>43384.70001</v>
      </c>
      <c r="B2831" t="s">
        <v>40</v>
      </c>
    </row>
    <row r="2832" hidden="1">
      <c r="A2832" s="32">
        <f>IFERROR(__xludf.DUMMYFUNCTION("""COMPUTED_VALUE"""),43384.71011813657)</f>
        <v>43384.71012</v>
      </c>
      <c r="B2832" t="s">
        <v>40</v>
      </c>
    </row>
    <row r="2833" hidden="1">
      <c r="A2833" s="32">
        <f>IFERROR(__xludf.DUMMYFUNCTION("""COMPUTED_VALUE"""),43384.72243866898)</f>
        <v>43384.72244</v>
      </c>
      <c r="B2833" t="s">
        <v>80</v>
      </c>
    </row>
    <row r="2834" hidden="1">
      <c r="A2834" s="32">
        <f>IFERROR(__xludf.DUMMYFUNCTION("""COMPUTED_VALUE"""),43384.860913564815)</f>
        <v>43384.86091</v>
      </c>
      <c r="B2834" t="s">
        <v>33</v>
      </c>
    </row>
    <row r="2835" hidden="1">
      <c r="A2835" s="32">
        <f>IFERROR(__xludf.DUMMYFUNCTION("""COMPUTED_VALUE"""),43384.89317638889)</f>
        <v>43384.89318</v>
      </c>
      <c r="B2835" t="s">
        <v>80</v>
      </c>
    </row>
    <row r="2836" hidden="1">
      <c r="A2836" s="32">
        <f>IFERROR(__xludf.DUMMYFUNCTION("""COMPUTED_VALUE"""),43384.928868773146)</f>
        <v>43384.92887</v>
      </c>
      <c r="B2836" t="s">
        <v>124</v>
      </c>
    </row>
    <row r="2837" hidden="1">
      <c r="A2837" s="32">
        <f>IFERROR(__xludf.DUMMYFUNCTION("""COMPUTED_VALUE"""),43384.93042934028)</f>
        <v>43384.93043</v>
      </c>
      <c r="B2837" t="s">
        <v>124</v>
      </c>
    </row>
    <row r="2838" hidden="1">
      <c r="A2838" s="32">
        <f>IFERROR(__xludf.DUMMYFUNCTION("""COMPUTED_VALUE"""),43385.03056246528)</f>
        <v>43385.03056</v>
      </c>
      <c r="B2838" t="s">
        <v>40</v>
      </c>
    </row>
    <row r="2839" hidden="1">
      <c r="A2839" s="32">
        <f>IFERROR(__xludf.DUMMYFUNCTION("""COMPUTED_VALUE"""),43385.09256885417)</f>
        <v>43385.09257</v>
      </c>
      <c r="B2839" t="s">
        <v>538</v>
      </c>
    </row>
    <row r="2840" hidden="1">
      <c r="A2840" s="32">
        <f>IFERROR(__xludf.DUMMYFUNCTION("""COMPUTED_VALUE"""),43385.23418861111)</f>
        <v>43385.23419</v>
      </c>
      <c r="B2840" t="s">
        <v>25</v>
      </c>
    </row>
    <row r="2841" hidden="1">
      <c r="A2841" s="32">
        <f>IFERROR(__xludf.DUMMYFUNCTION("""COMPUTED_VALUE"""),43385.23418861111)</f>
        <v>43385.23419</v>
      </c>
      <c r="B2841" t="s">
        <v>25</v>
      </c>
    </row>
    <row r="2842" hidden="1">
      <c r="A2842" s="32">
        <f>IFERROR(__xludf.DUMMYFUNCTION("""COMPUTED_VALUE"""),43385.24343996528)</f>
        <v>43385.24344</v>
      </c>
      <c r="B2842" t="s">
        <v>40</v>
      </c>
    </row>
    <row r="2843" hidden="1">
      <c r="A2843" s="32">
        <f>IFERROR(__xludf.DUMMYFUNCTION("""COMPUTED_VALUE"""),43385.27818545139)</f>
        <v>43385.27819</v>
      </c>
      <c r="B2843" t="s">
        <v>2693</v>
      </c>
    </row>
    <row r="2844" hidden="1">
      <c r="A2844" s="32">
        <f>IFERROR(__xludf.DUMMYFUNCTION("""COMPUTED_VALUE"""),43385.27929157407)</f>
        <v>43385.27929</v>
      </c>
      <c r="B2844" t="s">
        <v>2761</v>
      </c>
    </row>
    <row r="2845" hidden="1">
      <c r="A2845" s="32">
        <f>IFERROR(__xludf.DUMMYFUNCTION("""COMPUTED_VALUE"""),43385.34605782408)</f>
        <v>43385.34606</v>
      </c>
      <c r="B2845" t="s">
        <v>95</v>
      </c>
    </row>
    <row r="2846" hidden="1">
      <c r="A2846" s="32">
        <f>IFERROR(__xludf.DUMMYFUNCTION("""COMPUTED_VALUE"""),43385.41677438657)</f>
        <v>43385.41677</v>
      </c>
      <c r="B2846" t="s">
        <v>1956</v>
      </c>
    </row>
    <row r="2847" hidden="1">
      <c r="A2847" s="32">
        <f>IFERROR(__xludf.DUMMYFUNCTION("""COMPUTED_VALUE"""),43385.417003379625)</f>
        <v>43385.417</v>
      </c>
      <c r="B2847" t="s">
        <v>25</v>
      </c>
    </row>
    <row r="2848" hidden="1">
      <c r="A2848" s="32">
        <f>IFERROR(__xludf.DUMMYFUNCTION("""COMPUTED_VALUE"""),43385.4544683912)</f>
        <v>43385.45447</v>
      </c>
      <c r="B2848" t="s">
        <v>1957</v>
      </c>
    </row>
    <row r="2849" hidden="1">
      <c r="A2849" s="32">
        <f>IFERROR(__xludf.DUMMYFUNCTION("""COMPUTED_VALUE"""),43385.51581924768)</f>
        <v>43385.51582</v>
      </c>
      <c r="B2849" t="s">
        <v>80</v>
      </c>
    </row>
    <row r="2850" hidden="1">
      <c r="A2850" s="32">
        <f>IFERROR(__xludf.DUMMYFUNCTION("""COMPUTED_VALUE"""),43385.532558923616)</f>
        <v>43385.53256</v>
      </c>
      <c r="B2850" t="s">
        <v>188</v>
      </c>
    </row>
    <row r="2851" hidden="1">
      <c r="A2851" s="32">
        <f>IFERROR(__xludf.DUMMYFUNCTION("""COMPUTED_VALUE"""),43385.569433136574)</f>
        <v>43385.56943</v>
      </c>
      <c r="B2851" t="s">
        <v>1891</v>
      </c>
    </row>
    <row r="2852" hidden="1">
      <c r="A2852" s="32">
        <f>IFERROR(__xludf.DUMMYFUNCTION("""COMPUTED_VALUE"""),43385.65793636574)</f>
        <v>43385.65794</v>
      </c>
      <c r="B2852" t="s">
        <v>40</v>
      </c>
    </row>
    <row r="2853" hidden="1">
      <c r="A2853" s="32">
        <f>IFERROR(__xludf.DUMMYFUNCTION("""COMPUTED_VALUE"""),43385.70099909722)</f>
        <v>43385.701</v>
      </c>
      <c r="B2853" t="s">
        <v>1962</v>
      </c>
    </row>
    <row r="2854" hidden="1">
      <c r="A2854" s="32">
        <f>IFERROR(__xludf.DUMMYFUNCTION("""COMPUTED_VALUE"""),43385.7370199537)</f>
        <v>43385.73702</v>
      </c>
      <c r="B2854" t="s">
        <v>123</v>
      </c>
    </row>
    <row r="2855" hidden="1">
      <c r="A2855" s="32">
        <f>IFERROR(__xludf.DUMMYFUNCTION("""COMPUTED_VALUE"""),43385.859582777775)</f>
        <v>43385.85958</v>
      </c>
      <c r="B2855" t="s">
        <v>1484</v>
      </c>
    </row>
    <row r="2856" hidden="1">
      <c r="A2856" s="32">
        <f>IFERROR(__xludf.DUMMYFUNCTION("""COMPUTED_VALUE"""),43385.874136134255)</f>
        <v>43385.87414</v>
      </c>
      <c r="B2856" t="s">
        <v>45</v>
      </c>
    </row>
    <row r="2857" hidden="1">
      <c r="A2857" s="32">
        <f>IFERROR(__xludf.DUMMYFUNCTION("""COMPUTED_VALUE"""),43385.967572974536)</f>
        <v>43385.96757</v>
      </c>
      <c r="B2857" t="s">
        <v>80</v>
      </c>
    </row>
    <row r="2858" hidden="1">
      <c r="A2858" s="32">
        <f>IFERROR(__xludf.DUMMYFUNCTION("""COMPUTED_VALUE"""),43386.10892722222)</f>
        <v>43386.10893</v>
      </c>
      <c r="B2858" t="s">
        <v>538</v>
      </c>
    </row>
    <row r="2859" hidden="1">
      <c r="A2859" s="32">
        <f>IFERROR(__xludf.DUMMYFUNCTION("""COMPUTED_VALUE"""),43386.20549878472)</f>
        <v>43386.2055</v>
      </c>
      <c r="B2859" t="s">
        <v>36</v>
      </c>
    </row>
    <row r="2860" hidden="1">
      <c r="A2860" s="32">
        <f>IFERROR(__xludf.DUMMYFUNCTION("""COMPUTED_VALUE"""),43386.253820439815)</f>
        <v>43386.25382</v>
      </c>
      <c r="B2860" t="s">
        <v>95</v>
      </c>
    </row>
    <row r="2861" hidden="1">
      <c r="A2861" s="32">
        <f>IFERROR(__xludf.DUMMYFUNCTION("""COMPUTED_VALUE"""),43386.27701243055)</f>
        <v>43386.27701</v>
      </c>
      <c r="B2861" t="s">
        <v>40</v>
      </c>
    </row>
    <row r="2862" hidden="1">
      <c r="A2862" s="32">
        <f>IFERROR(__xludf.DUMMYFUNCTION("""COMPUTED_VALUE"""),43386.321630763894)</f>
        <v>43386.32163</v>
      </c>
      <c r="B2862" t="s">
        <v>1968</v>
      </c>
    </row>
    <row r="2863" hidden="1">
      <c r="A2863" s="32">
        <f>IFERROR(__xludf.DUMMYFUNCTION("""COMPUTED_VALUE"""),43386.3250262037)</f>
        <v>43386.32503</v>
      </c>
      <c r="B2863" t="s">
        <v>119</v>
      </c>
    </row>
    <row r="2864" hidden="1">
      <c r="A2864" s="32">
        <f>IFERROR(__xludf.DUMMYFUNCTION("""COMPUTED_VALUE"""),43386.449114375)</f>
        <v>43386.44911</v>
      </c>
      <c r="B2864" t="s">
        <v>371</v>
      </c>
    </row>
    <row r="2865" hidden="1">
      <c r="A2865" s="32">
        <f>IFERROR(__xludf.DUMMYFUNCTION("""COMPUTED_VALUE"""),43386.45471121528)</f>
        <v>43386.45471</v>
      </c>
      <c r="B2865" t="s">
        <v>33</v>
      </c>
    </row>
    <row r="2866" hidden="1">
      <c r="A2866" s="32">
        <f>IFERROR(__xludf.DUMMYFUNCTION("""COMPUTED_VALUE"""),43386.47700680555)</f>
        <v>43386.47701</v>
      </c>
      <c r="B2866" t="s">
        <v>170</v>
      </c>
    </row>
    <row r="2867" hidden="1">
      <c r="A2867" s="32">
        <f>IFERROR(__xludf.DUMMYFUNCTION("""COMPUTED_VALUE"""),43386.50353078704)</f>
        <v>43386.50353</v>
      </c>
      <c r="B2867" t="s">
        <v>1971</v>
      </c>
    </row>
    <row r="2868" hidden="1">
      <c r="A2868" s="32">
        <f>IFERROR(__xludf.DUMMYFUNCTION("""COMPUTED_VALUE"""),43386.57520774305)</f>
        <v>43386.57521</v>
      </c>
      <c r="B2868" t="s">
        <v>170</v>
      </c>
    </row>
    <row r="2869" hidden="1">
      <c r="A2869" s="32">
        <f>IFERROR(__xludf.DUMMYFUNCTION("""COMPUTED_VALUE"""),43386.578686747685)</f>
        <v>43386.57869</v>
      </c>
      <c r="B2869" t="s">
        <v>33</v>
      </c>
    </row>
    <row r="2870" hidden="1">
      <c r="A2870" s="32">
        <f>IFERROR(__xludf.DUMMYFUNCTION("""COMPUTED_VALUE"""),43386.62671070602)</f>
        <v>43386.62671</v>
      </c>
      <c r="B2870" t="s">
        <v>80</v>
      </c>
    </row>
    <row r="2871" hidden="1">
      <c r="A2871" s="32">
        <f>IFERROR(__xludf.DUMMYFUNCTION("""COMPUTED_VALUE"""),43386.71662677084)</f>
        <v>43386.71663</v>
      </c>
      <c r="B2871" t="s">
        <v>80</v>
      </c>
    </row>
    <row r="2872" hidden="1">
      <c r="A2872" s="32">
        <f>IFERROR(__xludf.DUMMYFUNCTION("""COMPUTED_VALUE"""),43386.76186298611)</f>
        <v>43386.76186</v>
      </c>
      <c r="B2872" t="s">
        <v>33</v>
      </c>
    </row>
    <row r="2873" hidden="1">
      <c r="A2873" s="32">
        <f>IFERROR(__xludf.DUMMYFUNCTION("""COMPUTED_VALUE"""),43386.81714064815)</f>
        <v>43386.81714</v>
      </c>
      <c r="B2873" t="s">
        <v>33</v>
      </c>
    </row>
    <row r="2874" hidden="1">
      <c r="A2874" s="32">
        <f>IFERROR(__xludf.DUMMYFUNCTION("""COMPUTED_VALUE"""),43386.81915166667)</f>
        <v>43386.81915</v>
      </c>
      <c r="B2874" t="s">
        <v>48</v>
      </c>
    </row>
    <row r="2875" hidden="1">
      <c r="A2875" s="32">
        <f>IFERROR(__xludf.DUMMYFUNCTION("""COMPUTED_VALUE"""),43386.83714297454)</f>
        <v>43386.83714</v>
      </c>
      <c r="B2875" t="s">
        <v>258</v>
      </c>
    </row>
    <row r="2876" hidden="1">
      <c r="A2876" s="32">
        <f>IFERROR(__xludf.DUMMYFUNCTION("""COMPUTED_VALUE"""),43386.9338087963)</f>
        <v>43386.93381</v>
      </c>
      <c r="B2876" t="s">
        <v>95</v>
      </c>
    </row>
    <row r="2877" hidden="1">
      <c r="A2877" s="32">
        <f>IFERROR(__xludf.DUMMYFUNCTION("""COMPUTED_VALUE"""),43386.983157731476)</f>
        <v>43386.98316</v>
      </c>
      <c r="B2877" t="s">
        <v>33</v>
      </c>
    </row>
    <row r="2878" hidden="1">
      <c r="A2878" s="32">
        <f>IFERROR(__xludf.DUMMYFUNCTION("""COMPUTED_VALUE"""),43387.002058576385)</f>
        <v>43387.00206</v>
      </c>
      <c r="B2878" t="s">
        <v>48</v>
      </c>
    </row>
    <row r="2879" hidden="1">
      <c r="A2879" s="32">
        <f>IFERROR(__xludf.DUMMYFUNCTION("""COMPUTED_VALUE"""),43387.00903256945)</f>
        <v>43387.00903</v>
      </c>
      <c r="B2879" t="s">
        <v>80</v>
      </c>
    </row>
    <row r="2880" hidden="1">
      <c r="A2880" s="32">
        <f>IFERROR(__xludf.DUMMYFUNCTION("""COMPUTED_VALUE"""),43387.36313054398)</f>
        <v>43387.36313</v>
      </c>
      <c r="B2880" t="s">
        <v>36</v>
      </c>
    </row>
    <row r="2881" hidden="1">
      <c r="A2881" s="32">
        <f>IFERROR(__xludf.DUMMYFUNCTION("""COMPUTED_VALUE"""),43387.37058509259)</f>
        <v>43387.37059</v>
      </c>
      <c r="B2881" t="s">
        <v>48</v>
      </c>
    </row>
    <row r="2882" hidden="1">
      <c r="A2882" s="32">
        <f>IFERROR(__xludf.DUMMYFUNCTION("""COMPUTED_VALUE"""),43387.46585648148)</f>
        <v>43387.46586</v>
      </c>
      <c r="B2882" t="s">
        <v>1977</v>
      </c>
    </row>
    <row r="2883" hidden="1">
      <c r="A2883" s="32">
        <f>IFERROR(__xludf.DUMMYFUNCTION("""COMPUTED_VALUE"""),43387.50562607639)</f>
        <v>43387.50563</v>
      </c>
      <c r="B2883" t="s">
        <v>40</v>
      </c>
    </row>
    <row r="2884" hidden="1">
      <c r="A2884" s="32">
        <f>IFERROR(__xludf.DUMMYFUNCTION("""COMPUTED_VALUE"""),43387.55319839121)</f>
        <v>43387.5532</v>
      </c>
      <c r="B2884" t="s">
        <v>407</v>
      </c>
    </row>
    <row r="2885" hidden="1">
      <c r="A2885" s="32">
        <f>IFERROR(__xludf.DUMMYFUNCTION("""COMPUTED_VALUE"""),43387.55319839121)</f>
        <v>43387.5532</v>
      </c>
      <c r="B2885" t="s">
        <v>407</v>
      </c>
    </row>
    <row r="2886" hidden="1">
      <c r="A2886" s="32">
        <f>IFERROR(__xludf.DUMMYFUNCTION("""COMPUTED_VALUE"""),43387.59898494213)</f>
        <v>43387.59898</v>
      </c>
      <c r="B2886" t="s">
        <v>350</v>
      </c>
    </row>
    <row r="2887" hidden="1">
      <c r="A2887" s="32">
        <f>IFERROR(__xludf.DUMMYFUNCTION("""COMPUTED_VALUE"""),43387.663195416666)</f>
        <v>43387.6632</v>
      </c>
      <c r="B2887" t="s">
        <v>40</v>
      </c>
    </row>
    <row r="2888" hidden="1">
      <c r="A2888" s="32">
        <f>IFERROR(__xludf.DUMMYFUNCTION("""COMPUTED_VALUE"""),43387.67811256944)</f>
        <v>43387.67811</v>
      </c>
      <c r="B2888" t="s">
        <v>45</v>
      </c>
    </row>
    <row r="2889" hidden="1">
      <c r="A2889" s="32">
        <f>IFERROR(__xludf.DUMMYFUNCTION("""COMPUTED_VALUE"""),43387.73879297454)</f>
        <v>43387.73879</v>
      </c>
      <c r="B2889" t="s">
        <v>80</v>
      </c>
    </row>
    <row r="2890" hidden="1">
      <c r="A2890" s="32">
        <f>IFERROR(__xludf.DUMMYFUNCTION("""COMPUTED_VALUE"""),43387.74398924768)</f>
        <v>43387.74399</v>
      </c>
      <c r="B2890" t="s">
        <v>33</v>
      </c>
    </row>
    <row r="2891" hidden="1">
      <c r="A2891" s="32">
        <f>IFERROR(__xludf.DUMMYFUNCTION("""COMPUTED_VALUE"""),43387.75374327546)</f>
        <v>43387.75374</v>
      </c>
      <c r="B2891" t="s">
        <v>2762</v>
      </c>
    </row>
    <row r="2892" hidden="1">
      <c r="A2892" s="32">
        <f>IFERROR(__xludf.DUMMYFUNCTION("""COMPUTED_VALUE"""),43387.75445474537)</f>
        <v>43387.75445</v>
      </c>
      <c r="B2892" t="s">
        <v>2762</v>
      </c>
    </row>
    <row r="2893" hidden="1">
      <c r="A2893" s="32">
        <f>IFERROR(__xludf.DUMMYFUNCTION("""COMPUTED_VALUE"""),43387.76790961805)</f>
        <v>43387.76791</v>
      </c>
      <c r="B2893" t="s">
        <v>40</v>
      </c>
    </row>
    <row r="2894" hidden="1">
      <c r="A2894" s="32">
        <f>IFERROR(__xludf.DUMMYFUNCTION("""COMPUTED_VALUE"""),43387.76974737269)</f>
        <v>43387.76975</v>
      </c>
      <c r="B2894" t="s">
        <v>33</v>
      </c>
    </row>
    <row r="2895" hidden="1">
      <c r="A2895" s="32">
        <f>IFERROR(__xludf.DUMMYFUNCTION("""COMPUTED_VALUE"""),43387.77922413194)</f>
        <v>43387.77922</v>
      </c>
      <c r="B2895" t="s">
        <v>33</v>
      </c>
    </row>
    <row r="2896" hidden="1">
      <c r="A2896" s="32">
        <f>IFERROR(__xludf.DUMMYFUNCTION("""COMPUTED_VALUE"""),43387.80427179398)</f>
        <v>43387.80427</v>
      </c>
      <c r="B2896" t="s">
        <v>2763</v>
      </c>
    </row>
    <row r="2897" hidden="1">
      <c r="A2897" s="32">
        <f>IFERROR(__xludf.DUMMYFUNCTION("""COMPUTED_VALUE"""),43387.814526435184)</f>
        <v>43387.81453</v>
      </c>
      <c r="B2897" t="s">
        <v>40</v>
      </c>
    </row>
    <row r="2898" hidden="1">
      <c r="A2898" s="32">
        <f>IFERROR(__xludf.DUMMYFUNCTION("""COMPUTED_VALUE"""),43387.8207565162)</f>
        <v>43387.82076</v>
      </c>
      <c r="B2898" t="s">
        <v>40</v>
      </c>
    </row>
    <row r="2899" hidden="1">
      <c r="A2899" s="32">
        <f>IFERROR(__xludf.DUMMYFUNCTION("""COMPUTED_VALUE"""),43387.85636949074)</f>
        <v>43387.85637</v>
      </c>
      <c r="B2899" t="s">
        <v>1196</v>
      </c>
    </row>
    <row r="2900" hidden="1">
      <c r="A2900" s="32">
        <f>IFERROR(__xludf.DUMMYFUNCTION("""COMPUTED_VALUE"""),43388.08984226851)</f>
        <v>43388.08984</v>
      </c>
      <c r="B2900" t="s">
        <v>80</v>
      </c>
    </row>
    <row r="2901" hidden="1">
      <c r="A2901" s="32">
        <f>IFERROR(__xludf.DUMMYFUNCTION("""COMPUTED_VALUE"""),43388.22055488426)</f>
        <v>43388.22055</v>
      </c>
      <c r="B2901" t="s">
        <v>2764</v>
      </c>
    </row>
    <row r="2902" hidden="1">
      <c r="A2902" s="32">
        <f>IFERROR(__xludf.DUMMYFUNCTION("""COMPUTED_VALUE"""),43388.23763476852)</f>
        <v>43388.23763</v>
      </c>
      <c r="B2902" t="s">
        <v>371</v>
      </c>
    </row>
    <row r="2903" hidden="1">
      <c r="A2903" s="32">
        <f>IFERROR(__xludf.DUMMYFUNCTION("""COMPUTED_VALUE"""),43388.457192222224)</f>
        <v>43388.45719</v>
      </c>
      <c r="B2903" t="s">
        <v>40</v>
      </c>
    </row>
    <row r="2904" hidden="1">
      <c r="A2904" s="32">
        <f>IFERROR(__xludf.DUMMYFUNCTION("""COMPUTED_VALUE"""),43388.457545694444)</f>
        <v>43388.45755</v>
      </c>
      <c r="B2904" t="s">
        <v>1991</v>
      </c>
    </row>
    <row r="2905" hidden="1">
      <c r="A2905" s="32">
        <f>IFERROR(__xludf.DUMMYFUNCTION("""COMPUTED_VALUE"""),43388.46824703703)</f>
        <v>43388.46825</v>
      </c>
      <c r="B2905" t="s">
        <v>40</v>
      </c>
    </row>
    <row r="2906" hidden="1">
      <c r="A2906" s="32">
        <f>IFERROR(__xludf.DUMMYFUNCTION("""COMPUTED_VALUE"""),43388.48353896991)</f>
        <v>43388.48354</v>
      </c>
      <c r="B2906" t="s">
        <v>77</v>
      </c>
    </row>
    <row r="2907" hidden="1">
      <c r="A2907" s="32">
        <f>IFERROR(__xludf.DUMMYFUNCTION("""COMPUTED_VALUE"""),43388.49235344907)</f>
        <v>43388.49235</v>
      </c>
      <c r="B2907" t="s">
        <v>40</v>
      </c>
    </row>
    <row r="2908" hidden="1">
      <c r="A2908" s="32">
        <f>IFERROR(__xludf.DUMMYFUNCTION("""COMPUTED_VALUE"""),43388.56213303241)</f>
        <v>43388.56213</v>
      </c>
      <c r="B2908" t="s">
        <v>371</v>
      </c>
    </row>
    <row r="2909" hidden="1">
      <c r="A2909" s="32">
        <f>IFERROR(__xludf.DUMMYFUNCTION("""COMPUTED_VALUE"""),43388.56276878472)</f>
        <v>43388.56277</v>
      </c>
      <c r="B2909" t="s">
        <v>371</v>
      </c>
    </row>
    <row r="2910" hidden="1">
      <c r="A2910" s="32">
        <f>IFERROR(__xludf.DUMMYFUNCTION("""COMPUTED_VALUE"""),43388.59953663194)</f>
        <v>43388.59954</v>
      </c>
      <c r="B2910" t="s">
        <v>80</v>
      </c>
    </row>
    <row r="2911" hidden="1">
      <c r="A2911" s="32">
        <f>IFERROR(__xludf.DUMMYFUNCTION("""COMPUTED_VALUE"""),43388.65192282408)</f>
        <v>43388.65192</v>
      </c>
      <c r="B2911" t="s">
        <v>705</v>
      </c>
    </row>
    <row r="2912" hidden="1">
      <c r="A2912" s="32">
        <f>IFERROR(__xludf.DUMMYFUNCTION("""COMPUTED_VALUE"""),43388.69655824074)</f>
        <v>43388.69656</v>
      </c>
      <c r="B2912" t="s">
        <v>80</v>
      </c>
    </row>
    <row r="2913" hidden="1">
      <c r="A2913" s="32">
        <f>IFERROR(__xludf.DUMMYFUNCTION("""COMPUTED_VALUE"""),43388.78225950232)</f>
        <v>43388.78226</v>
      </c>
      <c r="B2913" t="s">
        <v>1997</v>
      </c>
    </row>
    <row r="2914" hidden="1">
      <c r="A2914" s="32">
        <f>IFERROR(__xludf.DUMMYFUNCTION("""COMPUTED_VALUE"""),43388.79036079861)</f>
        <v>43388.79036</v>
      </c>
      <c r="B2914" t="s">
        <v>268</v>
      </c>
    </row>
    <row r="2915" hidden="1">
      <c r="A2915" s="32">
        <f>IFERROR(__xludf.DUMMYFUNCTION("""COMPUTED_VALUE"""),43388.79468659722)</f>
        <v>43388.79469</v>
      </c>
      <c r="B2915" t="s">
        <v>45</v>
      </c>
    </row>
    <row r="2916" hidden="1">
      <c r="A2916" s="32">
        <f>IFERROR(__xludf.DUMMYFUNCTION("""COMPUTED_VALUE"""),43388.8142696412)</f>
        <v>43388.81427</v>
      </c>
      <c r="B2916" t="s">
        <v>2765</v>
      </c>
    </row>
    <row r="2917" hidden="1">
      <c r="A2917" s="32">
        <f>IFERROR(__xludf.DUMMYFUNCTION("""COMPUTED_VALUE"""),43388.85883079861)</f>
        <v>43388.85883</v>
      </c>
      <c r="B2917" t="s">
        <v>378</v>
      </c>
    </row>
    <row r="2918" hidden="1">
      <c r="A2918" s="32">
        <f>IFERROR(__xludf.DUMMYFUNCTION("""COMPUTED_VALUE"""),43388.89691570602)</f>
        <v>43388.89692</v>
      </c>
      <c r="B2918" t="s">
        <v>880</v>
      </c>
    </row>
    <row r="2919" hidden="1">
      <c r="A2919" s="32">
        <f>IFERROR(__xludf.DUMMYFUNCTION("""COMPUTED_VALUE"""),43388.935092141204)</f>
        <v>43388.93509</v>
      </c>
      <c r="B2919" t="s">
        <v>40</v>
      </c>
    </row>
    <row r="2920" hidden="1">
      <c r="A2920" s="32">
        <f>IFERROR(__xludf.DUMMYFUNCTION("""COMPUTED_VALUE"""),43388.952954189816)</f>
        <v>43388.95295</v>
      </c>
      <c r="B2920" t="s">
        <v>95</v>
      </c>
    </row>
    <row r="2921" hidden="1">
      <c r="A2921" s="32">
        <f>IFERROR(__xludf.DUMMYFUNCTION("""COMPUTED_VALUE"""),43388.970267094905)</f>
        <v>43388.97027</v>
      </c>
      <c r="B2921" t="s">
        <v>819</v>
      </c>
    </row>
    <row r="2922" hidden="1">
      <c r="A2922" s="32">
        <f>IFERROR(__xludf.DUMMYFUNCTION("""COMPUTED_VALUE"""),43389.012165196764)</f>
        <v>43389.01217</v>
      </c>
      <c r="B2922" t="s">
        <v>25</v>
      </c>
    </row>
    <row r="2923" hidden="1">
      <c r="A2923" s="32">
        <f>IFERROR(__xludf.DUMMYFUNCTION("""COMPUTED_VALUE"""),43389.150347511575)</f>
        <v>43389.15035</v>
      </c>
      <c r="B2923" t="s">
        <v>2681</v>
      </c>
    </row>
    <row r="2924" hidden="1">
      <c r="A2924" s="32">
        <f>IFERROR(__xludf.DUMMYFUNCTION("""COMPUTED_VALUE"""),43389.2015381713)</f>
        <v>43389.20154</v>
      </c>
      <c r="B2924" t="s">
        <v>2681</v>
      </c>
    </row>
    <row r="2925" hidden="1">
      <c r="A2925" s="32">
        <f>IFERROR(__xludf.DUMMYFUNCTION("""COMPUTED_VALUE"""),43389.20324775463)</f>
        <v>43389.20325</v>
      </c>
      <c r="B2925" t="s">
        <v>2681</v>
      </c>
    </row>
    <row r="2926" hidden="1">
      <c r="A2926" s="32">
        <f>IFERROR(__xludf.DUMMYFUNCTION("""COMPUTED_VALUE"""),43389.22041126157)</f>
        <v>43389.22041</v>
      </c>
      <c r="B2926" t="s">
        <v>2667</v>
      </c>
    </row>
    <row r="2927" hidden="1">
      <c r="A2927" s="32">
        <f>IFERROR(__xludf.DUMMYFUNCTION("""COMPUTED_VALUE"""),43389.22041126157)</f>
        <v>43389.22041</v>
      </c>
      <c r="B2927" t="s">
        <v>2667</v>
      </c>
    </row>
    <row r="2928" hidden="1">
      <c r="A2928" s="32">
        <f>IFERROR(__xludf.DUMMYFUNCTION("""COMPUTED_VALUE"""),43389.22182803241)</f>
        <v>43389.22183</v>
      </c>
      <c r="B2928" t="s">
        <v>350</v>
      </c>
    </row>
    <row r="2929" hidden="1">
      <c r="A2929" s="32">
        <f>IFERROR(__xludf.DUMMYFUNCTION("""COMPUTED_VALUE"""),43389.26967421296)</f>
        <v>43389.26967</v>
      </c>
      <c r="B2929" t="s">
        <v>2667</v>
      </c>
    </row>
    <row r="2930" hidden="1">
      <c r="A2930" s="32">
        <f>IFERROR(__xludf.DUMMYFUNCTION("""COMPUTED_VALUE"""),43389.347514803245)</f>
        <v>43389.34751</v>
      </c>
      <c r="B2930" t="s">
        <v>80</v>
      </c>
    </row>
    <row r="2931" hidden="1">
      <c r="A2931" s="32">
        <f>IFERROR(__xludf.DUMMYFUNCTION("""COMPUTED_VALUE"""),43389.429524050924)</f>
        <v>43389.42952</v>
      </c>
      <c r="B2931" t="s">
        <v>80</v>
      </c>
    </row>
    <row r="2932" hidden="1">
      <c r="A2932" s="32">
        <f>IFERROR(__xludf.DUMMYFUNCTION("""COMPUTED_VALUE"""),43389.449338425926)</f>
        <v>43389.44934</v>
      </c>
      <c r="B2932" t="s">
        <v>2009</v>
      </c>
    </row>
    <row r="2933" hidden="1">
      <c r="A2933" s="32">
        <f>IFERROR(__xludf.DUMMYFUNCTION("""COMPUTED_VALUE"""),43389.53198399306)</f>
        <v>43389.53198</v>
      </c>
      <c r="B2933" t="s">
        <v>270</v>
      </c>
    </row>
    <row r="2934" hidden="1">
      <c r="A2934" s="32">
        <f>IFERROR(__xludf.DUMMYFUNCTION("""COMPUTED_VALUE"""),43389.56195048611)</f>
        <v>43389.56195</v>
      </c>
      <c r="B2934" t="s">
        <v>45</v>
      </c>
    </row>
    <row r="2935" hidden="1">
      <c r="A2935" s="32">
        <f>IFERROR(__xludf.DUMMYFUNCTION("""COMPUTED_VALUE"""),43389.597988298614)</f>
        <v>43389.59799</v>
      </c>
      <c r="B2935" t="s">
        <v>1160</v>
      </c>
    </row>
    <row r="2936" hidden="1">
      <c r="A2936" s="32">
        <f>IFERROR(__xludf.DUMMYFUNCTION("""COMPUTED_VALUE"""),43389.59888873843)</f>
        <v>43389.59889</v>
      </c>
      <c r="B2936" t="s">
        <v>1160</v>
      </c>
    </row>
    <row r="2937" hidden="1">
      <c r="A2937" s="32">
        <f>IFERROR(__xludf.DUMMYFUNCTION("""COMPUTED_VALUE"""),43389.59981773148)</f>
        <v>43389.59982</v>
      </c>
      <c r="B2937" t="s">
        <v>1160</v>
      </c>
    </row>
    <row r="2938" hidden="1">
      <c r="A2938" s="32">
        <f>IFERROR(__xludf.DUMMYFUNCTION("""COMPUTED_VALUE"""),43389.62227550926)</f>
        <v>43389.62228</v>
      </c>
      <c r="B2938" t="s">
        <v>33</v>
      </c>
    </row>
    <row r="2939" hidden="1">
      <c r="A2939" s="32">
        <f>IFERROR(__xludf.DUMMYFUNCTION("""COMPUTED_VALUE"""),43389.658887893514)</f>
        <v>43389.65889</v>
      </c>
      <c r="B2939" t="s">
        <v>80</v>
      </c>
    </row>
    <row r="2940" hidden="1">
      <c r="A2940" s="32">
        <f>IFERROR(__xludf.DUMMYFUNCTION("""COMPUTED_VALUE"""),43389.73587914352)</f>
        <v>43389.73588</v>
      </c>
      <c r="B2940" t="s">
        <v>33</v>
      </c>
    </row>
    <row r="2941" hidden="1">
      <c r="A2941" s="32">
        <f>IFERROR(__xludf.DUMMYFUNCTION("""COMPUTED_VALUE"""),43389.783163761575)</f>
        <v>43389.78316</v>
      </c>
      <c r="B2941" t="s">
        <v>350</v>
      </c>
    </row>
    <row r="2942" hidden="1">
      <c r="A2942" s="32">
        <f>IFERROR(__xludf.DUMMYFUNCTION("""COMPUTED_VALUE"""),43389.799106770835)</f>
        <v>43389.79911</v>
      </c>
      <c r="B2942" t="s">
        <v>119</v>
      </c>
    </row>
    <row r="2943" hidden="1">
      <c r="A2943" s="32">
        <f>IFERROR(__xludf.DUMMYFUNCTION("""COMPUTED_VALUE"""),43389.90382782408)</f>
        <v>43389.90383</v>
      </c>
      <c r="B2943" t="s">
        <v>2013</v>
      </c>
    </row>
    <row r="2944" hidden="1">
      <c r="A2944" s="32">
        <f>IFERROR(__xludf.DUMMYFUNCTION("""COMPUTED_VALUE"""),43389.90451572917)</f>
        <v>43389.90452</v>
      </c>
      <c r="B2944" t="s">
        <v>119</v>
      </c>
    </row>
    <row r="2945" hidden="1">
      <c r="A2945" s="32">
        <f>IFERROR(__xludf.DUMMYFUNCTION("""COMPUTED_VALUE"""),43389.906426898146)</f>
        <v>43389.90643</v>
      </c>
      <c r="B2945" t="s">
        <v>2734</v>
      </c>
    </row>
    <row r="2946" hidden="1">
      <c r="A2946" s="32">
        <f>IFERROR(__xludf.DUMMYFUNCTION("""COMPUTED_VALUE"""),43389.91615863426)</f>
        <v>43389.91616</v>
      </c>
      <c r="B2946" t="s">
        <v>33</v>
      </c>
    </row>
    <row r="2947" hidden="1">
      <c r="A2947" s="32">
        <f>IFERROR(__xludf.DUMMYFUNCTION("""COMPUTED_VALUE"""),43389.922825347225)</f>
        <v>43389.92283</v>
      </c>
      <c r="B2947" t="s">
        <v>33</v>
      </c>
    </row>
    <row r="2948" hidden="1">
      <c r="A2948" s="32">
        <f>IFERROR(__xludf.DUMMYFUNCTION("""COMPUTED_VALUE"""),43389.9833541088)</f>
        <v>43389.98335</v>
      </c>
      <c r="B2948" t="s">
        <v>45</v>
      </c>
    </row>
    <row r="2949" hidden="1">
      <c r="A2949" s="32">
        <f>IFERROR(__xludf.DUMMYFUNCTION("""COMPUTED_VALUE"""),43389.994196493055)</f>
        <v>43389.9942</v>
      </c>
      <c r="B2949" t="s">
        <v>187</v>
      </c>
    </row>
    <row r="2950" hidden="1">
      <c r="A2950" s="32">
        <f>IFERROR(__xludf.DUMMYFUNCTION("""COMPUTED_VALUE"""),43390.09152412037)</f>
        <v>43390.09152</v>
      </c>
      <c r="B2950" t="s">
        <v>2766</v>
      </c>
    </row>
    <row r="2951" hidden="1">
      <c r="A2951" s="32">
        <f>IFERROR(__xludf.DUMMYFUNCTION("""COMPUTED_VALUE"""),43390.236820659724)</f>
        <v>43390.23682</v>
      </c>
      <c r="B2951" t="s">
        <v>40</v>
      </c>
    </row>
    <row r="2952" hidden="1">
      <c r="A2952" s="32">
        <f>IFERROR(__xludf.DUMMYFUNCTION("""COMPUTED_VALUE"""),43390.23867140047)</f>
        <v>43390.23867</v>
      </c>
      <c r="B2952" t="s">
        <v>33</v>
      </c>
    </row>
    <row r="2953" hidden="1">
      <c r="A2953" s="32">
        <f>IFERROR(__xludf.DUMMYFUNCTION("""COMPUTED_VALUE"""),43390.42654900463)</f>
        <v>43390.42655</v>
      </c>
      <c r="B2953" t="s">
        <v>48</v>
      </c>
    </row>
    <row r="2954" hidden="1">
      <c r="A2954" s="32">
        <f>IFERROR(__xludf.DUMMYFUNCTION("""COMPUTED_VALUE"""),43390.42898768518)</f>
        <v>43390.42899</v>
      </c>
      <c r="B2954" t="s">
        <v>40</v>
      </c>
    </row>
    <row r="2955" hidden="1">
      <c r="A2955" s="32">
        <f>IFERROR(__xludf.DUMMYFUNCTION("""COMPUTED_VALUE"""),43390.46315159722)</f>
        <v>43390.46315</v>
      </c>
      <c r="B2955" t="s">
        <v>80</v>
      </c>
    </row>
    <row r="2956" hidden="1">
      <c r="A2956" s="32">
        <f>IFERROR(__xludf.DUMMYFUNCTION("""COMPUTED_VALUE"""),43390.503063842596)</f>
        <v>43390.50306</v>
      </c>
      <c r="B2956" t="s">
        <v>40</v>
      </c>
    </row>
    <row r="2957" hidden="1">
      <c r="A2957" s="32">
        <f>IFERROR(__xludf.DUMMYFUNCTION("""COMPUTED_VALUE"""),43390.58722064814)</f>
        <v>43390.58722</v>
      </c>
      <c r="B2957" t="s">
        <v>139</v>
      </c>
    </row>
    <row r="2958" hidden="1">
      <c r="A2958" s="32">
        <f>IFERROR(__xludf.DUMMYFUNCTION("""COMPUTED_VALUE"""),43390.61624495371)</f>
        <v>43390.61624</v>
      </c>
      <c r="B2958" t="s">
        <v>1196</v>
      </c>
    </row>
    <row r="2959" hidden="1">
      <c r="A2959" s="32">
        <f>IFERROR(__xludf.DUMMYFUNCTION("""COMPUTED_VALUE"""),43390.67596815972)</f>
        <v>43390.67597</v>
      </c>
      <c r="B2959" t="s">
        <v>1884</v>
      </c>
    </row>
    <row r="2960" hidden="1">
      <c r="A2960" s="32">
        <f>IFERROR(__xludf.DUMMYFUNCTION("""COMPUTED_VALUE"""),43390.85757862269)</f>
        <v>43390.85758</v>
      </c>
      <c r="B2960" t="s">
        <v>48</v>
      </c>
    </row>
    <row r="2961" hidden="1">
      <c r="A2961" s="32">
        <f>IFERROR(__xludf.DUMMYFUNCTION("""COMPUTED_VALUE"""),43390.89708840278)</f>
        <v>43390.89709</v>
      </c>
      <c r="B2961" t="s">
        <v>658</v>
      </c>
    </row>
    <row r="2962" hidden="1">
      <c r="A2962" s="32">
        <f>IFERROR(__xludf.DUMMYFUNCTION("""COMPUTED_VALUE"""),43390.936890474535)</f>
        <v>43390.93689</v>
      </c>
      <c r="B2962" t="s">
        <v>2767</v>
      </c>
    </row>
    <row r="2963" hidden="1">
      <c r="A2963" s="32">
        <f>IFERROR(__xludf.DUMMYFUNCTION("""COMPUTED_VALUE"""),43390.960844710644)</f>
        <v>43390.96084</v>
      </c>
      <c r="B2963" t="s">
        <v>45</v>
      </c>
    </row>
    <row r="2964" hidden="1">
      <c r="A2964" s="32">
        <f>IFERROR(__xludf.DUMMYFUNCTION("""COMPUTED_VALUE"""),43390.991871122686)</f>
        <v>43390.99187</v>
      </c>
      <c r="B2964" t="s">
        <v>33</v>
      </c>
    </row>
    <row r="2965" hidden="1">
      <c r="A2965" s="32">
        <f>IFERROR(__xludf.DUMMYFUNCTION("""COMPUTED_VALUE"""),43391.016101875)</f>
        <v>43391.0161</v>
      </c>
      <c r="B2965" t="s">
        <v>36</v>
      </c>
    </row>
    <row r="2966" hidden="1">
      <c r="A2966" s="32">
        <f>IFERROR(__xludf.DUMMYFUNCTION("""COMPUTED_VALUE"""),43391.05090445602)</f>
        <v>43391.0509</v>
      </c>
      <c r="B2966" t="s">
        <v>40</v>
      </c>
    </row>
    <row r="2967" hidden="1">
      <c r="A2967" s="32">
        <f>IFERROR(__xludf.DUMMYFUNCTION("""COMPUTED_VALUE"""),43391.07513576389)</f>
        <v>43391.07514</v>
      </c>
      <c r="B2967" t="s">
        <v>119</v>
      </c>
    </row>
    <row r="2968" hidden="1">
      <c r="A2968" s="32">
        <f>IFERROR(__xludf.DUMMYFUNCTION("""COMPUTED_VALUE"""),43391.246142812495)</f>
        <v>43391.24614</v>
      </c>
      <c r="B2968" t="s">
        <v>371</v>
      </c>
    </row>
    <row r="2969" hidden="1">
      <c r="A2969" s="32">
        <f>IFERROR(__xludf.DUMMYFUNCTION("""COMPUTED_VALUE"""),43391.34148787037)</f>
        <v>43391.34149</v>
      </c>
      <c r="B2969" t="s">
        <v>40</v>
      </c>
    </row>
    <row r="2970" hidden="1">
      <c r="A2970" s="32">
        <f>IFERROR(__xludf.DUMMYFUNCTION("""COMPUTED_VALUE"""),43391.39457174769)</f>
        <v>43391.39457</v>
      </c>
      <c r="B2970" t="s">
        <v>2681</v>
      </c>
    </row>
    <row r="2971" hidden="1">
      <c r="A2971" s="32">
        <f>IFERROR(__xludf.DUMMYFUNCTION("""COMPUTED_VALUE"""),43391.41158797454)</f>
        <v>43391.41159</v>
      </c>
      <c r="B2971" t="s">
        <v>80</v>
      </c>
    </row>
    <row r="2972" hidden="1">
      <c r="A2972" s="32">
        <f>IFERROR(__xludf.DUMMYFUNCTION("""COMPUTED_VALUE"""),43391.41937556713)</f>
        <v>43391.41938</v>
      </c>
      <c r="B2972" t="s">
        <v>2027</v>
      </c>
    </row>
    <row r="2973" hidden="1">
      <c r="A2973" s="32">
        <f>IFERROR(__xludf.DUMMYFUNCTION("""COMPUTED_VALUE"""),43391.49267571759)</f>
        <v>43391.49268</v>
      </c>
      <c r="B2973" t="s">
        <v>2424</v>
      </c>
    </row>
    <row r="2974" hidden="1">
      <c r="A2974" s="32">
        <f>IFERROR(__xludf.DUMMYFUNCTION("""COMPUTED_VALUE"""),43391.680526689815)</f>
        <v>43391.68053</v>
      </c>
      <c r="B2974" t="s">
        <v>2029</v>
      </c>
    </row>
    <row r="2975" hidden="1">
      <c r="A2975" s="32">
        <f>IFERROR(__xludf.DUMMYFUNCTION("""COMPUTED_VALUE"""),43391.68977373843)</f>
        <v>43391.68977</v>
      </c>
      <c r="B2975" t="s">
        <v>48</v>
      </c>
    </row>
    <row r="2976" hidden="1">
      <c r="A2976" s="32">
        <f>IFERROR(__xludf.DUMMYFUNCTION("""COMPUTED_VALUE"""),43391.72964012732)</f>
        <v>43391.72964</v>
      </c>
      <c r="B2976" t="s">
        <v>48</v>
      </c>
    </row>
    <row r="2977" hidden="1">
      <c r="A2977" s="32">
        <f>IFERROR(__xludf.DUMMYFUNCTION("""COMPUTED_VALUE"""),43391.77978133102)</f>
        <v>43391.77978</v>
      </c>
      <c r="B2977" t="s">
        <v>119</v>
      </c>
    </row>
    <row r="2978" hidden="1">
      <c r="A2978" s="32">
        <f>IFERROR(__xludf.DUMMYFUNCTION("""COMPUTED_VALUE"""),43391.82753311342)</f>
        <v>43391.82753</v>
      </c>
      <c r="B2978" t="s">
        <v>80</v>
      </c>
    </row>
    <row r="2979" hidden="1">
      <c r="A2979" s="32">
        <f>IFERROR(__xludf.DUMMYFUNCTION("""COMPUTED_VALUE"""),43391.85096447916)</f>
        <v>43391.85096</v>
      </c>
      <c r="B2979" t="s">
        <v>33</v>
      </c>
    </row>
    <row r="2980" hidden="1">
      <c r="A2980" s="32">
        <f>IFERROR(__xludf.DUMMYFUNCTION("""COMPUTED_VALUE"""),43391.868122685184)</f>
        <v>43391.86812</v>
      </c>
      <c r="B2980" t="s">
        <v>119</v>
      </c>
    </row>
    <row r="2981" hidden="1">
      <c r="A2981" s="32">
        <f>IFERROR(__xludf.DUMMYFUNCTION("""COMPUTED_VALUE"""),43391.874837650466)</f>
        <v>43391.87484</v>
      </c>
      <c r="B2981" t="s">
        <v>25</v>
      </c>
    </row>
    <row r="2982" hidden="1">
      <c r="A2982" s="32">
        <f>IFERROR(__xludf.DUMMYFUNCTION("""COMPUTED_VALUE"""),43391.894435625)</f>
        <v>43391.89444</v>
      </c>
      <c r="B2982" t="s">
        <v>40</v>
      </c>
    </row>
    <row r="2983" hidden="1">
      <c r="A2983" s="32">
        <f>IFERROR(__xludf.DUMMYFUNCTION("""COMPUTED_VALUE"""),43391.8985709375)</f>
        <v>43391.89857</v>
      </c>
      <c r="B2983" t="s">
        <v>256</v>
      </c>
    </row>
    <row r="2984" hidden="1">
      <c r="A2984" s="32">
        <f>IFERROR(__xludf.DUMMYFUNCTION("""COMPUTED_VALUE"""),43391.90386436343)</f>
        <v>43391.90386</v>
      </c>
      <c r="B2984" t="s">
        <v>658</v>
      </c>
    </row>
    <row r="2985" hidden="1">
      <c r="A2985" s="32">
        <f>IFERROR(__xludf.DUMMYFUNCTION("""COMPUTED_VALUE"""),43391.90556211806)</f>
        <v>43391.90556</v>
      </c>
      <c r="B2985" t="s">
        <v>658</v>
      </c>
    </row>
    <row r="2986" hidden="1">
      <c r="A2986" s="32">
        <f>IFERROR(__xludf.DUMMYFUNCTION("""COMPUTED_VALUE"""),43391.97631642361)</f>
        <v>43391.97632</v>
      </c>
      <c r="B2986" t="s">
        <v>45</v>
      </c>
    </row>
    <row r="2987" hidden="1">
      <c r="A2987" s="32">
        <f>IFERROR(__xludf.DUMMYFUNCTION("""COMPUTED_VALUE"""),43391.981077592594)</f>
        <v>43391.98108</v>
      </c>
      <c r="B2987" t="s">
        <v>119</v>
      </c>
    </row>
    <row r="2988" hidden="1">
      <c r="A2988" s="32">
        <f>IFERROR(__xludf.DUMMYFUNCTION("""COMPUTED_VALUE"""),43392.14417586806)</f>
        <v>43392.14418</v>
      </c>
      <c r="B2988" t="s">
        <v>2665</v>
      </c>
    </row>
    <row r="2989" hidden="1">
      <c r="A2989" s="32">
        <f>IFERROR(__xludf.DUMMYFUNCTION("""COMPUTED_VALUE"""),43392.33794405093)</f>
        <v>43392.33794</v>
      </c>
      <c r="B2989" t="s">
        <v>80</v>
      </c>
    </row>
    <row r="2990" hidden="1">
      <c r="A2990" s="32">
        <f>IFERROR(__xludf.DUMMYFUNCTION("""COMPUTED_VALUE"""),43392.35818246528)</f>
        <v>43392.35818</v>
      </c>
      <c r="B2990" t="s">
        <v>36</v>
      </c>
    </row>
    <row r="2991" hidden="1">
      <c r="A2991" s="32">
        <f>IFERROR(__xludf.DUMMYFUNCTION("""COMPUTED_VALUE"""),43392.39820297454)</f>
        <v>43392.3982</v>
      </c>
      <c r="B2991" t="s">
        <v>170</v>
      </c>
    </row>
    <row r="2992" hidden="1">
      <c r="A2992" s="32">
        <f>IFERROR(__xludf.DUMMYFUNCTION("""COMPUTED_VALUE"""),43392.40034770833)</f>
        <v>43392.40035</v>
      </c>
      <c r="B2992" t="s">
        <v>119</v>
      </c>
    </row>
    <row r="2993" hidden="1">
      <c r="A2993" s="32">
        <f>IFERROR(__xludf.DUMMYFUNCTION("""COMPUTED_VALUE"""),43392.43168465278)</f>
        <v>43392.43168</v>
      </c>
      <c r="B2993" t="s">
        <v>33</v>
      </c>
    </row>
    <row r="2994" hidden="1">
      <c r="A2994" s="32">
        <f>IFERROR(__xludf.DUMMYFUNCTION("""COMPUTED_VALUE"""),43392.47520185185)</f>
        <v>43392.4752</v>
      </c>
      <c r="B2994" t="s">
        <v>802</v>
      </c>
    </row>
    <row r="2995" hidden="1">
      <c r="A2995" s="32">
        <f>IFERROR(__xludf.DUMMYFUNCTION("""COMPUTED_VALUE"""),43392.48362655092)</f>
        <v>43392.48363</v>
      </c>
      <c r="B2995" t="s">
        <v>48</v>
      </c>
    </row>
    <row r="2996" hidden="1">
      <c r="A2996" s="32">
        <f>IFERROR(__xludf.DUMMYFUNCTION("""COMPUTED_VALUE"""),43392.552035995366)</f>
        <v>43392.55204</v>
      </c>
      <c r="B2996" t="s">
        <v>25</v>
      </c>
    </row>
    <row r="2997" hidden="1">
      <c r="A2997" s="32">
        <f>IFERROR(__xludf.DUMMYFUNCTION("""COMPUTED_VALUE"""),43392.563397314814)</f>
        <v>43392.5634</v>
      </c>
      <c r="B2997" t="s">
        <v>45</v>
      </c>
    </row>
    <row r="2998" hidden="1">
      <c r="A2998" s="32">
        <f>IFERROR(__xludf.DUMMYFUNCTION("""COMPUTED_VALUE"""),43392.677946076394)</f>
        <v>43392.67795</v>
      </c>
      <c r="B2998" t="s">
        <v>40</v>
      </c>
    </row>
    <row r="2999" hidden="1">
      <c r="A2999" s="32">
        <f>IFERROR(__xludf.DUMMYFUNCTION("""COMPUTED_VALUE"""),43392.821538055556)</f>
        <v>43392.82154</v>
      </c>
      <c r="B2999" t="s">
        <v>2042</v>
      </c>
    </row>
    <row r="3000" hidden="1">
      <c r="A3000" s="32">
        <f>IFERROR(__xludf.DUMMYFUNCTION("""COMPUTED_VALUE"""),43392.82407270833)</f>
        <v>43392.82407</v>
      </c>
      <c r="B3000" t="s">
        <v>2046</v>
      </c>
    </row>
    <row r="3001" hidden="1">
      <c r="A3001" s="32">
        <f>IFERROR(__xludf.DUMMYFUNCTION("""COMPUTED_VALUE"""),43392.82735450231)</f>
        <v>43392.82735</v>
      </c>
      <c r="B3001" t="s">
        <v>48</v>
      </c>
    </row>
    <row r="3002" hidden="1">
      <c r="A3002" s="32">
        <f>IFERROR(__xludf.DUMMYFUNCTION("""COMPUTED_VALUE"""),43392.82883989583)</f>
        <v>43392.82884</v>
      </c>
      <c r="B3002" t="s">
        <v>170</v>
      </c>
    </row>
    <row r="3003" hidden="1">
      <c r="A3003" s="32">
        <f>IFERROR(__xludf.DUMMYFUNCTION("""COMPUTED_VALUE"""),43392.87708486111)</f>
        <v>43392.87708</v>
      </c>
      <c r="B3003" t="s">
        <v>119</v>
      </c>
    </row>
    <row r="3004">
      <c r="A3004" s="32">
        <f>IFERROR(__xludf.DUMMYFUNCTION("""COMPUTED_VALUE"""),43392.89410534722)</f>
        <v>43392.89411</v>
      </c>
      <c r="B3004" t="s">
        <v>33</v>
      </c>
    </row>
    <row r="3005">
      <c r="A3005" s="32">
        <f>IFERROR(__xludf.DUMMYFUNCTION("""COMPUTED_VALUE"""),43392.90348583333)</f>
        <v>43392.90349</v>
      </c>
      <c r="B3005" t="s">
        <v>1884</v>
      </c>
    </row>
    <row r="3006">
      <c r="A3006" s="32">
        <f>IFERROR(__xludf.DUMMYFUNCTION("""COMPUTED_VALUE"""),43392.944417175924)</f>
        <v>43392.94442</v>
      </c>
      <c r="B3006" t="s">
        <v>33</v>
      </c>
    </row>
    <row r="3007">
      <c r="A3007" s="32">
        <f>IFERROR(__xludf.DUMMYFUNCTION("""COMPUTED_VALUE"""),43393.054659988426)</f>
        <v>43393.05466</v>
      </c>
      <c r="B3007" t="s">
        <v>2051</v>
      </c>
    </row>
    <row r="3008">
      <c r="A3008" s="32">
        <f>IFERROR(__xludf.DUMMYFUNCTION("""COMPUTED_VALUE"""),43393.07812542824)</f>
        <v>43393.07813</v>
      </c>
      <c r="B3008" t="s">
        <v>80</v>
      </c>
    </row>
    <row r="3009">
      <c r="A3009" s="32">
        <f>IFERROR(__xludf.DUMMYFUNCTION("""COMPUTED_VALUE"""),43393.13414430556)</f>
        <v>43393.13414</v>
      </c>
      <c r="B3009" t="s">
        <v>80</v>
      </c>
    </row>
    <row r="3010">
      <c r="A3010" s="32">
        <f>IFERROR(__xludf.DUMMYFUNCTION("""COMPUTED_VALUE"""),43393.289237233796)</f>
        <v>43393.28924</v>
      </c>
      <c r="B3010" t="s">
        <v>426</v>
      </c>
    </row>
    <row r="3011">
      <c r="A3011" s="32">
        <f>IFERROR(__xludf.DUMMYFUNCTION("""COMPUTED_VALUE"""),43393.34285753472)</f>
        <v>43393.34286</v>
      </c>
      <c r="B3011" t="s">
        <v>2053</v>
      </c>
    </row>
    <row r="3012">
      <c r="A3012" s="32">
        <f>IFERROR(__xludf.DUMMYFUNCTION("""COMPUTED_VALUE"""),43393.35468907407)</f>
        <v>43393.35469</v>
      </c>
      <c r="B3012" t="s">
        <v>256</v>
      </c>
    </row>
    <row r="3013">
      <c r="A3013" s="32">
        <f>IFERROR(__xludf.DUMMYFUNCTION("""COMPUTED_VALUE"""),43393.35807381944)</f>
        <v>43393.35807</v>
      </c>
      <c r="B3013" t="s">
        <v>2768</v>
      </c>
    </row>
    <row r="3014">
      <c r="A3014" s="32">
        <f>IFERROR(__xludf.DUMMYFUNCTION("""COMPUTED_VALUE"""),43393.37247277777)</f>
        <v>43393.37247</v>
      </c>
      <c r="B3014" t="s">
        <v>48</v>
      </c>
    </row>
    <row r="3015">
      <c r="A3015" s="32">
        <f>IFERROR(__xludf.DUMMYFUNCTION("""COMPUTED_VALUE"""),43393.387057789354)</f>
        <v>43393.38706</v>
      </c>
      <c r="B3015" t="s">
        <v>80</v>
      </c>
    </row>
    <row r="3016">
      <c r="A3016" s="32">
        <f>IFERROR(__xludf.DUMMYFUNCTION("""COMPUTED_VALUE"""),43393.39368097222)</f>
        <v>43393.39368</v>
      </c>
      <c r="B3016" t="s">
        <v>204</v>
      </c>
    </row>
    <row r="3017">
      <c r="A3017" s="32">
        <f>IFERROR(__xludf.DUMMYFUNCTION("""COMPUTED_VALUE"""),43393.47170355324)</f>
        <v>43393.4717</v>
      </c>
      <c r="B3017" t="s">
        <v>48</v>
      </c>
    </row>
    <row r="3018">
      <c r="A3018" s="32">
        <f>IFERROR(__xludf.DUMMYFUNCTION("""COMPUTED_VALUE"""),43393.53835357639)</f>
        <v>43393.53835</v>
      </c>
      <c r="B3018" t="s">
        <v>45</v>
      </c>
    </row>
    <row r="3019">
      <c r="A3019" s="32">
        <f>IFERROR(__xludf.DUMMYFUNCTION("""COMPUTED_VALUE"""),43393.53899560185)</f>
        <v>43393.539</v>
      </c>
      <c r="B3019" t="s">
        <v>45</v>
      </c>
    </row>
    <row r="3020">
      <c r="A3020" s="32">
        <f>IFERROR(__xludf.DUMMYFUNCTION("""COMPUTED_VALUE"""),43393.614936342594)</f>
        <v>43393.61494</v>
      </c>
      <c r="B3020" t="s">
        <v>282</v>
      </c>
    </row>
    <row r="3021">
      <c r="A3021" s="32">
        <f>IFERROR(__xludf.DUMMYFUNCTION("""COMPUTED_VALUE"""),43393.670136886576)</f>
        <v>43393.67014</v>
      </c>
      <c r="B3021" t="s">
        <v>45</v>
      </c>
    </row>
    <row r="3022">
      <c r="A3022" s="32">
        <f>IFERROR(__xludf.DUMMYFUNCTION("""COMPUTED_VALUE"""),43393.695290324074)</f>
        <v>43393.69529</v>
      </c>
      <c r="B3022" t="s">
        <v>2056</v>
      </c>
    </row>
    <row r="3023">
      <c r="A3023" s="32">
        <f>IFERROR(__xludf.DUMMYFUNCTION("""COMPUTED_VALUE"""),43393.7779850463)</f>
        <v>43393.77799</v>
      </c>
      <c r="B3023" t="s">
        <v>506</v>
      </c>
    </row>
    <row r="3024">
      <c r="A3024" s="32">
        <f>IFERROR(__xludf.DUMMYFUNCTION("""COMPUTED_VALUE"""),43393.85673640046)</f>
        <v>43393.85674</v>
      </c>
      <c r="B3024" t="s">
        <v>790</v>
      </c>
    </row>
    <row r="3025">
      <c r="A3025" s="32">
        <f>IFERROR(__xludf.DUMMYFUNCTION("""COMPUTED_VALUE"""),43394.05627511574)</f>
        <v>43394.05628</v>
      </c>
      <c r="B3025" t="s">
        <v>33</v>
      </c>
    </row>
    <row r="3026">
      <c r="A3026" s="32">
        <f>IFERROR(__xludf.DUMMYFUNCTION("""COMPUTED_VALUE"""),43394.07557378472)</f>
        <v>43394.07557</v>
      </c>
      <c r="B3026" t="s">
        <v>40</v>
      </c>
    </row>
    <row r="3027">
      <c r="A3027" s="32">
        <f>IFERROR(__xludf.DUMMYFUNCTION("""COMPUTED_VALUE"""),43394.16669085648)</f>
        <v>43394.16669</v>
      </c>
      <c r="B3027" t="s">
        <v>463</v>
      </c>
    </row>
    <row r="3028">
      <c r="A3028" s="32">
        <f>IFERROR(__xludf.DUMMYFUNCTION("""COMPUTED_VALUE"""),43394.35257708334)</f>
        <v>43394.35258</v>
      </c>
      <c r="B3028" t="s">
        <v>48</v>
      </c>
    </row>
    <row r="3029">
      <c r="A3029" s="32">
        <f>IFERROR(__xludf.DUMMYFUNCTION("""COMPUTED_VALUE"""),43394.42407832176)</f>
        <v>43394.42408</v>
      </c>
      <c r="B3029" t="s">
        <v>2658</v>
      </c>
    </row>
    <row r="3030">
      <c r="A3030" s="32">
        <f>IFERROR(__xludf.DUMMYFUNCTION("""COMPUTED_VALUE"""),43394.45983790509)</f>
        <v>43394.45984</v>
      </c>
      <c r="B3030" t="s">
        <v>1325</v>
      </c>
    </row>
    <row r="3031">
      <c r="A3031" s="32">
        <f>IFERROR(__xludf.DUMMYFUNCTION("""COMPUTED_VALUE"""),43394.527121493054)</f>
        <v>43394.52712</v>
      </c>
      <c r="B3031" t="s">
        <v>124</v>
      </c>
    </row>
    <row r="3032">
      <c r="A3032" s="32">
        <f>IFERROR(__xludf.DUMMYFUNCTION("""COMPUTED_VALUE"""),43394.540570972225)</f>
        <v>43394.54057</v>
      </c>
      <c r="B3032" t="s">
        <v>33</v>
      </c>
    </row>
    <row r="3033">
      <c r="A3033" s="32">
        <f>IFERROR(__xludf.DUMMYFUNCTION("""COMPUTED_VALUE"""),43394.75690421296)</f>
        <v>43394.7569</v>
      </c>
      <c r="B3033" t="s">
        <v>25</v>
      </c>
    </row>
    <row r="3034">
      <c r="A3034" s="32">
        <f>IFERROR(__xludf.DUMMYFUNCTION("""COMPUTED_VALUE"""),43394.83133853009)</f>
        <v>43394.83134</v>
      </c>
      <c r="B3034" t="s">
        <v>350</v>
      </c>
    </row>
    <row r="3035">
      <c r="A3035" s="32">
        <f>IFERROR(__xludf.DUMMYFUNCTION("""COMPUTED_VALUE"""),43394.942575127316)</f>
        <v>43394.94258</v>
      </c>
      <c r="B3035" t="s">
        <v>40</v>
      </c>
    </row>
    <row r="3036">
      <c r="A3036" s="32">
        <f>IFERROR(__xludf.DUMMYFUNCTION("""COMPUTED_VALUE"""),43394.96204172454)</f>
        <v>43394.96204</v>
      </c>
      <c r="B3036" t="s">
        <v>2769</v>
      </c>
    </row>
    <row r="3037">
      <c r="A3037" s="32">
        <f>IFERROR(__xludf.DUMMYFUNCTION("""COMPUTED_VALUE"""),43395.185758252315)</f>
        <v>43395.18576</v>
      </c>
      <c r="B3037" t="s">
        <v>40</v>
      </c>
    </row>
    <row r="3038">
      <c r="A3038" s="32">
        <f>IFERROR(__xludf.DUMMYFUNCTION("""COMPUTED_VALUE"""),43395.30822373842)</f>
        <v>43395.30822</v>
      </c>
      <c r="B3038" t="s">
        <v>119</v>
      </c>
    </row>
    <row r="3039">
      <c r="A3039" s="32">
        <f>IFERROR(__xludf.DUMMYFUNCTION("""COMPUTED_VALUE"""),43395.31099557871)</f>
        <v>43395.311</v>
      </c>
      <c r="B3039" t="s">
        <v>80</v>
      </c>
    </row>
    <row r="3040">
      <c r="A3040" s="32">
        <f>IFERROR(__xludf.DUMMYFUNCTION("""COMPUTED_VALUE"""),43395.37801748843)</f>
        <v>43395.37802</v>
      </c>
      <c r="B3040" t="s">
        <v>409</v>
      </c>
    </row>
    <row r="3041">
      <c r="A3041" s="32">
        <f>IFERROR(__xludf.DUMMYFUNCTION("""COMPUTED_VALUE"""),43395.4407041088)</f>
        <v>43395.4407</v>
      </c>
      <c r="B3041" t="s">
        <v>2770</v>
      </c>
    </row>
    <row r="3042">
      <c r="A3042" s="32">
        <f>IFERROR(__xludf.DUMMYFUNCTION("""COMPUTED_VALUE"""),43395.456178900466)</f>
        <v>43395.45618</v>
      </c>
      <c r="B3042" t="s">
        <v>33</v>
      </c>
    </row>
    <row r="3043">
      <c r="A3043" s="32">
        <f>IFERROR(__xludf.DUMMYFUNCTION("""COMPUTED_VALUE"""),43395.58476021991)</f>
        <v>43395.58476</v>
      </c>
      <c r="B3043" t="s">
        <v>40</v>
      </c>
    </row>
    <row r="3044">
      <c r="A3044" s="32">
        <f>IFERROR(__xludf.DUMMYFUNCTION("""COMPUTED_VALUE"""),43395.60114219907)</f>
        <v>43395.60114</v>
      </c>
      <c r="B3044" t="s">
        <v>45</v>
      </c>
    </row>
    <row r="3045">
      <c r="A3045" s="32">
        <f>IFERROR(__xludf.DUMMYFUNCTION("""COMPUTED_VALUE"""),43395.617051863424)</f>
        <v>43395.61705</v>
      </c>
      <c r="B3045" t="s">
        <v>80</v>
      </c>
    </row>
    <row r="3046">
      <c r="A3046" s="32">
        <f>IFERROR(__xludf.DUMMYFUNCTION("""COMPUTED_VALUE"""),43395.72666627315)</f>
        <v>43395.72667</v>
      </c>
      <c r="B3046" t="s">
        <v>33</v>
      </c>
    </row>
    <row r="3047">
      <c r="A3047" s="32">
        <f>IFERROR(__xludf.DUMMYFUNCTION("""COMPUTED_VALUE"""),43395.79061601852)</f>
        <v>43395.79062</v>
      </c>
      <c r="B3047" t="s">
        <v>40</v>
      </c>
    </row>
    <row r="3048">
      <c r="A3048" s="32">
        <f>IFERROR(__xludf.DUMMYFUNCTION("""COMPUTED_VALUE"""),43395.837394664355)</f>
        <v>43395.83739</v>
      </c>
      <c r="B3048" t="s">
        <v>1196</v>
      </c>
    </row>
    <row r="3049">
      <c r="A3049" s="32">
        <f>IFERROR(__xludf.DUMMYFUNCTION("""COMPUTED_VALUE"""),43395.86324697916)</f>
        <v>43395.86325</v>
      </c>
      <c r="B3049" t="s">
        <v>48</v>
      </c>
    </row>
    <row r="3050">
      <c r="A3050" s="32">
        <f>IFERROR(__xludf.DUMMYFUNCTION("""COMPUTED_VALUE"""),43395.87168193287)</f>
        <v>43395.87168</v>
      </c>
      <c r="B3050" t="s">
        <v>40</v>
      </c>
    </row>
    <row r="3051">
      <c r="A3051" s="32">
        <f>IFERROR(__xludf.DUMMYFUNCTION("""COMPUTED_VALUE"""),43395.8735950463)</f>
        <v>43395.8736</v>
      </c>
      <c r="B3051" t="s">
        <v>188</v>
      </c>
    </row>
    <row r="3052">
      <c r="A3052" s="32">
        <f>IFERROR(__xludf.DUMMYFUNCTION("""COMPUTED_VALUE"""),43395.901948391205)</f>
        <v>43395.90195</v>
      </c>
      <c r="B3052" t="s">
        <v>2070</v>
      </c>
    </row>
    <row r="3053">
      <c r="A3053" s="32">
        <f>IFERROR(__xludf.DUMMYFUNCTION("""COMPUTED_VALUE"""),43395.91630783565)</f>
        <v>43395.91631</v>
      </c>
      <c r="B3053" t="s">
        <v>80</v>
      </c>
    </row>
    <row r="3054">
      <c r="A3054" s="32">
        <f>IFERROR(__xludf.DUMMYFUNCTION("""COMPUTED_VALUE"""),43395.97791383102)</f>
        <v>43395.97791</v>
      </c>
      <c r="B3054" t="s">
        <v>124</v>
      </c>
    </row>
    <row r="3055">
      <c r="A3055" s="32">
        <f>IFERROR(__xludf.DUMMYFUNCTION("""COMPUTED_VALUE"""),43396.02822626157)</f>
        <v>43396.02823</v>
      </c>
      <c r="B3055" t="s">
        <v>204</v>
      </c>
    </row>
    <row r="3056">
      <c r="A3056" s="32">
        <f>IFERROR(__xludf.DUMMYFUNCTION("""COMPUTED_VALUE"""),43396.08122152778)</f>
        <v>43396.08122</v>
      </c>
      <c r="B3056" t="s">
        <v>119</v>
      </c>
    </row>
    <row r="3057">
      <c r="A3057" s="32">
        <f>IFERROR(__xludf.DUMMYFUNCTION("""COMPUTED_VALUE"""),43396.136183449074)</f>
        <v>43396.13618</v>
      </c>
      <c r="B3057" t="s">
        <v>2072</v>
      </c>
    </row>
    <row r="3058">
      <c r="A3058" s="32">
        <f>IFERROR(__xludf.DUMMYFUNCTION("""COMPUTED_VALUE"""),43396.28297701389)</f>
        <v>43396.28298</v>
      </c>
      <c r="B3058" t="s">
        <v>33</v>
      </c>
    </row>
    <row r="3059">
      <c r="A3059" s="32">
        <f>IFERROR(__xludf.DUMMYFUNCTION("""COMPUTED_VALUE"""),43396.484378912035)</f>
        <v>43396.48438</v>
      </c>
      <c r="B3059" t="s">
        <v>2073</v>
      </c>
    </row>
    <row r="3060">
      <c r="A3060" s="32">
        <f>IFERROR(__xludf.DUMMYFUNCTION("""COMPUTED_VALUE"""),43396.48534518518)</f>
        <v>43396.48535</v>
      </c>
      <c r="B3060" t="s">
        <v>2073</v>
      </c>
    </row>
    <row r="3061">
      <c r="A3061" s="32">
        <f>IFERROR(__xludf.DUMMYFUNCTION("""COMPUTED_VALUE"""),43396.49222155093)</f>
        <v>43396.49222</v>
      </c>
      <c r="B3061" t="s">
        <v>170</v>
      </c>
    </row>
    <row r="3062">
      <c r="A3062" s="32">
        <f>IFERROR(__xludf.DUMMYFUNCTION("""COMPUTED_VALUE"""),43396.49360137731)</f>
        <v>43396.4936</v>
      </c>
      <c r="B3062" t="s">
        <v>170</v>
      </c>
    </row>
    <row r="3063">
      <c r="A3063" s="32">
        <f>IFERROR(__xludf.DUMMYFUNCTION("""COMPUTED_VALUE"""),43396.50842913194)</f>
        <v>43396.50843</v>
      </c>
      <c r="B3063" t="s">
        <v>48</v>
      </c>
    </row>
    <row r="3064">
      <c r="A3064" s="32">
        <f>IFERROR(__xludf.DUMMYFUNCTION("""COMPUTED_VALUE"""),43396.5693509375)</f>
        <v>43396.56935</v>
      </c>
      <c r="B3064" t="s">
        <v>40</v>
      </c>
    </row>
    <row r="3065">
      <c r="A3065" s="32">
        <f>IFERROR(__xludf.DUMMYFUNCTION("""COMPUTED_VALUE"""),43396.57206503472)</f>
        <v>43396.57207</v>
      </c>
      <c r="B3065" t="s">
        <v>45</v>
      </c>
    </row>
    <row r="3066">
      <c r="A3066" s="32">
        <f>IFERROR(__xludf.DUMMYFUNCTION("""COMPUTED_VALUE"""),43396.576700335645)</f>
        <v>43396.5767</v>
      </c>
      <c r="B3066" t="s">
        <v>2738</v>
      </c>
    </row>
    <row r="3067">
      <c r="A3067" s="32">
        <f>IFERROR(__xludf.DUMMYFUNCTION("""COMPUTED_VALUE"""),43396.62945700232)</f>
        <v>43396.62946</v>
      </c>
      <c r="B3067" t="s">
        <v>33</v>
      </c>
    </row>
    <row r="3068">
      <c r="A3068" s="32">
        <f>IFERROR(__xludf.DUMMYFUNCTION("""COMPUTED_VALUE"""),43396.65690456019)</f>
        <v>43396.6569</v>
      </c>
      <c r="B3068" t="s">
        <v>40</v>
      </c>
    </row>
    <row r="3069">
      <c r="A3069" s="32">
        <f>IFERROR(__xludf.DUMMYFUNCTION("""COMPUTED_VALUE"""),43396.73038061343)</f>
        <v>43396.73038</v>
      </c>
      <c r="B3069" t="s">
        <v>2075</v>
      </c>
    </row>
    <row r="3070">
      <c r="A3070" s="32">
        <f>IFERROR(__xludf.DUMMYFUNCTION("""COMPUTED_VALUE"""),43396.75102846065)</f>
        <v>43396.75103</v>
      </c>
      <c r="B3070" t="s">
        <v>40</v>
      </c>
    </row>
    <row r="3071">
      <c r="A3071" s="32">
        <f>IFERROR(__xludf.DUMMYFUNCTION("""COMPUTED_VALUE"""),43396.82794511574)</f>
        <v>43396.82795</v>
      </c>
      <c r="B3071" t="s">
        <v>802</v>
      </c>
    </row>
    <row r="3072">
      <c r="A3072" s="32">
        <f>IFERROR(__xludf.DUMMYFUNCTION("""COMPUTED_VALUE"""),43396.85497429398)</f>
        <v>43396.85497</v>
      </c>
      <c r="B3072" t="s">
        <v>80</v>
      </c>
    </row>
    <row r="3073">
      <c r="A3073" s="32">
        <f>IFERROR(__xludf.DUMMYFUNCTION("""COMPUTED_VALUE"""),43396.8683691551)</f>
        <v>43396.86837</v>
      </c>
      <c r="B3073" t="s">
        <v>48</v>
      </c>
    </row>
    <row r="3074">
      <c r="A3074" s="32">
        <f>IFERROR(__xludf.DUMMYFUNCTION("""COMPUTED_VALUE"""),43396.92020736111)</f>
        <v>43396.92021</v>
      </c>
      <c r="B3074" t="s">
        <v>523</v>
      </c>
    </row>
    <row r="3075">
      <c r="A3075" s="32">
        <f>IFERROR(__xludf.DUMMYFUNCTION("""COMPUTED_VALUE"""),43396.963686006944)</f>
        <v>43396.96369</v>
      </c>
      <c r="B3075" t="s">
        <v>36</v>
      </c>
    </row>
    <row r="3076">
      <c r="A3076" s="32">
        <f>IFERROR(__xludf.DUMMYFUNCTION("""COMPUTED_VALUE"""),43396.98685789352)</f>
        <v>43396.98686</v>
      </c>
      <c r="B3076" t="s">
        <v>2658</v>
      </c>
    </row>
    <row r="3077">
      <c r="A3077" s="32">
        <f>IFERROR(__xludf.DUMMYFUNCTION("""COMPUTED_VALUE"""),43397.18212913194)</f>
        <v>43397.18213</v>
      </c>
      <c r="B3077" t="s">
        <v>2079</v>
      </c>
    </row>
    <row r="3078">
      <c r="A3078" s="32">
        <f>IFERROR(__xludf.DUMMYFUNCTION("""COMPUTED_VALUE"""),43397.34578076389)</f>
        <v>43397.34578</v>
      </c>
      <c r="B3078" t="s">
        <v>426</v>
      </c>
    </row>
    <row r="3079">
      <c r="A3079" s="32">
        <f>IFERROR(__xludf.DUMMYFUNCTION("""COMPUTED_VALUE"""),43397.411036550926)</f>
        <v>43397.41104</v>
      </c>
      <c r="B3079" t="s">
        <v>428</v>
      </c>
    </row>
    <row r="3080">
      <c r="A3080" s="32">
        <f>IFERROR(__xludf.DUMMYFUNCTION("""COMPUTED_VALUE"""),43397.43549668981)</f>
        <v>43397.4355</v>
      </c>
      <c r="B3080" t="s">
        <v>574</v>
      </c>
    </row>
    <row r="3081">
      <c r="A3081" s="32">
        <f>IFERROR(__xludf.DUMMYFUNCTION("""COMPUTED_VALUE"""),43397.44439770833)</f>
        <v>43397.4444</v>
      </c>
      <c r="B3081" t="s">
        <v>80</v>
      </c>
    </row>
    <row r="3082">
      <c r="A3082" s="32">
        <f>IFERROR(__xludf.DUMMYFUNCTION("""COMPUTED_VALUE"""),43397.50043438657)</f>
        <v>43397.50043</v>
      </c>
      <c r="B3082" t="s">
        <v>2771</v>
      </c>
    </row>
    <row r="3083">
      <c r="A3083" s="32">
        <f>IFERROR(__xludf.DUMMYFUNCTION("""COMPUTED_VALUE"""),43397.56108284723)</f>
        <v>43397.56108</v>
      </c>
      <c r="B3083" t="s">
        <v>2424</v>
      </c>
    </row>
    <row r="3084">
      <c r="A3084" s="32">
        <f>IFERROR(__xludf.DUMMYFUNCTION("""COMPUTED_VALUE"""),43397.57218336806)</f>
        <v>43397.57218</v>
      </c>
      <c r="B3084" t="s">
        <v>36</v>
      </c>
    </row>
    <row r="3085">
      <c r="A3085" s="32">
        <f>IFERROR(__xludf.DUMMYFUNCTION("""COMPUTED_VALUE"""),43397.6414539699)</f>
        <v>43397.64145</v>
      </c>
      <c r="B3085" t="s">
        <v>45</v>
      </c>
    </row>
    <row r="3086">
      <c r="A3086" s="32">
        <f>IFERROR(__xludf.DUMMYFUNCTION("""COMPUTED_VALUE"""),43397.68274907407)</f>
        <v>43397.68275</v>
      </c>
      <c r="B3086" t="s">
        <v>139</v>
      </c>
    </row>
    <row r="3087">
      <c r="A3087" s="32">
        <f>IFERROR(__xludf.DUMMYFUNCTION("""COMPUTED_VALUE"""),43397.71530287037)</f>
        <v>43397.7153</v>
      </c>
      <c r="B3087" t="s">
        <v>1325</v>
      </c>
    </row>
    <row r="3088">
      <c r="A3088" s="32">
        <f>IFERROR(__xludf.DUMMYFUNCTION("""COMPUTED_VALUE"""),43397.789952974534)</f>
        <v>43397.78995</v>
      </c>
      <c r="B3088" t="s">
        <v>119</v>
      </c>
    </row>
    <row r="3089">
      <c r="A3089" s="32">
        <f>IFERROR(__xludf.DUMMYFUNCTION("""COMPUTED_VALUE"""),43397.86718592593)</f>
        <v>43397.86719</v>
      </c>
      <c r="B3089" t="s">
        <v>170</v>
      </c>
    </row>
    <row r="3090">
      <c r="A3090" s="32">
        <f>IFERROR(__xludf.DUMMYFUNCTION("""COMPUTED_VALUE"""),43397.88920388889)</f>
        <v>43397.8892</v>
      </c>
      <c r="B3090" t="s">
        <v>80</v>
      </c>
    </row>
    <row r="3091">
      <c r="A3091" s="32">
        <f>IFERROR(__xludf.DUMMYFUNCTION("""COMPUTED_VALUE"""),43397.96100957176)</f>
        <v>43397.96101</v>
      </c>
      <c r="B3091" t="s">
        <v>40</v>
      </c>
    </row>
    <row r="3092">
      <c r="A3092" s="32">
        <f>IFERROR(__xludf.DUMMYFUNCTION("""COMPUTED_VALUE"""),43397.97787386574)</f>
        <v>43397.97787</v>
      </c>
      <c r="B3092" t="s">
        <v>33</v>
      </c>
    </row>
    <row r="3093">
      <c r="A3093" s="32">
        <f>IFERROR(__xludf.DUMMYFUNCTION("""COMPUTED_VALUE"""),43398.13033133102)</f>
        <v>43398.13033</v>
      </c>
      <c r="B3093" t="s">
        <v>538</v>
      </c>
    </row>
    <row r="3094">
      <c r="A3094" s="32">
        <f>IFERROR(__xludf.DUMMYFUNCTION("""COMPUTED_VALUE"""),43398.14089861111)</f>
        <v>43398.1409</v>
      </c>
      <c r="B3094" t="s">
        <v>538</v>
      </c>
    </row>
    <row r="3095">
      <c r="A3095" s="32">
        <f>IFERROR(__xludf.DUMMYFUNCTION("""COMPUTED_VALUE"""),43398.143528252316)</f>
        <v>43398.14353</v>
      </c>
      <c r="B3095" t="s">
        <v>538</v>
      </c>
    </row>
    <row r="3096">
      <c r="A3096" s="32">
        <f>IFERROR(__xludf.DUMMYFUNCTION("""COMPUTED_VALUE"""),43398.15081546296)</f>
        <v>43398.15082</v>
      </c>
      <c r="B3096" t="s">
        <v>538</v>
      </c>
    </row>
    <row r="3097">
      <c r="A3097" s="32">
        <f>IFERROR(__xludf.DUMMYFUNCTION("""COMPUTED_VALUE"""),43398.21584444444)</f>
        <v>43398.21584</v>
      </c>
      <c r="B3097" t="s">
        <v>463</v>
      </c>
    </row>
    <row r="3098">
      <c r="A3098" s="32">
        <f>IFERROR(__xludf.DUMMYFUNCTION("""COMPUTED_VALUE"""),43398.34366763889)</f>
        <v>43398.34367</v>
      </c>
      <c r="B3098" t="s">
        <v>2090</v>
      </c>
    </row>
    <row r="3099">
      <c r="A3099" s="32">
        <f>IFERROR(__xludf.DUMMYFUNCTION("""COMPUTED_VALUE"""),43398.45475263889)</f>
        <v>43398.45475</v>
      </c>
      <c r="B3099" t="s">
        <v>873</v>
      </c>
    </row>
    <row r="3100">
      <c r="A3100" s="32">
        <f>IFERROR(__xludf.DUMMYFUNCTION("""COMPUTED_VALUE"""),43398.460580115745)</f>
        <v>43398.46058</v>
      </c>
      <c r="B3100" t="s">
        <v>2092</v>
      </c>
    </row>
    <row r="3101">
      <c r="A3101" s="32">
        <f>IFERROR(__xludf.DUMMYFUNCTION("""COMPUTED_VALUE"""),43398.468241574075)</f>
        <v>43398.46824</v>
      </c>
      <c r="B3101" t="s">
        <v>170</v>
      </c>
    </row>
    <row r="3102">
      <c r="A3102" s="32">
        <f>IFERROR(__xludf.DUMMYFUNCTION("""COMPUTED_VALUE"""),43398.470578402776)</f>
        <v>43398.47058</v>
      </c>
      <c r="B3102" t="s">
        <v>119</v>
      </c>
    </row>
    <row r="3103">
      <c r="A3103" s="32">
        <f>IFERROR(__xludf.DUMMYFUNCTION("""COMPUTED_VALUE"""),43398.48017605324)</f>
        <v>43398.48018</v>
      </c>
      <c r="B3103" t="s">
        <v>2658</v>
      </c>
    </row>
    <row r="3104">
      <c r="A3104" s="32">
        <f>IFERROR(__xludf.DUMMYFUNCTION("""COMPUTED_VALUE"""),43398.48073905092)</f>
        <v>43398.48074</v>
      </c>
      <c r="B3104" t="s">
        <v>380</v>
      </c>
    </row>
    <row r="3105">
      <c r="A3105" s="32">
        <f>IFERROR(__xludf.DUMMYFUNCTION("""COMPUTED_VALUE"""),43398.52307616898)</f>
        <v>43398.52308</v>
      </c>
      <c r="B3105" t="s">
        <v>45</v>
      </c>
    </row>
    <row r="3106">
      <c r="A3106" s="32">
        <f>IFERROR(__xludf.DUMMYFUNCTION("""COMPUTED_VALUE"""),43398.596977141206)</f>
        <v>43398.59698</v>
      </c>
      <c r="B3106" t="s">
        <v>80</v>
      </c>
    </row>
    <row r="3107">
      <c r="A3107" s="32">
        <f>IFERROR(__xludf.DUMMYFUNCTION("""COMPUTED_VALUE"""),43398.72003412037)</f>
        <v>43398.72003</v>
      </c>
      <c r="B3107" t="s">
        <v>2738</v>
      </c>
    </row>
    <row r="3108">
      <c r="A3108" s="32">
        <f>IFERROR(__xludf.DUMMYFUNCTION("""COMPUTED_VALUE"""),43398.74896956018)</f>
        <v>43398.74897</v>
      </c>
      <c r="B3108" t="s">
        <v>2772</v>
      </c>
    </row>
    <row r="3109">
      <c r="A3109" s="32">
        <f>IFERROR(__xludf.DUMMYFUNCTION("""COMPUTED_VALUE"""),43398.79909288195)</f>
        <v>43398.79909</v>
      </c>
      <c r="B3109" t="s">
        <v>25</v>
      </c>
    </row>
    <row r="3110">
      <c r="A3110" s="32">
        <f>IFERROR(__xludf.DUMMYFUNCTION("""COMPUTED_VALUE"""),43398.84236519676)</f>
        <v>43398.84237</v>
      </c>
      <c r="B3110" t="s">
        <v>2098</v>
      </c>
    </row>
    <row r="3111">
      <c r="A3111" s="32">
        <f>IFERROR(__xludf.DUMMYFUNCTION("""COMPUTED_VALUE"""),43398.86285578704)</f>
        <v>43398.86286</v>
      </c>
      <c r="B3111" t="s">
        <v>170</v>
      </c>
    </row>
    <row r="3112">
      <c r="A3112" s="32">
        <f>IFERROR(__xludf.DUMMYFUNCTION("""COMPUTED_VALUE"""),43398.86623818287)</f>
        <v>43398.86624</v>
      </c>
      <c r="B3112" t="s">
        <v>124</v>
      </c>
    </row>
    <row r="3113">
      <c r="A3113" s="32">
        <f>IFERROR(__xludf.DUMMYFUNCTION("""COMPUTED_VALUE"""),43398.87980623843)</f>
        <v>43398.87981</v>
      </c>
      <c r="B3113" t="s">
        <v>33</v>
      </c>
    </row>
    <row r="3114">
      <c r="A3114" s="32">
        <f>IFERROR(__xludf.DUMMYFUNCTION("""COMPUTED_VALUE"""),43398.88223001157)</f>
        <v>43398.88223</v>
      </c>
      <c r="B3114" t="s">
        <v>33</v>
      </c>
    </row>
    <row r="3115">
      <c r="A3115" s="32">
        <f>IFERROR(__xludf.DUMMYFUNCTION("""COMPUTED_VALUE"""),43398.95764199074)</f>
        <v>43398.95764</v>
      </c>
      <c r="B3115" t="s">
        <v>105</v>
      </c>
    </row>
    <row r="3116">
      <c r="A3116" s="32">
        <f>IFERROR(__xludf.DUMMYFUNCTION("""COMPUTED_VALUE"""),43399.05406540509)</f>
        <v>43399.05407</v>
      </c>
      <c r="B3116" t="s">
        <v>80</v>
      </c>
    </row>
    <row r="3117">
      <c r="A3117" s="32">
        <f>IFERROR(__xludf.DUMMYFUNCTION("""COMPUTED_VALUE"""),43399.05800738426)</f>
        <v>43399.05801</v>
      </c>
      <c r="B3117" t="s">
        <v>80</v>
      </c>
    </row>
    <row r="3118">
      <c r="A3118" s="32">
        <f>IFERROR(__xludf.DUMMYFUNCTION("""COMPUTED_VALUE"""),43399.231071041664)</f>
        <v>43399.23107</v>
      </c>
      <c r="B3118" t="s">
        <v>1867</v>
      </c>
    </row>
    <row r="3119">
      <c r="A3119" s="32">
        <f>IFERROR(__xludf.DUMMYFUNCTION("""COMPUTED_VALUE"""),43399.26513289352)</f>
        <v>43399.26513</v>
      </c>
      <c r="B3119" t="s">
        <v>80</v>
      </c>
    </row>
    <row r="3120">
      <c r="A3120" s="32">
        <f>IFERROR(__xludf.DUMMYFUNCTION("""COMPUTED_VALUE"""),43399.30803167824)</f>
        <v>43399.30803</v>
      </c>
      <c r="B3120" t="s">
        <v>119</v>
      </c>
    </row>
    <row r="3121">
      <c r="A3121" s="32">
        <f>IFERROR(__xludf.DUMMYFUNCTION("""COMPUTED_VALUE"""),43399.47178150463)</f>
        <v>43399.47178</v>
      </c>
      <c r="B3121" t="s">
        <v>33</v>
      </c>
    </row>
    <row r="3122">
      <c r="A3122" s="32">
        <f>IFERROR(__xludf.DUMMYFUNCTION("""COMPUTED_VALUE"""),43399.47178150463)</f>
        <v>43399.47178</v>
      </c>
      <c r="B3122" t="s">
        <v>33</v>
      </c>
    </row>
    <row r="3123">
      <c r="A3123" s="32">
        <f>IFERROR(__xludf.DUMMYFUNCTION("""COMPUTED_VALUE"""),43399.680009675925)</f>
        <v>43399.68001</v>
      </c>
      <c r="B3123" t="s">
        <v>1867</v>
      </c>
    </row>
    <row r="3124">
      <c r="A3124" s="32">
        <f>IFERROR(__xludf.DUMMYFUNCTION("""COMPUTED_VALUE"""),43399.75450534723)</f>
        <v>43399.75451</v>
      </c>
      <c r="B3124" t="s">
        <v>80</v>
      </c>
    </row>
    <row r="3125">
      <c r="A3125" s="32">
        <f>IFERROR(__xludf.DUMMYFUNCTION("""COMPUTED_VALUE"""),43399.82354196759)</f>
        <v>43399.82354</v>
      </c>
      <c r="B3125" t="s">
        <v>48</v>
      </c>
    </row>
    <row r="3126">
      <c r="A3126" s="32">
        <f>IFERROR(__xludf.DUMMYFUNCTION("""COMPUTED_VALUE"""),43399.8847002199)</f>
        <v>43399.8847</v>
      </c>
      <c r="B3126" t="s">
        <v>2105</v>
      </c>
    </row>
    <row r="3127">
      <c r="A3127" s="32">
        <f>IFERROR(__xludf.DUMMYFUNCTION("""COMPUTED_VALUE"""),43399.896716840274)</f>
        <v>43399.89672</v>
      </c>
      <c r="B3127" t="s">
        <v>33</v>
      </c>
    </row>
    <row r="3128">
      <c r="A3128" s="32">
        <f>IFERROR(__xludf.DUMMYFUNCTION("""COMPUTED_VALUE"""),43399.917840532406)</f>
        <v>43399.91784</v>
      </c>
      <c r="B3128" t="s">
        <v>802</v>
      </c>
    </row>
    <row r="3129">
      <c r="A3129" s="32">
        <f>IFERROR(__xludf.DUMMYFUNCTION("""COMPUTED_VALUE"""),43399.93857931713)</f>
        <v>43399.93858</v>
      </c>
      <c r="B3129" t="s">
        <v>40</v>
      </c>
    </row>
    <row r="3130">
      <c r="A3130" s="32">
        <f>IFERROR(__xludf.DUMMYFUNCTION("""COMPUTED_VALUE"""),43399.99026908565)</f>
        <v>43399.99027</v>
      </c>
      <c r="B3130" t="s">
        <v>80</v>
      </c>
    </row>
    <row r="3131">
      <c r="A3131" s="32">
        <f>IFERROR(__xludf.DUMMYFUNCTION("""COMPUTED_VALUE"""),43399.990361689815)</f>
        <v>43399.99036</v>
      </c>
      <c r="B3131" t="s">
        <v>80</v>
      </c>
    </row>
    <row r="3132">
      <c r="A3132" s="32">
        <f>IFERROR(__xludf.DUMMYFUNCTION("""COMPUTED_VALUE"""),43400.319792256945)</f>
        <v>43400.31979</v>
      </c>
      <c r="B3132" t="s">
        <v>371</v>
      </c>
    </row>
    <row r="3133">
      <c r="A3133" s="32">
        <f>IFERROR(__xludf.DUMMYFUNCTION("""COMPUTED_VALUE"""),43400.42853260417)</f>
        <v>43400.42853</v>
      </c>
      <c r="B3133" t="s">
        <v>119</v>
      </c>
    </row>
    <row r="3134">
      <c r="A3134" s="32">
        <f>IFERROR(__xludf.DUMMYFUNCTION("""COMPUTED_VALUE"""),43400.477699131945)</f>
        <v>43400.4777</v>
      </c>
      <c r="B3134" t="s">
        <v>33</v>
      </c>
    </row>
    <row r="3135">
      <c r="A3135" s="32">
        <f>IFERROR(__xludf.DUMMYFUNCTION("""COMPUTED_VALUE"""),43400.496911574075)</f>
        <v>43400.49691</v>
      </c>
      <c r="B3135" t="s">
        <v>33</v>
      </c>
    </row>
    <row r="3136">
      <c r="A3136" s="32">
        <f>IFERROR(__xludf.DUMMYFUNCTION("""COMPUTED_VALUE"""),43400.532767592595)</f>
        <v>43400.53277</v>
      </c>
      <c r="B3136" t="s">
        <v>80</v>
      </c>
    </row>
    <row r="3137">
      <c r="A3137" s="32">
        <f>IFERROR(__xludf.DUMMYFUNCTION("""COMPUTED_VALUE"""),43400.53424957176)</f>
        <v>43400.53425</v>
      </c>
      <c r="B3137" t="s">
        <v>2424</v>
      </c>
    </row>
    <row r="3138">
      <c r="A3138" s="32">
        <f>IFERROR(__xludf.DUMMYFUNCTION("""COMPUTED_VALUE"""),43400.54419148148)</f>
        <v>43400.54419</v>
      </c>
      <c r="B3138" t="s">
        <v>105</v>
      </c>
    </row>
    <row r="3139">
      <c r="A3139" s="32">
        <f>IFERROR(__xludf.DUMMYFUNCTION("""COMPUTED_VALUE"""),43400.589491446764)</f>
        <v>43400.58949</v>
      </c>
      <c r="B3139" t="s">
        <v>80</v>
      </c>
    </row>
    <row r="3140">
      <c r="A3140" s="32">
        <f>IFERROR(__xludf.DUMMYFUNCTION("""COMPUTED_VALUE"""),43400.601359293985)</f>
        <v>43400.60136</v>
      </c>
      <c r="B3140" t="s">
        <v>33</v>
      </c>
    </row>
    <row r="3141">
      <c r="A3141" s="32">
        <f>IFERROR(__xludf.DUMMYFUNCTION("""COMPUTED_VALUE"""),43400.65941202546)</f>
        <v>43400.65941</v>
      </c>
      <c r="B3141" t="s">
        <v>33</v>
      </c>
    </row>
    <row r="3142">
      <c r="A3142" s="32">
        <f>IFERROR(__xludf.DUMMYFUNCTION("""COMPUTED_VALUE"""),43400.663266655094)</f>
        <v>43400.66327</v>
      </c>
      <c r="B3142" t="s">
        <v>268</v>
      </c>
    </row>
    <row r="3143">
      <c r="A3143" s="32">
        <f>IFERROR(__xludf.DUMMYFUNCTION("""COMPUTED_VALUE"""),43400.668948101855)</f>
        <v>43400.66895</v>
      </c>
      <c r="B3143" t="s">
        <v>45</v>
      </c>
    </row>
    <row r="3144">
      <c r="A3144" s="32">
        <f>IFERROR(__xludf.DUMMYFUNCTION("""COMPUTED_VALUE"""),43400.68218116898)</f>
        <v>43400.68218</v>
      </c>
      <c r="B3144" t="s">
        <v>40</v>
      </c>
    </row>
    <row r="3145">
      <c r="A3145" s="32">
        <f>IFERROR(__xludf.DUMMYFUNCTION("""COMPUTED_VALUE"""),43400.74684695602)</f>
        <v>43400.74685</v>
      </c>
      <c r="B3145" t="s">
        <v>48</v>
      </c>
    </row>
    <row r="3146">
      <c r="A3146" s="32">
        <f>IFERROR(__xludf.DUMMYFUNCTION("""COMPUTED_VALUE"""),43400.78819699074)</f>
        <v>43400.7882</v>
      </c>
      <c r="B3146" t="s">
        <v>80</v>
      </c>
    </row>
    <row r="3147">
      <c r="A3147" s="32">
        <f>IFERROR(__xludf.DUMMYFUNCTION("""COMPUTED_VALUE"""),43400.82192974537)</f>
        <v>43400.82193</v>
      </c>
      <c r="B3147" t="s">
        <v>2662</v>
      </c>
    </row>
    <row r="3148">
      <c r="A3148" s="32">
        <f>IFERROR(__xludf.DUMMYFUNCTION("""COMPUTED_VALUE"""),43400.93385318287)</f>
        <v>43400.93385</v>
      </c>
      <c r="B3148" t="s">
        <v>40</v>
      </c>
    </row>
    <row r="3149">
      <c r="A3149" s="32">
        <f>IFERROR(__xludf.DUMMYFUNCTION("""COMPUTED_VALUE"""),43401.19958734953)</f>
        <v>43401.19959</v>
      </c>
      <c r="B3149" t="s">
        <v>33</v>
      </c>
    </row>
    <row r="3150">
      <c r="A3150" s="32">
        <f>IFERROR(__xludf.DUMMYFUNCTION("""COMPUTED_VALUE"""),43401.20666081019)</f>
        <v>43401.20666</v>
      </c>
      <c r="B3150" t="s">
        <v>33</v>
      </c>
    </row>
    <row r="3151">
      <c r="A3151" s="32">
        <f>IFERROR(__xludf.DUMMYFUNCTION("""COMPUTED_VALUE"""),43401.47233766204)</f>
        <v>43401.47234</v>
      </c>
      <c r="B3151" t="s">
        <v>33</v>
      </c>
    </row>
    <row r="3152">
      <c r="A3152" s="32">
        <f>IFERROR(__xludf.DUMMYFUNCTION("""COMPUTED_VALUE"""),43401.68814515046)</f>
        <v>43401.68815</v>
      </c>
      <c r="B3152" t="s">
        <v>2746</v>
      </c>
    </row>
    <row r="3153">
      <c r="A3153" s="32">
        <f>IFERROR(__xludf.DUMMYFUNCTION("""COMPUTED_VALUE"""),43401.69232185185)</f>
        <v>43401.69232</v>
      </c>
      <c r="B3153" t="s">
        <v>48</v>
      </c>
    </row>
    <row r="3154">
      <c r="A3154" s="32">
        <f>IFERROR(__xludf.DUMMYFUNCTION("""COMPUTED_VALUE"""),43401.825134212966)</f>
        <v>43401.82513</v>
      </c>
      <c r="B3154" t="s">
        <v>45</v>
      </c>
    </row>
    <row r="3155">
      <c r="A3155" s="32">
        <f>IFERROR(__xludf.DUMMYFUNCTION("""COMPUTED_VALUE"""),43401.85540560185)</f>
        <v>43401.85541</v>
      </c>
      <c r="B3155" t="s">
        <v>2773</v>
      </c>
    </row>
    <row r="3156">
      <c r="A3156" s="32">
        <f>IFERROR(__xludf.DUMMYFUNCTION("""COMPUTED_VALUE"""),43401.85919909722)</f>
        <v>43401.8592</v>
      </c>
      <c r="B3156" t="s">
        <v>80</v>
      </c>
    </row>
    <row r="3157">
      <c r="A3157" s="32">
        <f>IFERROR(__xludf.DUMMYFUNCTION("""COMPUTED_VALUE"""),43401.9400774074)</f>
        <v>43401.94008</v>
      </c>
      <c r="B3157" t="s">
        <v>40</v>
      </c>
    </row>
    <row r="3158">
      <c r="A3158" s="32">
        <f>IFERROR(__xludf.DUMMYFUNCTION("""COMPUTED_VALUE"""),43401.98340946759)</f>
        <v>43401.98341</v>
      </c>
      <c r="B3158" t="s">
        <v>119</v>
      </c>
    </row>
    <row r="3159">
      <c r="A3159" s="32">
        <f>IFERROR(__xludf.DUMMYFUNCTION("""COMPUTED_VALUE"""),43401.98345273148)</f>
        <v>43401.98345</v>
      </c>
      <c r="B3159" t="s">
        <v>188</v>
      </c>
    </row>
    <row r="3160">
      <c r="A3160" s="32">
        <f>IFERROR(__xludf.DUMMYFUNCTION("""COMPUTED_VALUE"""),43402.29982259259)</f>
        <v>43402.29982</v>
      </c>
      <c r="B3160" t="s">
        <v>452</v>
      </c>
    </row>
    <row r="3161">
      <c r="A3161" s="32">
        <f>IFERROR(__xludf.DUMMYFUNCTION("""COMPUTED_VALUE"""),43402.31711533565)</f>
        <v>43402.31712</v>
      </c>
      <c r="B3161" t="s">
        <v>40</v>
      </c>
    </row>
    <row r="3162">
      <c r="A3162" s="32">
        <f>IFERROR(__xludf.DUMMYFUNCTION("""COMPUTED_VALUE"""),43402.392515879634)</f>
        <v>43402.39252</v>
      </c>
      <c r="B3162" t="s">
        <v>80</v>
      </c>
    </row>
    <row r="3163">
      <c r="A3163" s="32">
        <f>IFERROR(__xludf.DUMMYFUNCTION("""COMPUTED_VALUE"""),43402.39252981481)</f>
        <v>43402.39253</v>
      </c>
      <c r="B3163" t="s">
        <v>40</v>
      </c>
    </row>
    <row r="3164">
      <c r="A3164" s="32">
        <f>IFERROR(__xludf.DUMMYFUNCTION("""COMPUTED_VALUE"""),43402.40718310185)</f>
        <v>43402.40718</v>
      </c>
      <c r="B3164" t="s">
        <v>170</v>
      </c>
    </row>
    <row r="3165">
      <c r="A3165" s="32">
        <f>IFERROR(__xludf.DUMMYFUNCTION("""COMPUTED_VALUE"""),43402.4336405787)</f>
        <v>43402.43364</v>
      </c>
      <c r="B3165" t="s">
        <v>1325</v>
      </c>
    </row>
    <row r="3166">
      <c r="A3166" s="32">
        <f>IFERROR(__xludf.DUMMYFUNCTION("""COMPUTED_VALUE"""),43402.58062055556)</f>
        <v>43402.58062</v>
      </c>
      <c r="B3166" t="s">
        <v>2120</v>
      </c>
    </row>
    <row r="3167">
      <c r="A3167" s="32">
        <f>IFERROR(__xludf.DUMMYFUNCTION("""COMPUTED_VALUE"""),43402.62702768519)</f>
        <v>43402.62703</v>
      </c>
      <c r="B3167" t="s">
        <v>40</v>
      </c>
    </row>
    <row r="3168">
      <c r="A3168" s="32">
        <f>IFERROR(__xludf.DUMMYFUNCTION("""COMPUTED_VALUE"""),43402.65281027778)</f>
        <v>43402.65281</v>
      </c>
      <c r="B3168" t="s">
        <v>170</v>
      </c>
    </row>
    <row r="3169">
      <c r="A3169" s="32">
        <f>IFERROR(__xludf.DUMMYFUNCTION("""COMPUTED_VALUE"""),43402.684636273145)</f>
        <v>43402.68464</v>
      </c>
      <c r="B3169" t="s">
        <v>350</v>
      </c>
    </row>
    <row r="3170">
      <c r="A3170" s="32">
        <f>IFERROR(__xludf.DUMMYFUNCTION("""COMPUTED_VALUE"""),43402.69228127315)</f>
        <v>43402.69228</v>
      </c>
      <c r="B3170" t="s">
        <v>40</v>
      </c>
    </row>
    <row r="3171">
      <c r="A3171" s="32">
        <f>IFERROR(__xludf.DUMMYFUNCTION("""COMPUTED_VALUE"""),43402.71267494213)</f>
        <v>43402.71267</v>
      </c>
      <c r="B3171" t="s">
        <v>2746</v>
      </c>
    </row>
    <row r="3172">
      <c r="A3172" s="32">
        <f>IFERROR(__xludf.DUMMYFUNCTION("""COMPUTED_VALUE"""),43402.769038495375)</f>
        <v>43402.76904</v>
      </c>
      <c r="B3172" t="s">
        <v>80</v>
      </c>
    </row>
    <row r="3173">
      <c r="A3173" s="32">
        <f>IFERROR(__xludf.DUMMYFUNCTION("""COMPUTED_VALUE"""),43402.77692185185)</f>
        <v>43402.77692</v>
      </c>
      <c r="B3173" t="s">
        <v>2774</v>
      </c>
    </row>
    <row r="3174">
      <c r="A3174" s="32">
        <f>IFERROR(__xludf.DUMMYFUNCTION("""COMPUTED_VALUE"""),43402.80459579861)</f>
        <v>43402.8046</v>
      </c>
      <c r="B3174" t="s">
        <v>371</v>
      </c>
    </row>
    <row r="3175">
      <c r="A3175" s="32">
        <f>IFERROR(__xludf.DUMMYFUNCTION("""COMPUTED_VALUE"""),43402.86696652778)</f>
        <v>43402.86697</v>
      </c>
      <c r="B3175" t="s">
        <v>80</v>
      </c>
    </row>
    <row r="3176">
      <c r="A3176" s="32">
        <f>IFERROR(__xludf.DUMMYFUNCTION("""COMPUTED_VALUE"""),43402.945774074076)</f>
        <v>43402.94577</v>
      </c>
      <c r="B3176" t="s">
        <v>371</v>
      </c>
    </row>
    <row r="3177">
      <c r="A3177" s="32">
        <f>IFERROR(__xludf.DUMMYFUNCTION("""COMPUTED_VALUE"""),43402.97005561343)</f>
        <v>43402.97006</v>
      </c>
      <c r="B3177" t="s">
        <v>2127</v>
      </c>
    </row>
    <row r="3178">
      <c r="A3178" s="32">
        <f>IFERROR(__xludf.DUMMYFUNCTION("""COMPUTED_VALUE"""),43402.987948587965)</f>
        <v>43402.98795</v>
      </c>
      <c r="B3178" t="s">
        <v>33</v>
      </c>
    </row>
    <row r="3179">
      <c r="A3179" s="32">
        <f>IFERROR(__xludf.DUMMYFUNCTION("""COMPUTED_VALUE"""),43403.06876253472)</f>
        <v>43403.06876</v>
      </c>
      <c r="B3179" t="s">
        <v>256</v>
      </c>
    </row>
    <row r="3180">
      <c r="A3180" s="32">
        <f>IFERROR(__xludf.DUMMYFUNCTION("""COMPUTED_VALUE"""),43403.285583969904)</f>
        <v>43403.28558</v>
      </c>
      <c r="B3180" t="s">
        <v>80</v>
      </c>
    </row>
    <row r="3181">
      <c r="A3181" s="32">
        <f>IFERROR(__xludf.DUMMYFUNCTION("""COMPUTED_VALUE"""),43403.410995115744)</f>
        <v>43403.411</v>
      </c>
      <c r="B3181" t="s">
        <v>119</v>
      </c>
    </row>
    <row r="3182">
      <c r="A3182" s="32">
        <f>IFERROR(__xludf.DUMMYFUNCTION("""COMPUTED_VALUE"""),43403.43061365741)</f>
        <v>43403.43061</v>
      </c>
      <c r="B3182" t="s">
        <v>2132</v>
      </c>
    </row>
    <row r="3183">
      <c r="A3183" s="32">
        <f>IFERROR(__xludf.DUMMYFUNCTION("""COMPUTED_VALUE"""),43403.5780665625)</f>
        <v>43403.57807</v>
      </c>
      <c r="B3183" t="s">
        <v>40</v>
      </c>
    </row>
    <row r="3184">
      <c r="A3184" s="32">
        <f>IFERROR(__xludf.DUMMYFUNCTION("""COMPUTED_VALUE"""),43403.596893622685)</f>
        <v>43403.59689</v>
      </c>
      <c r="B3184" t="s">
        <v>40</v>
      </c>
    </row>
    <row r="3185">
      <c r="A3185" s="32">
        <f>IFERROR(__xludf.DUMMYFUNCTION("""COMPUTED_VALUE"""),43403.604679282405)</f>
        <v>43403.60468</v>
      </c>
      <c r="B3185" t="s">
        <v>80</v>
      </c>
    </row>
    <row r="3186">
      <c r="A3186" s="32">
        <f>IFERROR(__xludf.DUMMYFUNCTION("""COMPUTED_VALUE"""),43403.68074560185)</f>
        <v>43403.68075</v>
      </c>
      <c r="B3186" t="s">
        <v>2098</v>
      </c>
    </row>
    <row r="3187">
      <c r="A3187" s="32">
        <f>IFERROR(__xludf.DUMMYFUNCTION("""COMPUTED_VALUE"""),43403.7109)</f>
        <v>43403.7109</v>
      </c>
      <c r="B3187" t="s">
        <v>268</v>
      </c>
    </row>
    <row r="3188">
      <c r="A3188" s="32">
        <f>IFERROR(__xludf.DUMMYFUNCTION("""COMPUTED_VALUE"""),43403.834112916666)</f>
        <v>43403.83411</v>
      </c>
      <c r="B3188" t="s">
        <v>33</v>
      </c>
    </row>
    <row r="3189">
      <c r="A3189" s="32">
        <f>IFERROR(__xludf.DUMMYFUNCTION("""COMPUTED_VALUE"""),43403.91537962963)</f>
        <v>43403.91538</v>
      </c>
      <c r="B3189" t="s">
        <v>80</v>
      </c>
    </row>
    <row r="3190">
      <c r="A3190" s="32">
        <f>IFERROR(__xludf.DUMMYFUNCTION("""COMPUTED_VALUE"""),43404.19529567129)</f>
        <v>43404.1953</v>
      </c>
      <c r="B3190" t="s">
        <v>722</v>
      </c>
    </row>
    <row r="3191">
      <c r="A3191" s="32">
        <f>IFERROR(__xludf.DUMMYFUNCTION("""COMPUTED_VALUE"""),43404.34391539352)</f>
        <v>43404.34392</v>
      </c>
      <c r="B3191" t="s">
        <v>154</v>
      </c>
    </row>
    <row r="3192">
      <c r="A3192" s="32">
        <f>IFERROR(__xludf.DUMMYFUNCTION("""COMPUTED_VALUE"""),43404.42467623843)</f>
        <v>43404.42468</v>
      </c>
      <c r="B3192" t="s">
        <v>2775</v>
      </c>
    </row>
    <row r="3193">
      <c r="A3193" s="32">
        <f>IFERROR(__xludf.DUMMYFUNCTION("""COMPUTED_VALUE"""),43404.483640833336)</f>
        <v>43404.48364</v>
      </c>
      <c r="B3193" t="s">
        <v>40</v>
      </c>
    </row>
    <row r="3194">
      <c r="A3194" s="32">
        <f>IFERROR(__xludf.DUMMYFUNCTION("""COMPUTED_VALUE"""),43404.56082545139)</f>
        <v>43404.56083</v>
      </c>
      <c r="B3194" t="s">
        <v>170</v>
      </c>
    </row>
    <row r="3195">
      <c r="A3195" s="32">
        <f>IFERROR(__xludf.DUMMYFUNCTION("""COMPUTED_VALUE"""),43404.573274421295)</f>
        <v>43404.57327</v>
      </c>
      <c r="B3195" t="s">
        <v>40</v>
      </c>
    </row>
    <row r="3196">
      <c r="A3196" s="32">
        <f>IFERROR(__xludf.DUMMYFUNCTION("""COMPUTED_VALUE"""),43404.613222685184)</f>
        <v>43404.61322</v>
      </c>
      <c r="B3196" t="s">
        <v>40</v>
      </c>
    </row>
    <row r="3197">
      <c r="A3197" s="32">
        <f>IFERROR(__xludf.DUMMYFUNCTION("""COMPUTED_VALUE"""),43404.64766043982)</f>
        <v>43404.64766</v>
      </c>
      <c r="B3197" t="s">
        <v>40</v>
      </c>
    </row>
    <row r="3198">
      <c r="A3198" s="32">
        <f>IFERROR(__xludf.DUMMYFUNCTION("""COMPUTED_VALUE"""),43404.65028141203)</f>
        <v>43404.65028</v>
      </c>
      <c r="B3198" t="s">
        <v>33</v>
      </c>
    </row>
    <row r="3199">
      <c r="A3199" s="32">
        <f>IFERROR(__xludf.DUMMYFUNCTION("""COMPUTED_VALUE"""),43404.65048689814)</f>
        <v>43404.65049</v>
      </c>
      <c r="B3199" t="s">
        <v>2147</v>
      </c>
    </row>
    <row r="3200">
      <c r="A3200" s="32">
        <f>IFERROR(__xludf.DUMMYFUNCTION("""COMPUTED_VALUE"""),43404.65637091435)</f>
        <v>43404.65637</v>
      </c>
      <c r="B3200" t="s">
        <v>48</v>
      </c>
    </row>
    <row r="3201">
      <c r="A3201" s="32">
        <f>IFERROR(__xludf.DUMMYFUNCTION("""COMPUTED_VALUE"""),43404.65716520834)</f>
        <v>43404.65717</v>
      </c>
      <c r="B3201" t="s">
        <v>48</v>
      </c>
    </row>
    <row r="3202">
      <c r="A3202" s="32">
        <f>IFERROR(__xludf.DUMMYFUNCTION("""COMPUTED_VALUE"""),43404.66013440972)</f>
        <v>43404.66013</v>
      </c>
      <c r="B3202" t="s">
        <v>40</v>
      </c>
    </row>
    <row r="3203">
      <c r="A3203" s="32">
        <f>IFERROR(__xludf.DUMMYFUNCTION("""COMPUTED_VALUE"""),43404.661408125)</f>
        <v>43404.66141</v>
      </c>
      <c r="B3203" t="s">
        <v>80</v>
      </c>
    </row>
    <row r="3204">
      <c r="A3204" s="32">
        <f>IFERROR(__xludf.DUMMYFUNCTION("""COMPUTED_VALUE"""),43404.662542997685)</f>
        <v>43404.66254</v>
      </c>
      <c r="B3204" t="s">
        <v>1636</v>
      </c>
    </row>
    <row r="3205">
      <c r="A3205" s="32">
        <f>IFERROR(__xludf.DUMMYFUNCTION("""COMPUTED_VALUE"""),43404.662550532405)</f>
        <v>43404.66255</v>
      </c>
      <c r="B3205" t="s">
        <v>1636</v>
      </c>
    </row>
    <row r="3206">
      <c r="A3206" s="32">
        <f>IFERROR(__xludf.DUMMYFUNCTION("""COMPUTED_VALUE"""),43404.664579317134)</f>
        <v>43404.66458</v>
      </c>
      <c r="B3206" t="s">
        <v>45</v>
      </c>
    </row>
    <row r="3207">
      <c r="A3207" s="32">
        <f>IFERROR(__xludf.DUMMYFUNCTION("""COMPUTED_VALUE"""),43404.66519987269)</f>
        <v>43404.6652</v>
      </c>
      <c r="B3207" t="s">
        <v>45</v>
      </c>
    </row>
    <row r="3208">
      <c r="A3208" s="32">
        <f>IFERROR(__xludf.DUMMYFUNCTION("""COMPUTED_VALUE"""),43404.666907245366)</f>
        <v>43404.66691</v>
      </c>
      <c r="B3208" t="s">
        <v>2148</v>
      </c>
    </row>
    <row r="3209">
      <c r="A3209" s="32">
        <f>IFERROR(__xludf.DUMMYFUNCTION("""COMPUTED_VALUE"""),43404.6770550463)</f>
        <v>43404.67706</v>
      </c>
      <c r="B3209" t="s">
        <v>80</v>
      </c>
    </row>
    <row r="3210">
      <c r="A3210" s="32">
        <f>IFERROR(__xludf.DUMMYFUNCTION("""COMPUTED_VALUE"""),43404.68071997685)</f>
        <v>43404.68072</v>
      </c>
      <c r="B3210" t="s">
        <v>40</v>
      </c>
    </row>
    <row r="3211">
      <c r="A3211" s="32">
        <f>IFERROR(__xludf.DUMMYFUNCTION("""COMPUTED_VALUE"""),43404.684250763894)</f>
        <v>43404.68425</v>
      </c>
      <c r="B3211" t="s">
        <v>48</v>
      </c>
    </row>
    <row r="3212">
      <c r="A3212" s="32">
        <f>IFERROR(__xludf.DUMMYFUNCTION("""COMPUTED_VALUE"""),43404.6844819213)</f>
        <v>43404.68448</v>
      </c>
      <c r="B3212" t="s">
        <v>548</v>
      </c>
    </row>
    <row r="3213">
      <c r="A3213" s="32">
        <f>IFERROR(__xludf.DUMMYFUNCTION("""COMPUTED_VALUE"""),43404.68532201389)</f>
        <v>43404.68532</v>
      </c>
      <c r="B3213" t="s">
        <v>380</v>
      </c>
    </row>
    <row r="3214">
      <c r="A3214" s="32">
        <f>IFERROR(__xludf.DUMMYFUNCTION("""COMPUTED_VALUE"""),43404.687209606476)</f>
        <v>43404.68721</v>
      </c>
      <c r="B3214" t="s">
        <v>36</v>
      </c>
    </row>
    <row r="3215">
      <c r="A3215" s="32">
        <f>IFERROR(__xludf.DUMMYFUNCTION("""COMPUTED_VALUE"""),43404.68864158565)</f>
        <v>43404.68864</v>
      </c>
      <c r="B3215" t="s">
        <v>48</v>
      </c>
    </row>
    <row r="3216">
      <c r="A3216" s="32">
        <f>IFERROR(__xludf.DUMMYFUNCTION("""COMPUTED_VALUE"""),43404.69052278935)</f>
        <v>43404.69052</v>
      </c>
      <c r="B3216" t="s">
        <v>123</v>
      </c>
    </row>
    <row r="3217">
      <c r="A3217" s="32">
        <f>IFERROR(__xludf.DUMMYFUNCTION("""COMPUTED_VALUE"""),43404.692390578704)</f>
        <v>43404.69239</v>
      </c>
      <c r="B3217" t="s">
        <v>33</v>
      </c>
    </row>
    <row r="3218">
      <c r="A3218" s="32">
        <f>IFERROR(__xludf.DUMMYFUNCTION("""COMPUTED_VALUE"""),43404.69384677084)</f>
        <v>43404.69385</v>
      </c>
      <c r="B3218" t="s">
        <v>157</v>
      </c>
    </row>
    <row r="3219">
      <c r="A3219" s="32">
        <f>IFERROR(__xludf.DUMMYFUNCTION("""COMPUTED_VALUE"""),43404.69882832176)</f>
        <v>43404.69883</v>
      </c>
      <c r="B3219" t="s">
        <v>45</v>
      </c>
    </row>
    <row r="3220">
      <c r="A3220" s="32">
        <f>IFERROR(__xludf.DUMMYFUNCTION("""COMPUTED_VALUE"""),43404.69899269676)</f>
        <v>43404.69899</v>
      </c>
      <c r="B3220" t="s">
        <v>664</v>
      </c>
    </row>
    <row r="3221">
      <c r="A3221" s="32">
        <f>IFERROR(__xludf.DUMMYFUNCTION("""COMPUTED_VALUE"""),43404.699470011576)</f>
        <v>43404.69947</v>
      </c>
      <c r="B3221" t="s">
        <v>45</v>
      </c>
    </row>
    <row r="3222">
      <c r="A3222" s="32">
        <f>IFERROR(__xludf.DUMMYFUNCTION("""COMPUTED_VALUE"""),43404.69959921297)</f>
        <v>43404.6996</v>
      </c>
      <c r="B3222" t="s">
        <v>33</v>
      </c>
    </row>
    <row r="3223">
      <c r="A3223" s="32">
        <f>IFERROR(__xludf.DUMMYFUNCTION("""COMPUTED_VALUE"""),43404.70107502315)</f>
        <v>43404.70108</v>
      </c>
      <c r="B3223" t="s">
        <v>33</v>
      </c>
    </row>
    <row r="3224">
      <c r="A3224" s="32">
        <f>IFERROR(__xludf.DUMMYFUNCTION("""COMPUTED_VALUE"""),43404.70227489583)</f>
        <v>43404.70227</v>
      </c>
      <c r="B3224" t="s">
        <v>124</v>
      </c>
    </row>
    <row r="3225">
      <c r="A3225" s="32">
        <f>IFERROR(__xludf.DUMMYFUNCTION("""COMPUTED_VALUE"""),43404.70374783565)</f>
        <v>43404.70375</v>
      </c>
      <c r="B3225" t="s">
        <v>80</v>
      </c>
    </row>
    <row r="3226">
      <c r="A3226" s="32">
        <f>IFERROR(__xludf.DUMMYFUNCTION("""COMPUTED_VALUE"""),43404.70748109954)</f>
        <v>43404.70748</v>
      </c>
      <c r="B3226" t="s">
        <v>154</v>
      </c>
    </row>
    <row r="3227">
      <c r="A3227" s="32">
        <f>IFERROR(__xludf.DUMMYFUNCTION("""COMPUTED_VALUE"""),43404.70774990741)</f>
        <v>43404.70775</v>
      </c>
      <c r="B3227" t="s">
        <v>40</v>
      </c>
    </row>
    <row r="3228">
      <c r="A3228" s="32">
        <f>IFERROR(__xludf.DUMMYFUNCTION("""COMPUTED_VALUE"""),43404.70782282407)</f>
        <v>43404.70782</v>
      </c>
      <c r="B3228" t="s">
        <v>40</v>
      </c>
    </row>
    <row r="3229">
      <c r="A3229" s="32">
        <f>IFERROR(__xludf.DUMMYFUNCTION("""COMPUTED_VALUE"""),43404.70806246527)</f>
        <v>43404.70806</v>
      </c>
      <c r="B3229" t="s">
        <v>187</v>
      </c>
    </row>
    <row r="3230">
      <c r="A3230" s="32">
        <f>IFERROR(__xludf.DUMMYFUNCTION("""COMPUTED_VALUE"""),43404.711271712964)</f>
        <v>43404.71127</v>
      </c>
      <c r="B3230" t="s">
        <v>40</v>
      </c>
    </row>
    <row r="3231">
      <c r="A3231" s="32">
        <f>IFERROR(__xludf.DUMMYFUNCTION("""COMPUTED_VALUE"""),43404.71151190972)</f>
        <v>43404.71151</v>
      </c>
      <c r="B3231" t="s">
        <v>25</v>
      </c>
    </row>
    <row r="3232">
      <c r="A3232" s="32">
        <f>IFERROR(__xludf.DUMMYFUNCTION("""COMPUTED_VALUE"""),43404.71160821759)</f>
        <v>43404.71161</v>
      </c>
      <c r="B3232" t="s">
        <v>45</v>
      </c>
    </row>
    <row r="3233">
      <c r="A3233" s="32">
        <f>IFERROR(__xludf.DUMMYFUNCTION("""COMPUTED_VALUE"""),43404.711722569446)</f>
        <v>43404.71172</v>
      </c>
      <c r="B3233" t="s">
        <v>80</v>
      </c>
    </row>
    <row r="3234">
      <c r="A3234" s="32">
        <f>IFERROR(__xludf.DUMMYFUNCTION("""COMPUTED_VALUE"""),43404.7148525)</f>
        <v>43404.71485</v>
      </c>
      <c r="B3234" t="s">
        <v>2157</v>
      </c>
    </row>
    <row r="3235">
      <c r="A3235" s="32">
        <f>IFERROR(__xludf.DUMMYFUNCTION("""COMPUTED_VALUE"""),43404.715071875005)</f>
        <v>43404.71507</v>
      </c>
      <c r="B3235" t="s">
        <v>48</v>
      </c>
    </row>
    <row r="3236">
      <c r="A3236" s="32">
        <f>IFERROR(__xludf.DUMMYFUNCTION("""COMPUTED_VALUE"""),43404.71642660879)</f>
        <v>43404.71643</v>
      </c>
      <c r="B3236" t="s">
        <v>48</v>
      </c>
    </row>
    <row r="3237">
      <c r="A3237" s="32">
        <f>IFERROR(__xludf.DUMMYFUNCTION("""COMPUTED_VALUE"""),43404.717397025466)</f>
        <v>43404.7174</v>
      </c>
      <c r="B3237" t="s">
        <v>258</v>
      </c>
    </row>
    <row r="3238">
      <c r="A3238" s="32">
        <f>IFERROR(__xludf.DUMMYFUNCTION("""COMPUTED_VALUE"""),43404.71784254629)</f>
        <v>43404.71784</v>
      </c>
      <c r="B3238" t="s">
        <v>48</v>
      </c>
    </row>
    <row r="3239">
      <c r="A3239" s="32">
        <f>IFERROR(__xludf.DUMMYFUNCTION("""COMPUTED_VALUE"""),43404.71991881944)</f>
        <v>43404.71992</v>
      </c>
      <c r="B3239" t="s">
        <v>428</v>
      </c>
    </row>
    <row r="3240">
      <c r="A3240" s="32">
        <f>IFERROR(__xludf.DUMMYFUNCTION("""COMPUTED_VALUE"""),43404.72061981482)</f>
        <v>43404.72062</v>
      </c>
      <c r="B3240" t="s">
        <v>350</v>
      </c>
    </row>
    <row r="3241">
      <c r="A3241" s="32">
        <f>IFERROR(__xludf.DUMMYFUNCTION("""COMPUTED_VALUE"""),43404.72082474537)</f>
        <v>43404.72082</v>
      </c>
      <c r="B3241" t="s">
        <v>33</v>
      </c>
    </row>
    <row r="3242">
      <c r="A3242" s="32">
        <f>IFERROR(__xludf.DUMMYFUNCTION("""COMPUTED_VALUE"""),43404.72088607639)</f>
        <v>43404.72089</v>
      </c>
      <c r="B3242" t="s">
        <v>33</v>
      </c>
    </row>
    <row r="3243">
      <c r="A3243" s="32">
        <f>IFERROR(__xludf.DUMMYFUNCTION("""COMPUTED_VALUE"""),43404.72134023148)</f>
        <v>43404.72134</v>
      </c>
      <c r="B3243" t="s">
        <v>950</v>
      </c>
    </row>
    <row r="3244">
      <c r="A3244" s="32">
        <f>IFERROR(__xludf.DUMMYFUNCTION("""COMPUTED_VALUE"""),43404.721417928246)</f>
        <v>43404.72142</v>
      </c>
      <c r="B3244" t="s">
        <v>2159</v>
      </c>
    </row>
    <row r="3245">
      <c r="A3245" s="32">
        <f>IFERROR(__xludf.DUMMYFUNCTION("""COMPUTED_VALUE"""),43404.723964537035)</f>
        <v>43404.72396</v>
      </c>
      <c r="B3245" t="s">
        <v>45</v>
      </c>
    </row>
    <row r="3246">
      <c r="A3246" s="32">
        <f>IFERROR(__xludf.DUMMYFUNCTION("""COMPUTED_VALUE"""),43404.72572008102)</f>
        <v>43404.72572</v>
      </c>
      <c r="B3246" t="s">
        <v>40</v>
      </c>
    </row>
    <row r="3247">
      <c r="A3247" s="32">
        <f>IFERROR(__xludf.DUMMYFUNCTION("""COMPUTED_VALUE"""),43404.72611178241)</f>
        <v>43404.72611</v>
      </c>
      <c r="B3247" t="s">
        <v>80</v>
      </c>
    </row>
    <row r="3248">
      <c r="A3248" s="32">
        <f>IFERROR(__xludf.DUMMYFUNCTION("""COMPUTED_VALUE"""),43404.72701454861)</f>
        <v>43404.72701</v>
      </c>
      <c r="B3248" t="s">
        <v>282</v>
      </c>
    </row>
    <row r="3249">
      <c r="A3249" s="32">
        <f>IFERROR(__xludf.DUMMYFUNCTION("""COMPUTED_VALUE"""),43404.72745907407)</f>
        <v>43404.72746</v>
      </c>
      <c r="B3249" t="s">
        <v>36</v>
      </c>
    </row>
    <row r="3250">
      <c r="A3250" s="32">
        <f>IFERROR(__xludf.DUMMYFUNCTION("""COMPUTED_VALUE"""),43404.7276962037)</f>
        <v>43404.7277</v>
      </c>
      <c r="B3250" t="s">
        <v>256</v>
      </c>
    </row>
    <row r="3251">
      <c r="A3251" s="32">
        <f>IFERROR(__xludf.DUMMYFUNCTION("""COMPUTED_VALUE"""),43404.72959567129)</f>
        <v>43404.7296</v>
      </c>
      <c r="B3251" t="s">
        <v>33</v>
      </c>
    </row>
    <row r="3252">
      <c r="A3252" s="32">
        <f>IFERROR(__xludf.DUMMYFUNCTION("""COMPUTED_VALUE"""),43404.731516087966)</f>
        <v>43404.73152</v>
      </c>
      <c r="B3252" t="s">
        <v>80</v>
      </c>
    </row>
    <row r="3253">
      <c r="A3253" s="32">
        <f>IFERROR(__xludf.DUMMYFUNCTION("""COMPUTED_VALUE"""),43404.73145554398)</f>
        <v>43404.73146</v>
      </c>
      <c r="B3253" t="s">
        <v>523</v>
      </c>
    </row>
    <row r="3254">
      <c r="A3254" s="32">
        <f>IFERROR(__xludf.DUMMYFUNCTION("""COMPUTED_VALUE"""),43404.73190344908)</f>
        <v>43404.7319</v>
      </c>
      <c r="B3254" t="s">
        <v>48</v>
      </c>
    </row>
    <row r="3255">
      <c r="A3255" s="32">
        <f>IFERROR(__xludf.DUMMYFUNCTION("""COMPUTED_VALUE"""),43404.732391377314)</f>
        <v>43404.73239</v>
      </c>
      <c r="B3255" t="s">
        <v>80</v>
      </c>
    </row>
    <row r="3256">
      <c r="A3256" s="32">
        <f>IFERROR(__xludf.DUMMYFUNCTION("""COMPUTED_VALUE"""),43404.732665034724)</f>
        <v>43404.73267</v>
      </c>
      <c r="B3256" t="s">
        <v>187</v>
      </c>
    </row>
    <row r="3257">
      <c r="A3257" s="32">
        <f>IFERROR(__xludf.DUMMYFUNCTION("""COMPUTED_VALUE"""),43404.73305241898)</f>
        <v>43404.73305</v>
      </c>
      <c r="B3257" t="s">
        <v>40</v>
      </c>
    </row>
    <row r="3258">
      <c r="A3258" s="32">
        <f>IFERROR(__xludf.DUMMYFUNCTION("""COMPUTED_VALUE"""),43404.73326300926)</f>
        <v>43404.73326</v>
      </c>
      <c r="B3258" t="s">
        <v>2167</v>
      </c>
    </row>
    <row r="3259">
      <c r="A3259" s="32">
        <f>IFERROR(__xludf.DUMMYFUNCTION("""COMPUTED_VALUE"""),43404.73472390046)</f>
        <v>43404.73472</v>
      </c>
      <c r="B3259" t="s">
        <v>2776</v>
      </c>
    </row>
    <row r="3260">
      <c r="A3260" s="32">
        <f>IFERROR(__xludf.DUMMYFUNCTION("""COMPUTED_VALUE"""),43404.73629576389)</f>
        <v>43404.7363</v>
      </c>
      <c r="B3260" t="s">
        <v>1196</v>
      </c>
    </row>
    <row r="3261">
      <c r="A3261" s="32">
        <f>IFERROR(__xludf.DUMMYFUNCTION("""COMPUTED_VALUE"""),43404.73722466435)</f>
        <v>43404.73722</v>
      </c>
      <c r="B3261" t="s">
        <v>80</v>
      </c>
    </row>
    <row r="3262">
      <c r="A3262" s="32">
        <f>IFERROR(__xludf.DUMMYFUNCTION("""COMPUTED_VALUE"""),43404.738991377315)</f>
        <v>43404.73899</v>
      </c>
      <c r="B3262" t="s">
        <v>80</v>
      </c>
    </row>
    <row r="3263">
      <c r="A3263" s="32">
        <f>IFERROR(__xludf.DUMMYFUNCTION("""COMPUTED_VALUE"""),43404.73912221065)</f>
        <v>43404.73912</v>
      </c>
      <c r="B3263" t="s">
        <v>33</v>
      </c>
    </row>
    <row r="3264">
      <c r="A3264" s="32">
        <f>IFERROR(__xludf.DUMMYFUNCTION("""COMPUTED_VALUE"""),43404.73948704861)</f>
        <v>43404.73949</v>
      </c>
      <c r="B3264" t="s">
        <v>2777</v>
      </c>
    </row>
    <row r="3265">
      <c r="A3265" s="32">
        <f>IFERROR(__xludf.DUMMYFUNCTION("""COMPUTED_VALUE"""),43404.742007824076)</f>
        <v>43404.74201</v>
      </c>
      <c r="B3265" t="s">
        <v>173</v>
      </c>
    </row>
    <row r="3266">
      <c r="A3266" s="32">
        <f>IFERROR(__xludf.DUMMYFUNCTION("""COMPUTED_VALUE"""),43404.74274840278)</f>
        <v>43404.74275</v>
      </c>
      <c r="B3266" t="s">
        <v>2172</v>
      </c>
    </row>
    <row r="3267">
      <c r="A3267" s="32">
        <f>IFERROR(__xludf.DUMMYFUNCTION("""COMPUTED_VALUE"""),43404.74346641204)</f>
        <v>43404.74347</v>
      </c>
      <c r="B3267" t="s">
        <v>80</v>
      </c>
    </row>
    <row r="3268">
      <c r="A3268" s="32">
        <f>IFERROR(__xludf.DUMMYFUNCTION("""COMPUTED_VALUE"""),43404.744585023145)</f>
        <v>43404.74459</v>
      </c>
      <c r="B3268" t="s">
        <v>123</v>
      </c>
    </row>
    <row r="3269">
      <c r="A3269" s="32">
        <f>IFERROR(__xludf.DUMMYFUNCTION("""COMPUTED_VALUE"""),43404.745109027775)</f>
        <v>43404.74511</v>
      </c>
      <c r="B3269" t="s">
        <v>2175</v>
      </c>
    </row>
    <row r="3270">
      <c r="A3270" s="32">
        <f>IFERROR(__xludf.DUMMYFUNCTION("""COMPUTED_VALUE"""),43404.74518986111)</f>
        <v>43404.74519</v>
      </c>
      <c r="B3270" t="s">
        <v>664</v>
      </c>
    </row>
    <row r="3271">
      <c r="A3271" s="32">
        <f>IFERROR(__xludf.DUMMYFUNCTION("""COMPUTED_VALUE"""),43404.74668515046)</f>
        <v>43404.74669</v>
      </c>
      <c r="B3271" t="s">
        <v>2658</v>
      </c>
    </row>
    <row r="3272">
      <c r="A3272" s="32">
        <f>IFERROR(__xludf.DUMMYFUNCTION("""COMPUTED_VALUE"""),43404.74803773148)</f>
        <v>43404.74804</v>
      </c>
      <c r="B3272" t="s">
        <v>200</v>
      </c>
    </row>
    <row r="3273">
      <c r="A3273" s="32">
        <f>IFERROR(__xludf.DUMMYFUNCTION("""COMPUTED_VALUE"""),43404.74907643518)</f>
        <v>43404.74908</v>
      </c>
      <c r="B3273" t="s">
        <v>2178</v>
      </c>
    </row>
    <row r="3274">
      <c r="A3274" s="32">
        <f>IFERROR(__xludf.DUMMYFUNCTION("""COMPUTED_VALUE"""),43404.74925972222)</f>
        <v>43404.74926</v>
      </c>
      <c r="B3274" t="s">
        <v>25</v>
      </c>
    </row>
    <row r="3275">
      <c r="A3275" s="32">
        <f>IFERROR(__xludf.DUMMYFUNCTION("""COMPUTED_VALUE"""),43404.75153009259)</f>
        <v>43404.75153</v>
      </c>
      <c r="B3275" t="s">
        <v>40</v>
      </c>
    </row>
    <row r="3276">
      <c r="A3276" s="32">
        <f>IFERROR(__xludf.DUMMYFUNCTION("""COMPUTED_VALUE"""),43404.753098298606)</f>
        <v>43404.7531</v>
      </c>
      <c r="B3276" t="s">
        <v>852</v>
      </c>
    </row>
    <row r="3277">
      <c r="A3277" s="32">
        <f>IFERROR(__xludf.DUMMYFUNCTION("""COMPUTED_VALUE"""),43404.75314958333)</f>
        <v>43404.75315</v>
      </c>
      <c r="B3277" t="s">
        <v>33</v>
      </c>
    </row>
    <row r="3278">
      <c r="A3278" s="32">
        <f>IFERROR(__xludf.DUMMYFUNCTION("""COMPUTED_VALUE"""),43404.756914328704)</f>
        <v>43404.75691</v>
      </c>
      <c r="B3278" t="s">
        <v>2424</v>
      </c>
    </row>
    <row r="3279">
      <c r="A3279" s="32">
        <f>IFERROR(__xludf.DUMMYFUNCTION("""COMPUTED_VALUE"""),43404.75896283565)</f>
        <v>43404.75896</v>
      </c>
      <c r="B3279" t="s">
        <v>80</v>
      </c>
    </row>
    <row r="3280">
      <c r="A3280" s="32">
        <f>IFERROR(__xludf.DUMMYFUNCTION("""COMPUTED_VALUE"""),43404.75927497685)</f>
        <v>43404.75927</v>
      </c>
      <c r="B3280" t="s">
        <v>80</v>
      </c>
    </row>
    <row r="3281">
      <c r="A3281" s="32">
        <f>IFERROR(__xludf.DUMMYFUNCTION("""COMPUTED_VALUE"""),43404.760472106485)</f>
        <v>43404.76047</v>
      </c>
      <c r="B3281" t="s">
        <v>33</v>
      </c>
    </row>
    <row r="3282">
      <c r="A3282" s="32">
        <f>IFERROR(__xludf.DUMMYFUNCTION("""COMPUTED_VALUE"""),43404.76192821759)</f>
        <v>43404.76193</v>
      </c>
      <c r="B3282" t="s">
        <v>1371</v>
      </c>
    </row>
    <row r="3283">
      <c r="A3283" s="32">
        <f>IFERROR(__xludf.DUMMYFUNCTION("""COMPUTED_VALUE"""),43404.76208670139)</f>
        <v>43404.76209</v>
      </c>
      <c r="B3283" t="s">
        <v>2778</v>
      </c>
    </row>
    <row r="3284">
      <c r="A3284" s="32">
        <f>IFERROR(__xludf.DUMMYFUNCTION("""COMPUTED_VALUE"""),43404.76367806713)</f>
        <v>43404.76368</v>
      </c>
      <c r="B3284" t="s">
        <v>48</v>
      </c>
    </row>
    <row r="3285">
      <c r="A3285" s="32">
        <f>IFERROR(__xludf.DUMMYFUNCTION("""COMPUTED_VALUE"""),43404.764404201385)</f>
        <v>43404.7644</v>
      </c>
      <c r="B3285" t="s">
        <v>154</v>
      </c>
    </row>
    <row r="3286">
      <c r="A3286" s="32">
        <f>IFERROR(__xludf.DUMMYFUNCTION("""COMPUTED_VALUE"""),43404.76509380787)</f>
        <v>43404.76509</v>
      </c>
      <c r="B3286" t="s">
        <v>80</v>
      </c>
    </row>
    <row r="3287">
      <c r="A3287" s="32">
        <f>IFERROR(__xludf.DUMMYFUNCTION("""COMPUTED_VALUE"""),43404.76513429398)</f>
        <v>43404.76513</v>
      </c>
      <c r="B3287" t="s">
        <v>256</v>
      </c>
    </row>
    <row r="3288">
      <c r="A3288" s="32">
        <f>IFERROR(__xludf.DUMMYFUNCTION("""COMPUTED_VALUE"""),43404.76564267361)</f>
        <v>43404.76564</v>
      </c>
      <c r="B3288" t="s">
        <v>25</v>
      </c>
    </row>
    <row r="3289">
      <c r="A3289" s="32">
        <f>IFERROR(__xludf.DUMMYFUNCTION("""COMPUTED_VALUE"""),43404.76587207176)</f>
        <v>43404.76587</v>
      </c>
      <c r="B3289" t="s">
        <v>268</v>
      </c>
    </row>
    <row r="3290">
      <c r="A3290" s="32">
        <f>IFERROR(__xludf.DUMMYFUNCTION("""COMPUTED_VALUE"""),43404.76640876157)</f>
        <v>43404.76641</v>
      </c>
      <c r="B3290" t="s">
        <v>33</v>
      </c>
    </row>
    <row r="3291">
      <c r="A3291" s="32">
        <f>IFERROR(__xludf.DUMMYFUNCTION("""COMPUTED_VALUE"""),43404.76737266204)</f>
        <v>43404.76737</v>
      </c>
      <c r="B3291" t="s">
        <v>33</v>
      </c>
    </row>
    <row r="3292">
      <c r="A3292" s="32">
        <f>IFERROR(__xludf.DUMMYFUNCTION("""COMPUTED_VALUE"""),43404.76771231482)</f>
        <v>43404.76771</v>
      </c>
      <c r="B3292" t="s">
        <v>48</v>
      </c>
    </row>
    <row r="3293">
      <c r="A3293" s="32">
        <f>IFERROR(__xludf.DUMMYFUNCTION("""COMPUTED_VALUE"""),43404.768330833336)</f>
        <v>43404.76833</v>
      </c>
      <c r="B3293" t="s">
        <v>256</v>
      </c>
    </row>
    <row r="3294">
      <c r="A3294" s="32">
        <f>IFERROR(__xludf.DUMMYFUNCTION("""COMPUTED_VALUE"""),43404.769404375)</f>
        <v>43404.7694</v>
      </c>
      <c r="B3294" t="s">
        <v>48</v>
      </c>
    </row>
    <row r="3295">
      <c r="A3295" s="32">
        <f>IFERROR(__xludf.DUMMYFUNCTION("""COMPUTED_VALUE"""),43404.772400173606)</f>
        <v>43404.7724</v>
      </c>
      <c r="B3295" t="s">
        <v>2424</v>
      </c>
    </row>
    <row r="3296">
      <c r="A3296" s="32">
        <f>IFERROR(__xludf.DUMMYFUNCTION("""COMPUTED_VALUE"""),43404.77362142361)</f>
        <v>43404.77362</v>
      </c>
      <c r="B3296" t="s">
        <v>2779</v>
      </c>
    </row>
    <row r="3297">
      <c r="A3297" s="32">
        <f>IFERROR(__xludf.DUMMYFUNCTION("""COMPUTED_VALUE"""),43404.774559224534)</f>
        <v>43404.77456</v>
      </c>
      <c r="B3297" t="s">
        <v>40</v>
      </c>
    </row>
    <row r="3298">
      <c r="A3298" s="32">
        <f>IFERROR(__xludf.DUMMYFUNCTION("""COMPUTED_VALUE"""),43404.77512021991)</f>
        <v>43404.77512</v>
      </c>
      <c r="B3298" t="s">
        <v>2190</v>
      </c>
    </row>
    <row r="3299">
      <c r="A3299" s="32">
        <f>IFERROR(__xludf.DUMMYFUNCTION("""COMPUTED_VALUE"""),43404.77755600694)</f>
        <v>43404.77756</v>
      </c>
      <c r="B3299" t="s">
        <v>80</v>
      </c>
    </row>
    <row r="3300">
      <c r="A3300" s="32">
        <f>IFERROR(__xludf.DUMMYFUNCTION("""COMPUTED_VALUE"""),43404.77755834491)</f>
        <v>43404.77756</v>
      </c>
      <c r="B3300" t="s">
        <v>2780</v>
      </c>
    </row>
    <row r="3301">
      <c r="A3301" s="32">
        <f>IFERROR(__xludf.DUMMYFUNCTION("""COMPUTED_VALUE"""),43404.77909358796)</f>
        <v>43404.77909</v>
      </c>
      <c r="B3301" t="s">
        <v>48</v>
      </c>
    </row>
    <row r="3302">
      <c r="A3302" s="32">
        <f>IFERROR(__xludf.DUMMYFUNCTION("""COMPUTED_VALUE"""),43404.782928298606)</f>
        <v>43404.78293</v>
      </c>
      <c r="B3302" t="s">
        <v>2195</v>
      </c>
    </row>
    <row r="3303">
      <c r="A3303" s="32">
        <f>IFERROR(__xludf.DUMMYFUNCTION("""COMPUTED_VALUE"""),43404.783020856485)</f>
        <v>43404.78302</v>
      </c>
      <c r="B3303" t="s">
        <v>40</v>
      </c>
    </row>
    <row r="3304">
      <c r="A3304" s="32">
        <f>IFERROR(__xludf.DUMMYFUNCTION("""COMPUTED_VALUE"""),43404.7844778125)</f>
        <v>43404.78448</v>
      </c>
      <c r="B3304" t="s">
        <v>80</v>
      </c>
    </row>
    <row r="3305">
      <c r="A3305" s="32">
        <f>IFERROR(__xludf.DUMMYFUNCTION("""COMPUTED_VALUE"""),43404.786710370376)</f>
        <v>43404.78671</v>
      </c>
      <c r="B3305" t="s">
        <v>80</v>
      </c>
    </row>
    <row r="3306">
      <c r="A3306" s="32">
        <f>IFERROR(__xludf.DUMMYFUNCTION("""COMPUTED_VALUE"""),43404.787698182874)</f>
        <v>43404.7877</v>
      </c>
      <c r="B3306" t="s">
        <v>36</v>
      </c>
    </row>
    <row r="3307">
      <c r="A3307" s="32">
        <f>IFERROR(__xludf.DUMMYFUNCTION("""COMPUTED_VALUE"""),43404.788328229166)</f>
        <v>43404.78833</v>
      </c>
      <c r="B3307" t="s">
        <v>80</v>
      </c>
    </row>
    <row r="3308">
      <c r="A3308" s="32">
        <f>IFERROR(__xludf.DUMMYFUNCTION("""COMPUTED_VALUE"""),43404.790521863426)</f>
        <v>43404.79052</v>
      </c>
      <c r="B3308" t="s">
        <v>80</v>
      </c>
    </row>
    <row r="3309">
      <c r="A3309" s="32">
        <f>IFERROR(__xludf.DUMMYFUNCTION("""COMPUTED_VALUE"""),43404.790844953706)</f>
        <v>43404.79084</v>
      </c>
      <c r="B3309" t="s">
        <v>45</v>
      </c>
    </row>
    <row r="3310">
      <c r="A3310" s="32">
        <f>IFERROR(__xludf.DUMMYFUNCTION("""COMPUTED_VALUE"""),43404.79155234953)</f>
        <v>43404.79155</v>
      </c>
      <c r="B3310" t="s">
        <v>268</v>
      </c>
    </row>
    <row r="3311">
      <c r="A3311" s="32">
        <f>IFERROR(__xludf.DUMMYFUNCTION("""COMPUTED_VALUE"""),43404.79257372685)</f>
        <v>43404.79257</v>
      </c>
      <c r="B3311" t="s">
        <v>80</v>
      </c>
    </row>
    <row r="3312">
      <c r="A3312" s="32">
        <f>IFERROR(__xludf.DUMMYFUNCTION("""COMPUTED_VALUE"""),43404.79285104167)</f>
        <v>43404.79285</v>
      </c>
      <c r="B3312" t="s">
        <v>80</v>
      </c>
    </row>
    <row r="3313">
      <c r="A3313" s="32">
        <f>IFERROR(__xludf.DUMMYFUNCTION("""COMPUTED_VALUE"""),43404.79388002315)</f>
        <v>43404.79388</v>
      </c>
      <c r="B3313" t="s">
        <v>45</v>
      </c>
    </row>
    <row r="3314">
      <c r="A3314" s="32">
        <f>IFERROR(__xludf.DUMMYFUNCTION("""COMPUTED_VALUE"""),43404.794596921296)</f>
        <v>43404.7946</v>
      </c>
      <c r="B3314" t="s">
        <v>548</v>
      </c>
    </row>
    <row r="3315">
      <c r="A3315" s="32">
        <f>IFERROR(__xludf.DUMMYFUNCTION("""COMPUTED_VALUE"""),43404.796647546296)</f>
        <v>43404.79665</v>
      </c>
      <c r="B3315" t="s">
        <v>33</v>
      </c>
    </row>
    <row r="3316">
      <c r="A3316" s="32">
        <f>IFERROR(__xludf.DUMMYFUNCTION("""COMPUTED_VALUE"""),43404.79726849537)</f>
        <v>43404.79727</v>
      </c>
      <c r="B3316" t="s">
        <v>2781</v>
      </c>
    </row>
    <row r="3317">
      <c r="A3317" s="32">
        <f>IFERROR(__xludf.DUMMYFUNCTION("""COMPUTED_VALUE"""),43404.799815833336)</f>
        <v>43404.79982</v>
      </c>
      <c r="B3317" t="s">
        <v>2204</v>
      </c>
    </row>
    <row r="3318">
      <c r="A3318" s="32">
        <f>IFERROR(__xludf.DUMMYFUNCTION("""COMPUTED_VALUE"""),43404.800667083335)</f>
        <v>43404.80067</v>
      </c>
      <c r="B3318" t="s">
        <v>80</v>
      </c>
    </row>
    <row r="3319">
      <c r="A3319" s="32">
        <f>IFERROR(__xludf.DUMMYFUNCTION("""COMPUTED_VALUE"""),43404.80074715278)</f>
        <v>43404.80075</v>
      </c>
      <c r="B3319" t="s">
        <v>2782</v>
      </c>
    </row>
    <row r="3320">
      <c r="A3320" s="32">
        <f>IFERROR(__xludf.DUMMYFUNCTION("""COMPUTED_VALUE"""),43404.80138535879)</f>
        <v>43404.80139</v>
      </c>
      <c r="B3320" t="s">
        <v>268</v>
      </c>
    </row>
    <row r="3321">
      <c r="A3321" s="32">
        <f>IFERROR(__xludf.DUMMYFUNCTION("""COMPUTED_VALUE"""),43404.80229784722)</f>
        <v>43404.8023</v>
      </c>
      <c r="B3321" t="s">
        <v>2783</v>
      </c>
    </row>
    <row r="3322">
      <c r="A3322" s="32">
        <f>IFERROR(__xludf.DUMMYFUNCTION("""COMPUTED_VALUE"""),43404.804703726855)</f>
        <v>43404.8047</v>
      </c>
      <c r="B3322" t="s">
        <v>95</v>
      </c>
    </row>
    <row r="3323">
      <c r="A3323" s="32">
        <f>IFERROR(__xludf.DUMMYFUNCTION("""COMPUTED_VALUE"""),43404.80506047454)</f>
        <v>43404.80506</v>
      </c>
      <c r="B3323" t="s">
        <v>48</v>
      </c>
    </row>
    <row r="3324">
      <c r="A3324" s="32">
        <f>IFERROR(__xludf.DUMMYFUNCTION("""COMPUTED_VALUE"""),43404.80540414352)</f>
        <v>43404.8054</v>
      </c>
      <c r="B3324" t="s">
        <v>371</v>
      </c>
    </row>
    <row r="3325">
      <c r="A3325" s="32">
        <f>IFERROR(__xludf.DUMMYFUNCTION("""COMPUTED_VALUE"""),43404.80795094908)</f>
        <v>43404.80795</v>
      </c>
      <c r="B3325" t="s">
        <v>80</v>
      </c>
    </row>
    <row r="3326">
      <c r="A3326" s="32">
        <f>IFERROR(__xludf.DUMMYFUNCTION("""COMPUTED_VALUE"""),43404.808036435184)</f>
        <v>43404.80804</v>
      </c>
      <c r="B3326" t="s">
        <v>2207</v>
      </c>
    </row>
    <row r="3327">
      <c r="A3327" s="32">
        <f>IFERROR(__xludf.DUMMYFUNCTION("""COMPUTED_VALUE"""),43404.8085077662)</f>
        <v>43404.80851</v>
      </c>
      <c r="B3327" t="s">
        <v>157</v>
      </c>
    </row>
    <row r="3328">
      <c r="A3328" s="32">
        <f>IFERROR(__xludf.DUMMYFUNCTION("""COMPUTED_VALUE"""),43404.80908961805)</f>
        <v>43404.80909</v>
      </c>
      <c r="B3328" t="s">
        <v>48</v>
      </c>
    </row>
    <row r="3329">
      <c r="A3329" s="32">
        <f>IFERROR(__xludf.DUMMYFUNCTION("""COMPUTED_VALUE"""),43404.80923302083)</f>
        <v>43404.80923</v>
      </c>
      <c r="B3329" t="s">
        <v>1610</v>
      </c>
    </row>
    <row r="3330">
      <c r="A3330" s="32">
        <f>IFERROR(__xludf.DUMMYFUNCTION("""COMPUTED_VALUE"""),43404.81235606482)</f>
        <v>43404.81236</v>
      </c>
      <c r="B3330" t="s">
        <v>1769</v>
      </c>
    </row>
    <row r="3331">
      <c r="A3331" s="32">
        <f>IFERROR(__xludf.DUMMYFUNCTION("""COMPUTED_VALUE"""),43404.81262626157)</f>
        <v>43404.81263</v>
      </c>
      <c r="B3331" t="s">
        <v>2211</v>
      </c>
    </row>
    <row r="3332">
      <c r="A3332" s="32">
        <f>IFERROR(__xludf.DUMMYFUNCTION("""COMPUTED_VALUE"""),43404.814512557874)</f>
        <v>43404.81451</v>
      </c>
      <c r="B3332" t="s">
        <v>48</v>
      </c>
    </row>
    <row r="3333">
      <c r="A3333" s="32">
        <f>IFERROR(__xludf.DUMMYFUNCTION("""COMPUTED_VALUE"""),43404.81628237269)</f>
        <v>43404.81628</v>
      </c>
      <c r="B3333" t="s">
        <v>80</v>
      </c>
    </row>
    <row r="3334">
      <c r="A3334" s="32">
        <f>IFERROR(__xludf.DUMMYFUNCTION("""COMPUTED_VALUE"""),43404.81660605324)</f>
        <v>43404.81661</v>
      </c>
      <c r="B3334" t="s">
        <v>45</v>
      </c>
    </row>
    <row r="3335">
      <c r="A3335" s="32">
        <f>IFERROR(__xludf.DUMMYFUNCTION("""COMPUTED_VALUE"""),43404.816984895835)</f>
        <v>43404.81698</v>
      </c>
      <c r="B3335" t="s">
        <v>25</v>
      </c>
    </row>
    <row r="3336">
      <c r="A3336" s="32">
        <f>IFERROR(__xludf.DUMMYFUNCTION("""COMPUTED_VALUE"""),43404.82128885417)</f>
        <v>43404.82129</v>
      </c>
      <c r="B3336" t="s">
        <v>45</v>
      </c>
    </row>
    <row r="3337">
      <c r="A3337" s="32">
        <f>IFERROR(__xludf.DUMMYFUNCTION("""COMPUTED_VALUE"""),43404.821314155095)</f>
        <v>43404.82131</v>
      </c>
      <c r="B3337" t="s">
        <v>40</v>
      </c>
    </row>
    <row r="3338">
      <c r="A3338" s="32">
        <f>IFERROR(__xludf.DUMMYFUNCTION("""COMPUTED_VALUE"""),43404.82187817129)</f>
        <v>43404.82188</v>
      </c>
      <c r="B3338" t="s">
        <v>40</v>
      </c>
    </row>
    <row r="3339">
      <c r="A3339" s="32">
        <f>IFERROR(__xludf.DUMMYFUNCTION("""COMPUTED_VALUE"""),43404.82214956019)</f>
        <v>43404.82215</v>
      </c>
      <c r="B3339" t="s">
        <v>350</v>
      </c>
    </row>
    <row r="3340">
      <c r="A3340" s="32">
        <f>IFERROR(__xludf.DUMMYFUNCTION("""COMPUTED_VALUE"""),43404.82340436343)</f>
        <v>43404.8234</v>
      </c>
      <c r="B3340" t="s">
        <v>80</v>
      </c>
    </row>
    <row r="3341">
      <c r="A3341" s="32">
        <f>IFERROR(__xludf.DUMMYFUNCTION("""COMPUTED_VALUE"""),43404.828150347224)</f>
        <v>43404.82815</v>
      </c>
      <c r="B3341" t="s">
        <v>45</v>
      </c>
    </row>
    <row r="3342">
      <c r="A3342" s="32">
        <f>IFERROR(__xludf.DUMMYFUNCTION("""COMPUTED_VALUE"""),43404.828150347224)</f>
        <v>43404.82815</v>
      </c>
      <c r="B3342" t="s">
        <v>45</v>
      </c>
    </row>
    <row r="3343">
      <c r="A3343" s="32">
        <f>IFERROR(__xludf.DUMMYFUNCTION("""COMPUTED_VALUE"""),43404.83116402778)</f>
        <v>43404.83116</v>
      </c>
      <c r="B3343" t="s">
        <v>80</v>
      </c>
    </row>
    <row r="3344">
      <c r="A3344" s="32">
        <f>IFERROR(__xludf.DUMMYFUNCTION("""COMPUTED_VALUE"""),43404.83149298611)</f>
        <v>43404.83149</v>
      </c>
      <c r="B3344" t="s">
        <v>33</v>
      </c>
    </row>
    <row r="3345">
      <c r="A3345" s="32">
        <f>IFERROR(__xludf.DUMMYFUNCTION("""COMPUTED_VALUE"""),43404.831675208334)</f>
        <v>43404.83168</v>
      </c>
      <c r="B3345" t="s">
        <v>2738</v>
      </c>
    </row>
    <row r="3346">
      <c r="A3346" s="32">
        <f>IFERROR(__xludf.DUMMYFUNCTION("""COMPUTED_VALUE"""),43404.8317016088)</f>
        <v>43404.8317</v>
      </c>
      <c r="B3346" t="s">
        <v>2214</v>
      </c>
    </row>
    <row r="3347">
      <c r="A3347" s="32">
        <f>IFERROR(__xludf.DUMMYFUNCTION("""COMPUTED_VALUE"""),43404.831799155094)</f>
        <v>43404.8318</v>
      </c>
      <c r="B3347" t="s">
        <v>2215</v>
      </c>
    </row>
    <row r="3348">
      <c r="A3348" s="32">
        <f>IFERROR(__xludf.DUMMYFUNCTION("""COMPUTED_VALUE"""),43404.83204758102)</f>
        <v>43404.83205</v>
      </c>
      <c r="B3348" t="s">
        <v>2218</v>
      </c>
    </row>
    <row r="3349">
      <c r="A3349" s="32">
        <f>IFERROR(__xludf.DUMMYFUNCTION("""COMPUTED_VALUE"""),43404.83604711806)</f>
        <v>43404.83605</v>
      </c>
      <c r="B3349" t="s">
        <v>45</v>
      </c>
    </row>
    <row r="3350">
      <c r="A3350" s="32">
        <f>IFERROR(__xludf.DUMMYFUNCTION("""COMPUTED_VALUE"""),43404.83803054398)</f>
        <v>43404.83803</v>
      </c>
      <c r="B3350" t="s">
        <v>48</v>
      </c>
    </row>
    <row r="3351">
      <c r="A3351" s="32">
        <f>IFERROR(__xludf.DUMMYFUNCTION("""COMPUTED_VALUE"""),43404.839108622684)</f>
        <v>43404.83911</v>
      </c>
      <c r="B3351" t="s">
        <v>268</v>
      </c>
    </row>
    <row r="3352">
      <c r="A3352" s="32">
        <f>IFERROR(__xludf.DUMMYFUNCTION("""COMPUTED_VALUE"""),43404.84015866898)</f>
        <v>43404.84016</v>
      </c>
      <c r="B3352" t="s">
        <v>33</v>
      </c>
    </row>
    <row r="3353">
      <c r="A3353" s="32">
        <f>IFERROR(__xludf.DUMMYFUNCTION("""COMPUTED_VALUE"""),43404.8410930324)</f>
        <v>43404.84109</v>
      </c>
      <c r="B3353" t="s">
        <v>48</v>
      </c>
    </row>
    <row r="3354">
      <c r="A3354" s="32">
        <f>IFERROR(__xludf.DUMMYFUNCTION("""COMPUTED_VALUE"""),43404.84201399305)</f>
        <v>43404.84201</v>
      </c>
      <c r="B3354" t="s">
        <v>350</v>
      </c>
    </row>
    <row r="3355">
      <c r="A3355" s="32">
        <f>IFERROR(__xludf.DUMMYFUNCTION("""COMPUTED_VALUE"""),43404.842519467595)</f>
        <v>43404.84252</v>
      </c>
      <c r="B3355" t="s">
        <v>2784</v>
      </c>
    </row>
    <row r="3356">
      <c r="A3356" s="32">
        <f>IFERROR(__xludf.DUMMYFUNCTION("""COMPUTED_VALUE"""),43404.84290949074)</f>
        <v>43404.84291</v>
      </c>
      <c r="B3356" t="s">
        <v>80</v>
      </c>
    </row>
    <row r="3357">
      <c r="A3357" s="32">
        <f>IFERROR(__xludf.DUMMYFUNCTION("""COMPUTED_VALUE"""),43404.84394585648)</f>
        <v>43404.84395</v>
      </c>
      <c r="B3357" t="s">
        <v>2785</v>
      </c>
    </row>
    <row r="3358">
      <c r="A3358" s="32">
        <f>IFERROR(__xludf.DUMMYFUNCTION("""COMPUTED_VALUE"""),43404.84522501157)</f>
        <v>43404.84523</v>
      </c>
      <c r="B3358" t="s">
        <v>813</v>
      </c>
    </row>
    <row r="3359">
      <c r="A3359" s="32">
        <f>IFERROR(__xludf.DUMMYFUNCTION("""COMPUTED_VALUE"""),43404.84707467593)</f>
        <v>43404.84707</v>
      </c>
      <c r="B3359" t="s">
        <v>40</v>
      </c>
    </row>
    <row r="3360">
      <c r="A3360" s="32">
        <f>IFERROR(__xludf.DUMMYFUNCTION("""COMPUTED_VALUE"""),43404.8486628588)</f>
        <v>43404.84866</v>
      </c>
      <c r="B3360" t="s">
        <v>48</v>
      </c>
    </row>
    <row r="3361">
      <c r="A3361" s="32">
        <f>IFERROR(__xludf.DUMMYFUNCTION("""COMPUTED_VALUE"""),43404.85080587963)</f>
        <v>43404.85081</v>
      </c>
      <c r="B3361" t="s">
        <v>263</v>
      </c>
    </row>
    <row r="3362">
      <c r="A3362" s="32">
        <f>IFERROR(__xludf.DUMMYFUNCTION("""COMPUTED_VALUE"""),43404.85224523148)</f>
        <v>43404.85225</v>
      </c>
      <c r="B3362" t="s">
        <v>142</v>
      </c>
    </row>
    <row r="3363">
      <c r="A3363" s="32">
        <f>IFERROR(__xludf.DUMMYFUNCTION("""COMPUTED_VALUE"""),43404.853204479165)</f>
        <v>43404.8532</v>
      </c>
      <c r="B3363" t="s">
        <v>80</v>
      </c>
    </row>
    <row r="3364">
      <c r="A3364" s="32">
        <f>IFERROR(__xludf.DUMMYFUNCTION("""COMPUTED_VALUE"""),43404.854530717595)</f>
        <v>43404.85453</v>
      </c>
      <c r="B3364" t="s">
        <v>40</v>
      </c>
    </row>
    <row r="3365">
      <c r="A3365" s="32">
        <f>IFERROR(__xludf.DUMMYFUNCTION("""COMPUTED_VALUE"""),43404.858245069445)</f>
        <v>43404.85825</v>
      </c>
      <c r="B3365" t="s">
        <v>80</v>
      </c>
    </row>
    <row r="3366">
      <c r="A3366" s="32">
        <f>IFERROR(__xludf.DUMMYFUNCTION("""COMPUTED_VALUE"""),43404.861654085646)</f>
        <v>43404.86165</v>
      </c>
      <c r="B3366" t="s">
        <v>40</v>
      </c>
    </row>
    <row r="3367">
      <c r="A3367" s="32">
        <f>IFERROR(__xludf.DUMMYFUNCTION("""COMPUTED_VALUE"""),43404.8635403125)</f>
        <v>43404.86354</v>
      </c>
      <c r="B3367" t="s">
        <v>95</v>
      </c>
    </row>
    <row r="3368">
      <c r="A3368" s="32">
        <f>IFERROR(__xludf.DUMMYFUNCTION("""COMPUTED_VALUE"""),43404.865996458335)</f>
        <v>43404.866</v>
      </c>
      <c r="B3368" t="s">
        <v>2233</v>
      </c>
    </row>
    <row r="3369">
      <c r="A3369" s="32">
        <f>IFERROR(__xludf.DUMMYFUNCTION("""COMPUTED_VALUE"""),43404.86772797453)</f>
        <v>43404.86773</v>
      </c>
      <c r="B3369" t="s">
        <v>2235</v>
      </c>
    </row>
    <row r="3370">
      <c r="A3370" s="32">
        <f>IFERROR(__xludf.DUMMYFUNCTION("""COMPUTED_VALUE"""),43404.86997748843)</f>
        <v>43404.86998</v>
      </c>
      <c r="B3370" t="s">
        <v>2236</v>
      </c>
    </row>
    <row r="3371">
      <c r="A3371" s="32">
        <f>IFERROR(__xludf.DUMMYFUNCTION("""COMPUTED_VALUE"""),43404.87047489583)</f>
        <v>43404.87047</v>
      </c>
      <c r="B3371" t="s">
        <v>2237</v>
      </c>
    </row>
    <row r="3372">
      <c r="A3372" s="32">
        <f>IFERROR(__xludf.DUMMYFUNCTION("""COMPUTED_VALUE"""),43404.872045358796)</f>
        <v>43404.87205</v>
      </c>
      <c r="B3372" t="s">
        <v>880</v>
      </c>
    </row>
    <row r="3373">
      <c r="A3373" s="32">
        <f>IFERROR(__xludf.DUMMYFUNCTION("""COMPUTED_VALUE"""),43404.872860104166)</f>
        <v>43404.87286</v>
      </c>
      <c r="B3373" t="s">
        <v>2238</v>
      </c>
    </row>
    <row r="3374">
      <c r="A3374" s="32">
        <f>IFERROR(__xludf.DUMMYFUNCTION("""COMPUTED_VALUE"""),43404.87352606481)</f>
        <v>43404.87353</v>
      </c>
      <c r="B3374" t="s">
        <v>80</v>
      </c>
    </row>
    <row r="3375">
      <c r="A3375" s="32">
        <f>IFERROR(__xludf.DUMMYFUNCTION("""COMPUTED_VALUE"""),43404.873983171296)</f>
        <v>43404.87398</v>
      </c>
      <c r="B3375" t="s">
        <v>2241</v>
      </c>
    </row>
    <row r="3376">
      <c r="A3376" s="32">
        <f>IFERROR(__xludf.DUMMYFUNCTION("""COMPUTED_VALUE"""),43404.87717695602)</f>
        <v>43404.87718</v>
      </c>
      <c r="B3376" t="s">
        <v>880</v>
      </c>
    </row>
    <row r="3377">
      <c r="A3377" s="32">
        <f>IFERROR(__xludf.DUMMYFUNCTION("""COMPUTED_VALUE"""),43404.88001518519)</f>
        <v>43404.88002</v>
      </c>
      <c r="B3377" t="s">
        <v>2675</v>
      </c>
    </row>
    <row r="3378">
      <c r="A3378" s="32">
        <f>IFERROR(__xludf.DUMMYFUNCTION("""COMPUTED_VALUE"""),43404.88077826389)</f>
        <v>43404.88078</v>
      </c>
      <c r="B3378" t="s">
        <v>119</v>
      </c>
    </row>
    <row r="3379">
      <c r="A3379" s="32">
        <f>IFERROR(__xludf.DUMMYFUNCTION("""COMPUTED_VALUE"""),43404.88340571759)</f>
        <v>43404.88341</v>
      </c>
      <c r="B3379" t="s">
        <v>371</v>
      </c>
    </row>
    <row r="3380">
      <c r="A3380" s="32">
        <f>IFERROR(__xludf.DUMMYFUNCTION("""COMPUTED_VALUE"""),43404.88505135417)</f>
        <v>43404.88505</v>
      </c>
      <c r="B3380" t="s">
        <v>33</v>
      </c>
    </row>
    <row r="3381">
      <c r="A3381" s="32">
        <f>IFERROR(__xludf.DUMMYFUNCTION("""COMPUTED_VALUE"""),43404.88719461806)</f>
        <v>43404.88719</v>
      </c>
      <c r="B3381" t="s">
        <v>371</v>
      </c>
    </row>
    <row r="3382">
      <c r="A3382" s="32">
        <f>IFERROR(__xludf.DUMMYFUNCTION("""COMPUTED_VALUE"""),43404.88914134259)</f>
        <v>43404.88914</v>
      </c>
      <c r="B3382" t="s">
        <v>2786</v>
      </c>
    </row>
    <row r="3383">
      <c r="A3383" s="32">
        <f>IFERROR(__xludf.DUMMYFUNCTION("""COMPUTED_VALUE"""),43404.89176841435)</f>
        <v>43404.89177</v>
      </c>
      <c r="B3383" t="s">
        <v>33</v>
      </c>
    </row>
    <row r="3384">
      <c r="A3384" s="32">
        <f>IFERROR(__xludf.DUMMYFUNCTION("""COMPUTED_VALUE"""),43404.89282706019)</f>
        <v>43404.89283</v>
      </c>
      <c r="B3384" t="s">
        <v>548</v>
      </c>
    </row>
    <row r="3385">
      <c r="A3385" s="32">
        <f>IFERROR(__xludf.DUMMYFUNCTION("""COMPUTED_VALUE"""),43404.89527664352)</f>
        <v>43404.89528</v>
      </c>
      <c r="B3385" t="s">
        <v>350</v>
      </c>
    </row>
    <row r="3386">
      <c r="A3386" s="32">
        <f>IFERROR(__xludf.DUMMYFUNCTION("""COMPUTED_VALUE"""),43404.89681994213)</f>
        <v>43404.89682</v>
      </c>
      <c r="B3386" t="s">
        <v>36</v>
      </c>
    </row>
    <row r="3387">
      <c r="A3387" s="32">
        <f>IFERROR(__xludf.DUMMYFUNCTION("""COMPUTED_VALUE"""),43404.89873539352)</f>
        <v>43404.89874</v>
      </c>
      <c r="B3387" t="s">
        <v>33</v>
      </c>
    </row>
    <row r="3388">
      <c r="A3388" s="32">
        <f>IFERROR(__xludf.DUMMYFUNCTION("""COMPUTED_VALUE"""),43404.90346295139)</f>
        <v>43404.90346</v>
      </c>
      <c r="B3388" t="s">
        <v>1636</v>
      </c>
    </row>
    <row r="3389">
      <c r="A3389" s="32">
        <f>IFERROR(__xludf.DUMMYFUNCTION("""COMPUTED_VALUE"""),43404.90416747685)</f>
        <v>43404.90417</v>
      </c>
      <c r="B3389" t="s">
        <v>80</v>
      </c>
    </row>
    <row r="3390">
      <c r="A3390" s="32">
        <f>IFERROR(__xludf.DUMMYFUNCTION("""COMPUTED_VALUE"""),43404.90562931713)</f>
        <v>43404.90563</v>
      </c>
      <c r="B3390" t="s">
        <v>80</v>
      </c>
    </row>
    <row r="3391">
      <c r="A3391" s="32">
        <f>IFERROR(__xludf.DUMMYFUNCTION("""COMPUTED_VALUE"""),43404.90781069444)</f>
        <v>43404.90781</v>
      </c>
      <c r="B3391" t="s">
        <v>48</v>
      </c>
    </row>
    <row r="3392">
      <c r="A3392" s="32">
        <f>IFERROR(__xludf.DUMMYFUNCTION("""COMPUTED_VALUE"""),43404.90856253472)</f>
        <v>43404.90856</v>
      </c>
      <c r="B3392" t="s">
        <v>40</v>
      </c>
    </row>
    <row r="3393">
      <c r="A3393" s="32">
        <f>IFERROR(__xludf.DUMMYFUNCTION("""COMPUTED_VALUE"""),43404.90865884259)</f>
        <v>43404.90866</v>
      </c>
      <c r="B3393" t="s">
        <v>80</v>
      </c>
    </row>
    <row r="3394">
      <c r="A3394" s="32">
        <f>IFERROR(__xludf.DUMMYFUNCTION("""COMPUTED_VALUE"""),43404.90950460648)</f>
        <v>43404.9095</v>
      </c>
      <c r="B3394" t="s">
        <v>80</v>
      </c>
    </row>
    <row r="3395">
      <c r="A3395" s="32">
        <f>IFERROR(__xludf.DUMMYFUNCTION("""COMPUTED_VALUE"""),43404.9122115625)</f>
        <v>43404.91221</v>
      </c>
      <c r="B3395" t="s">
        <v>80</v>
      </c>
    </row>
    <row r="3396">
      <c r="A3396" s="32">
        <f>IFERROR(__xludf.DUMMYFUNCTION("""COMPUTED_VALUE"""),43404.914071990745)</f>
        <v>43404.91407</v>
      </c>
      <c r="B3396" t="s">
        <v>350</v>
      </c>
    </row>
    <row r="3397">
      <c r="A3397" s="32">
        <f>IFERROR(__xludf.DUMMYFUNCTION("""COMPUTED_VALUE"""),43404.91533299768)</f>
        <v>43404.91533</v>
      </c>
      <c r="B3397" t="s">
        <v>2787</v>
      </c>
    </row>
    <row r="3398">
      <c r="A3398" s="32">
        <f>IFERROR(__xludf.DUMMYFUNCTION("""COMPUTED_VALUE"""),43404.91574148148)</f>
        <v>43404.91574</v>
      </c>
      <c r="B3398" t="s">
        <v>33</v>
      </c>
    </row>
    <row r="3399">
      <c r="A3399" s="32">
        <f>IFERROR(__xludf.DUMMYFUNCTION("""COMPUTED_VALUE"""),43404.916805347224)</f>
        <v>43404.91681</v>
      </c>
      <c r="B3399" t="s">
        <v>119</v>
      </c>
    </row>
    <row r="3400">
      <c r="A3400" s="32">
        <f>IFERROR(__xludf.DUMMYFUNCTION("""COMPUTED_VALUE"""),43404.91942664352)</f>
        <v>43404.91943</v>
      </c>
      <c r="B3400" t="s">
        <v>80</v>
      </c>
    </row>
    <row r="3401">
      <c r="A3401" s="32">
        <f>IFERROR(__xludf.DUMMYFUNCTION("""COMPUTED_VALUE"""),43404.92059533564)</f>
        <v>43404.9206</v>
      </c>
      <c r="B3401" t="s">
        <v>33</v>
      </c>
    </row>
    <row r="3402">
      <c r="A3402" s="32">
        <f>IFERROR(__xludf.DUMMYFUNCTION("""COMPUTED_VALUE"""),43404.92078247685)</f>
        <v>43404.92078</v>
      </c>
      <c r="B3402" t="s">
        <v>2249</v>
      </c>
    </row>
    <row r="3403">
      <c r="A3403" s="32">
        <f>IFERROR(__xludf.DUMMYFUNCTION("""COMPUTED_VALUE"""),43404.9211112037)</f>
        <v>43404.92111</v>
      </c>
      <c r="B3403" t="s">
        <v>33</v>
      </c>
    </row>
    <row r="3404">
      <c r="A3404" s="32">
        <f>IFERROR(__xludf.DUMMYFUNCTION("""COMPUTED_VALUE"""),43404.92243361111)</f>
        <v>43404.92243</v>
      </c>
      <c r="B3404" t="s">
        <v>256</v>
      </c>
    </row>
    <row r="3405">
      <c r="A3405" s="32">
        <f>IFERROR(__xludf.DUMMYFUNCTION("""COMPUTED_VALUE"""),43404.92259158565)</f>
        <v>43404.92259</v>
      </c>
      <c r="B3405" t="s">
        <v>2788</v>
      </c>
    </row>
    <row r="3406">
      <c r="A3406" s="32">
        <f>IFERROR(__xludf.DUMMYFUNCTION("""COMPUTED_VALUE"""),43404.92423909722)</f>
        <v>43404.92424</v>
      </c>
      <c r="B3406" t="s">
        <v>33</v>
      </c>
    </row>
    <row r="3407">
      <c r="A3407" s="32">
        <f>IFERROR(__xludf.DUMMYFUNCTION("""COMPUTED_VALUE"""),43404.92681517361)</f>
        <v>43404.92682</v>
      </c>
      <c r="B3407" t="s">
        <v>80</v>
      </c>
    </row>
    <row r="3408">
      <c r="A3408" s="32">
        <f>IFERROR(__xludf.DUMMYFUNCTION("""COMPUTED_VALUE"""),43404.928791620376)</f>
        <v>43404.92879</v>
      </c>
      <c r="B3408" t="s">
        <v>2253</v>
      </c>
    </row>
    <row r="3409">
      <c r="A3409" s="32">
        <f>IFERROR(__xludf.DUMMYFUNCTION("""COMPUTED_VALUE"""),43404.9295355787)</f>
        <v>43404.92954</v>
      </c>
      <c r="B3409" t="s">
        <v>124</v>
      </c>
    </row>
    <row r="3410">
      <c r="A3410" s="32">
        <f>IFERROR(__xludf.DUMMYFUNCTION("""COMPUTED_VALUE"""),43404.93024444445)</f>
        <v>43404.93024</v>
      </c>
      <c r="B3410" t="s">
        <v>256</v>
      </c>
    </row>
    <row r="3411">
      <c r="A3411" s="32">
        <f>IFERROR(__xludf.DUMMYFUNCTION("""COMPUTED_VALUE"""),43404.93436501158)</f>
        <v>43404.93437</v>
      </c>
      <c r="B3411" t="s">
        <v>33</v>
      </c>
    </row>
    <row r="3412">
      <c r="A3412" s="32">
        <f>IFERROR(__xludf.DUMMYFUNCTION("""COMPUTED_VALUE"""),43404.93828633102)</f>
        <v>43404.93829</v>
      </c>
      <c r="B3412" t="s">
        <v>122</v>
      </c>
    </row>
    <row r="3413">
      <c r="A3413" s="32">
        <f>IFERROR(__xludf.DUMMYFUNCTION("""COMPUTED_VALUE"""),43404.93979237269)</f>
        <v>43404.93979</v>
      </c>
      <c r="B3413" t="s">
        <v>80</v>
      </c>
    </row>
    <row r="3414">
      <c r="A3414" s="32">
        <f>IFERROR(__xludf.DUMMYFUNCTION("""COMPUTED_VALUE"""),43404.94018017361)</f>
        <v>43404.94018</v>
      </c>
      <c r="B3414" t="s">
        <v>33</v>
      </c>
    </row>
    <row r="3415">
      <c r="A3415" s="32">
        <f>IFERROR(__xludf.DUMMYFUNCTION("""COMPUTED_VALUE"""),43404.94403270833)</f>
        <v>43404.94403</v>
      </c>
      <c r="B3415" t="s">
        <v>2254</v>
      </c>
    </row>
    <row r="3416">
      <c r="A3416" s="32">
        <f>IFERROR(__xludf.DUMMYFUNCTION("""COMPUTED_VALUE"""),43404.946992453704)</f>
        <v>43404.94699</v>
      </c>
      <c r="B3416" t="s">
        <v>2255</v>
      </c>
    </row>
    <row r="3417">
      <c r="A3417" s="32">
        <f>IFERROR(__xludf.DUMMYFUNCTION("""COMPUTED_VALUE"""),43404.947898935185)</f>
        <v>43404.9479</v>
      </c>
      <c r="B3417" t="s">
        <v>2256</v>
      </c>
    </row>
    <row r="3418">
      <c r="A3418" s="32">
        <f>IFERROR(__xludf.DUMMYFUNCTION("""COMPUTED_VALUE"""),43404.94932550926)</f>
        <v>43404.94933</v>
      </c>
      <c r="B3418" t="s">
        <v>80</v>
      </c>
    </row>
    <row r="3419">
      <c r="A3419" s="32">
        <f>IFERROR(__xludf.DUMMYFUNCTION("""COMPUTED_VALUE"""),43404.9502115625)</f>
        <v>43404.95021</v>
      </c>
      <c r="B3419" t="s">
        <v>36</v>
      </c>
    </row>
    <row r="3420">
      <c r="A3420" s="32">
        <f>IFERROR(__xludf.DUMMYFUNCTION("""COMPUTED_VALUE"""),43404.95135534722)</f>
        <v>43404.95136</v>
      </c>
      <c r="B3420" t="s">
        <v>80</v>
      </c>
    </row>
    <row r="3421">
      <c r="A3421" s="32">
        <f>IFERROR(__xludf.DUMMYFUNCTION("""COMPUTED_VALUE"""),43404.952135590276)</f>
        <v>43404.95214</v>
      </c>
      <c r="B3421" t="s">
        <v>40</v>
      </c>
    </row>
    <row r="3422">
      <c r="A3422" s="32">
        <f>IFERROR(__xludf.DUMMYFUNCTION("""COMPUTED_VALUE"""),43404.95266988426)</f>
        <v>43404.95267</v>
      </c>
      <c r="B3422" t="s">
        <v>371</v>
      </c>
    </row>
    <row r="3423">
      <c r="A3423" s="32">
        <f>IFERROR(__xludf.DUMMYFUNCTION("""COMPUTED_VALUE"""),43404.9529522338)</f>
        <v>43404.95295</v>
      </c>
      <c r="B3423" t="s">
        <v>80</v>
      </c>
    </row>
    <row r="3424">
      <c r="A3424" s="32">
        <f>IFERROR(__xludf.DUMMYFUNCTION("""COMPUTED_VALUE"""),43404.95476313657)</f>
        <v>43404.95476</v>
      </c>
      <c r="B3424" t="s">
        <v>188</v>
      </c>
    </row>
    <row r="3425">
      <c r="A3425" s="32">
        <f>IFERROR(__xludf.DUMMYFUNCTION("""COMPUTED_VALUE"""),43404.956740891204)</f>
        <v>43404.95674</v>
      </c>
      <c r="B3425" t="s">
        <v>80</v>
      </c>
    </row>
    <row r="3426">
      <c r="A3426" s="32">
        <f>IFERROR(__xludf.DUMMYFUNCTION("""COMPUTED_VALUE"""),43404.9610516088)</f>
        <v>43404.96105</v>
      </c>
      <c r="B3426" t="s">
        <v>548</v>
      </c>
    </row>
    <row r="3427">
      <c r="A3427" s="32">
        <f>IFERROR(__xludf.DUMMYFUNCTION("""COMPUTED_VALUE"""),43404.96645934028)</f>
        <v>43404.96646</v>
      </c>
      <c r="B3427" t="s">
        <v>80</v>
      </c>
    </row>
    <row r="3428">
      <c r="A3428" s="32">
        <f>IFERROR(__xludf.DUMMYFUNCTION("""COMPUTED_VALUE"""),43404.96686375)</f>
        <v>43404.96686</v>
      </c>
      <c r="B3428" t="s">
        <v>2262</v>
      </c>
    </row>
    <row r="3429">
      <c r="A3429" s="32">
        <f>IFERROR(__xludf.DUMMYFUNCTION("""COMPUTED_VALUE"""),43404.968214305554)</f>
        <v>43404.96821</v>
      </c>
      <c r="B3429" t="s">
        <v>80</v>
      </c>
    </row>
    <row r="3430">
      <c r="A3430" s="32">
        <f>IFERROR(__xludf.DUMMYFUNCTION("""COMPUTED_VALUE"""),43404.96835009259)</f>
        <v>43404.96835</v>
      </c>
      <c r="B3430" t="s">
        <v>80</v>
      </c>
    </row>
    <row r="3431">
      <c r="A3431" s="32">
        <f>IFERROR(__xludf.DUMMYFUNCTION("""COMPUTED_VALUE"""),43404.97013636574)</f>
        <v>43404.97014</v>
      </c>
      <c r="B3431" t="s">
        <v>426</v>
      </c>
    </row>
    <row r="3432">
      <c r="A3432" s="32">
        <f>IFERROR(__xludf.DUMMYFUNCTION("""COMPUTED_VALUE"""),43404.97265186343)</f>
        <v>43404.97265</v>
      </c>
      <c r="B3432" t="s">
        <v>45</v>
      </c>
    </row>
    <row r="3433">
      <c r="A3433" s="32">
        <f>IFERROR(__xludf.DUMMYFUNCTION("""COMPUTED_VALUE"""),43404.972795231486)</f>
        <v>43404.9728</v>
      </c>
      <c r="B3433" t="s">
        <v>48</v>
      </c>
    </row>
    <row r="3434">
      <c r="A3434" s="32">
        <f>IFERROR(__xludf.DUMMYFUNCTION("""COMPUTED_VALUE"""),43404.972888854165)</f>
        <v>43404.97289</v>
      </c>
      <c r="B3434" t="s">
        <v>1079</v>
      </c>
    </row>
    <row r="3435">
      <c r="A3435" s="32">
        <f>IFERROR(__xludf.DUMMYFUNCTION("""COMPUTED_VALUE"""),43404.97340565972)</f>
        <v>43404.97341</v>
      </c>
      <c r="B3435" t="s">
        <v>48</v>
      </c>
    </row>
    <row r="3436">
      <c r="A3436" s="32">
        <f>IFERROR(__xludf.DUMMYFUNCTION("""COMPUTED_VALUE"""),43404.975684571764)</f>
        <v>43404.97568</v>
      </c>
      <c r="B3436" t="s">
        <v>387</v>
      </c>
    </row>
    <row r="3437">
      <c r="A3437" s="32">
        <f>IFERROR(__xludf.DUMMYFUNCTION("""COMPUTED_VALUE"""),43404.97714105324)</f>
        <v>43404.97714</v>
      </c>
      <c r="B3437" t="s">
        <v>258</v>
      </c>
    </row>
    <row r="3438">
      <c r="A3438" s="32">
        <f>IFERROR(__xludf.DUMMYFUNCTION("""COMPUTED_VALUE"""),43404.98358140046)</f>
        <v>43404.98358</v>
      </c>
      <c r="B3438" t="s">
        <v>33</v>
      </c>
    </row>
    <row r="3439">
      <c r="A3439" s="32">
        <f>IFERROR(__xludf.DUMMYFUNCTION("""COMPUTED_VALUE"""),43404.991081099535)</f>
        <v>43404.99108</v>
      </c>
      <c r="B3439" t="s">
        <v>80</v>
      </c>
    </row>
    <row r="3440">
      <c r="A3440" s="32">
        <f>IFERROR(__xludf.DUMMYFUNCTION("""COMPUTED_VALUE"""),43404.99160100694)</f>
        <v>43404.9916</v>
      </c>
      <c r="B3440" t="s">
        <v>80</v>
      </c>
    </row>
    <row r="3441">
      <c r="A3441" s="32">
        <f>IFERROR(__xludf.DUMMYFUNCTION("""COMPUTED_VALUE"""),43404.99687822917)</f>
        <v>43404.99688</v>
      </c>
      <c r="B3441" t="s">
        <v>48</v>
      </c>
    </row>
    <row r="3442">
      <c r="A3442" s="32">
        <f>IFERROR(__xludf.DUMMYFUNCTION("""COMPUTED_VALUE"""),43404.999436087965)</f>
        <v>43404.99944</v>
      </c>
      <c r="B3442" t="s">
        <v>40</v>
      </c>
    </row>
    <row r="3443">
      <c r="A3443" s="32">
        <f>IFERROR(__xludf.DUMMYFUNCTION("""COMPUTED_VALUE"""),43405.00117888889)</f>
        <v>43405.00118</v>
      </c>
      <c r="B3443" t="s">
        <v>80</v>
      </c>
    </row>
    <row r="3444">
      <c r="A3444" s="32">
        <f>IFERROR(__xludf.DUMMYFUNCTION("""COMPUTED_VALUE"""),43405.00359849537)</f>
        <v>43405.0036</v>
      </c>
      <c r="B3444" t="s">
        <v>2255</v>
      </c>
    </row>
    <row r="3445">
      <c r="A3445" s="32">
        <f>IFERROR(__xludf.DUMMYFUNCTION("""COMPUTED_VALUE"""),43405.007177141204)</f>
        <v>43405.00718</v>
      </c>
      <c r="B3445" t="s">
        <v>170</v>
      </c>
    </row>
    <row r="3446">
      <c r="A3446" s="32">
        <f>IFERROR(__xludf.DUMMYFUNCTION("""COMPUTED_VALUE"""),43405.00762238426)</f>
        <v>43405.00762</v>
      </c>
      <c r="B3446" t="s">
        <v>2269</v>
      </c>
    </row>
    <row r="3447">
      <c r="A3447" s="32">
        <f>IFERROR(__xludf.DUMMYFUNCTION("""COMPUTED_VALUE"""),43405.01269552083)</f>
        <v>43405.0127</v>
      </c>
      <c r="B3447" t="s">
        <v>80</v>
      </c>
    </row>
    <row r="3448">
      <c r="A3448" s="32">
        <f>IFERROR(__xludf.DUMMYFUNCTION("""COMPUTED_VALUE"""),43405.01491975694)</f>
        <v>43405.01492</v>
      </c>
      <c r="B3448" t="s">
        <v>33</v>
      </c>
    </row>
    <row r="3449">
      <c r="A3449" s="32">
        <f>IFERROR(__xludf.DUMMYFUNCTION("""COMPUTED_VALUE"""),43405.01929909722)</f>
        <v>43405.0193</v>
      </c>
      <c r="B3449" t="s">
        <v>1744</v>
      </c>
    </row>
    <row r="3450">
      <c r="A3450" s="32">
        <f>IFERROR(__xludf.DUMMYFUNCTION("""COMPUTED_VALUE"""),43405.02420271991)</f>
        <v>43405.0242</v>
      </c>
      <c r="B3450" t="s">
        <v>80</v>
      </c>
    </row>
    <row r="3451">
      <c r="A3451" s="32">
        <f>IFERROR(__xludf.DUMMYFUNCTION("""COMPUTED_VALUE"""),43405.02748135416)</f>
        <v>43405.02748</v>
      </c>
      <c r="B3451" t="s">
        <v>2271</v>
      </c>
    </row>
    <row r="3452">
      <c r="A3452" s="32">
        <f>IFERROR(__xludf.DUMMYFUNCTION("""COMPUTED_VALUE"""),43405.02808949074)</f>
        <v>43405.02809</v>
      </c>
      <c r="B3452" t="s">
        <v>48</v>
      </c>
    </row>
    <row r="3453">
      <c r="A3453" s="32">
        <f>IFERROR(__xludf.DUMMYFUNCTION("""COMPUTED_VALUE"""),43405.031293321765)</f>
        <v>43405.03129</v>
      </c>
      <c r="B3453" t="s">
        <v>45</v>
      </c>
    </row>
    <row r="3454">
      <c r="A3454" s="32">
        <f>IFERROR(__xludf.DUMMYFUNCTION("""COMPUTED_VALUE"""),43405.03624622685)</f>
        <v>43405.03625</v>
      </c>
      <c r="B3454" t="s">
        <v>2789</v>
      </c>
    </row>
    <row r="3455">
      <c r="A3455" s="32">
        <f>IFERROR(__xludf.DUMMYFUNCTION("""COMPUTED_VALUE"""),43405.036724363425)</f>
        <v>43405.03672</v>
      </c>
      <c r="B3455" t="s">
        <v>45</v>
      </c>
    </row>
    <row r="3456">
      <c r="A3456" s="32">
        <f>IFERROR(__xludf.DUMMYFUNCTION("""COMPUTED_VALUE"""),43405.04122644676)</f>
        <v>43405.04123</v>
      </c>
      <c r="B3456" t="s">
        <v>36</v>
      </c>
    </row>
    <row r="3457">
      <c r="A3457" s="32">
        <f>IFERROR(__xludf.DUMMYFUNCTION("""COMPUTED_VALUE"""),43405.0449375)</f>
        <v>43405.04494</v>
      </c>
      <c r="B3457" t="s">
        <v>45</v>
      </c>
    </row>
    <row r="3458">
      <c r="A3458" s="32">
        <f>IFERROR(__xludf.DUMMYFUNCTION("""COMPUTED_VALUE"""),43405.04597160879)</f>
        <v>43405.04597</v>
      </c>
      <c r="B3458" t="s">
        <v>80</v>
      </c>
    </row>
    <row r="3459">
      <c r="A3459" s="32">
        <f>IFERROR(__xludf.DUMMYFUNCTION("""COMPUTED_VALUE"""),43405.052805590276)</f>
        <v>43405.05281</v>
      </c>
      <c r="B3459" t="s">
        <v>48</v>
      </c>
    </row>
    <row r="3460">
      <c r="A3460" s="32">
        <f>IFERROR(__xludf.DUMMYFUNCTION("""COMPUTED_VALUE"""),43405.053731990745)</f>
        <v>43405.05373</v>
      </c>
      <c r="B3460" t="s">
        <v>2276</v>
      </c>
    </row>
    <row r="3461">
      <c r="A3461" s="32">
        <f>IFERROR(__xludf.DUMMYFUNCTION("""COMPUTED_VALUE"""),43405.05440408565)</f>
        <v>43405.0544</v>
      </c>
      <c r="B3461" t="s">
        <v>48</v>
      </c>
    </row>
    <row r="3462">
      <c r="A3462" s="32">
        <f>IFERROR(__xludf.DUMMYFUNCTION("""COMPUTED_VALUE"""),43405.06206729167)</f>
        <v>43405.06207</v>
      </c>
      <c r="B3462" t="s">
        <v>2790</v>
      </c>
    </row>
    <row r="3463">
      <c r="A3463" s="32">
        <f>IFERROR(__xludf.DUMMYFUNCTION("""COMPUTED_VALUE"""),43405.07012949074)</f>
        <v>43405.07013</v>
      </c>
      <c r="B3463" t="s">
        <v>80</v>
      </c>
    </row>
    <row r="3464">
      <c r="A3464" s="32">
        <f>IFERROR(__xludf.DUMMYFUNCTION("""COMPUTED_VALUE"""),43405.08646752315)</f>
        <v>43405.08647</v>
      </c>
      <c r="B3464" t="s">
        <v>33</v>
      </c>
    </row>
    <row r="3465">
      <c r="A3465" s="32">
        <f>IFERROR(__xludf.DUMMYFUNCTION("""COMPUTED_VALUE"""),43405.088771932875)</f>
        <v>43405.08877</v>
      </c>
      <c r="B3465" t="s">
        <v>2280</v>
      </c>
    </row>
    <row r="3466">
      <c r="A3466" s="32">
        <f>IFERROR(__xludf.DUMMYFUNCTION("""COMPUTED_VALUE"""),43405.09496311343)</f>
        <v>43405.09496</v>
      </c>
      <c r="B3466" t="s">
        <v>40</v>
      </c>
    </row>
    <row r="3467">
      <c r="A3467" s="32">
        <f>IFERROR(__xludf.DUMMYFUNCTION("""COMPUTED_VALUE"""),43405.09709001158)</f>
        <v>43405.09709</v>
      </c>
      <c r="B3467" t="s">
        <v>463</v>
      </c>
    </row>
    <row r="3468">
      <c r="A3468" s="32">
        <f>IFERROR(__xludf.DUMMYFUNCTION("""COMPUTED_VALUE"""),43405.10303628472)</f>
        <v>43405.10304</v>
      </c>
      <c r="B3468" t="s">
        <v>33</v>
      </c>
    </row>
    <row r="3469">
      <c r="A3469" s="32">
        <f>IFERROR(__xludf.DUMMYFUNCTION("""COMPUTED_VALUE"""),43405.10771214121)</f>
        <v>43405.10771</v>
      </c>
      <c r="B3469" t="s">
        <v>2285</v>
      </c>
    </row>
    <row r="3470">
      <c r="A3470" s="32">
        <f>IFERROR(__xludf.DUMMYFUNCTION("""COMPUTED_VALUE"""),43405.112715069445)</f>
        <v>43405.11272</v>
      </c>
      <c r="B3470" t="s">
        <v>523</v>
      </c>
    </row>
    <row r="3471">
      <c r="A3471" s="32">
        <f>IFERROR(__xludf.DUMMYFUNCTION("""COMPUTED_VALUE"""),43405.11602351852)</f>
        <v>43405.11602</v>
      </c>
      <c r="B3471" t="s">
        <v>2098</v>
      </c>
    </row>
    <row r="3472">
      <c r="A3472" s="32">
        <f>IFERROR(__xludf.DUMMYFUNCTION("""COMPUTED_VALUE"""),43405.12719403935)</f>
        <v>43405.12719</v>
      </c>
      <c r="B3472" t="s">
        <v>40</v>
      </c>
    </row>
    <row r="3473">
      <c r="A3473" s="32">
        <f>IFERROR(__xludf.DUMMYFUNCTION("""COMPUTED_VALUE"""),43405.12791274306)</f>
        <v>43405.12791</v>
      </c>
      <c r="B3473" t="s">
        <v>2791</v>
      </c>
    </row>
    <row r="3474">
      <c r="A3474" s="32">
        <f>IFERROR(__xludf.DUMMYFUNCTION("""COMPUTED_VALUE"""),43405.15532114584)</f>
        <v>43405.15532</v>
      </c>
      <c r="B3474" t="s">
        <v>80</v>
      </c>
    </row>
    <row r="3475">
      <c r="A3475" s="32">
        <f>IFERROR(__xludf.DUMMYFUNCTION("""COMPUTED_VALUE"""),43405.1742159375)</f>
        <v>43405.17422</v>
      </c>
      <c r="B3475" t="s">
        <v>173</v>
      </c>
    </row>
    <row r="3476">
      <c r="A3476" s="32">
        <f>IFERROR(__xludf.DUMMYFUNCTION("""COMPUTED_VALUE"""),43405.17688752315)</f>
        <v>43405.17689</v>
      </c>
      <c r="B3476" t="s">
        <v>2290</v>
      </c>
    </row>
    <row r="3477">
      <c r="A3477" s="32">
        <f>IFERROR(__xludf.DUMMYFUNCTION("""COMPUTED_VALUE"""),43405.18702806713)</f>
        <v>43405.18703</v>
      </c>
      <c r="B3477" t="s">
        <v>2681</v>
      </c>
    </row>
    <row r="3478">
      <c r="A3478" s="32">
        <f>IFERROR(__xludf.DUMMYFUNCTION("""COMPUTED_VALUE"""),43405.19008959491)</f>
        <v>43405.19009</v>
      </c>
      <c r="B3478" t="s">
        <v>119</v>
      </c>
    </row>
    <row r="3479">
      <c r="A3479" s="32">
        <f>IFERROR(__xludf.DUMMYFUNCTION("""COMPUTED_VALUE"""),43405.19152740741)</f>
        <v>43405.19153</v>
      </c>
      <c r="B3479" t="s">
        <v>45</v>
      </c>
    </row>
    <row r="3480">
      <c r="A3480" s="32">
        <f>IFERROR(__xludf.DUMMYFUNCTION("""COMPUTED_VALUE"""),43405.19155703703)</f>
        <v>43405.19156</v>
      </c>
      <c r="B3480" t="s">
        <v>813</v>
      </c>
    </row>
    <row r="3481">
      <c r="A3481" s="32">
        <f>IFERROR(__xludf.DUMMYFUNCTION("""COMPUTED_VALUE"""),43405.19318362269)</f>
        <v>43405.19318</v>
      </c>
      <c r="B3481" t="s">
        <v>80</v>
      </c>
    </row>
    <row r="3482">
      <c r="A3482" s="32">
        <f>IFERROR(__xludf.DUMMYFUNCTION("""COMPUTED_VALUE"""),43405.19486150463)</f>
        <v>43405.19486</v>
      </c>
      <c r="B3482" t="s">
        <v>2293</v>
      </c>
    </row>
    <row r="3483">
      <c r="A3483" s="32">
        <f>IFERROR(__xludf.DUMMYFUNCTION("""COMPUTED_VALUE"""),43405.197821724534)</f>
        <v>43405.19782</v>
      </c>
      <c r="B3483" t="s">
        <v>80</v>
      </c>
    </row>
    <row r="3484">
      <c r="A3484" s="32">
        <f>IFERROR(__xludf.DUMMYFUNCTION("""COMPUTED_VALUE"""),43405.202145625)</f>
        <v>43405.20215</v>
      </c>
      <c r="B3484" t="s">
        <v>2424</v>
      </c>
    </row>
    <row r="3485">
      <c r="A3485" s="32">
        <f>IFERROR(__xludf.DUMMYFUNCTION("""COMPUTED_VALUE"""),43405.20374244213)</f>
        <v>43405.20374</v>
      </c>
      <c r="B3485" t="s">
        <v>548</v>
      </c>
    </row>
    <row r="3486">
      <c r="A3486" s="32">
        <f>IFERROR(__xludf.DUMMYFUNCTION("""COMPUTED_VALUE"""),43405.21478497685)</f>
        <v>43405.21478</v>
      </c>
      <c r="B3486" t="s">
        <v>2298</v>
      </c>
    </row>
    <row r="3487">
      <c r="A3487" s="32">
        <f>IFERROR(__xludf.DUMMYFUNCTION("""COMPUTED_VALUE"""),43405.21691326389)</f>
        <v>43405.21691</v>
      </c>
      <c r="B3487" t="s">
        <v>40</v>
      </c>
    </row>
    <row r="3488">
      <c r="A3488" s="32">
        <f>IFERROR(__xludf.DUMMYFUNCTION("""COMPUTED_VALUE"""),43405.22263841435)</f>
        <v>43405.22264</v>
      </c>
      <c r="B3488" t="s">
        <v>40</v>
      </c>
    </row>
    <row r="3489">
      <c r="A3489" s="32">
        <f>IFERROR(__xludf.DUMMYFUNCTION("""COMPUTED_VALUE"""),43405.22375201389)</f>
        <v>43405.22375</v>
      </c>
      <c r="B3489" t="s">
        <v>2792</v>
      </c>
    </row>
    <row r="3490">
      <c r="A3490" s="32">
        <f>IFERROR(__xludf.DUMMYFUNCTION("""COMPUTED_VALUE"""),43405.23865653935)</f>
        <v>43405.23866</v>
      </c>
      <c r="B3490" t="s">
        <v>426</v>
      </c>
    </row>
    <row r="3491">
      <c r="A3491" s="32">
        <f>IFERROR(__xludf.DUMMYFUNCTION("""COMPUTED_VALUE"""),43405.24483241898)</f>
        <v>43405.24483</v>
      </c>
      <c r="B3491" t="s">
        <v>350</v>
      </c>
    </row>
    <row r="3492">
      <c r="A3492" s="32">
        <f>IFERROR(__xludf.DUMMYFUNCTION("""COMPUTED_VALUE"""),43405.246802685186)</f>
        <v>43405.2468</v>
      </c>
      <c r="B3492" t="s">
        <v>2662</v>
      </c>
    </row>
    <row r="3493">
      <c r="A3493" s="32">
        <f>IFERROR(__xludf.DUMMYFUNCTION("""COMPUTED_VALUE"""),43405.24687884259)</f>
        <v>43405.24688</v>
      </c>
      <c r="B3493" t="s">
        <v>2383</v>
      </c>
    </row>
    <row r="3494">
      <c r="A3494" s="32">
        <f>IFERROR(__xludf.DUMMYFUNCTION("""COMPUTED_VALUE"""),43405.25211976852)</f>
        <v>43405.25212</v>
      </c>
      <c r="B3494" t="s">
        <v>80</v>
      </c>
    </row>
    <row r="3495">
      <c r="A3495" s="32">
        <f>IFERROR(__xludf.DUMMYFUNCTION("""COMPUTED_VALUE"""),43405.255174687496)</f>
        <v>43405.25517</v>
      </c>
      <c r="B3495" t="s">
        <v>157</v>
      </c>
    </row>
    <row r="3496">
      <c r="A3496" s="32">
        <f>IFERROR(__xludf.DUMMYFUNCTION("""COMPUTED_VALUE"""),43405.26246376157)</f>
        <v>43405.26246</v>
      </c>
      <c r="B3496" t="s">
        <v>119</v>
      </c>
    </row>
    <row r="3497">
      <c r="A3497" s="32">
        <f>IFERROR(__xludf.DUMMYFUNCTION("""COMPUTED_VALUE"""),43405.27772351852)</f>
        <v>43405.27772</v>
      </c>
      <c r="B3497" t="s">
        <v>2190</v>
      </c>
    </row>
    <row r="3498">
      <c r="A3498" s="32">
        <f>IFERROR(__xludf.DUMMYFUNCTION("""COMPUTED_VALUE"""),43405.28370516204)</f>
        <v>43405.28371</v>
      </c>
      <c r="B3498" t="s">
        <v>350</v>
      </c>
    </row>
    <row r="3499">
      <c r="A3499" s="32">
        <f>IFERROR(__xludf.DUMMYFUNCTION("""COMPUTED_VALUE"""),43405.29185548611)</f>
        <v>43405.29186</v>
      </c>
      <c r="B3499" t="s">
        <v>33</v>
      </c>
    </row>
    <row r="3500">
      <c r="A3500" s="32">
        <f>IFERROR(__xludf.DUMMYFUNCTION("""COMPUTED_VALUE"""),43405.29721912037)</f>
        <v>43405.29722</v>
      </c>
      <c r="B3500" t="s">
        <v>268</v>
      </c>
    </row>
    <row r="3501">
      <c r="A3501" s="32">
        <f>IFERROR(__xludf.DUMMYFUNCTION("""COMPUTED_VALUE"""),43405.302190625)</f>
        <v>43405.30219</v>
      </c>
      <c r="B3501" t="s">
        <v>45</v>
      </c>
    </row>
    <row r="3502">
      <c r="A3502" s="32">
        <f>IFERROR(__xludf.DUMMYFUNCTION("""COMPUTED_VALUE"""),43405.30733689815)</f>
        <v>43405.30734</v>
      </c>
      <c r="B3502" t="s">
        <v>33</v>
      </c>
    </row>
    <row r="3503">
      <c r="A3503" s="32">
        <f>IFERROR(__xludf.DUMMYFUNCTION("""COMPUTED_VALUE"""),43405.33383643518)</f>
        <v>43405.33384</v>
      </c>
      <c r="B3503" t="s">
        <v>80</v>
      </c>
    </row>
    <row r="3504">
      <c r="A3504" s="32">
        <f>IFERROR(__xludf.DUMMYFUNCTION("""COMPUTED_VALUE"""),43405.34941865741)</f>
        <v>43405.34942</v>
      </c>
      <c r="B3504" t="s">
        <v>25</v>
      </c>
    </row>
    <row r="3505">
      <c r="A3505" s="32">
        <f>IFERROR(__xludf.DUMMYFUNCTION("""COMPUTED_VALUE"""),43405.3615424537)</f>
        <v>43405.36154</v>
      </c>
      <c r="B3505" t="s">
        <v>40</v>
      </c>
    </row>
    <row r="3506">
      <c r="A3506" s="32">
        <f>IFERROR(__xludf.DUMMYFUNCTION("""COMPUTED_VALUE"""),43405.36324630787)</f>
        <v>43405.36325</v>
      </c>
      <c r="B3506" t="s">
        <v>1135</v>
      </c>
    </row>
    <row r="3507">
      <c r="A3507" s="32">
        <f>IFERROR(__xludf.DUMMYFUNCTION("""COMPUTED_VALUE"""),43405.38180004629)</f>
        <v>43405.3818</v>
      </c>
      <c r="B3507" t="s">
        <v>80</v>
      </c>
    </row>
    <row r="3508">
      <c r="A3508" s="32">
        <f>IFERROR(__xludf.DUMMYFUNCTION("""COMPUTED_VALUE"""),43405.39342958333)</f>
        <v>43405.39343</v>
      </c>
      <c r="B3508" t="s">
        <v>40</v>
      </c>
    </row>
    <row r="3509">
      <c r="A3509" s="32">
        <f>IFERROR(__xludf.DUMMYFUNCTION("""COMPUTED_VALUE"""),43405.39688865741)</f>
        <v>43405.39689</v>
      </c>
      <c r="B3509" t="s">
        <v>40</v>
      </c>
    </row>
    <row r="3510">
      <c r="A3510" s="32">
        <f>IFERROR(__xludf.DUMMYFUNCTION("""COMPUTED_VALUE"""),43405.4012075)</f>
        <v>43405.40121</v>
      </c>
      <c r="B3510" t="s">
        <v>170</v>
      </c>
    </row>
    <row r="3511">
      <c r="A3511" s="32">
        <f>IFERROR(__xludf.DUMMYFUNCTION("""COMPUTED_VALUE"""),43405.405588877315)</f>
        <v>43405.40559</v>
      </c>
      <c r="B3511" t="s">
        <v>270</v>
      </c>
    </row>
    <row r="3512">
      <c r="A3512" s="32">
        <f>IFERROR(__xludf.DUMMYFUNCTION("""COMPUTED_VALUE"""),43405.41943879629)</f>
        <v>43405.41944</v>
      </c>
      <c r="B3512" t="s">
        <v>33</v>
      </c>
    </row>
    <row r="3513">
      <c r="A3513" s="32">
        <f>IFERROR(__xludf.DUMMYFUNCTION("""COMPUTED_VALUE"""),43405.42182393519)</f>
        <v>43405.42182</v>
      </c>
      <c r="B3513" t="s">
        <v>25</v>
      </c>
    </row>
    <row r="3514">
      <c r="A3514" s="32">
        <f>IFERROR(__xludf.DUMMYFUNCTION("""COMPUTED_VALUE"""),43405.42231260416)</f>
        <v>43405.42231</v>
      </c>
      <c r="B3514" t="s">
        <v>25</v>
      </c>
    </row>
    <row r="3515">
      <c r="A3515" s="32">
        <f>IFERROR(__xludf.DUMMYFUNCTION("""COMPUTED_VALUE"""),43405.42506877315)</f>
        <v>43405.42507</v>
      </c>
      <c r="B3515" t="s">
        <v>40</v>
      </c>
    </row>
    <row r="3516">
      <c r="A3516" s="32">
        <f>IFERROR(__xludf.DUMMYFUNCTION("""COMPUTED_VALUE"""),43405.42531601852)</f>
        <v>43405.42532</v>
      </c>
      <c r="B3516" t="s">
        <v>25</v>
      </c>
    </row>
    <row r="3517">
      <c r="A3517" s="32">
        <f>IFERROR(__xludf.DUMMYFUNCTION("""COMPUTED_VALUE"""),43405.42767615741)</f>
        <v>43405.42768</v>
      </c>
      <c r="B3517" t="s">
        <v>268</v>
      </c>
    </row>
    <row r="3518">
      <c r="A3518" s="32">
        <f>IFERROR(__xludf.DUMMYFUNCTION("""COMPUTED_VALUE"""),43405.432438379634)</f>
        <v>43405.43244</v>
      </c>
      <c r="B3518" t="s">
        <v>350</v>
      </c>
    </row>
    <row r="3519">
      <c r="A3519" s="32">
        <f>IFERROR(__xludf.DUMMYFUNCTION("""COMPUTED_VALUE"""),43405.44834135417)</f>
        <v>43405.44834</v>
      </c>
      <c r="B3519" t="s">
        <v>25</v>
      </c>
    </row>
    <row r="3520">
      <c r="A3520" s="32">
        <f>IFERROR(__xludf.DUMMYFUNCTION("""COMPUTED_VALUE"""),43405.45807204861)</f>
        <v>43405.45807</v>
      </c>
      <c r="B3520" t="s">
        <v>2313</v>
      </c>
    </row>
    <row r="3521">
      <c r="A3521" s="32">
        <f>IFERROR(__xludf.DUMMYFUNCTION("""COMPUTED_VALUE"""),43405.45847658565)</f>
        <v>43405.45848</v>
      </c>
      <c r="B3521" t="s">
        <v>2658</v>
      </c>
    </row>
    <row r="3522">
      <c r="A3522" s="32">
        <f>IFERROR(__xludf.DUMMYFUNCTION("""COMPUTED_VALUE"""),43405.462384074075)</f>
        <v>43405.46238</v>
      </c>
      <c r="B3522" t="s">
        <v>2424</v>
      </c>
    </row>
    <row r="3523">
      <c r="A3523" s="32">
        <f>IFERROR(__xludf.DUMMYFUNCTION("""COMPUTED_VALUE"""),43405.463767361114)</f>
        <v>43405.46377</v>
      </c>
      <c r="B3523" t="s">
        <v>33</v>
      </c>
    </row>
    <row r="3524">
      <c r="A3524" s="32">
        <f>IFERROR(__xludf.DUMMYFUNCTION("""COMPUTED_VALUE"""),43405.46657671296)</f>
        <v>43405.46658</v>
      </c>
      <c r="B3524" t="s">
        <v>105</v>
      </c>
    </row>
    <row r="3525">
      <c r="A3525" s="32">
        <f>IFERROR(__xludf.DUMMYFUNCTION("""COMPUTED_VALUE"""),43405.470523298616)</f>
        <v>43405.47052</v>
      </c>
      <c r="B3525" t="s">
        <v>154</v>
      </c>
    </row>
    <row r="3526">
      <c r="A3526" s="32">
        <f>IFERROR(__xludf.DUMMYFUNCTION("""COMPUTED_VALUE"""),43405.47197302083)</f>
        <v>43405.47197</v>
      </c>
      <c r="B3526" t="s">
        <v>2738</v>
      </c>
    </row>
    <row r="3527">
      <c r="A3527" s="32">
        <f>IFERROR(__xludf.DUMMYFUNCTION("""COMPUTED_VALUE"""),43405.483070138886)</f>
        <v>43405.48307</v>
      </c>
      <c r="B3527" t="s">
        <v>80</v>
      </c>
    </row>
    <row r="3528">
      <c r="A3528" s="32">
        <f>IFERROR(__xludf.DUMMYFUNCTION("""COMPUTED_VALUE"""),43405.48344752315)</f>
        <v>43405.48345</v>
      </c>
      <c r="B3528" t="s">
        <v>350</v>
      </c>
    </row>
    <row r="3529">
      <c r="A3529" s="32">
        <f>IFERROR(__xludf.DUMMYFUNCTION("""COMPUTED_VALUE"""),43405.48532211805)</f>
        <v>43405.48532</v>
      </c>
      <c r="B3529" t="s">
        <v>48</v>
      </c>
    </row>
    <row r="3530">
      <c r="A3530" s="32">
        <f>IFERROR(__xludf.DUMMYFUNCTION("""COMPUTED_VALUE"""),43405.49174384259)</f>
        <v>43405.49174</v>
      </c>
      <c r="B3530" t="s">
        <v>2317</v>
      </c>
    </row>
    <row r="3531">
      <c r="A3531" s="32">
        <f>IFERROR(__xludf.DUMMYFUNCTION("""COMPUTED_VALUE"""),43405.49379298611)</f>
        <v>43405.49379</v>
      </c>
      <c r="B3531" t="s">
        <v>157</v>
      </c>
    </row>
    <row r="3532">
      <c r="A3532" s="32">
        <f>IFERROR(__xludf.DUMMYFUNCTION("""COMPUTED_VALUE"""),43405.49693166667)</f>
        <v>43405.49693</v>
      </c>
      <c r="B3532" t="s">
        <v>170</v>
      </c>
    </row>
    <row r="3533">
      <c r="A3533" s="32">
        <f>IFERROR(__xludf.DUMMYFUNCTION("""COMPUTED_VALUE"""),43405.50028681713)</f>
        <v>43405.50029</v>
      </c>
      <c r="B3533" t="s">
        <v>2793</v>
      </c>
    </row>
    <row r="3534">
      <c r="A3534" s="32">
        <f>IFERROR(__xludf.DUMMYFUNCTION("""COMPUTED_VALUE"""),43405.51754055556)</f>
        <v>43405.51754</v>
      </c>
      <c r="B3534" t="s">
        <v>45</v>
      </c>
    </row>
    <row r="3535">
      <c r="A3535" s="32">
        <f>IFERROR(__xludf.DUMMYFUNCTION("""COMPUTED_VALUE"""),43405.54584224537)</f>
        <v>43405.54584</v>
      </c>
      <c r="B3535" t="s">
        <v>2262</v>
      </c>
    </row>
    <row r="3536">
      <c r="A3536" s="32">
        <f>IFERROR(__xludf.DUMMYFUNCTION("""COMPUTED_VALUE"""),43405.54651226852)</f>
        <v>43405.54651</v>
      </c>
      <c r="B3536" t="s">
        <v>40</v>
      </c>
    </row>
    <row r="3537">
      <c r="A3537" s="32">
        <f>IFERROR(__xludf.DUMMYFUNCTION("""COMPUTED_VALUE"""),43405.56802849537)</f>
        <v>43405.56803</v>
      </c>
      <c r="B3537" t="s">
        <v>80</v>
      </c>
    </row>
    <row r="3538">
      <c r="A3538" s="32">
        <f>IFERROR(__xludf.DUMMYFUNCTION("""COMPUTED_VALUE"""),43405.577264618056)</f>
        <v>43405.57726</v>
      </c>
      <c r="B3538" t="s">
        <v>80</v>
      </c>
    </row>
    <row r="3539">
      <c r="A3539" s="32">
        <f>IFERROR(__xludf.DUMMYFUNCTION("""COMPUTED_VALUE"""),43405.589055000004)</f>
        <v>43405.58906</v>
      </c>
      <c r="B3539" t="s">
        <v>80</v>
      </c>
    </row>
    <row r="3540">
      <c r="A3540" s="32">
        <f>IFERROR(__xludf.DUMMYFUNCTION("""COMPUTED_VALUE"""),43405.604374745366)</f>
        <v>43405.60437</v>
      </c>
      <c r="B3540" t="s">
        <v>268</v>
      </c>
    </row>
    <row r="3541">
      <c r="A3541" s="32">
        <f>IFERROR(__xludf.DUMMYFUNCTION("""COMPUTED_VALUE"""),43405.617439803245)</f>
        <v>43405.61744</v>
      </c>
      <c r="B3541" t="s">
        <v>2324</v>
      </c>
    </row>
    <row r="3542">
      <c r="A3542" s="32">
        <f>IFERROR(__xludf.DUMMYFUNCTION("""COMPUTED_VALUE"""),43405.629088194444)</f>
        <v>43405.62909</v>
      </c>
      <c r="B3542" t="s">
        <v>2326</v>
      </c>
    </row>
    <row r="3543">
      <c r="A3543" s="32">
        <f>IFERROR(__xludf.DUMMYFUNCTION("""COMPUTED_VALUE"""),43405.64166969908)</f>
        <v>43405.64167</v>
      </c>
      <c r="B3543" t="s">
        <v>80</v>
      </c>
    </row>
    <row r="3544">
      <c r="A3544" s="32">
        <f>IFERROR(__xludf.DUMMYFUNCTION("""COMPUTED_VALUE"""),43405.64583631944)</f>
        <v>43405.64584</v>
      </c>
      <c r="B3544" t="s">
        <v>2329</v>
      </c>
    </row>
    <row r="3545">
      <c r="A3545" s="32">
        <f>IFERROR(__xludf.DUMMYFUNCTION("""COMPUTED_VALUE"""),43405.65386011574)</f>
        <v>43405.65386</v>
      </c>
      <c r="B3545" t="s">
        <v>2794</v>
      </c>
    </row>
    <row r="3546">
      <c r="A3546" s="32">
        <f>IFERROR(__xludf.DUMMYFUNCTION("""COMPUTED_VALUE"""),43405.65823277777)</f>
        <v>43405.65823</v>
      </c>
      <c r="B3546" t="s">
        <v>25</v>
      </c>
    </row>
    <row r="3547">
      <c r="A3547" s="32">
        <f>IFERROR(__xludf.DUMMYFUNCTION("""COMPUTED_VALUE"""),43405.66330755787)</f>
        <v>43405.66331</v>
      </c>
      <c r="B3547" t="s">
        <v>40</v>
      </c>
    </row>
    <row r="3548">
      <c r="A3548" s="32">
        <f>IFERROR(__xludf.DUMMYFUNCTION("""COMPUTED_VALUE"""),43405.66430361111)</f>
        <v>43405.6643</v>
      </c>
      <c r="B3548" t="s">
        <v>40</v>
      </c>
    </row>
    <row r="3549">
      <c r="A3549" s="32">
        <f>IFERROR(__xludf.DUMMYFUNCTION("""COMPUTED_VALUE"""),43405.670126944446)</f>
        <v>43405.67013</v>
      </c>
      <c r="B3549" t="s">
        <v>40</v>
      </c>
    </row>
    <row r="3550">
      <c r="A3550" s="32">
        <f>IFERROR(__xludf.DUMMYFUNCTION("""COMPUTED_VALUE"""),43405.67082787037)</f>
        <v>43405.67083</v>
      </c>
      <c r="B3550" t="s">
        <v>80</v>
      </c>
    </row>
    <row r="3551">
      <c r="A3551" s="32">
        <f>IFERROR(__xludf.DUMMYFUNCTION("""COMPUTED_VALUE"""),43405.68632494213)</f>
        <v>43405.68632</v>
      </c>
      <c r="B3551" t="s">
        <v>170</v>
      </c>
    </row>
    <row r="3552">
      <c r="A3552" s="32">
        <f>IFERROR(__xludf.DUMMYFUNCTION("""COMPUTED_VALUE"""),43405.69125916666)</f>
        <v>43405.69126</v>
      </c>
      <c r="B3552" t="s">
        <v>33</v>
      </c>
    </row>
    <row r="3553">
      <c r="A3553" s="32">
        <f>IFERROR(__xludf.DUMMYFUNCTION("""COMPUTED_VALUE"""),43405.71597258102)</f>
        <v>43405.71597</v>
      </c>
      <c r="B3553" t="s">
        <v>142</v>
      </c>
    </row>
    <row r="3554">
      <c r="A3554" s="32">
        <f>IFERROR(__xludf.DUMMYFUNCTION("""COMPUTED_VALUE"""),43405.772295601855)</f>
        <v>43405.7723</v>
      </c>
      <c r="B3554" t="s">
        <v>282</v>
      </c>
    </row>
    <row r="3555">
      <c r="A3555" s="32">
        <f>IFERROR(__xludf.DUMMYFUNCTION("""COMPUTED_VALUE"""),43405.77833806713)</f>
        <v>43405.77834</v>
      </c>
      <c r="B3555" t="s">
        <v>80</v>
      </c>
    </row>
    <row r="3556">
      <c r="A3556" s="32">
        <f>IFERROR(__xludf.DUMMYFUNCTION("""COMPUTED_VALUE"""),43405.80458326389)</f>
        <v>43405.80458</v>
      </c>
      <c r="B3556" t="s">
        <v>2658</v>
      </c>
    </row>
    <row r="3557">
      <c r="A3557" s="32">
        <f>IFERROR(__xludf.DUMMYFUNCTION("""COMPUTED_VALUE"""),43405.812118726855)</f>
        <v>43405.81212</v>
      </c>
      <c r="B3557" t="s">
        <v>48</v>
      </c>
    </row>
    <row r="3558">
      <c r="A3558" s="32">
        <f>IFERROR(__xludf.DUMMYFUNCTION("""COMPUTED_VALUE"""),43405.83146832176)</f>
        <v>43405.83147</v>
      </c>
      <c r="B3558" t="s">
        <v>123</v>
      </c>
    </row>
    <row r="3559">
      <c r="A3559" s="32">
        <f>IFERROR(__xludf.DUMMYFUNCTION("""COMPUTED_VALUE"""),43405.87410023148)</f>
        <v>43405.8741</v>
      </c>
      <c r="B3559" t="s">
        <v>2536</v>
      </c>
    </row>
    <row r="3560">
      <c r="A3560" s="32">
        <f>IFERROR(__xludf.DUMMYFUNCTION("""COMPUTED_VALUE"""),43405.904975196754)</f>
        <v>43405.90498</v>
      </c>
      <c r="B3560" t="s">
        <v>2777</v>
      </c>
    </row>
    <row r="3561">
      <c r="A3561" s="32">
        <f>IFERROR(__xludf.DUMMYFUNCTION("""COMPUTED_VALUE"""),43405.909071898146)</f>
        <v>43405.90907</v>
      </c>
      <c r="B3561" t="s">
        <v>170</v>
      </c>
    </row>
    <row r="3562">
      <c r="A3562" s="32">
        <f>IFERROR(__xludf.DUMMYFUNCTION("""COMPUTED_VALUE"""),43405.90910413195)</f>
        <v>43405.9091</v>
      </c>
      <c r="B3562" t="s">
        <v>170</v>
      </c>
    </row>
    <row r="3563">
      <c r="A3563" s="32">
        <f>IFERROR(__xludf.DUMMYFUNCTION("""COMPUTED_VALUE"""),43405.923063090275)</f>
        <v>43405.92306</v>
      </c>
      <c r="B3563" t="s">
        <v>268</v>
      </c>
    </row>
    <row r="3564">
      <c r="A3564" s="32">
        <f>IFERROR(__xludf.DUMMYFUNCTION("""COMPUTED_VALUE"""),43405.925108194446)</f>
        <v>43405.92511</v>
      </c>
      <c r="B3564" t="s">
        <v>45</v>
      </c>
    </row>
    <row r="3565">
      <c r="A3565" s="32">
        <f>IFERROR(__xludf.DUMMYFUNCTION("""COMPUTED_VALUE"""),43405.93128715278)</f>
        <v>43405.93129</v>
      </c>
      <c r="B3565" t="s">
        <v>40</v>
      </c>
    </row>
    <row r="3566">
      <c r="A3566" s="32">
        <f>IFERROR(__xludf.DUMMYFUNCTION("""COMPUTED_VALUE"""),43405.93709489584)</f>
        <v>43405.93709</v>
      </c>
      <c r="B3566" t="s">
        <v>80</v>
      </c>
    </row>
    <row r="3567">
      <c r="A3567" s="32">
        <f>IFERROR(__xludf.DUMMYFUNCTION("""COMPUTED_VALUE"""),43405.95959871528)</f>
        <v>43405.9596</v>
      </c>
      <c r="B3567" t="s">
        <v>1079</v>
      </c>
    </row>
    <row r="3568">
      <c r="A3568" s="32">
        <f>IFERROR(__xludf.DUMMYFUNCTION("""COMPUTED_VALUE"""),43405.99072693287)</f>
        <v>43405.99073</v>
      </c>
      <c r="B3568" t="s">
        <v>2341</v>
      </c>
    </row>
    <row r="3569">
      <c r="A3569" s="32">
        <f>IFERROR(__xludf.DUMMYFUNCTION("""COMPUTED_VALUE"""),43405.99559827546)</f>
        <v>43405.9956</v>
      </c>
      <c r="B3569" t="s">
        <v>387</v>
      </c>
    </row>
    <row r="3570">
      <c r="A3570" s="32">
        <f>IFERROR(__xludf.DUMMYFUNCTION("""COMPUTED_VALUE"""),43406.07423174768)</f>
        <v>43406.07423</v>
      </c>
      <c r="B3570" t="s">
        <v>40</v>
      </c>
    </row>
    <row r="3571">
      <c r="A3571" s="32">
        <f>IFERROR(__xludf.DUMMYFUNCTION("""COMPUTED_VALUE"""),43406.0813445949)</f>
        <v>43406.08134</v>
      </c>
      <c r="B3571" t="s">
        <v>170</v>
      </c>
    </row>
    <row r="3572">
      <c r="A3572" s="32">
        <f>IFERROR(__xludf.DUMMYFUNCTION("""COMPUTED_VALUE"""),43406.08792248843)</f>
        <v>43406.08792</v>
      </c>
      <c r="B3572" t="s">
        <v>80</v>
      </c>
    </row>
    <row r="3573">
      <c r="A3573" s="32">
        <f>IFERROR(__xludf.DUMMYFUNCTION("""COMPUTED_VALUE"""),43406.17863934027)</f>
        <v>43406.17864</v>
      </c>
      <c r="B3573" t="s">
        <v>2346</v>
      </c>
    </row>
    <row r="3574">
      <c r="A3574" s="32">
        <f>IFERROR(__xludf.DUMMYFUNCTION("""COMPUTED_VALUE"""),43406.234797349534)</f>
        <v>43406.2348</v>
      </c>
      <c r="B3574" t="s">
        <v>1804</v>
      </c>
    </row>
    <row r="3575">
      <c r="A3575" s="32">
        <f>IFERROR(__xludf.DUMMYFUNCTION("""COMPUTED_VALUE"""),43406.258160625)</f>
        <v>43406.25816</v>
      </c>
      <c r="B3575" t="s">
        <v>48</v>
      </c>
    </row>
    <row r="3576">
      <c r="A3576" s="32">
        <f>IFERROR(__xludf.DUMMYFUNCTION("""COMPUTED_VALUE"""),43406.27073991898)</f>
        <v>43406.27074</v>
      </c>
      <c r="B3576" t="s">
        <v>77</v>
      </c>
    </row>
    <row r="3577">
      <c r="A3577" s="32">
        <f>IFERROR(__xludf.DUMMYFUNCTION("""COMPUTED_VALUE"""),43406.31968488426)</f>
        <v>43406.31968</v>
      </c>
      <c r="B3577" t="s">
        <v>350</v>
      </c>
    </row>
    <row r="3578">
      <c r="A3578" s="32">
        <f>IFERROR(__xludf.DUMMYFUNCTION("""COMPUTED_VALUE"""),43406.320106875)</f>
        <v>43406.32011</v>
      </c>
      <c r="B3578" t="s">
        <v>350</v>
      </c>
    </row>
    <row r="3579">
      <c r="A3579" s="32">
        <f>IFERROR(__xludf.DUMMYFUNCTION("""COMPUTED_VALUE"""),43406.32270472222)</f>
        <v>43406.3227</v>
      </c>
      <c r="B3579" t="s">
        <v>80</v>
      </c>
    </row>
    <row r="3580">
      <c r="A3580" s="32">
        <f>IFERROR(__xludf.DUMMYFUNCTION("""COMPUTED_VALUE"""),43406.38615815972)</f>
        <v>43406.38616</v>
      </c>
      <c r="B3580" t="s">
        <v>2424</v>
      </c>
    </row>
    <row r="3581">
      <c r="A3581" s="32">
        <f>IFERROR(__xludf.DUMMYFUNCTION("""COMPUTED_VALUE"""),43406.38970854167)</f>
        <v>43406.38971</v>
      </c>
      <c r="B3581" t="s">
        <v>139</v>
      </c>
    </row>
    <row r="3582">
      <c r="A3582" s="32">
        <f>IFERROR(__xludf.DUMMYFUNCTION("""COMPUTED_VALUE"""),43406.39169542824)</f>
        <v>43406.3917</v>
      </c>
      <c r="B3582" t="s">
        <v>48</v>
      </c>
    </row>
    <row r="3583">
      <c r="A3583" s="32">
        <f>IFERROR(__xludf.DUMMYFUNCTION("""COMPUTED_VALUE"""),43406.395805555556)</f>
        <v>43406.39581</v>
      </c>
      <c r="B3583" t="s">
        <v>1160</v>
      </c>
    </row>
    <row r="3584">
      <c r="A3584" s="32">
        <f>IFERROR(__xludf.DUMMYFUNCTION("""COMPUTED_VALUE"""),43406.39781230324)</f>
        <v>43406.39781</v>
      </c>
      <c r="B3584" t="s">
        <v>819</v>
      </c>
    </row>
    <row r="3585">
      <c r="A3585" s="32">
        <f>IFERROR(__xludf.DUMMYFUNCTION("""COMPUTED_VALUE"""),43406.40295405092)</f>
        <v>43406.40295</v>
      </c>
      <c r="B3585" t="s">
        <v>40</v>
      </c>
    </row>
    <row r="3586">
      <c r="A3586" s="32">
        <f>IFERROR(__xludf.DUMMYFUNCTION("""COMPUTED_VALUE"""),43406.416079166665)</f>
        <v>43406.41608</v>
      </c>
      <c r="B3586" t="s">
        <v>123</v>
      </c>
    </row>
    <row r="3587">
      <c r="A3587" s="32">
        <f>IFERROR(__xludf.DUMMYFUNCTION("""COMPUTED_VALUE"""),43406.41840984953)</f>
        <v>43406.41841</v>
      </c>
      <c r="B3587" t="s">
        <v>540</v>
      </c>
    </row>
    <row r="3588">
      <c r="A3588" s="32">
        <f>IFERROR(__xludf.DUMMYFUNCTION("""COMPUTED_VALUE"""),43406.429873506946)</f>
        <v>43406.42987</v>
      </c>
      <c r="B3588" t="s">
        <v>80</v>
      </c>
    </row>
    <row r="3589">
      <c r="A3589" s="32">
        <f>IFERROR(__xludf.DUMMYFUNCTION("""COMPUTED_VALUE"""),43406.441328518515)</f>
        <v>43406.44133</v>
      </c>
      <c r="B3589" t="s">
        <v>40</v>
      </c>
    </row>
    <row r="3590">
      <c r="A3590" s="32">
        <f>IFERROR(__xludf.DUMMYFUNCTION("""COMPUTED_VALUE"""),43406.44994734954)</f>
        <v>43406.44995</v>
      </c>
      <c r="B3590" t="s">
        <v>350</v>
      </c>
    </row>
    <row r="3591">
      <c r="A3591" s="32">
        <f>IFERROR(__xludf.DUMMYFUNCTION("""COMPUTED_VALUE"""),43406.49085221065)</f>
        <v>43406.49085</v>
      </c>
      <c r="B3591" t="s">
        <v>2353</v>
      </c>
    </row>
    <row r="3592">
      <c r="A3592" s="32">
        <f>IFERROR(__xludf.DUMMYFUNCTION("""COMPUTED_VALUE"""),43406.50828349537)</f>
        <v>43406.50828</v>
      </c>
      <c r="B3592" t="s">
        <v>2795</v>
      </c>
    </row>
    <row r="3593">
      <c r="A3593" s="32">
        <f>IFERROR(__xludf.DUMMYFUNCTION("""COMPUTED_VALUE"""),43406.50966660879)</f>
        <v>43406.50967</v>
      </c>
      <c r="B3593" t="s">
        <v>40</v>
      </c>
    </row>
    <row r="3594">
      <c r="A3594" s="32">
        <f>IFERROR(__xludf.DUMMYFUNCTION("""COMPUTED_VALUE"""),43406.52468623842)</f>
        <v>43406.52469</v>
      </c>
      <c r="B3594" t="s">
        <v>40</v>
      </c>
    </row>
    <row r="3595">
      <c r="A3595" s="32">
        <f>IFERROR(__xludf.DUMMYFUNCTION("""COMPUTED_VALUE"""),43406.53490270833)</f>
        <v>43406.5349</v>
      </c>
      <c r="B3595" t="s">
        <v>33</v>
      </c>
    </row>
    <row r="3596">
      <c r="A3596" s="32">
        <f>IFERROR(__xludf.DUMMYFUNCTION("""COMPUTED_VALUE"""),43406.549334525465)</f>
        <v>43406.54933</v>
      </c>
      <c r="B3596" t="s">
        <v>119</v>
      </c>
    </row>
    <row r="3597">
      <c r="A3597" s="32">
        <f>IFERROR(__xludf.DUMMYFUNCTION("""COMPUTED_VALUE"""),43406.580833368054)</f>
        <v>43406.58083</v>
      </c>
      <c r="B3597" t="s">
        <v>268</v>
      </c>
    </row>
    <row r="3598">
      <c r="A3598" s="32">
        <f>IFERROR(__xludf.DUMMYFUNCTION("""COMPUTED_VALUE"""),43406.622495393516)</f>
        <v>43406.6225</v>
      </c>
      <c r="B3598" t="s">
        <v>40</v>
      </c>
    </row>
    <row r="3599">
      <c r="A3599" s="32">
        <f>IFERROR(__xludf.DUMMYFUNCTION("""COMPUTED_VALUE"""),43406.678688263884)</f>
        <v>43406.67869</v>
      </c>
      <c r="B3599" t="s">
        <v>40</v>
      </c>
    </row>
    <row r="3600">
      <c r="A3600" s="32">
        <f>IFERROR(__xludf.DUMMYFUNCTION("""COMPUTED_VALUE"""),43406.72047303241)</f>
        <v>43406.72047</v>
      </c>
      <c r="B3600" t="s">
        <v>33</v>
      </c>
    </row>
    <row r="3601">
      <c r="A3601" s="32">
        <f>IFERROR(__xludf.DUMMYFUNCTION("""COMPUTED_VALUE"""),43406.72151716435)</f>
        <v>43406.72152</v>
      </c>
      <c r="B3601" t="s">
        <v>45</v>
      </c>
    </row>
    <row r="3602">
      <c r="A3602" s="32">
        <f>IFERROR(__xludf.DUMMYFUNCTION("""COMPUTED_VALUE"""),43406.75865099537)</f>
        <v>43406.75865</v>
      </c>
      <c r="B3602" t="s">
        <v>33</v>
      </c>
    </row>
    <row r="3603">
      <c r="A3603" s="32">
        <f>IFERROR(__xludf.DUMMYFUNCTION("""COMPUTED_VALUE"""),43406.79399348379)</f>
        <v>43406.79399</v>
      </c>
      <c r="B3603" t="s">
        <v>170</v>
      </c>
    </row>
    <row r="3604">
      <c r="A3604" s="32">
        <f>IFERROR(__xludf.DUMMYFUNCTION("""COMPUTED_VALUE"""),43406.795758912034)</f>
        <v>43406.79576</v>
      </c>
      <c r="B3604" t="s">
        <v>40</v>
      </c>
    </row>
    <row r="3605">
      <c r="A3605" s="32">
        <f>IFERROR(__xludf.DUMMYFUNCTION("""COMPUTED_VALUE"""),43406.79682268518)</f>
        <v>43406.79682</v>
      </c>
      <c r="B3605" t="s">
        <v>538</v>
      </c>
    </row>
    <row r="3606">
      <c r="A3606" s="32">
        <f>IFERROR(__xludf.DUMMYFUNCTION("""COMPUTED_VALUE"""),43406.80838340278)</f>
        <v>43406.80838</v>
      </c>
      <c r="B3606" t="s">
        <v>40</v>
      </c>
    </row>
    <row r="3607">
      <c r="A3607" s="32">
        <f>IFERROR(__xludf.DUMMYFUNCTION("""COMPUTED_VALUE"""),43406.82376409722)</f>
        <v>43406.82376</v>
      </c>
      <c r="B3607" t="s">
        <v>40</v>
      </c>
    </row>
    <row r="3608">
      <c r="A3608" s="32">
        <f>IFERROR(__xludf.DUMMYFUNCTION("""COMPUTED_VALUE"""),43406.85725894676)</f>
        <v>43406.85726</v>
      </c>
      <c r="B3608" t="s">
        <v>80</v>
      </c>
    </row>
    <row r="3609">
      <c r="A3609" s="32">
        <f>IFERROR(__xludf.DUMMYFUNCTION("""COMPUTED_VALUE"""),43406.94100266203)</f>
        <v>43406.941</v>
      </c>
      <c r="B3609" t="s">
        <v>33</v>
      </c>
    </row>
    <row r="3610">
      <c r="A3610" s="32">
        <f>IFERROR(__xludf.DUMMYFUNCTION("""COMPUTED_VALUE"""),43406.95961534722)</f>
        <v>43406.95962</v>
      </c>
      <c r="B3610" t="s">
        <v>268</v>
      </c>
    </row>
    <row r="3611">
      <c r="A3611" s="32">
        <f>IFERROR(__xludf.DUMMYFUNCTION("""COMPUTED_VALUE"""),43407.07068321759)</f>
        <v>43407.07068</v>
      </c>
      <c r="B3611" t="s">
        <v>282</v>
      </c>
    </row>
    <row r="3612">
      <c r="A3612" s="32">
        <f>IFERROR(__xludf.DUMMYFUNCTION("""COMPUTED_VALUE"""),43407.07211018518)</f>
        <v>43407.07211</v>
      </c>
      <c r="B3612" t="s">
        <v>282</v>
      </c>
    </row>
    <row r="3613">
      <c r="A3613" s="32">
        <f>IFERROR(__xludf.DUMMYFUNCTION("""COMPUTED_VALUE"""),43407.17682167824)</f>
        <v>43407.17682</v>
      </c>
      <c r="B3613" t="s">
        <v>1609</v>
      </c>
    </row>
    <row r="3614">
      <c r="A3614" s="32">
        <f>IFERROR(__xludf.DUMMYFUNCTION("""COMPUTED_VALUE"""),43407.224956516206)</f>
        <v>43407.22496</v>
      </c>
      <c r="B3614" t="s">
        <v>33</v>
      </c>
    </row>
    <row r="3615">
      <c r="A3615" s="32">
        <f>IFERROR(__xludf.DUMMYFUNCTION("""COMPUTED_VALUE"""),43407.26307623842)</f>
        <v>43407.26308</v>
      </c>
      <c r="B3615" t="s">
        <v>2370</v>
      </c>
    </row>
    <row r="3616">
      <c r="A3616" s="32">
        <f>IFERROR(__xludf.DUMMYFUNCTION("""COMPUTED_VALUE"""),43407.341276203704)</f>
        <v>43407.34128</v>
      </c>
      <c r="B3616" t="s">
        <v>80</v>
      </c>
    </row>
    <row r="3617">
      <c r="A3617" s="32">
        <f>IFERROR(__xludf.DUMMYFUNCTION("""COMPUTED_VALUE"""),43407.36307024305)</f>
        <v>43407.36307</v>
      </c>
      <c r="B3617" t="s">
        <v>45</v>
      </c>
    </row>
    <row r="3618">
      <c r="A3618" s="32">
        <f>IFERROR(__xludf.DUMMYFUNCTION("""COMPUTED_VALUE"""),43407.40113414352)</f>
        <v>43407.40113</v>
      </c>
      <c r="B3618" t="s">
        <v>25</v>
      </c>
    </row>
    <row r="3619">
      <c r="A3619" s="32">
        <f>IFERROR(__xludf.DUMMYFUNCTION("""COMPUTED_VALUE"""),43407.42737042824)</f>
        <v>43407.42737</v>
      </c>
      <c r="B3619" t="s">
        <v>33</v>
      </c>
    </row>
    <row r="3620">
      <c r="A3620" s="32">
        <f>IFERROR(__xludf.DUMMYFUNCTION("""COMPUTED_VALUE"""),43407.45955329861)</f>
        <v>43407.45955</v>
      </c>
      <c r="B3620" t="s">
        <v>350</v>
      </c>
    </row>
    <row r="3621">
      <c r="A3621" s="32">
        <f>IFERROR(__xludf.DUMMYFUNCTION("""COMPUTED_VALUE"""),43407.46746546296)</f>
        <v>43407.46747</v>
      </c>
      <c r="B3621" t="s">
        <v>1079</v>
      </c>
    </row>
    <row r="3622">
      <c r="A3622" s="32">
        <f>IFERROR(__xludf.DUMMYFUNCTION("""COMPUTED_VALUE"""),43407.630416354164)</f>
        <v>43407.63042</v>
      </c>
      <c r="B3622" t="s">
        <v>1313</v>
      </c>
    </row>
    <row r="3623">
      <c r="A3623" s="32">
        <f>IFERROR(__xludf.DUMMYFUNCTION("""COMPUTED_VALUE"""),43407.65053997685)</f>
        <v>43407.65054</v>
      </c>
      <c r="B3623" t="s">
        <v>33</v>
      </c>
    </row>
    <row r="3624">
      <c r="A3624" s="32">
        <f>IFERROR(__xludf.DUMMYFUNCTION("""COMPUTED_VALUE"""),43407.66115518518)</f>
        <v>43407.66116</v>
      </c>
      <c r="B3624" t="s">
        <v>123</v>
      </c>
    </row>
    <row r="3625">
      <c r="A3625" s="32">
        <f>IFERROR(__xludf.DUMMYFUNCTION("""COMPUTED_VALUE"""),43407.713890555555)</f>
        <v>43407.71389</v>
      </c>
      <c r="B3625" t="s">
        <v>40</v>
      </c>
    </row>
    <row r="3626">
      <c r="A3626" s="32">
        <f>IFERROR(__xludf.DUMMYFUNCTION("""COMPUTED_VALUE"""),43407.740230208336)</f>
        <v>43407.74023</v>
      </c>
      <c r="B3626" t="s">
        <v>270</v>
      </c>
    </row>
    <row r="3627">
      <c r="A3627" s="32">
        <f>IFERROR(__xludf.DUMMYFUNCTION("""COMPUTED_VALUE"""),43408.06069372685)</f>
        <v>43408.06069</v>
      </c>
      <c r="B3627" t="s">
        <v>80</v>
      </c>
    </row>
    <row r="3628">
      <c r="A3628" s="32">
        <f>IFERROR(__xludf.DUMMYFUNCTION("""COMPUTED_VALUE"""),43408.2509024537)</f>
        <v>43408.2509</v>
      </c>
      <c r="B3628" t="s">
        <v>268</v>
      </c>
    </row>
    <row r="3629">
      <c r="A3629" s="32">
        <f>IFERROR(__xludf.DUMMYFUNCTION("""COMPUTED_VALUE"""),43408.28072796296)</f>
        <v>43408.28073</v>
      </c>
      <c r="B3629" t="s">
        <v>33</v>
      </c>
    </row>
    <row r="3630">
      <c r="A3630" s="32">
        <f>IFERROR(__xludf.DUMMYFUNCTION("""COMPUTED_VALUE"""),43408.3684037037)</f>
        <v>43408.3684</v>
      </c>
      <c r="B3630" t="s">
        <v>33</v>
      </c>
    </row>
    <row r="3631">
      <c r="A3631" s="32">
        <f>IFERROR(__xludf.DUMMYFUNCTION("""COMPUTED_VALUE"""),43408.386367812505)</f>
        <v>43408.38637</v>
      </c>
      <c r="B3631" t="s">
        <v>80</v>
      </c>
    </row>
    <row r="3632">
      <c r="A3632" s="32">
        <f>IFERROR(__xludf.DUMMYFUNCTION("""COMPUTED_VALUE"""),43408.43280763889)</f>
        <v>43408.43281</v>
      </c>
      <c r="B3632" t="s">
        <v>36</v>
      </c>
    </row>
    <row r="3633">
      <c r="A3633" s="32">
        <f>IFERROR(__xludf.DUMMYFUNCTION("""COMPUTED_VALUE"""),43408.46817393518)</f>
        <v>43408.46817</v>
      </c>
      <c r="B3633" t="s">
        <v>819</v>
      </c>
    </row>
    <row r="3634">
      <c r="A3634" s="32">
        <f>IFERROR(__xludf.DUMMYFUNCTION("""COMPUTED_VALUE"""),43408.54383121528)</f>
        <v>43408.54383</v>
      </c>
      <c r="B3634" t="s">
        <v>105</v>
      </c>
    </row>
    <row r="3635">
      <c r="A3635" s="32">
        <f>IFERROR(__xludf.DUMMYFUNCTION("""COMPUTED_VALUE"""),43408.59105204861)</f>
        <v>43408.59105</v>
      </c>
      <c r="B3635" t="s">
        <v>371</v>
      </c>
    </row>
    <row r="3636">
      <c r="A3636" s="32">
        <f>IFERROR(__xludf.DUMMYFUNCTION("""COMPUTED_VALUE"""),43408.59139300926)</f>
        <v>43408.59139</v>
      </c>
      <c r="B3636" t="s">
        <v>428</v>
      </c>
    </row>
    <row r="3637">
      <c r="A3637" s="32">
        <f>IFERROR(__xludf.DUMMYFUNCTION("""COMPUTED_VALUE"""),43408.60019212963)</f>
        <v>43408.60019</v>
      </c>
      <c r="B3637" t="s">
        <v>2190</v>
      </c>
    </row>
    <row r="3638">
      <c r="A3638" s="32">
        <f>IFERROR(__xludf.DUMMYFUNCTION("""COMPUTED_VALUE"""),43408.62811471065)</f>
        <v>43408.62811</v>
      </c>
      <c r="B3638" t="s">
        <v>813</v>
      </c>
    </row>
    <row r="3639">
      <c r="A3639" s="32">
        <f>IFERROR(__xludf.DUMMYFUNCTION("""COMPUTED_VALUE"""),43408.64872494213)</f>
        <v>43408.64872</v>
      </c>
      <c r="B3639" t="s">
        <v>2383</v>
      </c>
    </row>
    <row r="3640">
      <c r="A3640" s="32">
        <f>IFERROR(__xludf.DUMMYFUNCTION("""COMPUTED_VALUE"""),43408.74490243055)</f>
        <v>43408.7449</v>
      </c>
      <c r="B3640" t="s">
        <v>33</v>
      </c>
    </row>
    <row r="3641">
      <c r="A3641" s="32">
        <f>IFERROR(__xludf.DUMMYFUNCTION("""COMPUTED_VALUE"""),43408.75052378472)</f>
        <v>43408.75052</v>
      </c>
      <c r="B3641" t="s">
        <v>48</v>
      </c>
    </row>
    <row r="3642">
      <c r="A3642" s="32">
        <f>IFERROR(__xludf.DUMMYFUNCTION("""COMPUTED_VALUE"""),43408.75957504629)</f>
        <v>43408.75958</v>
      </c>
      <c r="B3642" t="s">
        <v>2383</v>
      </c>
    </row>
    <row r="3643">
      <c r="A3643" s="32">
        <f>IFERROR(__xludf.DUMMYFUNCTION("""COMPUTED_VALUE"""),43408.790867337964)</f>
        <v>43408.79087</v>
      </c>
      <c r="B3643" t="s">
        <v>33</v>
      </c>
    </row>
    <row r="3644">
      <c r="A3644" s="32">
        <f>IFERROR(__xludf.DUMMYFUNCTION("""COMPUTED_VALUE"""),43408.83014280093)</f>
        <v>43408.83014</v>
      </c>
      <c r="B3644" t="s">
        <v>33</v>
      </c>
    </row>
    <row r="3645">
      <c r="A3645" s="32">
        <f>IFERROR(__xludf.DUMMYFUNCTION("""COMPUTED_VALUE"""),43408.83608255787)</f>
        <v>43408.83608</v>
      </c>
      <c r="B3645" t="s">
        <v>33</v>
      </c>
    </row>
    <row r="3646">
      <c r="A3646" s="32">
        <f>IFERROR(__xludf.DUMMYFUNCTION("""COMPUTED_VALUE"""),43408.86278401621)</f>
        <v>43408.86278</v>
      </c>
      <c r="B3646" t="s">
        <v>204</v>
      </c>
    </row>
    <row r="3647">
      <c r="A3647" s="32">
        <f>IFERROR(__xludf.DUMMYFUNCTION("""COMPUTED_VALUE"""),43408.93713034722)</f>
        <v>43408.93713</v>
      </c>
      <c r="B3647" t="s">
        <v>40</v>
      </c>
    </row>
    <row r="3648">
      <c r="A3648" s="32">
        <f>IFERROR(__xludf.DUMMYFUNCTION("""COMPUTED_VALUE"""),43408.954636435185)</f>
        <v>43408.95464</v>
      </c>
      <c r="B3648" t="s">
        <v>428</v>
      </c>
    </row>
    <row r="3649">
      <c r="A3649" s="32">
        <f>IFERROR(__xludf.DUMMYFUNCTION("""COMPUTED_VALUE"""),43409.036154305555)</f>
        <v>43409.03615</v>
      </c>
      <c r="B3649" t="s">
        <v>40</v>
      </c>
    </row>
    <row r="3650">
      <c r="A3650" s="32">
        <f>IFERROR(__xludf.DUMMYFUNCTION("""COMPUTED_VALUE"""),43409.03718694445)</f>
        <v>43409.03719</v>
      </c>
      <c r="B3650" t="s">
        <v>45</v>
      </c>
    </row>
    <row r="3651">
      <c r="A3651" s="32">
        <f>IFERROR(__xludf.DUMMYFUNCTION("""COMPUTED_VALUE"""),43409.097709837966)</f>
        <v>43409.09771</v>
      </c>
      <c r="B3651" t="s">
        <v>2796</v>
      </c>
    </row>
    <row r="3652">
      <c r="A3652" s="32">
        <f>IFERROR(__xludf.DUMMYFUNCTION("""COMPUTED_VALUE"""),43409.12187935185)</f>
        <v>43409.12188</v>
      </c>
      <c r="B3652" t="s">
        <v>2797</v>
      </c>
    </row>
    <row r="3653">
      <c r="A3653" s="32">
        <f>IFERROR(__xludf.DUMMYFUNCTION("""COMPUTED_VALUE"""),43409.31660346065)</f>
        <v>43409.3166</v>
      </c>
      <c r="B3653" t="s">
        <v>2798</v>
      </c>
    </row>
    <row r="3654">
      <c r="A3654" s="32">
        <f>IFERROR(__xludf.DUMMYFUNCTION("""COMPUTED_VALUE"""),43409.36961865741)</f>
        <v>43409.36962</v>
      </c>
      <c r="B3654" t="s">
        <v>268</v>
      </c>
    </row>
    <row r="3655">
      <c r="A3655" s="32">
        <f>IFERROR(__xludf.DUMMYFUNCTION("""COMPUTED_VALUE"""),43409.412519074074)</f>
        <v>43409.41252</v>
      </c>
      <c r="B3655" t="s">
        <v>154</v>
      </c>
    </row>
    <row r="3656">
      <c r="A3656" s="32">
        <f>IFERROR(__xludf.DUMMYFUNCTION("""COMPUTED_VALUE"""),43409.41897616898)</f>
        <v>43409.41898</v>
      </c>
      <c r="B3656" t="s">
        <v>36</v>
      </c>
    </row>
    <row r="3657">
      <c r="A3657" s="32">
        <f>IFERROR(__xludf.DUMMYFUNCTION("""COMPUTED_VALUE"""),43409.47019310185)</f>
        <v>43409.47019</v>
      </c>
      <c r="B3657" t="s">
        <v>45</v>
      </c>
    </row>
    <row r="3658">
      <c r="A3658" s="32">
        <f>IFERROR(__xludf.DUMMYFUNCTION("""COMPUTED_VALUE"""),43409.53148306713)</f>
        <v>43409.53148</v>
      </c>
      <c r="B3658" t="s">
        <v>2799</v>
      </c>
    </row>
    <row r="3659">
      <c r="A3659" s="32">
        <f>IFERROR(__xludf.DUMMYFUNCTION("""COMPUTED_VALUE"""),43409.64882785879)</f>
        <v>43409.64883</v>
      </c>
      <c r="B3659" t="s">
        <v>40</v>
      </c>
    </row>
    <row r="3660">
      <c r="A3660" s="32">
        <f>IFERROR(__xludf.DUMMYFUNCTION("""COMPUTED_VALUE"""),43409.65139408565)</f>
        <v>43409.65139</v>
      </c>
      <c r="B3660" t="s">
        <v>371</v>
      </c>
    </row>
    <row r="3661">
      <c r="A3661" s="32">
        <f>IFERROR(__xludf.DUMMYFUNCTION("""COMPUTED_VALUE"""),43409.83015678241)</f>
        <v>43409.83016</v>
      </c>
      <c r="B3661" t="s">
        <v>40</v>
      </c>
    </row>
    <row r="3662">
      <c r="A3662" s="32">
        <f>IFERROR(__xludf.DUMMYFUNCTION("""COMPUTED_VALUE"""),43409.863161354166)</f>
        <v>43409.86316</v>
      </c>
      <c r="B3662" t="s">
        <v>33</v>
      </c>
    </row>
    <row r="3663">
      <c r="A3663" s="32">
        <f>IFERROR(__xludf.DUMMYFUNCTION("""COMPUTED_VALUE"""),43409.87758483796)</f>
        <v>43409.87758</v>
      </c>
      <c r="B3663" t="s">
        <v>2393</v>
      </c>
    </row>
    <row r="3664">
      <c r="A3664" s="32">
        <f>IFERROR(__xludf.DUMMYFUNCTION("""COMPUTED_VALUE"""),43409.889050729165)</f>
        <v>43409.88905</v>
      </c>
      <c r="B3664" t="s">
        <v>25</v>
      </c>
    </row>
    <row r="3665">
      <c r="A3665" s="32">
        <f>IFERROR(__xludf.DUMMYFUNCTION("""COMPUTED_VALUE"""),43409.89090989583)</f>
        <v>43409.89091</v>
      </c>
      <c r="B3665" t="s">
        <v>387</v>
      </c>
    </row>
    <row r="3666">
      <c r="A3666" s="32">
        <f>IFERROR(__xludf.DUMMYFUNCTION("""COMPUTED_VALUE"""),43409.892920625)</f>
        <v>43409.89292</v>
      </c>
      <c r="B3666" t="s">
        <v>270</v>
      </c>
    </row>
    <row r="3667">
      <c r="A3667" s="32">
        <f>IFERROR(__xludf.DUMMYFUNCTION("""COMPUTED_VALUE"""),43409.90429314815)</f>
        <v>43409.90429</v>
      </c>
      <c r="B3667" t="s">
        <v>123</v>
      </c>
    </row>
    <row r="3668">
      <c r="A3668" s="32">
        <f>IFERROR(__xludf.DUMMYFUNCTION("""COMPUTED_VALUE"""),43409.915835312495)</f>
        <v>43409.91584</v>
      </c>
      <c r="B3668" t="s">
        <v>80</v>
      </c>
    </row>
    <row r="3669">
      <c r="A3669" s="32">
        <f>IFERROR(__xludf.DUMMYFUNCTION("""COMPUTED_VALUE"""),43409.934588425924)</f>
        <v>43409.93459</v>
      </c>
      <c r="B3669" t="s">
        <v>813</v>
      </c>
    </row>
    <row r="3670">
      <c r="A3670" s="32">
        <f>IFERROR(__xludf.DUMMYFUNCTION("""COMPUTED_VALUE"""),43409.98334034722)</f>
        <v>43409.98334</v>
      </c>
      <c r="B3670" t="s">
        <v>48</v>
      </c>
    </row>
    <row r="3671">
      <c r="A3671" s="32">
        <f>IFERROR(__xludf.DUMMYFUNCTION("""COMPUTED_VALUE"""),43410.10549209491)</f>
        <v>43410.10549</v>
      </c>
      <c r="B3671" t="s">
        <v>2255</v>
      </c>
    </row>
    <row r="3672">
      <c r="A3672" s="32">
        <f>IFERROR(__xludf.DUMMYFUNCTION("""COMPUTED_VALUE"""),43410.174466157405)</f>
        <v>43410.17447</v>
      </c>
      <c r="B3672" t="s">
        <v>33</v>
      </c>
    </row>
    <row r="3673">
      <c r="A3673" s="32">
        <f>IFERROR(__xludf.DUMMYFUNCTION("""COMPUTED_VALUE"""),43410.20597768518)</f>
        <v>43410.20598</v>
      </c>
      <c r="B3673" t="s">
        <v>2662</v>
      </c>
    </row>
    <row r="3674">
      <c r="A3674" s="32">
        <f>IFERROR(__xludf.DUMMYFUNCTION("""COMPUTED_VALUE"""),43410.3014615625)</f>
        <v>43410.30146</v>
      </c>
      <c r="B3674" t="s">
        <v>119</v>
      </c>
    </row>
    <row r="3675">
      <c r="A3675" s="32">
        <f>IFERROR(__xludf.DUMMYFUNCTION("""COMPUTED_VALUE"""),43410.456590428235)</f>
        <v>43410.45659</v>
      </c>
      <c r="B3675" t="s">
        <v>80</v>
      </c>
    </row>
    <row r="3676">
      <c r="A3676" s="32">
        <f>IFERROR(__xludf.DUMMYFUNCTION("""COMPUTED_VALUE"""),43410.478612175924)</f>
        <v>43410.47861</v>
      </c>
      <c r="B3676" t="s">
        <v>40</v>
      </c>
    </row>
    <row r="3677">
      <c r="A3677" s="32">
        <f>IFERROR(__xludf.DUMMYFUNCTION("""COMPUTED_VALUE"""),43410.48359871528)</f>
        <v>43410.4836</v>
      </c>
      <c r="B3677" t="s">
        <v>387</v>
      </c>
    </row>
    <row r="3678">
      <c r="A3678" s="32">
        <f>IFERROR(__xludf.DUMMYFUNCTION("""COMPUTED_VALUE"""),43410.50053751157)</f>
        <v>43410.50054</v>
      </c>
      <c r="B3678" t="s">
        <v>40</v>
      </c>
    </row>
    <row r="3679">
      <c r="A3679" s="32">
        <f>IFERROR(__xludf.DUMMYFUNCTION("""COMPUTED_VALUE"""),43410.530415127316)</f>
        <v>43410.53042</v>
      </c>
      <c r="B3679" t="s">
        <v>124</v>
      </c>
    </row>
    <row r="3680">
      <c r="A3680" s="32">
        <f>IFERROR(__xludf.DUMMYFUNCTION("""COMPUTED_VALUE"""),43410.565185011576)</f>
        <v>43410.56519</v>
      </c>
      <c r="B3680" t="s">
        <v>40</v>
      </c>
    </row>
    <row r="3681">
      <c r="A3681" s="32">
        <f>IFERROR(__xludf.DUMMYFUNCTION("""COMPUTED_VALUE"""),43410.5687615162)</f>
        <v>43410.56876</v>
      </c>
      <c r="B3681" t="s">
        <v>2401</v>
      </c>
    </row>
    <row r="3682">
      <c r="A3682" s="32">
        <f>IFERROR(__xludf.DUMMYFUNCTION("""COMPUTED_VALUE"""),43410.57723638889)</f>
        <v>43410.57724</v>
      </c>
      <c r="B3682" t="s">
        <v>80</v>
      </c>
    </row>
    <row r="3683">
      <c r="A3683" s="32">
        <f>IFERROR(__xludf.DUMMYFUNCTION("""COMPUTED_VALUE"""),43410.57854615741)</f>
        <v>43410.57855</v>
      </c>
      <c r="B3683" t="s">
        <v>48</v>
      </c>
    </row>
    <row r="3684">
      <c r="A3684" s="32">
        <f>IFERROR(__xludf.DUMMYFUNCTION("""COMPUTED_VALUE"""),43410.58779546296)</f>
        <v>43410.5878</v>
      </c>
      <c r="B3684" t="s">
        <v>36</v>
      </c>
    </row>
    <row r="3685">
      <c r="A3685" s="32">
        <f>IFERROR(__xludf.DUMMYFUNCTION("""COMPUTED_VALUE"""),43410.58890383102)</f>
        <v>43410.5889</v>
      </c>
      <c r="B3685" t="s">
        <v>95</v>
      </c>
    </row>
    <row r="3686">
      <c r="A3686" s="32">
        <f>IFERROR(__xludf.DUMMYFUNCTION("""COMPUTED_VALUE"""),43410.61250780092)</f>
        <v>43410.61251</v>
      </c>
      <c r="B3686" t="s">
        <v>80</v>
      </c>
    </row>
    <row r="3687">
      <c r="A3687" s="32">
        <f>IFERROR(__xludf.DUMMYFUNCTION("""COMPUTED_VALUE"""),43410.62534572917)</f>
        <v>43410.62535</v>
      </c>
      <c r="B3687" t="s">
        <v>2404</v>
      </c>
    </row>
    <row r="3688">
      <c r="A3688" s="32">
        <f>IFERROR(__xludf.DUMMYFUNCTION("""COMPUTED_VALUE"""),43410.68438201389)</f>
        <v>43410.68438</v>
      </c>
      <c r="B3688" t="s">
        <v>1658</v>
      </c>
    </row>
    <row r="3689">
      <c r="A3689" s="32">
        <f>IFERROR(__xludf.DUMMYFUNCTION("""COMPUTED_VALUE"""),43410.74091136574)</f>
        <v>43410.74091</v>
      </c>
      <c r="B3689" t="s">
        <v>33</v>
      </c>
    </row>
    <row r="3690">
      <c r="A3690" s="32">
        <f>IFERROR(__xludf.DUMMYFUNCTION("""COMPUTED_VALUE"""),43410.80078695602)</f>
        <v>43410.80079</v>
      </c>
      <c r="B3690" t="s">
        <v>380</v>
      </c>
    </row>
    <row r="3691">
      <c r="A3691" s="32">
        <f>IFERROR(__xludf.DUMMYFUNCTION("""COMPUTED_VALUE"""),43410.82911494213)</f>
        <v>43410.82911</v>
      </c>
      <c r="B3691" t="s">
        <v>2237</v>
      </c>
    </row>
    <row r="3692">
      <c r="A3692" s="32">
        <f>IFERROR(__xludf.DUMMYFUNCTION("""COMPUTED_VALUE"""),43410.894645277775)</f>
        <v>43410.89465</v>
      </c>
      <c r="B3692" t="s">
        <v>40</v>
      </c>
    </row>
    <row r="3693">
      <c r="A3693" s="32">
        <f>IFERROR(__xludf.DUMMYFUNCTION("""COMPUTED_VALUE"""),43410.90002314815)</f>
        <v>43410.90002</v>
      </c>
      <c r="B3693" t="s">
        <v>371</v>
      </c>
    </row>
    <row r="3694">
      <c r="A3694" s="32">
        <f>IFERROR(__xludf.DUMMYFUNCTION("""COMPUTED_VALUE"""),43410.93523390046)</f>
        <v>43410.93523</v>
      </c>
      <c r="B3694" t="s">
        <v>407</v>
      </c>
    </row>
    <row r="3695">
      <c r="A3695" s="32">
        <f>IFERROR(__xludf.DUMMYFUNCTION("""COMPUTED_VALUE"""),43410.95891199074)</f>
        <v>43410.95891</v>
      </c>
      <c r="B3695" t="s">
        <v>2424</v>
      </c>
    </row>
    <row r="3696">
      <c r="A3696" s="32">
        <f>IFERROR(__xludf.DUMMYFUNCTION("""COMPUTED_VALUE"""),43410.983645810185)</f>
        <v>43410.98365</v>
      </c>
      <c r="B3696" t="s">
        <v>40</v>
      </c>
    </row>
    <row r="3697">
      <c r="A3697" s="32">
        <f>IFERROR(__xludf.DUMMYFUNCTION("""COMPUTED_VALUE"""),43410.984122256945)</f>
        <v>43410.98412</v>
      </c>
      <c r="B3697" t="s">
        <v>40</v>
      </c>
    </row>
    <row r="3698">
      <c r="A3698" s="32">
        <f>IFERROR(__xludf.DUMMYFUNCTION("""COMPUTED_VALUE"""),43410.994737870365)</f>
        <v>43410.99474</v>
      </c>
      <c r="B3698" t="s">
        <v>80</v>
      </c>
    </row>
    <row r="3699">
      <c r="A3699" s="32">
        <f>IFERROR(__xludf.DUMMYFUNCTION("""COMPUTED_VALUE"""),43411.011906898144)</f>
        <v>43411.01191</v>
      </c>
      <c r="B3699" t="s">
        <v>371</v>
      </c>
    </row>
    <row r="3700">
      <c r="A3700" s="32">
        <f>IFERROR(__xludf.DUMMYFUNCTION("""COMPUTED_VALUE"""),43411.02446696759)</f>
        <v>43411.02447</v>
      </c>
      <c r="B3700" t="s">
        <v>40</v>
      </c>
    </row>
    <row r="3701">
      <c r="A3701" s="32">
        <f>IFERROR(__xludf.DUMMYFUNCTION("""COMPUTED_VALUE"""),43411.2679890162)</f>
        <v>43411.26799</v>
      </c>
      <c r="B3701" t="s">
        <v>105</v>
      </c>
    </row>
    <row r="3702">
      <c r="A3702" s="32">
        <f>IFERROR(__xludf.DUMMYFUNCTION("""COMPUTED_VALUE"""),43411.33386711805)</f>
        <v>43411.33387</v>
      </c>
      <c r="B3702" t="s">
        <v>2235</v>
      </c>
    </row>
    <row r="3703">
      <c r="A3703" s="32">
        <f>IFERROR(__xludf.DUMMYFUNCTION("""COMPUTED_VALUE"""),43411.33518797454)</f>
        <v>43411.33519</v>
      </c>
      <c r="B3703" t="s">
        <v>286</v>
      </c>
    </row>
    <row r="3704">
      <c r="A3704" s="32">
        <f>IFERROR(__xludf.DUMMYFUNCTION("""COMPUTED_VALUE"""),43411.3875796412)</f>
        <v>43411.38758</v>
      </c>
      <c r="B3704" t="s">
        <v>40</v>
      </c>
    </row>
    <row r="3705">
      <c r="A3705" s="32">
        <f>IFERROR(__xludf.DUMMYFUNCTION("""COMPUTED_VALUE"""),43411.45869189815)</f>
        <v>43411.45869</v>
      </c>
      <c r="B3705" t="s">
        <v>45</v>
      </c>
    </row>
    <row r="3706">
      <c r="A3706" s="32">
        <f>IFERROR(__xludf.DUMMYFUNCTION("""COMPUTED_VALUE"""),43411.483682349535)</f>
        <v>43411.48368</v>
      </c>
      <c r="B3706" t="s">
        <v>154</v>
      </c>
    </row>
    <row r="3707">
      <c r="A3707" s="32">
        <f>IFERROR(__xludf.DUMMYFUNCTION("""COMPUTED_VALUE"""),43411.52358199074)</f>
        <v>43411.52358</v>
      </c>
      <c r="B3707" t="s">
        <v>36</v>
      </c>
    </row>
    <row r="3708">
      <c r="A3708" s="32">
        <f>IFERROR(__xludf.DUMMYFUNCTION("""COMPUTED_VALUE"""),43411.54700585648)</f>
        <v>43411.54701</v>
      </c>
      <c r="B3708" t="s">
        <v>40</v>
      </c>
    </row>
    <row r="3709">
      <c r="A3709" s="32">
        <f>IFERROR(__xludf.DUMMYFUNCTION("""COMPUTED_VALUE"""),43411.54995512731)</f>
        <v>43411.54996</v>
      </c>
      <c r="B3709" t="s">
        <v>2414</v>
      </c>
    </row>
    <row r="3710">
      <c r="A3710" s="32">
        <f>IFERROR(__xludf.DUMMYFUNCTION("""COMPUTED_VALUE"""),43411.56107993056)</f>
        <v>43411.56108</v>
      </c>
      <c r="B3710" t="s">
        <v>80</v>
      </c>
    </row>
    <row r="3711">
      <c r="A3711" s="32">
        <f>IFERROR(__xludf.DUMMYFUNCTION("""COMPUTED_VALUE"""),43411.568022708336)</f>
        <v>43411.56802</v>
      </c>
      <c r="B3711" t="s">
        <v>36</v>
      </c>
    </row>
    <row r="3712">
      <c r="A3712" s="32">
        <f>IFERROR(__xludf.DUMMYFUNCTION("""COMPUTED_VALUE"""),43411.59043847222)</f>
        <v>43411.59044</v>
      </c>
      <c r="B3712" t="s">
        <v>2800</v>
      </c>
    </row>
    <row r="3713">
      <c r="A3713" s="32">
        <f>IFERROR(__xludf.DUMMYFUNCTION("""COMPUTED_VALUE"""),43411.62839412037)</f>
        <v>43411.62839</v>
      </c>
      <c r="B3713" t="s">
        <v>33</v>
      </c>
    </row>
    <row r="3714">
      <c r="A3714" s="32">
        <f>IFERROR(__xludf.DUMMYFUNCTION("""COMPUTED_VALUE"""),43411.62840256945)</f>
        <v>43411.6284</v>
      </c>
      <c r="B3714" t="s">
        <v>33</v>
      </c>
    </row>
    <row r="3715">
      <c r="A3715" s="32">
        <f>IFERROR(__xludf.DUMMYFUNCTION("""COMPUTED_VALUE"""),43411.79558790509)</f>
        <v>43411.79559</v>
      </c>
      <c r="B3715" t="s">
        <v>2262</v>
      </c>
    </row>
    <row r="3716">
      <c r="A3716" s="32">
        <f>IFERROR(__xludf.DUMMYFUNCTION("""COMPUTED_VALUE"""),43411.796451585644)</f>
        <v>43411.79645</v>
      </c>
      <c r="B3716" t="s">
        <v>428</v>
      </c>
    </row>
    <row r="3717">
      <c r="A3717" s="32">
        <f>IFERROR(__xludf.DUMMYFUNCTION("""COMPUTED_VALUE"""),43411.802143622685)</f>
        <v>43411.80214</v>
      </c>
      <c r="B3717" t="s">
        <v>142</v>
      </c>
    </row>
    <row r="3718">
      <c r="A3718" s="32">
        <f>IFERROR(__xludf.DUMMYFUNCTION("""COMPUTED_VALUE"""),43411.844289768516)</f>
        <v>43411.84429</v>
      </c>
      <c r="B3718" t="s">
        <v>2419</v>
      </c>
    </row>
    <row r="3719">
      <c r="A3719" s="32">
        <f>IFERROR(__xludf.DUMMYFUNCTION("""COMPUTED_VALUE"""),43411.84468065972)</f>
        <v>43411.84468</v>
      </c>
      <c r="B3719" t="s">
        <v>2421</v>
      </c>
    </row>
    <row r="3720">
      <c r="A3720" s="32">
        <f>IFERROR(__xludf.DUMMYFUNCTION("""COMPUTED_VALUE"""),43411.85694680555)</f>
        <v>43411.85695</v>
      </c>
      <c r="B3720" t="s">
        <v>33</v>
      </c>
    </row>
    <row r="3721">
      <c r="A3721" s="32">
        <f>IFERROR(__xludf.DUMMYFUNCTION("""COMPUTED_VALUE"""),43411.85743137731)</f>
        <v>43411.85743</v>
      </c>
      <c r="B3721" t="s">
        <v>33</v>
      </c>
    </row>
    <row r="3722">
      <c r="A3722" s="32">
        <f>IFERROR(__xludf.DUMMYFUNCTION("""COMPUTED_VALUE"""),43411.85979914352)</f>
        <v>43411.8598</v>
      </c>
      <c r="B3722" t="s">
        <v>123</v>
      </c>
    </row>
    <row r="3723">
      <c r="A3723" s="32">
        <f>IFERROR(__xludf.DUMMYFUNCTION("""COMPUTED_VALUE"""),43411.8734262037)</f>
        <v>43411.87343</v>
      </c>
      <c r="B3723" t="s">
        <v>2801</v>
      </c>
    </row>
    <row r="3724">
      <c r="A3724" s="32">
        <f>IFERROR(__xludf.DUMMYFUNCTION("""COMPUTED_VALUE"""),43411.90788679398)</f>
        <v>43411.90789</v>
      </c>
      <c r="B3724" t="s">
        <v>2424</v>
      </c>
    </row>
    <row r="3725">
      <c r="A3725" s="32">
        <f>IFERROR(__xludf.DUMMYFUNCTION("""COMPUTED_VALUE"""),43411.93713736111)</f>
        <v>43411.93714</v>
      </c>
      <c r="B3725" t="s">
        <v>80</v>
      </c>
    </row>
    <row r="3726">
      <c r="A3726" s="32">
        <f>IFERROR(__xludf.DUMMYFUNCTION("""COMPUTED_VALUE"""),43411.947916122685)</f>
        <v>43411.94792</v>
      </c>
      <c r="B3726" t="s">
        <v>33</v>
      </c>
    </row>
    <row r="3727">
      <c r="A3727" s="32">
        <f>IFERROR(__xludf.DUMMYFUNCTION("""COMPUTED_VALUE"""),43411.991516423615)</f>
        <v>43411.99152</v>
      </c>
      <c r="B3727" t="s">
        <v>282</v>
      </c>
    </row>
    <row r="3728">
      <c r="A3728" s="32">
        <f>IFERROR(__xludf.DUMMYFUNCTION("""COMPUTED_VALUE"""),43412.04444025463)</f>
        <v>43412.04444</v>
      </c>
      <c r="B3728" t="s">
        <v>33</v>
      </c>
    </row>
    <row r="3729">
      <c r="A3729" s="32">
        <f>IFERROR(__xludf.DUMMYFUNCTION("""COMPUTED_VALUE"""),43412.04709961805)</f>
        <v>43412.0471</v>
      </c>
      <c r="B3729" t="s">
        <v>36</v>
      </c>
    </row>
    <row r="3730">
      <c r="A3730" s="32">
        <f>IFERROR(__xludf.DUMMYFUNCTION("""COMPUTED_VALUE"""),43412.17918283565)</f>
        <v>43412.17918</v>
      </c>
      <c r="B3730" t="s">
        <v>2425</v>
      </c>
    </row>
    <row r="3731">
      <c r="A3731" s="32">
        <f>IFERROR(__xludf.DUMMYFUNCTION("""COMPUTED_VALUE"""),43412.248212280094)</f>
        <v>43412.24821</v>
      </c>
      <c r="B3731" t="s">
        <v>33</v>
      </c>
    </row>
    <row r="3732">
      <c r="A3732" s="32">
        <f>IFERROR(__xludf.DUMMYFUNCTION("""COMPUTED_VALUE"""),43412.29749671296)</f>
        <v>43412.2975</v>
      </c>
      <c r="B3732" t="s">
        <v>40</v>
      </c>
    </row>
    <row r="3733">
      <c r="A3733" s="32">
        <f>IFERROR(__xludf.DUMMYFUNCTION("""COMPUTED_VALUE"""),43412.42882981482)</f>
        <v>43412.42883</v>
      </c>
      <c r="B3733" t="s">
        <v>187</v>
      </c>
    </row>
    <row r="3734">
      <c r="A3734" s="32">
        <f>IFERROR(__xludf.DUMMYFUNCTION("""COMPUTED_VALUE"""),43412.44040236111)</f>
        <v>43412.4404</v>
      </c>
      <c r="B3734" t="s">
        <v>48</v>
      </c>
    </row>
    <row r="3735">
      <c r="A3735" s="32">
        <f>IFERROR(__xludf.DUMMYFUNCTION("""COMPUTED_VALUE"""),43412.462322384265)</f>
        <v>43412.46232</v>
      </c>
      <c r="B3735" t="s">
        <v>33</v>
      </c>
    </row>
    <row r="3736">
      <c r="A3736" s="32">
        <f>IFERROR(__xludf.DUMMYFUNCTION("""COMPUTED_VALUE"""),43412.46821475694)</f>
        <v>43412.46821</v>
      </c>
      <c r="B3736" t="s">
        <v>40</v>
      </c>
    </row>
    <row r="3737">
      <c r="A3737" s="32">
        <f>IFERROR(__xludf.DUMMYFUNCTION("""COMPUTED_VALUE"""),43412.481670486115)</f>
        <v>43412.48167</v>
      </c>
      <c r="B3737" t="s">
        <v>33</v>
      </c>
    </row>
    <row r="3738">
      <c r="A3738" s="32">
        <f>IFERROR(__xludf.DUMMYFUNCTION("""COMPUTED_VALUE"""),43412.502546296295)</f>
        <v>43412.50255</v>
      </c>
      <c r="B3738" t="s">
        <v>139</v>
      </c>
    </row>
    <row r="3739">
      <c r="A3739" s="32">
        <f>IFERROR(__xludf.DUMMYFUNCTION("""COMPUTED_VALUE"""),43412.56418336806)</f>
        <v>43412.56418</v>
      </c>
      <c r="B3739" t="s">
        <v>2430</v>
      </c>
    </row>
    <row r="3740">
      <c r="A3740" s="32">
        <f>IFERROR(__xludf.DUMMYFUNCTION("""COMPUTED_VALUE"""),43412.56489204861)</f>
        <v>43412.56489</v>
      </c>
      <c r="B3740" t="s">
        <v>706</v>
      </c>
    </row>
    <row r="3741">
      <c r="A3741" s="32">
        <f>IFERROR(__xludf.DUMMYFUNCTION("""COMPUTED_VALUE"""),43412.576493229164)</f>
        <v>43412.57649</v>
      </c>
      <c r="B3741" t="s">
        <v>426</v>
      </c>
    </row>
    <row r="3742">
      <c r="A3742" s="32">
        <f>IFERROR(__xludf.DUMMYFUNCTION("""COMPUTED_VALUE"""),43412.58988755787)</f>
        <v>43412.58989</v>
      </c>
      <c r="B3742" t="s">
        <v>48</v>
      </c>
    </row>
    <row r="3743">
      <c r="A3743" s="32">
        <f>IFERROR(__xludf.DUMMYFUNCTION("""COMPUTED_VALUE"""),43412.67926675926)</f>
        <v>43412.67927</v>
      </c>
      <c r="B3743" t="s">
        <v>40</v>
      </c>
    </row>
    <row r="3744">
      <c r="A3744" s="32">
        <f>IFERROR(__xludf.DUMMYFUNCTION("""COMPUTED_VALUE"""),43412.680581990746)</f>
        <v>43412.68058</v>
      </c>
      <c r="B3744" t="s">
        <v>40</v>
      </c>
    </row>
    <row r="3745">
      <c r="A3745" s="32">
        <f>IFERROR(__xludf.DUMMYFUNCTION("""COMPUTED_VALUE"""),43412.683711875)</f>
        <v>43412.68371</v>
      </c>
      <c r="B3745" t="s">
        <v>25</v>
      </c>
    </row>
    <row r="3746">
      <c r="A3746" s="32">
        <f>IFERROR(__xludf.DUMMYFUNCTION("""COMPUTED_VALUE"""),43412.69610886574)</f>
        <v>43412.69611</v>
      </c>
      <c r="B3746" t="s">
        <v>204</v>
      </c>
    </row>
    <row r="3747">
      <c r="A3747" s="32">
        <f>IFERROR(__xludf.DUMMYFUNCTION("""COMPUTED_VALUE"""),43412.709980370375)</f>
        <v>43412.70998</v>
      </c>
      <c r="B3747" t="s">
        <v>80</v>
      </c>
    </row>
    <row r="3748">
      <c r="A3748" s="32">
        <f>IFERROR(__xludf.DUMMYFUNCTION("""COMPUTED_VALUE"""),43412.716129016204)</f>
        <v>43412.71613</v>
      </c>
      <c r="B3748" t="s">
        <v>282</v>
      </c>
    </row>
    <row r="3749">
      <c r="A3749" s="32">
        <f>IFERROR(__xludf.DUMMYFUNCTION("""COMPUTED_VALUE"""),43412.76437038195)</f>
        <v>43412.76437</v>
      </c>
      <c r="B3749" t="s">
        <v>371</v>
      </c>
    </row>
    <row r="3750">
      <c r="A3750" s="32">
        <f>IFERROR(__xludf.DUMMYFUNCTION("""COMPUTED_VALUE"""),43412.782858125)</f>
        <v>43412.78286</v>
      </c>
      <c r="B3750" t="s">
        <v>80</v>
      </c>
    </row>
    <row r="3751">
      <c r="A3751" s="32">
        <f>IFERROR(__xludf.DUMMYFUNCTION("""COMPUTED_VALUE"""),43412.79088871527)</f>
        <v>43412.79089</v>
      </c>
      <c r="B3751" t="s">
        <v>813</v>
      </c>
    </row>
    <row r="3752">
      <c r="A3752" s="32">
        <f>IFERROR(__xludf.DUMMYFUNCTION("""COMPUTED_VALUE"""),43412.85959017361)</f>
        <v>43412.85959</v>
      </c>
      <c r="B3752" t="s">
        <v>1421</v>
      </c>
    </row>
    <row r="3753">
      <c r="A3753" s="32">
        <f>IFERROR(__xludf.DUMMYFUNCTION("""COMPUTED_VALUE"""),43412.866092129625)</f>
        <v>43412.86609</v>
      </c>
      <c r="B3753" t="s">
        <v>40</v>
      </c>
    </row>
    <row r="3754">
      <c r="A3754" s="32">
        <f>IFERROR(__xludf.DUMMYFUNCTION("""COMPUTED_VALUE"""),43412.876202534724)</f>
        <v>43412.8762</v>
      </c>
      <c r="B3754" t="s">
        <v>40</v>
      </c>
    </row>
    <row r="3755">
      <c r="A3755" s="32">
        <f>IFERROR(__xludf.DUMMYFUNCTION("""COMPUTED_VALUE"""),43412.883341099536)</f>
        <v>43412.88334</v>
      </c>
      <c r="B3755" t="s">
        <v>371</v>
      </c>
    </row>
    <row r="3756">
      <c r="A3756" s="32">
        <f>IFERROR(__xludf.DUMMYFUNCTION("""COMPUTED_VALUE"""),43412.91174736111)</f>
        <v>43412.91175</v>
      </c>
      <c r="B3756" t="s">
        <v>40</v>
      </c>
    </row>
    <row r="3757">
      <c r="A3757" s="32">
        <f>IFERROR(__xludf.DUMMYFUNCTION("""COMPUTED_VALUE"""),43412.98343451389)</f>
        <v>43412.98343</v>
      </c>
      <c r="B3757" t="s">
        <v>33</v>
      </c>
    </row>
    <row r="3758">
      <c r="A3758" s="32">
        <f>IFERROR(__xludf.DUMMYFUNCTION("""COMPUTED_VALUE"""),43413.08804646991)</f>
        <v>43413.08805</v>
      </c>
      <c r="B3758" t="s">
        <v>33</v>
      </c>
    </row>
    <row r="3759">
      <c r="A3759" s="32">
        <f>IFERROR(__xludf.DUMMYFUNCTION("""COMPUTED_VALUE"""),43413.137858842594)</f>
        <v>43413.13786</v>
      </c>
      <c r="B3759" t="s">
        <v>154</v>
      </c>
    </row>
    <row r="3760">
      <c r="A3760" s="32">
        <f>IFERROR(__xludf.DUMMYFUNCTION("""COMPUTED_VALUE"""),43413.16255167824)</f>
        <v>43413.16255</v>
      </c>
      <c r="B3760" t="s">
        <v>33</v>
      </c>
    </row>
    <row r="3761">
      <c r="A3761" s="32">
        <f>IFERROR(__xludf.DUMMYFUNCTION("""COMPUTED_VALUE"""),43413.239704189815)</f>
        <v>43413.2397</v>
      </c>
      <c r="B3761" t="s">
        <v>33</v>
      </c>
    </row>
    <row r="3762">
      <c r="A3762" s="32">
        <f>IFERROR(__xludf.DUMMYFUNCTION("""COMPUTED_VALUE"""),43413.253028796295)</f>
        <v>43413.25303</v>
      </c>
      <c r="B3762" t="s">
        <v>124</v>
      </c>
    </row>
    <row r="3763">
      <c r="A3763" s="32">
        <f>IFERROR(__xludf.DUMMYFUNCTION("""COMPUTED_VALUE"""),43413.27007861111)</f>
        <v>43413.27008</v>
      </c>
      <c r="B3763" t="s">
        <v>33</v>
      </c>
    </row>
    <row r="3764">
      <c r="A3764" s="32">
        <f>IFERROR(__xludf.DUMMYFUNCTION("""COMPUTED_VALUE"""),43413.29591055556)</f>
        <v>43413.29591</v>
      </c>
      <c r="B3764" t="s">
        <v>2802</v>
      </c>
    </row>
    <row r="3765">
      <c r="A3765" s="32">
        <f>IFERROR(__xludf.DUMMYFUNCTION("""COMPUTED_VALUE"""),43413.321947233795)</f>
        <v>43413.32195</v>
      </c>
      <c r="B3765" t="s">
        <v>1603</v>
      </c>
    </row>
    <row r="3766">
      <c r="A3766" s="32">
        <f>IFERROR(__xludf.DUMMYFUNCTION("""COMPUTED_VALUE"""),43413.42056466435)</f>
        <v>43413.42056</v>
      </c>
      <c r="B3766" t="s">
        <v>790</v>
      </c>
    </row>
    <row r="3767">
      <c r="A3767" s="32">
        <f>IFERROR(__xludf.DUMMYFUNCTION("""COMPUTED_VALUE"""),43413.45629340278)</f>
        <v>43413.45629</v>
      </c>
      <c r="B3767" t="s">
        <v>371</v>
      </c>
    </row>
    <row r="3768">
      <c r="A3768" s="32">
        <f>IFERROR(__xludf.DUMMYFUNCTION("""COMPUTED_VALUE"""),43413.507565312495)</f>
        <v>43413.50757</v>
      </c>
      <c r="B3768" t="s">
        <v>2738</v>
      </c>
    </row>
    <row r="3769">
      <c r="A3769" s="32">
        <f>IFERROR(__xludf.DUMMYFUNCTION("""COMPUTED_VALUE"""),43413.51125520833)</f>
        <v>43413.51126</v>
      </c>
      <c r="B3769" t="s">
        <v>2738</v>
      </c>
    </row>
    <row r="3770">
      <c r="A3770" s="32">
        <f>IFERROR(__xludf.DUMMYFUNCTION("""COMPUTED_VALUE"""),43413.512078935186)</f>
        <v>43413.51208</v>
      </c>
      <c r="B3770" t="s">
        <v>2658</v>
      </c>
    </row>
    <row r="3771">
      <c r="A3771" s="32">
        <f>IFERROR(__xludf.DUMMYFUNCTION("""COMPUTED_VALUE"""),43413.51328748843)</f>
        <v>43413.51329</v>
      </c>
      <c r="B3771" t="s">
        <v>1658</v>
      </c>
    </row>
    <row r="3772">
      <c r="A3772" s="32">
        <f>IFERROR(__xludf.DUMMYFUNCTION("""COMPUTED_VALUE"""),43413.60102174769)</f>
        <v>43413.60102</v>
      </c>
      <c r="B3772" t="s">
        <v>119</v>
      </c>
    </row>
    <row r="3773">
      <c r="A3773" s="32">
        <f>IFERROR(__xludf.DUMMYFUNCTION("""COMPUTED_VALUE"""),43413.60356498843)</f>
        <v>43413.60356</v>
      </c>
      <c r="B3773" t="s">
        <v>40</v>
      </c>
    </row>
    <row r="3774">
      <c r="A3774" s="32">
        <f>IFERROR(__xludf.DUMMYFUNCTION("""COMPUTED_VALUE"""),43413.6058066088)</f>
        <v>43413.60581</v>
      </c>
      <c r="B3774" t="s">
        <v>33</v>
      </c>
    </row>
    <row r="3775">
      <c r="A3775" s="32">
        <f>IFERROR(__xludf.DUMMYFUNCTION("""COMPUTED_VALUE"""),43413.61697969907)</f>
        <v>43413.61698</v>
      </c>
      <c r="B3775" t="s">
        <v>80</v>
      </c>
    </row>
    <row r="3776">
      <c r="A3776" s="32">
        <f>IFERROR(__xludf.DUMMYFUNCTION("""COMPUTED_VALUE"""),43413.62237855324)</f>
        <v>43413.62238</v>
      </c>
      <c r="B3776" t="s">
        <v>80</v>
      </c>
    </row>
    <row r="3777">
      <c r="A3777" s="32">
        <f>IFERROR(__xludf.DUMMYFUNCTION("""COMPUTED_VALUE"""),43413.64538685185)</f>
        <v>43413.64539</v>
      </c>
      <c r="B3777" t="s">
        <v>268</v>
      </c>
    </row>
    <row r="3778">
      <c r="A3778" s="32">
        <f>IFERROR(__xludf.DUMMYFUNCTION("""COMPUTED_VALUE"""),43413.71508952546)</f>
        <v>43413.71509</v>
      </c>
      <c r="B3778" t="s">
        <v>2452</v>
      </c>
    </row>
    <row r="3779">
      <c r="A3779" s="32">
        <f>IFERROR(__xludf.DUMMYFUNCTION("""COMPUTED_VALUE"""),43413.717398796296)</f>
        <v>43413.7174</v>
      </c>
      <c r="B3779" t="s">
        <v>33</v>
      </c>
    </row>
    <row r="3780">
      <c r="A3780" s="32">
        <f>IFERROR(__xludf.DUMMYFUNCTION("""COMPUTED_VALUE"""),43413.78812282407)</f>
        <v>43413.78812</v>
      </c>
      <c r="B3780" t="s">
        <v>2424</v>
      </c>
    </row>
    <row r="3781">
      <c r="A3781" s="32">
        <f>IFERROR(__xludf.DUMMYFUNCTION("""COMPUTED_VALUE"""),43413.8226905787)</f>
        <v>43413.82269</v>
      </c>
      <c r="B3781" t="s">
        <v>2454</v>
      </c>
    </row>
    <row r="3782">
      <c r="A3782" s="32">
        <f>IFERROR(__xludf.DUMMYFUNCTION("""COMPUTED_VALUE"""),43413.849480335644)</f>
        <v>43413.84948</v>
      </c>
      <c r="B3782" t="s">
        <v>2662</v>
      </c>
    </row>
    <row r="3783">
      <c r="A3783" s="32">
        <f>IFERROR(__xludf.DUMMYFUNCTION("""COMPUTED_VALUE"""),43413.87774696759)</f>
        <v>43413.87775</v>
      </c>
      <c r="B3783" t="s">
        <v>119</v>
      </c>
    </row>
    <row r="3784">
      <c r="A3784" s="32">
        <f>IFERROR(__xludf.DUMMYFUNCTION("""COMPUTED_VALUE"""),43413.88291503472)</f>
        <v>43413.88292</v>
      </c>
      <c r="B3784" t="s">
        <v>119</v>
      </c>
    </row>
    <row r="3785">
      <c r="A3785" s="32">
        <f>IFERROR(__xludf.DUMMYFUNCTION("""COMPUTED_VALUE"""),43413.88459966435)</f>
        <v>43413.8846</v>
      </c>
      <c r="B3785" t="s">
        <v>1255</v>
      </c>
    </row>
    <row r="3786">
      <c r="A3786" s="32">
        <f>IFERROR(__xludf.DUMMYFUNCTION("""COMPUTED_VALUE"""),43413.9214721412)</f>
        <v>43413.92147</v>
      </c>
      <c r="B3786" t="s">
        <v>80</v>
      </c>
    </row>
    <row r="3787">
      <c r="A3787" s="32">
        <f>IFERROR(__xludf.DUMMYFUNCTION("""COMPUTED_VALUE"""),43413.932087002315)</f>
        <v>43413.93209</v>
      </c>
      <c r="B3787" t="s">
        <v>119</v>
      </c>
    </row>
    <row r="3788">
      <c r="A3788" s="32">
        <f>IFERROR(__xludf.DUMMYFUNCTION("""COMPUTED_VALUE"""),43413.93249395833)</f>
        <v>43413.93249</v>
      </c>
      <c r="B3788" t="s">
        <v>33</v>
      </c>
    </row>
    <row r="3789">
      <c r="A3789" s="32">
        <f>IFERROR(__xludf.DUMMYFUNCTION("""COMPUTED_VALUE"""),43413.95417759259)</f>
        <v>43413.95418</v>
      </c>
      <c r="B3789" t="s">
        <v>2803</v>
      </c>
    </row>
    <row r="3790">
      <c r="A3790" s="32">
        <f>IFERROR(__xludf.DUMMYFUNCTION("""COMPUTED_VALUE"""),43413.95974585648)</f>
        <v>43413.95975</v>
      </c>
      <c r="B3790" t="s">
        <v>40</v>
      </c>
    </row>
    <row r="3791">
      <c r="A3791" s="32">
        <f>IFERROR(__xludf.DUMMYFUNCTION("""COMPUTED_VALUE"""),43413.967751979166)</f>
        <v>43413.96775</v>
      </c>
      <c r="B3791" t="s">
        <v>40</v>
      </c>
    </row>
    <row r="3792">
      <c r="A3792" s="32">
        <f>IFERROR(__xludf.DUMMYFUNCTION("""COMPUTED_VALUE"""),43413.967753715275)</f>
        <v>43413.96775</v>
      </c>
      <c r="B3792" t="s">
        <v>40</v>
      </c>
    </row>
    <row r="3793">
      <c r="A3793" s="32">
        <f>IFERROR(__xludf.DUMMYFUNCTION("""COMPUTED_VALUE"""),43413.99433075231)</f>
        <v>43413.99433</v>
      </c>
      <c r="B3793" t="s">
        <v>387</v>
      </c>
    </row>
    <row r="3794">
      <c r="A3794" s="32">
        <f>IFERROR(__xludf.DUMMYFUNCTION("""COMPUTED_VALUE"""),43414.03948939814)</f>
        <v>43414.03949</v>
      </c>
      <c r="B3794" t="s">
        <v>2658</v>
      </c>
    </row>
    <row r="3795">
      <c r="A3795" s="32">
        <f>IFERROR(__xludf.DUMMYFUNCTION("""COMPUTED_VALUE"""),43414.12471621528)</f>
        <v>43414.12472</v>
      </c>
      <c r="B3795" t="s">
        <v>380</v>
      </c>
    </row>
    <row r="3796">
      <c r="A3796" s="32">
        <f>IFERROR(__xludf.DUMMYFUNCTION("""COMPUTED_VALUE"""),43414.35372134259)</f>
        <v>43414.35372</v>
      </c>
      <c r="B3796" t="s">
        <v>36</v>
      </c>
    </row>
    <row r="3797">
      <c r="A3797" s="32">
        <f>IFERROR(__xludf.DUMMYFUNCTION("""COMPUTED_VALUE"""),43414.403073194444)</f>
        <v>43414.40307</v>
      </c>
      <c r="B3797" t="s">
        <v>40</v>
      </c>
    </row>
    <row r="3798">
      <c r="A3798" s="32">
        <f>IFERROR(__xludf.DUMMYFUNCTION("""COMPUTED_VALUE"""),43414.427332997686)</f>
        <v>43414.42733</v>
      </c>
      <c r="B3798" t="s">
        <v>371</v>
      </c>
    </row>
    <row r="3799">
      <c r="A3799" s="32">
        <f>IFERROR(__xludf.DUMMYFUNCTION("""COMPUTED_VALUE"""),43414.428780243055)</f>
        <v>43414.42878</v>
      </c>
      <c r="B3799" t="s">
        <v>371</v>
      </c>
    </row>
    <row r="3800">
      <c r="A3800" s="32">
        <f>IFERROR(__xludf.DUMMYFUNCTION("""COMPUTED_VALUE"""),43414.46915631944)</f>
        <v>43414.46916</v>
      </c>
      <c r="B3800" t="s">
        <v>380</v>
      </c>
    </row>
    <row r="3801">
      <c r="A3801" s="32">
        <f>IFERROR(__xludf.DUMMYFUNCTION("""COMPUTED_VALUE"""),43414.47968131944)</f>
        <v>43414.47968</v>
      </c>
      <c r="B3801" t="s">
        <v>123</v>
      </c>
    </row>
    <row r="3802">
      <c r="A3802" s="32">
        <f>IFERROR(__xludf.DUMMYFUNCTION("""COMPUTED_VALUE"""),43414.56372056713)</f>
        <v>43414.56372</v>
      </c>
      <c r="B3802" t="s">
        <v>33</v>
      </c>
    </row>
    <row r="3803">
      <c r="A3803" s="32">
        <f>IFERROR(__xludf.DUMMYFUNCTION("""COMPUTED_VALUE"""),43414.62760211805)</f>
        <v>43414.6276</v>
      </c>
      <c r="B3803" t="s">
        <v>440</v>
      </c>
    </row>
    <row r="3804">
      <c r="A3804" s="32">
        <f>IFERROR(__xludf.DUMMYFUNCTION("""COMPUTED_VALUE"""),43414.63157413194)</f>
        <v>43414.63157</v>
      </c>
      <c r="B3804" t="s">
        <v>109</v>
      </c>
    </row>
    <row r="3805">
      <c r="A3805" s="32">
        <f>IFERROR(__xludf.DUMMYFUNCTION("""COMPUTED_VALUE"""),43414.6337359375)</f>
        <v>43414.63374</v>
      </c>
      <c r="B3805" t="s">
        <v>40</v>
      </c>
    </row>
    <row r="3806">
      <c r="A3806" s="32">
        <f>IFERROR(__xludf.DUMMYFUNCTION("""COMPUTED_VALUE"""),43414.63436167824)</f>
        <v>43414.63436</v>
      </c>
      <c r="B3806" t="s">
        <v>40</v>
      </c>
    </row>
    <row r="3807">
      <c r="A3807" s="32">
        <f>IFERROR(__xludf.DUMMYFUNCTION("""COMPUTED_VALUE"""),43414.67410415509)</f>
        <v>43414.6741</v>
      </c>
      <c r="B3807" t="s">
        <v>268</v>
      </c>
    </row>
    <row r="3808">
      <c r="A3808" s="32">
        <f>IFERROR(__xludf.DUMMYFUNCTION("""COMPUTED_VALUE"""),43414.70343893519)</f>
        <v>43414.70344</v>
      </c>
      <c r="B3808" t="s">
        <v>80</v>
      </c>
    </row>
    <row r="3809">
      <c r="A3809" s="32">
        <f>IFERROR(__xludf.DUMMYFUNCTION("""COMPUTED_VALUE"""),43414.712036296296)</f>
        <v>43414.71204</v>
      </c>
      <c r="B3809" t="s">
        <v>45</v>
      </c>
    </row>
    <row r="3810">
      <c r="A3810" s="32">
        <f>IFERROR(__xludf.DUMMYFUNCTION("""COMPUTED_VALUE"""),43414.7189197338)</f>
        <v>43414.71892</v>
      </c>
      <c r="B3810" t="s">
        <v>2468</v>
      </c>
    </row>
    <row r="3811">
      <c r="A3811" s="32">
        <f>IFERROR(__xludf.DUMMYFUNCTION("""COMPUTED_VALUE"""),43414.72115136574)</f>
        <v>43414.72115</v>
      </c>
      <c r="B3811" t="s">
        <v>2468</v>
      </c>
    </row>
    <row r="3812">
      <c r="A3812" s="32">
        <f>IFERROR(__xludf.DUMMYFUNCTION("""COMPUTED_VALUE"""),43414.7570572338)</f>
        <v>43414.75706</v>
      </c>
      <c r="B3812" t="s">
        <v>2804</v>
      </c>
    </row>
    <row r="3813">
      <c r="A3813" s="32">
        <f>IFERROR(__xludf.DUMMYFUNCTION("""COMPUTED_VALUE"""),43414.861288726854)</f>
        <v>43414.86129</v>
      </c>
      <c r="B3813" t="s">
        <v>371</v>
      </c>
    </row>
    <row r="3814">
      <c r="A3814" s="32">
        <f>IFERROR(__xludf.DUMMYFUNCTION("""COMPUTED_VALUE"""),43414.8622375)</f>
        <v>43414.86224</v>
      </c>
      <c r="B3814" t="s">
        <v>371</v>
      </c>
    </row>
    <row r="3815">
      <c r="A3815" s="32">
        <f>IFERROR(__xludf.DUMMYFUNCTION("""COMPUTED_VALUE"""),43414.909843657406)</f>
        <v>43414.90984</v>
      </c>
      <c r="B3815" t="s">
        <v>371</v>
      </c>
    </row>
    <row r="3816">
      <c r="A3816" s="32">
        <f>IFERROR(__xludf.DUMMYFUNCTION("""COMPUTED_VALUE"""),43414.94529517361)</f>
        <v>43414.9453</v>
      </c>
      <c r="B3816" t="s">
        <v>40</v>
      </c>
    </row>
    <row r="3817">
      <c r="A3817" s="32">
        <f>IFERROR(__xludf.DUMMYFUNCTION("""COMPUTED_VALUE"""),43414.96610319444)</f>
        <v>43414.9661</v>
      </c>
      <c r="B3817" t="s">
        <v>36</v>
      </c>
    </row>
    <row r="3818">
      <c r="A3818" s="32">
        <f>IFERROR(__xludf.DUMMYFUNCTION("""COMPUTED_VALUE"""),43415.071325763885)</f>
        <v>43415.07133</v>
      </c>
      <c r="B3818" t="s">
        <v>80</v>
      </c>
    </row>
    <row r="3819">
      <c r="A3819" s="32">
        <f>IFERROR(__xludf.DUMMYFUNCTION("""COMPUTED_VALUE"""),43415.38753107639)</f>
        <v>43415.38753</v>
      </c>
      <c r="B3819" t="s">
        <v>33</v>
      </c>
    </row>
    <row r="3820">
      <c r="A3820" s="32">
        <f>IFERROR(__xludf.DUMMYFUNCTION("""COMPUTED_VALUE"""),43415.41358758102)</f>
        <v>43415.41359</v>
      </c>
      <c r="B3820" t="s">
        <v>40</v>
      </c>
    </row>
    <row r="3821">
      <c r="A3821" s="32">
        <f>IFERROR(__xludf.DUMMYFUNCTION("""COMPUTED_VALUE"""),43415.43193766204)</f>
        <v>43415.43194</v>
      </c>
      <c r="B3821" t="s">
        <v>33</v>
      </c>
    </row>
    <row r="3822">
      <c r="A3822" s="32">
        <f>IFERROR(__xludf.DUMMYFUNCTION("""COMPUTED_VALUE"""),43415.43898471065)</f>
        <v>43415.43898</v>
      </c>
      <c r="B3822" t="s">
        <v>1867</v>
      </c>
    </row>
    <row r="3823">
      <c r="A3823" s="32">
        <f>IFERROR(__xludf.DUMMYFUNCTION("""COMPUTED_VALUE"""),43415.50638653935)</f>
        <v>43415.50639</v>
      </c>
      <c r="B3823" t="s">
        <v>33</v>
      </c>
    </row>
    <row r="3824">
      <c r="A3824" s="32">
        <f>IFERROR(__xludf.DUMMYFUNCTION("""COMPUTED_VALUE"""),43415.5559740625)</f>
        <v>43415.55597</v>
      </c>
      <c r="B3824" t="s">
        <v>2805</v>
      </c>
    </row>
    <row r="3825">
      <c r="A3825" s="32">
        <f>IFERROR(__xludf.DUMMYFUNCTION("""COMPUTED_VALUE"""),43415.641839918986)</f>
        <v>43415.64184</v>
      </c>
      <c r="B3825" t="s">
        <v>80</v>
      </c>
    </row>
    <row r="3826">
      <c r="A3826" s="32">
        <f>IFERROR(__xludf.DUMMYFUNCTION("""COMPUTED_VALUE"""),43415.65426627315)</f>
        <v>43415.65427</v>
      </c>
      <c r="B3826" t="s">
        <v>25</v>
      </c>
    </row>
    <row r="3827">
      <c r="A3827" s="32">
        <f>IFERROR(__xludf.DUMMYFUNCTION("""COMPUTED_VALUE"""),43415.7311037037)</f>
        <v>43415.7311</v>
      </c>
      <c r="B3827" t="s">
        <v>2424</v>
      </c>
    </row>
    <row r="3828">
      <c r="A3828" s="32">
        <f>IFERROR(__xludf.DUMMYFUNCTION("""COMPUTED_VALUE"""),43415.998680370365)</f>
        <v>43415.99868</v>
      </c>
      <c r="B3828" t="s">
        <v>40</v>
      </c>
    </row>
    <row r="3829">
      <c r="A3829" s="32">
        <f>IFERROR(__xludf.DUMMYFUNCTION("""COMPUTED_VALUE"""),43416.27680636574)</f>
        <v>43416.27681</v>
      </c>
      <c r="B3829" t="s">
        <v>40</v>
      </c>
    </row>
    <row r="3830">
      <c r="A3830" s="32">
        <f>IFERROR(__xludf.DUMMYFUNCTION("""COMPUTED_VALUE"""),43416.27680782408)</f>
        <v>43416.27681</v>
      </c>
      <c r="B3830" t="s">
        <v>40</v>
      </c>
    </row>
    <row r="3831">
      <c r="A3831" s="32">
        <f>IFERROR(__xludf.DUMMYFUNCTION("""COMPUTED_VALUE"""),43416.27797681713)</f>
        <v>43416.27798</v>
      </c>
      <c r="B3831" t="s">
        <v>40</v>
      </c>
    </row>
    <row r="3832">
      <c r="A3832" s="32">
        <f>IFERROR(__xludf.DUMMYFUNCTION("""COMPUTED_VALUE"""),43416.34187744213)</f>
        <v>43416.34188</v>
      </c>
      <c r="B3832" t="s">
        <v>40</v>
      </c>
    </row>
    <row r="3833">
      <c r="A3833" s="32">
        <f>IFERROR(__xludf.DUMMYFUNCTION("""COMPUTED_VALUE"""),43416.533417893515)</f>
        <v>43416.53342</v>
      </c>
      <c r="B3833" t="s">
        <v>2424</v>
      </c>
    </row>
    <row r="3834">
      <c r="A3834" s="32">
        <f>IFERROR(__xludf.DUMMYFUNCTION("""COMPUTED_VALUE"""),43416.62674892361)</f>
        <v>43416.62675</v>
      </c>
      <c r="B3834" t="s">
        <v>33</v>
      </c>
    </row>
    <row r="3835">
      <c r="A3835" s="32">
        <f>IFERROR(__xludf.DUMMYFUNCTION("""COMPUTED_VALUE"""),43416.64962802084)</f>
        <v>43416.64963</v>
      </c>
      <c r="B3835" t="s">
        <v>256</v>
      </c>
    </row>
    <row r="3836">
      <c r="A3836" s="32">
        <f>IFERROR(__xludf.DUMMYFUNCTION("""COMPUTED_VALUE"""),43416.6574985301)</f>
        <v>43416.6575</v>
      </c>
      <c r="B3836" t="s">
        <v>139</v>
      </c>
    </row>
    <row r="3837">
      <c r="A3837" s="32">
        <f>IFERROR(__xludf.DUMMYFUNCTION("""COMPUTED_VALUE"""),43416.67746377314)</f>
        <v>43416.67746</v>
      </c>
      <c r="B3837" t="s">
        <v>2662</v>
      </c>
    </row>
    <row r="3838">
      <c r="A3838" s="32">
        <f>IFERROR(__xludf.DUMMYFUNCTION("""COMPUTED_VALUE"""),43416.702400821756)</f>
        <v>43416.7024</v>
      </c>
      <c r="B3838" t="s">
        <v>170</v>
      </c>
    </row>
    <row r="3839">
      <c r="A3839" s="32">
        <f>IFERROR(__xludf.DUMMYFUNCTION("""COMPUTED_VALUE"""),43416.724875)</f>
        <v>43416.72488</v>
      </c>
      <c r="B3839" t="s">
        <v>705</v>
      </c>
    </row>
    <row r="3840">
      <c r="A3840" s="32">
        <f>IFERROR(__xludf.DUMMYFUNCTION("""COMPUTED_VALUE"""),43416.73658471065)</f>
        <v>43416.73658</v>
      </c>
      <c r="B3840" t="s">
        <v>268</v>
      </c>
    </row>
    <row r="3841">
      <c r="A3841" s="32">
        <f>IFERROR(__xludf.DUMMYFUNCTION("""COMPUTED_VALUE"""),43416.8182971875)</f>
        <v>43416.8183</v>
      </c>
      <c r="B3841" t="s">
        <v>45</v>
      </c>
    </row>
    <row r="3842">
      <c r="A3842" s="32">
        <f>IFERROR(__xludf.DUMMYFUNCTION("""COMPUTED_VALUE"""),43416.828311307865)</f>
        <v>43416.82831</v>
      </c>
      <c r="B3842" t="s">
        <v>40</v>
      </c>
    </row>
    <row r="3843">
      <c r="A3843" s="32">
        <f>IFERROR(__xludf.DUMMYFUNCTION("""COMPUTED_VALUE"""),43416.85169556713)</f>
        <v>43416.8517</v>
      </c>
      <c r="B3843" t="s">
        <v>40</v>
      </c>
    </row>
    <row r="3844">
      <c r="A3844" s="32">
        <f>IFERROR(__xludf.DUMMYFUNCTION("""COMPUTED_VALUE"""),43416.85898208333)</f>
        <v>43416.85898</v>
      </c>
      <c r="B3844" t="s">
        <v>48</v>
      </c>
    </row>
    <row r="3845">
      <c r="A3845" s="32">
        <f>IFERROR(__xludf.DUMMYFUNCTION("""COMPUTED_VALUE"""),43416.88296844908)</f>
        <v>43416.88297</v>
      </c>
      <c r="B3845" t="s">
        <v>36</v>
      </c>
    </row>
    <row r="3846">
      <c r="A3846" s="32">
        <f>IFERROR(__xludf.DUMMYFUNCTION("""COMPUTED_VALUE"""),43416.897911458334)</f>
        <v>43416.89791</v>
      </c>
      <c r="B3846" t="s">
        <v>80</v>
      </c>
    </row>
    <row r="3847">
      <c r="A3847" s="32">
        <f>IFERROR(__xludf.DUMMYFUNCTION("""COMPUTED_VALUE"""),43416.902708657406)</f>
        <v>43416.90271</v>
      </c>
      <c r="B3847" t="s">
        <v>2668</v>
      </c>
    </row>
    <row r="3848">
      <c r="A3848" s="32">
        <f>IFERROR(__xludf.DUMMYFUNCTION("""COMPUTED_VALUE"""),43417.02083476852)</f>
        <v>43417.02083</v>
      </c>
      <c r="B3848" t="s">
        <v>1160</v>
      </c>
    </row>
    <row r="3849">
      <c r="A3849" s="32">
        <f>IFERROR(__xludf.DUMMYFUNCTION("""COMPUTED_VALUE"""),43417.03757673611)</f>
        <v>43417.03758</v>
      </c>
      <c r="B3849" t="s">
        <v>1502</v>
      </c>
    </row>
    <row r="3850">
      <c r="A3850" s="32">
        <f>IFERROR(__xludf.DUMMYFUNCTION("""COMPUTED_VALUE"""),43417.11263034723)</f>
        <v>43417.11263</v>
      </c>
      <c r="B3850" t="s">
        <v>33</v>
      </c>
    </row>
    <row r="3851">
      <c r="A3851" s="32">
        <f>IFERROR(__xludf.DUMMYFUNCTION("""COMPUTED_VALUE"""),43417.39041270834)</f>
        <v>43417.39041</v>
      </c>
      <c r="B3851" t="s">
        <v>80</v>
      </c>
    </row>
    <row r="3852">
      <c r="A3852" s="32">
        <f>IFERROR(__xludf.DUMMYFUNCTION("""COMPUTED_VALUE"""),43417.437101469906)</f>
        <v>43417.4371</v>
      </c>
      <c r="B3852" t="s">
        <v>387</v>
      </c>
    </row>
    <row r="3853">
      <c r="A3853" s="32">
        <f>IFERROR(__xludf.DUMMYFUNCTION("""COMPUTED_VALUE"""),43417.460606493056)</f>
        <v>43417.46061</v>
      </c>
      <c r="B3853" t="s">
        <v>80</v>
      </c>
    </row>
    <row r="3854">
      <c r="A3854" s="32">
        <f>IFERROR(__xludf.DUMMYFUNCTION("""COMPUTED_VALUE"""),43417.465591458335)</f>
        <v>43417.46559</v>
      </c>
      <c r="B3854" t="s">
        <v>40</v>
      </c>
    </row>
    <row r="3855">
      <c r="A3855" s="32">
        <f>IFERROR(__xludf.DUMMYFUNCTION("""COMPUTED_VALUE"""),43417.46879599537)</f>
        <v>43417.4688</v>
      </c>
      <c r="B3855" t="s">
        <v>45</v>
      </c>
    </row>
    <row r="3856">
      <c r="A3856" s="32">
        <f>IFERROR(__xludf.DUMMYFUNCTION("""COMPUTED_VALUE"""),43417.505150509256)</f>
        <v>43417.50515</v>
      </c>
      <c r="B3856" t="s">
        <v>2485</v>
      </c>
    </row>
    <row r="3857">
      <c r="A3857" s="32">
        <f>IFERROR(__xludf.DUMMYFUNCTION("""COMPUTED_VALUE"""),43417.511197789354)</f>
        <v>43417.5112</v>
      </c>
      <c r="B3857" t="s">
        <v>371</v>
      </c>
    </row>
    <row r="3858">
      <c r="A3858" s="32">
        <f>IFERROR(__xludf.DUMMYFUNCTION("""COMPUTED_VALUE"""),43417.56570274306)</f>
        <v>43417.5657</v>
      </c>
      <c r="B3858" t="s">
        <v>270</v>
      </c>
    </row>
    <row r="3859">
      <c r="A3859" s="32">
        <f>IFERROR(__xludf.DUMMYFUNCTION("""COMPUTED_VALUE"""),43417.63328090278)</f>
        <v>43417.63328</v>
      </c>
      <c r="B3859" t="s">
        <v>2488</v>
      </c>
    </row>
    <row r="3860">
      <c r="A3860" s="32">
        <f>IFERROR(__xludf.DUMMYFUNCTION("""COMPUTED_VALUE"""),43417.636110983796)</f>
        <v>43417.63611</v>
      </c>
      <c r="B3860" t="s">
        <v>33</v>
      </c>
    </row>
    <row r="3861">
      <c r="A3861" s="32">
        <f>IFERROR(__xludf.DUMMYFUNCTION("""COMPUTED_VALUE"""),43417.654796574076)</f>
        <v>43417.6548</v>
      </c>
      <c r="B3861" t="s">
        <v>36</v>
      </c>
    </row>
    <row r="3862">
      <c r="A3862" s="32">
        <f>IFERROR(__xludf.DUMMYFUNCTION("""COMPUTED_VALUE"""),43417.66776820602)</f>
        <v>43417.66777</v>
      </c>
      <c r="B3862" t="s">
        <v>48</v>
      </c>
    </row>
    <row r="3863">
      <c r="A3863" s="32">
        <f>IFERROR(__xludf.DUMMYFUNCTION("""COMPUTED_VALUE"""),43417.719795509256)</f>
        <v>43417.7198</v>
      </c>
      <c r="B3863" t="s">
        <v>40</v>
      </c>
    </row>
    <row r="3864">
      <c r="A3864" s="32">
        <f>IFERROR(__xludf.DUMMYFUNCTION("""COMPUTED_VALUE"""),43417.76757469907)</f>
        <v>43417.76757</v>
      </c>
      <c r="B3864" t="s">
        <v>371</v>
      </c>
    </row>
    <row r="3865">
      <c r="A3865" s="32">
        <f>IFERROR(__xludf.DUMMYFUNCTION("""COMPUTED_VALUE"""),43417.81588983796)</f>
        <v>43417.81589</v>
      </c>
      <c r="B3865" t="s">
        <v>282</v>
      </c>
    </row>
    <row r="3866">
      <c r="A3866" s="32">
        <f>IFERROR(__xludf.DUMMYFUNCTION("""COMPUTED_VALUE"""),43417.842396736116)</f>
        <v>43417.8424</v>
      </c>
      <c r="B3866" t="s">
        <v>80</v>
      </c>
    </row>
    <row r="3867">
      <c r="A3867" s="32">
        <f>IFERROR(__xludf.DUMMYFUNCTION("""COMPUTED_VALUE"""),43417.85092243056)</f>
        <v>43417.85092</v>
      </c>
      <c r="B3867" t="s">
        <v>80</v>
      </c>
    </row>
    <row r="3868">
      <c r="A3868" s="32">
        <f>IFERROR(__xludf.DUMMYFUNCTION("""COMPUTED_VALUE"""),43417.85397591435)</f>
        <v>43417.85398</v>
      </c>
      <c r="B3868" t="s">
        <v>80</v>
      </c>
    </row>
    <row r="3869">
      <c r="A3869" s="32">
        <f>IFERROR(__xludf.DUMMYFUNCTION("""COMPUTED_VALUE"""),43417.85521086806)</f>
        <v>43417.85521</v>
      </c>
      <c r="B3869" t="s">
        <v>2806</v>
      </c>
    </row>
    <row r="3870">
      <c r="A3870" s="32">
        <f>IFERROR(__xludf.DUMMYFUNCTION("""COMPUTED_VALUE"""),43417.87523295139)</f>
        <v>43417.87523</v>
      </c>
      <c r="B3870" t="s">
        <v>1371</v>
      </c>
    </row>
    <row r="3871">
      <c r="A3871" s="32">
        <f>IFERROR(__xludf.DUMMYFUNCTION("""COMPUTED_VALUE"""),43417.972442743056)</f>
        <v>43417.97244</v>
      </c>
      <c r="B3871" t="s">
        <v>45</v>
      </c>
    </row>
    <row r="3872">
      <c r="A3872" s="32">
        <f>IFERROR(__xludf.DUMMYFUNCTION("""COMPUTED_VALUE"""),43417.999490682865)</f>
        <v>43417.99949</v>
      </c>
      <c r="B3872" t="s">
        <v>33</v>
      </c>
    </row>
    <row r="3873">
      <c r="A3873" s="32">
        <f>IFERROR(__xludf.DUMMYFUNCTION("""COMPUTED_VALUE"""),43418.03133385417)</f>
        <v>43418.03133</v>
      </c>
      <c r="B3873" t="s">
        <v>282</v>
      </c>
    </row>
    <row r="3874">
      <c r="A3874" s="32">
        <f>IFERROR(__xludf.DUMMYFUNCTION("""COMPUTED_VALUE"""),43418.33228778935)</f>
        <v>43418.33229</v>
      </c>
      <c r="B3874" t="s">
        <v>33</v>
      </c>
    </row>
    <row r="3875">
      <c r="A3875" s="32">
        <f>IFERROR(__xludf.DUMMYFUNCTION("""COMPUTED_VALUE"""),43418.37266543982)</f>
        <v>43418.37267</v>
      </c>
      <c r="B3875" t="s">
        <v>48</v>
      </c>
    </row>
    <row r="3876">
      <c r="A3876" s="32">
        <f>IFERROR(__xludf.DUMMYFUNCTION("""COMPUTED_VALUE"""),43418.373252060184)</f>
        <v>43418.37325</v>
      </c>
      <c r="B3876" t="s">
        <v>48</v>
      </c>
    </row>
    <row r="3877">
      <c r="A3877" s="32">
        <f>IFERROR(__xludf.DUMMYFUNCTION("""COMPUTED_VALUE"""),43418.38049384259)</f>
        <v>43418.38049</v>
      </c>
      <c r="B3877" t="s">
        <v>40</v>
      </c>
    </row>
    <row r="3878">
      <c r="A3878" s="32">
        <f>IFERROR(__xludf.DUMMYFUNCTION("""COMPUTED_VALUE"""),43418.3930405787)</f>
        <v>43418.39304</v>
      </c>
      <c r="B3878" t="s">
        <v>664</v>
      </c>
    </row>
    <row r="3879">
      <c r="A3879" s="32">
        <f>IFERROR(__xludf.DUMMYFUNCTION("""COMPUTED_VALUE"""),43418.40433994213)</f>
        <v>43418.40434</v>
      </c>
      <c r="B3879" t="s">
        <v>40</v>
      </c>
    </row>
    <row r="3880">
      <c r="A3880" s="32">
        <f>IFERROR(__xludf.DUMMYFUNCTION("""COMPUTED_VALUE"""),43418.40863556713)</f>
        <v>43418.40864</v>
      </c>
      <c r="B3880" t="s">
        <v>270</v>
      </c>
    </row>
    <row r="3881">
      <c r="A3881" s="32">
        <f>IFERROR(__xludf.DUMMYFUNCTION("""COMPUTED_VALUE"""),43418.58508611111)</f>
        <v>43418.58509</v>
      </c>
      <c r="B3881" t="s">
        <v>33</v>
      </c>
    </row>
    <row r="3882">
      <c r="A3882" s="32">
        <f>IFERROR(__xludf.DUMMYFUNCTION("""COMPUTED_VALUE"""),43418.63644724537)</f>
        <v>43418.63645</v>
      </c>
      <c r="B3882" t="s">
        <v>48</v>
      </c>
    </row>
    <row r="3883">
      <c r="A3883" s="32">
        <f>IFERROR(__xludf.DUMMYFUNCTION("""COMPUTED_VALUE"""),43418.645851354166)</f>
        <v>43418.64585</v>
      </c>
      <c r="B3883" t="s">
        <v>2682</v>
      </c>
    </row>
    <row r="3884">
      <c r="A3884" s="32">
        <f>IFERROR(__xludf.DUMMYFUNCTION("""COMPUTED_VALUE"""),43418.70325359954)</f>
        <v>43418.70325</v>
      </c>
      <c r="B3884" t="s">
        <v>80</v>
      </c>
    </row>
    <row r="3885">
      <c r="A3885" s="32">
        <f>IFERROR(__xludf.DUMMYFUNCTION("""COMPUTED_VALUE"""),43418.75721462963)</f>
        <v>43418.75721</v>
      </c>
      <c r="B3885" t="s">
        <v>48</v>
      </c>
    </row>
    <row r="3886">
      <c r="A3886" s="32">
        <f>IFERROR(__xludf.DUMMYFUNCTION("""COMPUTED_VALUE"""),43418.762823564815)</f>
        <v>43418.76282</v>
      </c>
      <c r="B3886" t="s">
        <v>1920</v>
      </c>
    </row>
    <row r="3887">
      <c r="A3887" s="32">
        <f>IFERROR(__xludf.DUMMYFUNCTION("""COMPUTED_VALUE"""),43418.78756752315)</f>
        <v>43418.78757</v>
      </c>
      <c r="B3887" t="s">
        <v>33</v>
      </c>
    </row>
    <row r="3888">
      <c r="A3888" s="32">
        <f>IFERROR(__xludf.DUMMYFUNCTION("""COMPUTED_VALUE"""),43418.828166493055)</f>
        <v>43418.82817</v>
      </c>
      <c r="B3888" t="s">
        <v>139</v>
      </c>
    </row>
    <row r="3889">
      <c r="A3889" s="32">
        <f>IFERROR(__xludf.DUMMYFUNCTION("""COMPUTED_VALUE"""),43418.83395883102)</f>
        <v>43418.83396</v>
      </c>
      <c r="B3889" t="s">
        <v>80</v>
      </c>
    </row>
    <row r="3890">
      <c r="A3890" s="32">
        <f>IFERROR(__xludf.DUMMYFUNCTION("""COMPUTED_VALUE"""),43418.893209166665)</f>
        <v>43418.89321</v>
      </c>
      <c r="B3890" t="s">
        <v>380</v>
      </c>
    </row>
    <row r="3891">
      <c r="A3891" s="32">
        <f>IFERROR(__xludf.DUMMYFUNCTION("""COMPUTED_VALUE"""),43418.89883333333)</f>
        <v>43418.89883</v>
      </c>
      <c r="B3891" t="s">
        <v>45</v>
      </c>
    </row>
    <row r="3892">
      <c r="A3892" s="32">
        <f>IFERROR(__xludf.DUMMYFUNCTION("""COMPUTED_VALUE"""),43418.92842033565)</f>
        <v>43418.92842</v>
      </c>
      <c r="B3892" t="s">
        <v>123</v>
      </c>
    </row>
    <row r="3893">
      <c r="A3893" s="32">
        <f>IFERROR(__xludf.DUMMYFUNCTION("""COMPUTED_VALUE"""),43419.01912185185)</f>
        <v>43419.01912</v>
      </c>
      <c r="B3893" t="s">
        <v>122</v>
      </c>
    </row>
    <row r="3894">
      <c r="A3894" s="32">
        <f>IFERROR(__xludf.DUMMYFUNCTION("""COMPUTED_VALUE"""),43419.06136431713)</f>
        <v>43419.06136</v>
      </c>
      <c r="B3894" t="s">
        <v>45</v>
      </c>
    </row>
    <row r="3895">
      <c r="A3895" s="32">
        <f>IFERROR(__xludf.DUMMYFUNCTION("""COMPUTED_VALUE"""),43419.23739565972)</f>
        <v>43419.2374</v>
      </c>
      <c r="B3895" t="s">
        <v>40</v>
      </c>
    </row>
    <row r="3896">
      <c r="A3896" s="32">
        <f>IFERROR(__xludf.DUMMYFUNCTION("""COMPUTED_VALUE"""),43419.36986104166)</f>
        <v>43419.36986</v>
      </c>
      <c r="B3896" t="s">
        <v>2500</v>
      </c>
    </row>
    <row r="3897">
      <c r="A3897" s="32">
        <f>IFERROR(__xludf.DUMMYFUNCTION("""COMPUTED_VALUE"""),43419.40198061343)</f>
        <v>43419.40198</v>
      </c>
      <c r="B3897" t="s">
        <v>2807</v>
      </c>
    </row>
    <row r="3898">
      <c r="A3898" s="32">
        <f>IFERROR(__xludf.DUMMYFUNCTION("""COMPUTED_VALUE"""),43419.408674872684)</f>
        <v>43419.40867</v>
      </c>
      <c r="B3898" t="s">
        <v>33</v>
      </c>
    </row>
    <row r="3899">
      <c r="A3899" s="32">
        <f>IFERROR(__xludf.DUMMYFUNCTION("""COMPUTED_VALUE"""),43419.46564709491)</f>
        <v>43419.46565</v>
      </c>
      <c r="B3899" t="s">
        <v>2808</v>
      </c>
    </row>
    <row r="3900">
      <c r="A3900" s="32">
        <f>IFERROR(__xludf.DUMMYFUNCTION("""COMPUTED_VALUE"""),43419.47030223379)</f>
        <v>43419.4703</v>
      </c>
      <c r="B3900" t="s">
        <v>2506</v>
      </c>
    </row>
    <row r="3901">
      <c r="A3901" s="32">
        <f>IFERROR(__xludf.DUMMYFUNCTION("""COMPUTED_VALUE"""),43419.47209934027)</f>
        <v>43419.4721</v>
      </c>
      <c r="B3901" t="s">
        <v>1372</v>
      </c>
    </row>
    <row r="3902">
      <c r="A3902" s="32">
        <f>IFERROR(__xludf.DUMMYFUNCTION("""COMPUTED_VALUE"""),43419.49365978009)</f>
        <v>43419.49366</v>
      </c>
      <c r="B3902" t="s">
        <v>282</v>
      </c>
    </row>
    <row r="3903">
      <c r="A3903" s="32">
        <f>IFERROR(__xludf.DUMMYFUNCTION("""COMPUTED_VALUE"""),43419.55087042824)</f>
        <v>43419.55087</v>
      </c>
      <c r="B3903" t="s">
        <v>2424</v>
      </c>
    </row>
    <row r="3904">
      <c r="A3904" s="32">
        <f>IFERROR(__xludf.DUMMYFUNCTION("""COMPUTED_VALUE"""),43419.58050653935)</f>
        <v>43419.58051</v>
      </c>
      <c r="B3904" t="s">
        <v>40</v>
      </c>
    </row>
    <row r="3905">
      <c r="A3905" s="32">
        <f>IFERROR(__xludf.DUMMYFUNCTION("""COMPUTED_VALUE"""),43419.645100821755)</f>
        <v>43419.6451</v>
      </c>
      <c r="B3905" t="s">
        <v>2809</v>
      </c>
    </row>
    <row r="3906">
      <c r="A3906" s="32">
        <f>IFERROR(__xludf.DUMMYFUNCTION("""COMPUTED_VALUE"""),43419.69747638889)</f>
        <v>43419.69748</v>
      </c>
      <c r="B3906" t="s">
        <v>119</v>
      </c>
    </row>
    <row r="3907">
      <c r="A3907" s="32">
        <f>IFERROR(__xludf.DUMMYFUNCTION("""COMPUTED_VALUE"""),43419.74632366898)</f>
        <v>43419.74632</v>
      </c>
      <c r="B3907" t="s">
        <v>36</v>
      </c>
    </row>
    <row r="3908">
      <c r="A3908" s="32">
        <f>IFERROR(__xludf.DUMMYFUNCTION("""COMPUTED_VALUE"""),43419.75333756945)</f>
        <v>43419.75334</v>
      </c>
      <c r="B3908" t="s">
        <v>2514</v>
      </c>
    </row>
    <row r="3909">
      <c r="A3909" s="32">
        <f>IFERROR(__xludf.DUMMYFUNCTION("""COMPUTED_VALUE"""),43419.759860335645)</f>
        <v>43419.75986</v>
      </c>
      <c r="B3909" t="s">
        <v>40</v>
      </c>
    </row>
    <row r="3910">
      <c r="A3910" s="32">
        <f>IFERROR(__xludf.DUMMYFUNCTION("""COMPUTED_VALUE"""),43419.81763484953)</f>
        <v>43419.81763</v>
      </c>
      <c r="B3910" t="s">
        <v>40</v>
      </c>
    </row>
    <row r="3911">
      <c r="A3911" s="32">
        <f>IFERROR(__xludf.DUMMYFUNCTION("""COMPUTED_VALUE"""),43419.84274613426)</f>
        <v>43419.84275</v>
      </c>
      <c r="B3911" t="s">
        <v>123</v>
      </c>
    </row>
    <row r="3912">
      <c r="A3912" s="32">
        <f>IFERROR(__xludf.DUMMYFUNCTION("""COMPUTED_VALUE"""),43419.84885887732)</f>
        <v>43419.84886</v>
      </c>
      <c r="B3912" t="s">
        <v>409</v>
      </c>
    </row>
    <row r="3913">
      <c r="A3913" s="32">
        <f>IFERROR(__xludf.DUMMYFUNCTION("""COMPUTED_VALUE"""),43419.849834305554)</f>
        <v>43419.84983</v>
      </c>
      <c r="B3913" t="s">
        <v>409</v>
      </c>
    </row>
    <row r="3914">
      <c r="A3914" s="32">
        <f>IFERROR(__xludf.DUMMYFUNCTION("""COMPUTED_VALUE"""),43419.92424435185)</f>
        <v>43419.92424</v>
      </c>
      <c r="B3914" t="s">
        <v>36</v>
      </c>
    </row>
    <row r="3915">
      <c r="A3915" s="32">
        <f>IFERROR(__xludf.DUMMYFUNCTION("""COMPUTED_VALUE"""),43419.96961576389)</f>
        <v>43419.96962</v>
      </c>
      <c r="B3915" t="s">
        <v>80</v>
      </c>
    </row>
    <row r="3916">
      <c r="A3916" s="32">
        <f>IFERROR(__xludf.DUMMYFUNCTION("""COMPUTED_VALUE"""),43419.97345153935)</f>
        <v>43419.97345</v>
      </c>
      <c r="B3916" t="s">
        <v>142</v>
      </c>
    </row>
    <row r="3917">
      <c r="A3917" s="32">
        <f>IFERROR(__xludf.DUMMYFUNCTION("""COMPUTED_VALUE"""),43419.99520634259)</f>
        <v>43419.99521</v>
      </c>
      <c r="B3917" t="s">
        <v>48</v>
      </c>
    </row>
    <row r="3918">
      <c r="A3918" s="32">
        <f>IFERROR(__xludf.DUMMYFUNCTION("""COMPUTED_VALUE"""),43420.06226278935)</f>
        <v>43420.06226</v>
      </c>
      <c r="B3918" t="s">
        <v>350</v>
      </c>
    </row>
    <row r="3919">
      <c r="A3919" s="32">
        <f>IFERROR(__xludf.DUMMYFUNCTION("""COMPUTED_VALUE"""),43420.3927115625)</f>
        <v>43420.39271</v>
      </c>
      <c r="B3919" t="s">
        <v>33</v>
      </c>
    </row>
    <row r="3920">
      <c r="A3920" s="32">
        <f>IFERROR(__xludf.DUMMYFUNCTION("""COMPUTED_VALUE"""),43420.48362791666)</f>
        <v>43420.48363</v>
      </c>
      <c r="B3920" t="s">
        <v>109</v>
      </c>
    </row>
    <row r="3921">
      <c r="A3921" s="32">
        <f>IFERROR(__xludf.DUMMYFUNCTION("""COMPUTED_VALUE"""),43420.512984664354)</f>
        <v>43420.51298</v>
      </c>
      <c r="B3921" t="s">
        <v>33</v>
      </c>
    </row>
    <row r="3922">
      <c r="A3922" s="32">
        <f>IFERROR(__xludf.DUMMYFUNCTION("""COMPUTED_VALUE"""),43420.52806386574)</f>
        <v>43420.52806</v>
      </c>
      <c r="B3922" t="s">
        <v>722</v>
      </c>
    </row>
    <row r="3923">
      <c r="A3923" s="32">
        <f>IFERROR(__xludf.DUMMYFUNCTION("""COMPUTED_VALUE"""),43420.57960384259)</f>
        <v>43420.5796</v>
      </c>
      <c r="B3923" t="s">
        <v>80</v>
      </c>
    </row>
    <row r="3924">
      <c r="A3924" s="32">
        <f>IFERROR(__xludf.DUMMYFUNCTION("""COMPUTED_VALUE"""),43420.59157599537)</f>
        <v>43420.59158</v>
      </c>
      <c r="B3924" t="s">
        <v>263</v>
      </c>
    </row>
    <row r="3925">
      <c r="A3925" s="32">
        <f>IFERROR(__xludf.DUMMYFUNCTION("""COMPUTED_VALUE"""),43420.59789157407)</f>
        <v>43420.59789</v>
      </c>
      <c r="B3925" t="s">
        <v>40</v>
      </c>
    </row>
    <row r="3926">
      <c r="A3926" s="32">
        <f>IFERROR(__xludf.DUMMYFUNCTION("""COMPUTED_VALUE"""),43420.61326841435)</f>
        <v>43420.61327</v>
      </c>
      <c r="B3926" t="s">
        <v>80</v>
      </c>
    </row>
    <row r="3927">
      <c r="A3927" s="32">
        <f>IFERROR(__xludf.DUMMYFUNCTION("""COMPUTED_VALUE"""),43420.61440839121)</f>
        <v>43420.61441</v>
      </c>
      <c r="B3927" t="s">
        <v>40</v>
      </c>
    </row>
    <row r="3928">
      <c r="A3928" s="32">
        <f>IFERROR(__xludf.DUMMYFUNCTION("""COMPUTED_VALUE"""),43420.664779363426)</f>
        <v>43420.66478</v>
      </c>
      <c r="B3928" t="s">
        <v>40</v>
      </c>
    </row>
    <row r="3929">
      <c r="A3929" s="32">
        <f>IFERROR(__xludf.DUMMYFUNCTION("""COMPUTED_VALUE"""),43420.68544760416)</f>
        <v>43420.68545</v>
      </c>
      <c r="B3929" t="s">
        <v>33</v>
      </c>
    </row>
    <row r="3930">
      <c r="A3930" s="32">
        <f>IFERROR(__xludf.DUMMYFUNCTION("""COMPUTED_VALUE"""),43420.751415)</f>
        <v>43420.75142</v>
      </c>
      <c r="B3930" t="s">
        <v>119</v>
      </c>
    </row>
    <row r="3931">
      <c r="A3931" s="32">
        <f>IFERROR(__xludf.DUMMYFUNCTION("""COMPUTED_VALUE"""),43420.76057180556)</f>
        <v>43420.76057</v>
      </c>
      <c r="B3931" t="s">
        <v>80</v>
      </c>
    </row>
    <row r="3932">
      <c r="A3932" s="32">
        <f>IFERROR(__xludf.DUMMYFUNCTION("""COMPUTED_VALUE"""),43420.77323873843)</f>
        <v>43420.77324</v>
      </c>
      <c r="B3932" t="s">
        <v>48</v>
      </c>
    </row>
    <row r="3933">
      <c r="A3933" s="32">
        <f>IFERROR(__xludf.DUMMYFUNCTION("""COMPUTED_VALUE"""),43420.9220678125)</f>
        <v>43420.92207</v>
      </c>
      <c r="B3933" t="s">
        <v>819</v>
      </c>
    </row>
    <row r="3934">
      <c r="A3934" s="32">
        <f>IFERROR(__xludf.DUMMYFUNCTION("""COMPUTED_VALUE"""),43420.983273969905)</f>
        <v>43420.98327</v>
      </c>
      <c r="B3934" t="s">
        <v>48</v>
      </c>
    </row>
    <row r="3935">
      <c r="A3935" s="32">
        <f>IFERROR(__xludf.DUMMYFUNCTION("""COMPUTED_VALUE"""),43421.057315555554)</f>
        <v>43421.05732</v>
      </c>
      <c r="B3935" t="s">
        <v>123</v>
      </c>
    </row>
    <row r="3936">
      <c r="A3936" s="32">
        <f>IFERROR(__xludf.DUMMYFUNCTION("""COMPUTED_VALUE"""),43421.10758083333)</f>
        <v>43421.10758</v>
      </c>
      <c r="B3936" t="s">
        <v>2662</v>
      </c>
    </row>
    <row r="3937">
      <c r="A3937" s="32">
        <f>IFERROR(__xludf.DUMMYFUNCTION("""COMPUTED_VALUE"""),43421.13274556713)</f>
        <v>43421.13275</v>
      </c>
      <c r="B3937" t="s">
        <v>80</v>
      </c>
    </row>
    <row r="3938">
      <c r="A3938" s="32">
        <f>IFERROR(__xludf.DUMMYFUNCTION("""COMPUTED_VALUE"""),43421.30520819445)</f>
        <v>43421.30521</v>
      </c>
      <c r="B3938" t="s">
        <v>119</v>
      </c>
    </row>
    <row r="3939">
      <c r="A3939" s="32">
        <f>IFERROR(__xludf.DUMMYFUNCTION("""COMPUTED_VALUE"""),43421.38906824074)</f>
        <v>43421.38907</v>
      </c>
      <c r="B3939" t="s">
        <v>33</v>
      </c>
    </row>
    <row r="3940">
      <c r="A3940" s="32">
        <f>IFERROR(__xludf.DUMMYFUNCTION("""COMPUTED_VALUE"""),43421.433050277774)</f>
        <v>43421.43305</v>
      </c>
      <c r="B3940" t="s">
        <v>204</v>
      </c>
    </row>
    <row r="3941">
      <c r="A3941" s="32">
        <f>IFERROR(__xludf.DUMMYFUNCTION("""COMPUTED_VALUE"""),43421.593979212965)</f>
        <v>43421.59398</v>
      </c>
      <c r="B3941" t="s">
        <v>25</v>
      </c>
    </row>
    <row r="3942">
      <c r="A3942" s="32">
        <f>IFERROR(__xludf.DUMMYFUNCTION("""COMPUTED_VALUE"""),43421.654786388885)</f>
        <v>43421.65479</v>
      </c>
      <c r="B3942" t="s">
        <v>2810</v>
      </c>
    </row>
    <row r="3943">
      <c r="A3943" s="32">
        <f>IFERROR(__xludf.DUMMYFUNCTION("""COMPUTED_VALUE"""),43421.69006862269)</f>
        <v>43421.69007</v>
      </c>
      <c r="B3943" t="s">
        <v>48</v>
      </c>
    </row>
    <row r="3944">
      <c r="A3944" s="32">
        <f>IFERROR(__xludf.DUMMYFUNCTION("""COMPUTED_VALUE"""),43421.69962630787)</f>
        <v>43421.69963</v>
      </c>
      <c r="B3944" t="s">
        <v>523</v>
      </c>
    </row>
    <row r="3945">
      <c r="A3945" s="32">
        <f>IFERROR(__xludf.DUMMYFUNCTION("""COMPUTED_VALUE"""),43421.70641115741)</f>
        <v>43421.70641</v>
      </c>
      <c r="B3945" t="s">
        <v>33</v>
      </c>
    </row>
    <row r="3946">
      <c r="A3946" s="32">
        <f>IFERROR(__xludf.DUMMYFUNCTION("""COMPUTED_VALUE"""),43421.721014097224)</f>
        <v>43421.72101</v>
      </c>
      <c r="B3946" t="s">
        <v>204</v>
      </c>
    </row>
    <row r="3947">
      <c r="A3947" s="32">
        <f>IFERROR(__xludf.DUMMYFUNCTION("""COMPUTED_VALUE"""),43421.73254060185)</f>
        <v>43421.73254</v>
      </c>
      <c r="B3947" t="s">
        <v>409</v>
      </c>
    </row>
    <row r="3948">
      <c r="A3948" s="32">
        <f>IFERROR(__xludf.DUMMYFUNCTION("""COMPUTED_VALUE"""),43421.759245497684)</f>
        <v>43421.75925</v>
      </c>
      <c r="B3948" t="s">
        <v>1160</v>
      </c>
    </row>
    <row r="3949">
      <c r="A3949" s="32">
        <f>IFERROR(__xludf.DUMMYFUNCTION("""COMPUTED_VALUE"""),43421.78525613426)</f>
        <v>43421.78526</v>
      </c>
      <c r="B3949" t="s">
        <v>40</v>
      </c>
    </row>
    <row r="3950">
      <c r="A3950" s="32">
        <f>IFERROR(__xludf.DUMMYFUNCTION("""COMPUTED_VALUE"""),43421.786002650464)</f>
        <v>43421.786</v>
      </c>
      <c r="B3950" t="s">
        <v>40</v>
      </c>
    </row>
    <row r="3951">
      <c r="A3951" s="32">
        <f>IFERROR(__xludf.DUMMYFUNCTION("""COMPUTED_VALUE"""),43421.80949462963)</f>
        <v>43421.80949</v>
      </c>
      <c r="B3951" t="s">
        <v>80</v>
      </c>
    </row>
    <row r="3952">
      <c r="A3952" s="32">
        <f>IFERROR(__xludf.DUMMYFUNCTION("""COMPUTED_VALUE"""),43421.83835826389)</f>
        <v>43421.83836</v>
      </c>
      <c r="B3952" t="s">
        <v>2802</v>
      </c>
    </row>
    <row r="3953">
      <c r="A3953" s="32">
        <f>IFERROR(__xludf.DUMMYFUNCTION("""COMPUTED_VALUE"""),43421.95713684028)</f>
        <v>43421.95714</v>
      </c>
      <c r="B3953" t="s">
        <v>268</v>
      </c>
    </row>
    <row r="3954">
      <c r="A3954" s="32">
        <f>IFERROR(__xludf.DUMMYFUNCTION("""COMPUTED_VALUE"""),43421.98494962963)</f>
        <v>43421.98495</v>
      </c>
      <c r="B3954" t="s">
        <v>1867</v>
      </c>
    </row>
    <row r="3955">
      <c r="A3955" s="32">
        <f>IFERROR(__xludf.DUMMYFUNCTION("""COMPUTED_VALUE"""),43422.16798896991)</f>
        <v>43422.16799</v>
      </c>
      <c r="B3955" t="s">
        <v>80</v>
      </c>
    </row>
    <row r="3956">
      <c r="A3956" s="32">
        <f>IFERROR(__xludf.DUMMYFUNCTION("""COMPUTED_VALUE"""),43422.379765034726)</f>
        <v>43422.37977</v>
      </c>
      <c r="B3956" t="s">
        <v>2658</v>
      </c>
    </row>
    <row r="3957">
      <c r="A3957" s="32">
        <f>IFERROR(__xludf.DUMMYFUNCTION("""COMPUTED_VALUE"""),43422.43072284722)</f>
        <v>43422.43072</v>
      </c>
      <c r="B3957" t="s">
        <v>40</v>
      </c>
    </row>
    <row r="3958">
      <c r="A3958" s="32">
        <f>IFERROR(__xludf.DUMMYFUNCTION("""COMPUTED_VALUE"""),43422.4359905787)</f>
        <v>43422.43599</v>
      </c>
      <c r="B3958" t="s">
        <v>188</v>
      </c>
    </row>
    <row r="3959">
      <c r="A3959" s="32">
        <f>IFERROR(__xludf.DUMMYFUNCTION("""COMPUTED_VALUE"""),43422.43746016204)</f>
        <v>43422.43746</v>
      </c>
      <c r="B3959" t="s">
        <v>188</v>
      </c>
    </row>
    <row r="3960">
      <c r="A3960" s="32">
        <f>IFERROR(__xludf.DUMMYFUNCTION("""COMPUTED_VALUE"""),43422.44395185185)</f>
        <v>43422.44395</v>
      </c>
      <c r="B3960" t="s">
        <v>256</v>
      </c>
    </row>
    <row r="3961">
      <c r="A3961" s="32">
        <f>IFERROR(__xludf.DUMMYFUNCTION("""COMPUTED_VALUE"""),43422.47638291666)</f>
        <v>43422.47638</v>
      </c>
      <c r="B3961" t="s">
        <v>2536</v>
      </c>
    </row>
    <row r="3962">
      <c r="A3962" s="32">
        <f>IFERROR(__xludf.DUMMYFUNCTION("""COMPUTED_VALUE"""),43422.48252174769)</f>
        <v>43422.48252</v>
      </c>
      <c r="B3962" t="s">
        <v>80</v>
      </c>
    </row>
    <row r="3963">
      <c r="A3963" s="32">
        <f>IFERROR(__xludf.DUMMYFUNCTION("""COMPUTED_VALUE"""),43422.49457475694)</f>
        <v>43422.49457</v>
      </c>
      <c r="B3963" t="s">
        <v>658</v>
      </c>
    </row>
    <row r="3964">
      <c r="A3964" s="32">
        <f>IFERROR(__xludf.DUMMYFUNCTION("""COMPUTED_VALUE"""),43422.596055312504)</f>
        <v>43422.59606</v>
      </c>
      <c r="B3964" t="s">
        <v>48</v>
      </c>
    </row>
    <row r="3965">
      <c r="A3965" s="32">
        <f>IFERROR(__xludf.DUMMYFUNCTION("""COMPUTED_VALUE"""),43422.597951261574)</f>
        <v>43422.59795</v>
      </c>
      <c r="B3965" t="s">
        <v>80</v>
      </c>
    </row>
    <row r="3966">
      <c r="A3966" s="32">
        <f>IFERROR(__xludf.DUMMYFUNCTION("""COMPUTED_VALUE"""),43422.678794259264)</f>
        <v>43422.67879</v>
      </c>
      <c r="B3966" t="s">
        <v>2539</v>
      </c>
    </row>
    <row r="3967">
      <c r="A3967" s="32">
        <f>IFERROR(__xludf.DUMMYFUNCTION("""COMPUTED_VALUE"""),43422.68805462963)</f>
        <v>43422.68805</v>
      </c>
      <c r="B3967" t="s">
        <v>40</v>
      </c>
    </row>
    <row r="3968">
      <c r="A3968" s="32">
        <f>IFERROR(__xludf.DUMMYFUNCTION("""COMPUTED_VALUE"""),43422.70218518519)</f>
        <v>43422.70219</v>
      </c>
      <c r="B3968" t="s">
        <v>80</v>
      </c>
    </row>
    <row r="3969">
      <c r="A3969" s="32">
        <f>IFERROR(__xludf.DUMMYFUNCTION("""COMPUTED_VALUE"""),43422.84381440972)</f>
        <v>43422.84381</v>
      </c>
      <c r="B3969" t="s">
        <v>157</v>
      </c>
    </row>
    <row r="3970">
      <c r="A3970" s="32">
        <f>IFERROR(__xludf.DUMMYFUNCTION("""COMPUTED_VALUE"""),43422.87074431713)</f>
        <v>43422.87074</v>
      </c>
      <c r="B3970" t="s">
        <v>188</v>
      </c>
    </row>
    <row r="3971">
      <c r="A3971" s="32">
        <f>IFERROR(__xludf.DUMMYFUNCTION("""COMPUTED_VALUE"""),43422.92389825232)</f>
        <v>43422.9239</v>
      </c>
      <c r="B3971" t="s">
        <v>1276</v>
      </c>
    </row>
    <row r="3972">
      <c r="A3972" s="32">
        <f>IFERROR(__xludf.DUMMYFUNCTION("""COMPUTED_VALUE"""),43423.096809525465)</f>
        <v>43423.09681</v>
      </c>
      <c r="B3972" t="s">
        <v>40</v>
      </c>
    </row>
    <row r="3973">
      <c r="A3973" s="32">
        <f>IFERROR(__xludf.DUMMYFUNCTION("""COMPUTED_VALUE"""),43423.25510743055)</f>
        <v>43423.25511</v>
      </c>
      <c r="B3973" t="s">
        <v>1920</v>
      </c>
    </row>
    <row r="3974">
      <c r="A3974" s="32">
        <f>IFERROR(__xludf.DUMMYFUNCTION("""COMPUTED_VALUE"""),43423.31872552083)</f>
        <v>43423.31873</v>
      </c>
      <c r="B3974" t="s">
        <v>2424</v>
      </c>
    </row>
    <row r="3975">
      <c r="A3975" s="32">
        <f>IFERROR(__xludf.DUMMYFUNCTION("""COMPUTED_VALUE"""),43423.377102453705)</f>
        <v>43423.3771</v>
      </c>
      <c r="B3975" t="s">
        <v>2027</v>
      </c>
    </row>
    <row r="3976">
      <c r="A3976" s="32">
        <f>IFERROR(__xludf.DUMMYFUNCTION("""COMPUTED_VALUE"""),43423.432017175925)</f>
        <v>43423.43202</v>
      </c>
      <c r="B3976" t="s">
        <v>33</v>
      </c>
    </row>
    <row r="3977">
      <c r="A3977" s="32">
        <f>IFERROR(__xludf.DUMMYFUNCTION("""COMPUTED_VALUE"""),43423.49174055556)</f>
        <v>43423.49174</v>
      </c>
      <c r="B3977" t="s">
        <v>1777</v>
      </c>
    </row>
    <row r="3978">
      <c r="A3978" s="32">
        <f>IFERROR(__xludf.DUMMYFUNCTION("""COMPUTED_VALUE"""),43423.528343935184)</f>
        <v>43423.52834</v>
      </c>
      <c r="B3978" t="s">
        <v>371</v>
      </c>
    </row>
    <row r="3979">
      <c r="A3979" s="32">
        <f>IFERROR(__xludf.DUMMYFUNCTION("""COMPUTED_VALUE"""),43423.62841355324)</f>
        <v>43423.62841</v>
      </c>
      <c r="B3979" t="s">
        <v>2544</v>
      </c>
    </row>
    <row r="3980">
      <c r="A3980" s="32">
        <f>IFERROR(__xludf.DUMMYFUNCTION("""COMPUTED_VALUE"""),43423.67795166667)</f>
        <v>43423.67795</v>
      </c>
      <c r="B3980" t="s">
        <v>33</v>
      </c>
    </row>
    <row r="3981">
      <c r="A3981" s="32">
        <f>IFERROR(__xludf.DUMMYFUNCTION("""COMPUTED_VALUE"""),43423.68334549769)</f>
        <v>43423.68335</v>
      </c>
      <c r="B3981" t="s">
        <v>282</v>
      </c>
    </row>
    <row r="3982">
      <c r="A3982" s="32">
        <f>IFERROR(__xludf.DUMMYFUNCTION("""COMPUTED_VALUE"""),43423.87546378472)</f>
        <v>43423.87546</v>
      </c>
      <c r="B3982" t="s">
        <v>33</v>
      </c>
    </row>
    <row r="3983">
      <c r="A3983" s="32">
        <f>IFERROR(__xludf.DUMMYFUNCTION("""COMPUTED_VALUE"""),43423.98849717593)</f>
        <v>43423.9885</v>
      </c>
      <c r="B3983" t="s">
        <v>40</v>
      </c>
    </row>
    <row r="3984">
      <c r="A3984" s="32">
        <f>IFERROR(__xludf.DUMMYFUNCTION("""COMPUTED_VALUE"""),43424.02967616898)</f>
        <v>43424.02968</v>
      </c>
      <c r="B3984" t="s">
        <v>350</v>
      </c>
    </row>
    <row r="3985">
      <c r="A3985" s="32">
        <f>IFERROR(__xludf.DUMMYFUNCTION("""COMPUTED_VALUE"""),43424.06109548611)</f>
        <v>43424.0611</v>
      </c>
      <c r="B3985" t="s">
        <v>48</v>
      </c>
    </row>
    <row r="3986">
      <c r="A3986" s="32">
        <f>IFERROR(__xludf.DUMMYFUNCTION("""COMPUTED_VALUE"""),43424.35490333333)</f>
        <v>43424.3549</v>
      </c>
      <c r="B3986" t="s">
        <v>33</v>
      </c>
    </row>
    <row r="3987">
      <c r="A3987" s="32">
        <f>IFERROR(__xludf.DUMMYFUNCTION("""COMPUTED_VALUE"""),43424.37209469907)</f>
        <v>43424.37209</v>
      </c>
      <c r="B3987" t="s">
        <v>33</v>
      </c>
    </row>
    <row r="3988">
      <c r="A3988" s="32">
        <f>IFERROR(__xludf.DUMMYFUNCTION("""COMPUTED_VALUE"""),43424.394139131946)</f>
        <v>43424.39414</v>
      </c>
      <c r="B3988" t="s">
        <v>2811</v>
      </c>
    </row>
    <row r="3989">
      <c r="A3989" s="32">
        <f>IFERROR(__xludf.DUMMYFUNCTION("""COMPUTED_VALUE"""),43424.44769368056)</f>
        <v>43424.44769</v>
      </c>
      <c r="B3989" t="s">
        <v>268</v>
      </c>
    </row>
    <row r="3990">
      <c r="A3990" s="32">
        <f>IFERROR(__xludf.DUMMYFUNCTION("""COMPUTED_VALUE"""),43424.461135405094)</f>
        <v>43424.46114</v>
      </c>
      <c r="B3990" t="s">
        <v>2551</v>
      </c>
    </row>
    <row r="3991">
      <c r="A3991" s="32">
        <f>IFERROR(__xludf.DUMMYFUNCTION("""COMPUTED_VALUE"""),43424.49839719907)</f>
        <v>43424.4984</v>
      </c>
      <c r="B3991" t="s">
        <v>2552</v>
      </c>
    </row>
    <row r="3992">
      <c r="A3992" s="32">
        <f>IFERROR(__xludf.DUMMYFUNCTION("""COMPUTED_VALUE"""),43424.52188493055)</f>
        <v>43424.52188</v>
      </c>
      <c r="B3992" t="s">
        <v>33</v>
      </c>
    </row>
    <row r="3993">
      <c r="A3993" s="32">
        <f>IFERROR(__xludf.DUMMYFUNCTION("""COMPUTED_VALUE"""),43424.60678998842)</f>
        <v>43424.60679</v>
      </c>
      <c r="B3993" t="s">
        <v>2424</v>
      </c>
    </row>
    <row r="3994">
      <c r="A3994" s="32">
        <f>IFERROR(__xludf.DUMMYFUNCTION("""COMPUTED_VALUE"""),43424.65335168982)</f>
        <v>43424.65335</v>
      </c>
      <c r="B3994" t="s">
        <v>33</v>
      </c>
    </row>
    <row r="3995">
      <c r="A3995" s="32">
        <f>IFERROR(__xludf.DUMMYFUNCTION("""COMPUTED_VALUE"""),43424.71575516203)</f>
        <v>43424.71576</v>
      </c>
      <c r="B3995" t="s">
        <v>40</v>
      </c>
    </row>
    <row r="3996">
      <c r="A3996" s="32">
        <f>IFERROR(__xludf.DUMMYFUNCTION("""COMPUTED_VALUE"""),43424.741484224534)</f>
        <v>43424.74148</v>
      </c>
      <c r="B3996" t="s">
        <v>40</v>
      </c>
    </row>
    <row r="3997">
      <c r="A3997" s="32">
        <f>IFERROR(__xludf.DUMMYFUNCTION("""COMPUTED_VALUE"""),43424.80214849537)</f>
        <v>43424.80215</v>
      </c>
      <c r="B3997" t="s">
        <v>33</v>
      </c>
    </row>
    <row r="3998">
      <c r="A3998" s="32">
        <f>IFERROR(__xludf.DUMMYFUNCTION("""COMPUTED_VALUE"""),43424.84885334491)</f>
        <v>43424.84885</v>
      </c>
      <c r="B3998" t="s">
        <v>33</v>
      </c>
    </row>
    <row r="3999">
      <c r="A3999" s="32">
        <f>IFERROR(__xludf.DUMMYFUNCTION("""COMPUTED_VALUE"""),43424.98584962963)</f>
        <v>43424.98585</v>
      </c>
      <c r="B3999" t="s">
        <v>2557</v>
      </c>
    </row>
    <row r="4000">
      <c r="A4000" s="32">
        <f>IFERROR(__xludf.DUMMYFUNCTION("""COMPUTED_VALUE"""),43425.0055858912)</f>
        <v>43425.00559</v>
      </c>
      <c r="B4000" t="s">
        <v>80</v>
      </c>
    </row>
    <row r="4001">
      <c r="A4001" s="32">
        <f>IFERROR(__xludf.DUMMYFUNCTION("""COMPUTED_VALUE"""),43425.32063916667)</f>
        <v>43425.32064</v>
      </c>
      <c r="B4001" t="s">
        <v>40</v>
      </c>
    </row>
    <row r="4002">
      <c r="A4002" s="32">
        <f>IFERROR(__xludf.DUMMYFUNCTION("""COMPUTED_VALUE"""),43425.43333072917)</f>
        <v>43425.43333</v>
      </c>
      <c r="B4002" t="s">
        <v>119</v>
      </c>
    </row>
    <row r="4003">
      <c r="A4003" s="32">
        <f>IFERROR(__xludf.DUMMYFUNCTION("""COMPUTED_VALUE"""),43425.44078605324)</f>
        <v>43425.44079</v>
      </c>
      <c r="B4003" t="s">
        <v>40</v>
      </c>
    </row>
    <row r="4004">
      <c r="A4004" s="32">
        <f>IFERROR(__xludf.DUMMYFUNCTION("""COMPUTED_VALUE"""),43425.56486085648)</f>
        <v>43425.56486</v>
      </c>
      <c r="B4004" t="s">
        <v>95</v>
      </c>
    </row>
    <row r="4005">
      <c r="A4005" s="32">
        <f>IFERROR(__xludf.DUMMYFUNCTION("""COMPUTED_VALUE"""),43425.775239814815)</f>
        <v>43425.77524</v>
      </c>
      <c r="B4005" t="s">
        <v>170</v>
      </c>
    </row>
    <row r="4006">
      <c r="A4006" s="32">
        <f>IFERROR(__xludf.DUMMYFUNCTION("""COMPUTED_VALUE"""),43425.77836045139)</f>
        <v>43425.77836</v>
      </c>
      <c r="B4006" t="s">
        <v>123</v>
      </c>
    </row>
    <row r="4007">
      <c r="A4007" s="32">
        <f>IFERROR(__xludf.DUMMYFUNCTION("""COMPUTED_VALUE"""),43425.90604234954)</f>
        <v>43425.90604</v>
      </c>
      <c r="B4007" t="s">
        <v>2812</v>
      </c>
    </row>
    <row r="4008">
      <c r="A4008" s="32">
        <f>IFERROR(__xludf.DUMMYFUNCTION("""COMPUTED_VALUE"""),43425.91487296297)</f>
        <v>43425.91487</v>
      </c>
      <c r="B4008" t="s">
        <v>40</v>
      </c>
    </row>
    <row r="4009">
      <c r="A4009" s="32">
        <f>IFERROR(__xludf.DUMMYFUNCTION("""COMPUTED_VALUE"""),43425.91661090278)</f>
        <v>43425.91661</v>
      </c>
      <c r="B4009" t="s">
        <v>48</v>
      </c>
    </row>
    <row r="4010">
      <c r="A4010" s="32">
        <f>IFERROR(__xludf.DUMMYFUNCTION("""COMPUTED_VALUE"""),43426.34832283565)</f>
        <v>43426.34832</v>
      </c>
      <c r="B4010" t="s">
        <v>122</v>
      </c>
    </row>
    <row r="4011">
      <c r="A4011" s="32">
        <f>IFERROR(__xludf.DUMMYFUNCTION("""COMPUTED_VALUE"""),43426.397477673614)</f>
        <v>43426.39748</v>
      </c>
      <c r="B4011" t="s">
        <v>33</v>
      </c>
    </row>
    <row r="4012">
      <c r="A4012" s="32">
        <f>IFERROR(__xludf.DUMMYFUNCTION("""COMPUTED_VALUE"""),43426.397480555555)</f>
        <v>43426.39748</v>
      </c>
      <c r="B4012" t="s">
        <v>33</v>
      </c>
    </row>
    <row r="4013">
      <c r="A4013" s="32">
        <f>IFERROR(__xludf.DUMMYFUNCTION("""COMPUTED_VALUE"""),43426.417512858796)</f>
        <v>43426.41751</v>
      </c>
      <c r="B4013" t="s">
        <v>36</v>
      </c>
    </row>
    <row r="4014">
      <c r="A4014" s="32">
        <f>IFERROR(__xludf.DUMMYFUNCTION("""COMPUTED_VALUE"""),43426.44471949074)</f>
        <v>43426.44472</v>
      </c>
      <c r="B4014" t="s">
        <v>80</v>
      </c>
    </row>
    <row r="4015">
      <c r="A4015" s="32">
        <f>IFERROR(__xludf.DUMMYFUNCTION("""COMPUTED_VALUE"""),43426.50386700231)</f>
        <v>43426.50387</v>
      </c>
      <c r="B4015" t="s">
        <v>95</v>
      </c>
    </row>
    <row r="4016">
      <c r="A4016" s="32">
        <f>IFERROR(__xludf.DUMMYFUNCTION("""COMPUTED_VALUE"""),43426.513901053244)</f>
        <v>43426.5139</v>
      </c>
      <c r="B4016" t="s">
        <v>40</v>
      </c>
    </row>
    <row r="4017">
      <c r="A4017" s="32">
        <f>IFERROR(__xludf.DUMMYFUNCTION("""COMPUTED_VALUE"""),43426.63862790509)</f>
        <v>43426.63863</v>
      </c>
      <c r="B4017" t="s">
        <v>48</v>
      </c>
    </row>
    <row r="4018">
      <c r="A4018" s="32">
        <f>IFERROR(__xludf.DUMMYFUNCTION("""COMPUTED_VALUE"""),43426.71765769676)</f>
        <v>43426.71766</v>
      </c>
      <c r="B4018" t="s">
        <v>80</v>
      </c>
    </row>
    <row r="4019">
      <c r="A4019" s="32">
        <f>IFERROR(__xludf.DUMMYFUNCTION("""COMPUTED_VALUE"""),43426.73581716436)</f>
        <v>43426.73582</v>
      </c>
      <c r="B4019" t="s">
        <v>80</v>
      </c>
    </row>
    <row r="4020">
      <c r="A4020" s="32">
        <f>IFERROR(__xludf.DUMMYFUNCTION("""COMPUTED_VALUE"""),43426.88993664352)</f>
        <v>43426.88994</v>
      </c>
      <c r="B4020" t="s">
        <v>80</v>
      </c>
    </row>
    <row r="4021">
      <c r="A4021" s="32">
        <f>IFERROR(__xludf.DUMMYFUNCTION("""COMPUTED_VALUE"""),43426.89399201389)</f>
        <v>43426.89399</v>
      </c>
      <c r="B4021" t="s">
        <v>48</v>
      </c>
    </row>
    <row r="4022">
      <c r="A4022" s="32">
        <f>IFERROR(__xludf.DUMMYFUNCTION("""COMPUTED_VALUE"""),43426.97670614583)</f>
        <v>43426.97671</v>
      </c>
      <c r="B4022" t="s">
        <v>1483</v>
      </c>
    </row>
    <row r="4023">
      <c r="A4023" s="32">
        <f>IFERROR(__xludf.DUMMYFUNCTION("""COMPUTED_VALUE"""),43426.98117616898)</f>
        <v>43426.98118</v>
      </c>
      <c r="B4023" t="s">
        <v>350</v>
      </c>
    </row>
    <row r="4024">
      <c r="A4024" s="32">
        <f>IFERROR(__xludf.DUMMYFUNCTION("""COMPUTED_VALUE"""),43427.08788707176)</f>
        <v>43427.08789</v>
      </c>
      <c r="B4024" t="s">
        <v>268</v>
      </c>
    </row>
    <row r="4025">
      <c r="A4025" s="32">
        <f>IFERROR(__xludf.DUMMYFUNCTION("""COMPUTED_VALUE"""),43427.309661782405)</f>
        <v>43427.30966</v>
      </c>
      <c r="B4025" t="s">
        <v>258</v>
      </c>
    </row>
    <row r="4026">
      <c r="A4026" s="32">
        <f>IFERROR(__xludf.DUMMYFUNCTION("""COMPUTED_VALUE"""),43427.61262263889)</f>
        <v>43427.61262</v>
      </c>
      <c r="B4026" t="s">
        <v>36</v>
      </c>
    </row>
    <row r="4027">
      <c r="A4027" s="32">
        <f>IFERROR(__xludf.DUMMYFUNCTION("""COMPUTED_VALUE"""),43427.84705928241)</f>
        <v>43427.84706</v>
      </c>
      <c r="B4027" t="s">
        <v>139</v>
      </c>
    </row>
    <row r="4028">
      <c r="A4028" s="32">
        <f>IFERROR(__xludf.DUMMYFUNCTION("""COMPUTED_VALUE"""),43427.96291059028)</f>
        <v>43427.96291</v>
      </c>
      <c r="B4028" t="s">
        <v>33</v>
      </c>
    </row>
    <row r="4029">
      <c r="A4029" s="32">
        <f>IFERROR(__xludf.DUMMYFUNCTION("""COMPUTED_VALUE"""),43428.29157)</f>
        <v>43428.29157</v>
      </c>
      <c r="B4029" t="s">
        <v>80</v>
      </c>
    </row>
    <row r="4030">
      <c r="A4030" s="32">
        <f>IFERROR(__xludf.DUMMYFUNCTION("""COMPUTED_VALUE"""),43428.41722737269)</f>
        <v>43428.41723</v>
      </c>
      <c r="B4030" t="s">
        <v>48</v>
      </c>
    </row>
    <row r="4031">
      <c r="A4031" s="32">
        <f>IFERROR(__xludf.DUMMYFUNCTION("""COMPUTED_VALUE"""),43428.469956030094)</f>
        <v>43428.46996</v>
      </c>
      <c r="B4031" t="s">
        <v>119</v>
      </c>
    </row>
    <row r="4032">
      <c r="A4032" s="32">
        <f>IFERROR(__xludf.DUMMYFUNCTION("""COMPUTED_VALUE"""),43428.52705157407)</f>
        <v>43428.52705</v>
      </c>
      <c r="B4032" t="s">
        <v>170</v>
      </c>
    </row>
    <row r="4033">
      <c r="A4033" s="32">
        <f>IFERROR(__xludf.DUMMYFUNCTION("""COMPUTED_VALUE"""),43428.528228634255)</f>
        <v>43428.52823</v>
      </c>
      <c r="B4033" t="s">
        <v>170</v>
      </c>
    </row>
    <row r="4034">
      <c r="A4034" s="32">
        <f>IFERROR(__xludf.DUMMYFUNCTION("""COMPUTED_VALUE"""),43428.53924459491)</f>
        <v>43428.53924</v>
      </c>
      <c r="B4034" t="s">
        <v>268</v>
      </c>
    </row>
    <row r="4035">
      <c r="A4035" s="32">
        <f>IFERROR(__xludf.DUMMYFUNCTION("""COMPUTED_VALUE"""),43428.56793561342)</f>
        <v>43428.56794</v>
      </c>
      <c r="B4035" t="s">
        <v>371</v>
      </c>
    </row>
    <row r="4036">
      <c r="A4036" s="32">
        <f>IFERROR(__xludf.DUMMYFUNCTION("""COMPUTED_VALUE"""),43428.584056238426)</f>
        <v>43428.58406</v>
      </c>
      <c r="B4036" t="s">
        <v>80</v>
      </c>
    </row>
    <row r="4037">
      <c r="A4037" s="32">
        <f>IFERROR(__xludf.DUMMYFUNCTION("""COMPUTED_VALUE"""),43428.620927129625)</f>
        <v>43428.62093</v>
      </c>
      <c r="B4037" t="s">
        <v>371</v>
      </c>
    </row>
    <row r="4038">
      <c r="A4038" s="32">
        <f>IFERROR(__xludf.DUMMYFUNCTION("""COMPUTED_VALUE"""),43428.74035839121)</f>
        <v>43428.74036</v>
      </c>
      <c r="B4038" t="s">
        <v>256</v>
      </c>
    </row>
    <row r="4039">
      <c r="A4039" s="32">
        <f>IFERROR(__xludf.DUMMYFUNCTION("""COMPUTED_VALUE"""),43428.83727142361)</f>
        <v>43428.83727</v>
      </c>
      <c r="B4039" t="s">
        <v>80</v>
      </c>
    </row>
    <row r="4040">
      <c r="A4040" s="32">
        <f>IFERROR(__xludf.DUMMYFUNCTION("""COMPUTED_VALUE"""),43428.85996483796)</f>
        <v>43428.85996</v>
      </c>
      <c r="B4040" t="s">
        <v>36</v>
      </c>
    </row>
    <row r="4041">
      <c r="A4041" s="32">
        <f>IFERROR(__xludf.DUMMYFUNCTION("""COMPUTED_VALUE"""),43429.09273733797)</f>
        <v>43429.09274</v>
      </c>
      <c r="B4041" t="s">
        <v>123</v>
      </c>
    </row>
    <row r="4042">
      <c r="A4042" s="32">
        <f>IFERROR(__xludf.DUMMYFUNCTION("""COMPUTED_VALUE"""),43429.151292615745)</f>
        <v>43429.15129</v>
      </c>
      <c r="B4042" t="s">
        <v>658</v>
      </c>
    </row>
    <row r="4043">
      <c r="A4043" s="32">
        <f>IFERROR(__xludf.DUMMYFUNCTION("""COMPUTED_VALUE"""),43429.292632662036)</f>
        <v>43429.29263</v>
      </c>
      <c r="B4043" t="s">
        <v>463</v>
      </c>
    </row>
    <row r="4044">
      <c r="A4044" s="32">
        <f>IFERROR(__xludf.DUMMYFUNCTION("""COMPUTED_VALUE"""),43429.435750439814)</f>
        <v>43429.43575</v>
      </c>
      <c r="B4044" t="s">
        <v>964</v>
      </c>
    </row>
    <row r="4045">
      <c r="A4045" s="32">
        <f>IFERROR(__xludf.DUMMYFUNCTION("""COMPUTED_VALUE"""),43429.44865898148)</f>
        <v>43429.44866</v>
      </c>
      <c r="B4045" t="s">
        <v>170</v>
      </c>
    </row>
    <row r="4046">
      <c r="A4046" s="32">
        <f>IFERROR(__xludf.DUMMYFUNCTION("""COMPUTED_VALUE"""),43429.47060318287)</f>
        <v>43429.4706</v>
      </c>
      <c r="B4046" t="s">
        <v>80</v>
      </c>
    </row>
    <row r="4047">
      <c r="A4047" s="32">
        <f>IFERROR(__xludf.DUMMYFUNCTION("""COMPUTED_VALUE"""),43429.48595828704)</f>
        <v>43429.48596</v>
      </c>
      <c r="B4047" t="s">
        <v>33</v>
      </c>
    </row>
    <row r="4048">
      <c r="A4048" s="32">
        <f>IFERROR(__xludf.DUMMYFUNCTION("""COMPUTED_VALUE"""),43429.556287997686)</f>
        <v>43429.55629</v>
      </c>
      <c r="B4048" t="s">
        <v>80</v>
      </c>
    </row>
    <row r="4049">
      <c r="A4049" s="32">
        <f>IFERROR(__xludf.DUMMYFUNCTION("""COMPUTED_VALUE"""),43429.68556633102)</f>
        <v>43429.68557</v>
      </c>
      <c r="B4049" t="s">
        <v>40</v>
      </c>
    </row>
    <row r="4050">
      <c r="A4050" s="32">
        <f>IFERROR(__xludf.DUMMYFUNCTION("""COMPUTED_VALUE"""),43429.72751141204)</f>
        <v>43429.72751</v>
      </c>
      <c r="B4050" t="s">
        <v>45</v>
      </c>
    </row>
    <row r="4051">
      <c r="A4051" s="32">
        <f>IFERROR(__xludf.DUMMYFUNCTION("""COMPUTED_VALUE"""),43429.750810717596)</f>
        <v>43429.75081</v>
      </c>
      <c r="B4051" t="s">
        <v>33</v>
      </c>
    </row>
    <row r="4052">
      <c r="A4052" s="32">
        <f>IFERROR(__xludf.DUMMYFUNCTION("""COMPUTED_VALUE"""),43429.76513596065)</f>
        <v>43429.76514</v>
      </c>
      <c r="B4052" t="s">
        <v>387</v>
      </c>
    </row>
    <row r="4053">
      <c r="A4053" s="32">
        <f>IFERROR(__xludf.DUMMYFUNCTION("""COMPUTED_VALUE"""),43429.76513596065)</f>
        <v>43429.76514</v>
      </c>
      <c r="B4053" t="s">
        <v>387</v>
      </c>
    </row>
    <row r="4054">
      <c r="A4054" s="32">
        <f>IFERROR(__xludf.DUMMYFUNCTION("""COMPUTED_VALUE"""),43429.82919380787)</f>
        <v>43429.82919</v>
      </c>
      <c r="B4054" t="s">
        <v>45</v>
      </c>
    </row>
    <row r="4055">
      <c r="A4055" s="32">
        <f>IFERROR(__xludf.DUMMYFUNCTION("""COMPUTED_VALUE"""),43429.940499895834)</f>
        <v>43429.9405</v>
      </c>
      <c r="B4055" t="s">
        <v>33</v>
      </c>
    </row>
    <row r="4056">
      <c r="A4056" s="32">
        <f>IFERROR(__xludf.DUMMYFUNCTION("""COMPUTED_VALUE"""),43429.97737153935)</f>
        <v>43429.97737</v>
      </c>
      <c r="B4056" t="s">
        <v>40</v>
      </c>
    </row>
    <row r="4057">
      <c r="A4057" s="32">
        <f>IFERROR(__xludf.DUMMYFUNCTION("""COMPUTED_VALUE"""),43430.391827245374)</f>
        <v>43430.39183</v>
      </c>
      <c r="B4057" t="s">
        <v>33</v>
      </c>
    </row>
    <row r="4058">
      <c r="A4058" s="32">
        <f>IFERROR(__xludf.DUMMYFUNCTION("""COMPUTED_VALUE"""),43430.43131542824)</f>
        <v>43430.43132</v>
      </c>
      <c r="B4058" t="s">
        <v>45</v>
      </c>
    </row>
    <row r="4059">
      <c r="A4059" s="32">
        <f>IFERROR(__xludf.DUMMYFUNCTION("""COMPUTED_VALUE"""),43430.44001314815)</f>
        <v>43430.44001</v>
      </c>
      <c r="B4059" t="s">
        <v>2681</v>
      </c>
    </row>
    <row r="4060">
      <c r="A4060" s="32">
        <f>IFERROR(__xludf.DUMMYFUNCTION("""COMPUTED_VALUE"""),43430.47579484954)</f>
        <v>43430.47579</v>
      </c>
      <c r="B4060" t="s">
        <v>40</v>
      </c>
    </row>
    <row r="4061">
      <c r="A4061" s="32">
        <f>IFERROR(__xludf.DUMMYFUNCTION("""COMPUTED_VALUE"""),43430.492948506944)</f>
        <v>43430.49295</v>
      </c>
      <c r="B4061" t="s">
        <v>80</v>
      </c>
    </row>
    <row r="4062">
      <c r="A4062" s="32">
        <f>IFERROR(__xludf.DUMMYFUNCTION("""COMPUTED_VALUE"""),43430.6950853125)</f>
        <v>43430.69509</v>
      </c>
      <c r="B4062" t="s">
        <v>33</v>
      </c>
    </row>
    <row r="4063">
      <c r="A4063" s="32">
        <f>IFERROR(__xludf.DUMMYFUNCTION("""COMPUTED_VALUE"""),43430.70388804398)</f>
        <v>43430.70389</v>
      </c>
      <c r="B4063" t="s">
        <v>256</v>
      </c>
    </row>
    <row r="4064">
      <c r="A4064" s="32">
        <f>IFERROR(__xludf.DUMMYFUNCTION("""COMPUTED_VALUE"""),43430.72923369213)</f>
        <v>43430.72923</v>
      </c>
      <c r="B4064" t="s">
        <v>268</v>
      </c>
    </row>
    <row r="4065">
      <c r="A4065" s="32">
        <f>IFERROR(__xludf.DUMMYFUNCTION("""COMPUTED_VALUE"""),43430.73423891204)</f>
        <v>43430.73424</v>
      </c>
      <c r="B4065" t="s">
        <v>33</v>
      </c>
    </row>
    <row r="4066">
      <c r="A4066" s="32">
        <f>IFERROR(__xludf.DUMMYFUNCTION("""COMPUTED_VALUE"""),43430.76940326389)</f>
        <v>43430.7694</v>
      </c>
      <c r="B4066" t="s">
        <v>33</v>
      </c>
    </row>
    <row r="4067">
      <c r="A4067" s="32">
        <f>IFERROR(__xludf.DUMMYFUNCTION("""COMPUTED_VALUE"""),43430.78361400463)</f>
        <v>43430.78361</v>
      </c>
      <c r="B4067" t="s">
        <v>33</v>
      </c>
    </row>
    <row r="4068">
      <c r="A4068" s="32">
        <f>IFERROR(__xludf.DUMMYFUNCTION("""COMPUTED_VALUE"""),43430.788480868054)</f>
        <v>43430.78848</v>
      </c>
      <c r="B4068" t="s">
        <v>123</v>
      </c>
    </row>
    <row r="4069">
      <c r="A4069" s="32">
        <f>IFERROR(__xludf.DUMMYFUNCTION("""COMPUTED_VALUE"""),43430.8737215625)</f>
        <v>43430.87372</v>
      </c>
      <c r="B4069" t="s">
        <v>256</v>
      </c>
    </row>
    <row r="4070">
      <c r="A4070" s="32">
        <f>IFERROR(__xludf.DUMMYFUNCTION("""COMPUTED_VALUE"""),43430.898952268515)</f>
        <v>43430.89895</v>
      </c>
      <c r="B4070" t="s">
        <v>33</v>
      </c>
    </row>
    <row r="4071">
      <c r="A4071" s="32">
        <f>IFERROR(__xludf.DUMMYFUNCTION("""COMPUTED_VALUE"""),43430.94277835648)</f>
        <v>43430.94278</v>
      </c>
      <c r="B4071" t="s">
        <v>48</v>
      </c>
    </row>
    <row r="4072">
      <c r="A4072" s="32">
        <f>IFERROR(__xludf.DUMMYFUNCTION("""COMPUTED_VALUE"""),43430.946673831015)</f>
        <v>43430.94667</v>
      </c>
      <c r="B4072" t="s">
        <v>428</v>
      </c>
    </row>
    <row r="4073">
      <c r="A4073" s="32">
        <f>IFERROR(__xludf.DUMMYFUNCTION("""COMPUTED_VALUE"""),43431.007089756946)</f>
        <v>43431.00709</v>
      </c>
      <c r="B4073" t="s">
        <v>40</v>
      </c>
    </row>
    <row r="4074">
      <c r="A4074" s="32">
        <f>IFERROR(__xludf.DUMMYFUNCTION("""COMPUTED_VALUE"""),43431.13427591435)</f>
        <v>43431.13428</v>
      </c>
      <c r="B4074" t="s">
        <v>33</v>
      </c>
    </row>
    <row r="4075">
      <c r="A4075" s="32">
        <f>IFERROR(__xludf.DUMMYFUNCTION("""COMPUTED_VALUE"""),43431.37624677083)</f>
        <v>43431.37625</v>
      </c>
      <c r="B4075" t="s">
        <v>36</v>
      </c>
    </row>
    <row r="4076">
      <c r="A4076" s="32">
        <f>IFERROR(__xludf.DUMMYFUNCTION("""COMPUTED_VALUE"""),43431.37624677083)</f>
        <v>43431.37625</v>
      </c>
      <c r="B4076" t="s">
        <v>36</v>
      </c>
    </row>
    <row r="4077">
      <c r="A4077" s="32">
        <f>IFERROR(__xludf.DUMMYFUNCTION("""COMPUTED_VALUE"""),43431.37624677083)</f>
        <v>43431.37625</v>
      </c>
      <c r="B4077" t="s">
        <v>36</v>
      </c>
    </row>
    <row r="4078">
      <c r="A4078" s="32">
        <f>IFERROR(__xludf.DUMMYFUNCTION("""COMPUTED_VALUE"""),43431.462858506944)</f>
        <v>43431.46286</v>
      </c>
      <c r="B4078" t="s">
        <v>33</v>
      </c>
    </row>
    <row r="4079">
      <c r="A4079" s="32">
        <f>IFERROR(__xludf.DUMMYFUNCTION("""COMPUTED_VALUE"""),43431.467484849534)</f>
        <v>43431.46748</v>
      </c>
      <c r="B4079" t="s">
        <v>2813</v>
      </c>
    </row>
    <row r="4080">
      <c r="A4080" s="32">
        <f>IFERROR(__xludf.DUMMYFUNCTION("""COMPUTED_VALUE"""),43431.54366458333)</f>
        <v>43431.54366</v>
      </c>
      <c r="B4080" t="s">
        <v>2147</v>
      </c>
    </row>
    <row r="4081">
      <c r="A4081" s="32">
        <f>IFERROR(__xludf.DUMMYFUNCTION("""COMPUTED_VALUE"""),43431.58448902778)</f>
        <v>43431.58449</v>
      </c>
      <c r="B4081" t="s">
        <v>48</v>
      </c>
    </row>
    <row r="4082">
      <c r="A4082" s="32">
        <f>IFERROR(__xludf.DUMMYFUNCTION("""COMPUTED_VALUE"""),43431.59472184027)</f>
        <v>43431.59472</v>
      </c>
      <c r="B4082" t="s">
        <v>25</v>
      </c>
    </row>
    <row r="4083">
      <c r="A4083" s="32">
        <f>IFERROR(__xludf.DUMMYFUNCTION("""COMPUTED_VALUE"""),43431.663229074074)</f>
        <v>43431.66323</v>
      </c>
      <c r="B4083" t="s">
        <v>2575</v>
      </c>
    </row>
    <row r="4084">
      <c r="A4084" s="32">
        <f>IFERROR(__xludf.DUMMYFUNCTION("""COMPUTED_VALUE"""),43431.682676157405)</f>
        <v>43431.68268</v>
      </c>
      <c r="B4084" s="30" t="s">
        <v>2814</v>
      </c>
    </row>
    <row r="4085">
      <c r="A4085" s="32">
        <f>IFERROR(__xludf.DUMMYFUNCTION("""COMPUTED_VALUE"""),43431.70682471065)</f>
        <v>43431.70682</v>
      </c>
      <c r="B4085" t="s">
        <v>268</v>
      </c>
    </row>
    <row r="4086">
      <c r="A4086" s="32">
        <f>IFERROR(__xludf.DUMMYFUNCTION("""COMPUTED_VALUE"""),43431.710904872685)</f>
        <v>43431.7109</v>
      </c>
      <c r="B4086" t="s">
        <v>45</v>
      </c>
    </row>
    <row r="4087">
      <c r="A4087" s="32">
        <f>IFERROR(__xludf.DUMMYFUNCTION("""COMPUTED_VALUE"""),43431.796176805554)</f>
        <v>43431.79618</v>
      </c>
      <c r="B4087" t="s">
        <v>258</v>
      </c>
    </row>
    <row r="4088">
      <c r="A4088" s="32">
        <f>IFERROR(__xludf.DUMMYFUNCTION("""COMPUTED_VALUE"""),43431.85659138889)</f>
        <v>43431.85659</v>
      </c>
      <c r="B4088" t="s">
        <v>80</v>
      </c>
    </row>
    <row r="4089">
      <c r="A4089" s="32">
        <f>IFERROR(__xludf.DUMMYFUNCTION("""COMPUTED_VALUE"""),43431.884997615736)</f>
        <v>43431.885</v>
      </c>
      <c r="B4089" t="s">
        <v>40</v>
      </c>
    </row>
    <row r="4090">
      <c r="A4090" s="32">
        <f>IFERROR(__xludf.DUMMYFUNCTION("""COMPUTED_VALUE"""),43431.922381944445)</f>
        <v>43431.92238</v>
      </c>
      <c r="B4090" t="s">
        <v>122</v>
      </c>
    </row>
    <row r="4091">
      <c r="A4091" s="32">
        <f>IFERROR(__xludf.DUMMYFUNCTION("""COMPUTED_VALUE"""),43431.9258553588)</f>
        <v>43431.92586</v>
      </c>
      <c r="B4091" t="s">
        <v>2815</v>
      </c>
    </row>
    <row r="4092">
      <c r="A4092" s="32">
        <f>IFERROR(__xludf.DUMMYFUNCTION("""COMPUTED_VALUE"""),43431.92603266204)</f>
        <v>43431.92603</v>
      </c>
      <c r="B4092" t="s">
        <v>80</v>
      </c>
    </row>
    <row r="4093">
      <c r="A4093" s="32">
        <f>IFERROR(__xludf.DUMMYFUNCTION("""COMPUTED_VALUE"""),43431.93298017361)</f>
        <v>43431.93298</v>
      </c>
      <c r="B4093" t="s">
        <v>36</v>
      </c>
    </row>
    <row r="4094">
      <c r="A4094" s="32">
        <f>IFERROR(__xludf.DUMMYFUNCTION("""COMPUTED_VALUE"""),43431.93493346065)</f>
        <v>43431.93493</v>
      </c>
      <c r="B4094" t="s">
        <v>2237</v>
      </c>
    </row>
    <row r="4095">
      <c r="A4095" s="32">
        <f>IFERROR(__xludf.DUMMYFUNCTION("""COMPUTED_VALUE"""),43431.942666539355)</f>
        <v>43431.94267</v>
      </c>
      <c r="B4095" t="s">
        <v>170</v>
      </c>
    </row>
    <row r="4096">
      <c r="A4096" s="32">
        <f>IFERROR(__xludf.DUMMYFUNCTION("""COMPUTED_VALUE"""),43432.05028969907)</f>
        <v>43432.05029</v>
      </c>
      <c r="B4096" t="s">
        <v>80</v>
      </c>
    </row>
    <row r="4097">
      <c r="A4097" s="32">
        <f>IFERROR(__xludf.DUMMYFUNCTION("""COMPUTED_VALUE"""),43432.092748483796)</f>
        <v>43432.09275</v>
      </c>
      <c r="B4097" t="s">
        <v>33</v>
      </c>
    </row>
    <row r="4098">
      <c r="A4098" s="32">
        <f>IFERROR(__xludf.DUMMYFUNCTION("""COMPUTED_VALUE"""),43432.42525357639)</f>
        <v>43432.42525</v>
      </c>
      <c r="B4098" t="s">
        <v>80</v>
      </c>
    </row>
    <row r="4099">
      <c r="A4099" s="32">
        <f>IFERROR(__xludf.DUMMYFUNCTION("""COMPUTED_VALUE"""),43432.42768006945)</f>
        <v>43432.42768</v>
      </c>
      <c r="B4099" t="s">
        <v>2581</v>
      </c>
    </row>
    <row r="4100">
      <c r="A4100" s="32">
        <f>IFERROR(__xludf.DUMMYFUNCTION("""COMPUTED_VALUE"""),43432.5450425)</f>
        <v>43432.54504</v>
      </c>
      <c r="B4100" t="s">
        <v>33</v>
      </c>
    </row>
    <row r="4101">
      <c r="A4101" s="32">
        <f>IFERROR(__xludf.DUMMYFUNCTION("""COMPUTED_VALUE"""),43432.56501496528)</f>
        <v>43432.56501</v>
      </c>
      <c r="B4101" t="s">
        <v>33</v>
      </c>
    </row>
    <row r="4102">
      <c r="A4102" s="32">
        <f>IFERROR(__xludf.DUMMYFUNCTION("""COMPUTED_VALUE"""),43432.72626365741)</f>
        <v>43432.72626</v>
      </c>
      <c r="B4102" t="s">
        <v>33</v>
      </c>
    </row>
    <row r="4103">
      <c r="A4103" s="32">
        <f>IFERROR(__xludf.DUMMYFUNCTION("""COMPUTED_VALUE"""),43432.72875019676)</f>
        <v>43432.72875</v>
      </c>
      <c r="B4103" t="s">
        <v>80</v>
      </c>
    </row>
    <row r="4104">
      <c r="A4104" s="32">
        <f>IFERROR(__xludf.DUMMYFUNCTION("""COMPUTED_VALUE"""),43432.75672262731)</f>
        <v>43432.75672</v>
      </c>
      <c r="B4104" t="s">
        <v>123</v>
      </c>
    </row>
    <row r="4105">
      <c r="A4105" s="32">
        <f>IFERROR(__xludf.DUMMYFUNCTION("""COMPUTED_VALUE"""),43432.79642475695)</f>
        <v>43432.79642</v>
      </c>
      <c r="B4105" t="s">
        <v>33</v>
      </c>
    </row>
    <row r="4106">
      <c r="A4106" s="32">
        <f>IFERROR(__xludf.DUMMYFUNCTION("""COMPUTED_VALUE"""),43432.799734201384)</f>
        <v>43432.79973</v>
      </c>
      <c r="B4106" t="s">
        <v>48</v>
      </c>
    </row>
    <row r="4107">
      <c r="A4107" s="32">
        <f>IFERROR(__xludf.DUMMYFUNCTION("""COMPUTED_VALUE"""),43432.81105846065)</f>
        <v>43432.81106</v>
      </c>
      <c r="B4107" t="s">
        <v>2582</v>
      </c>
    </row>
    <row r="4108">
      <c r="A4108" s="32">
        <f>IFERROR(__xludf.DUMMYFUNCTION("""COMPUTED_VALUE"""),43432.81288087963)</f>
        <v>43432.81288</v>
      </c>
      <c r="B4108" t="s">
        <v>2583</v>
      </c>
    </row>
    <row r="4109">
      <c r="A4109" s="32">
        <f>IFERROR(__xludf.DUMMYFUNCTION("""COMPUTED_VALUE"""),43432.89188858796)</f>
        <v>43432.89189</v>
      </c>
      <c r="B4109" t="s">
        <v>80</v>
      </c>
    </row>
    <row r="4110">
      <c r="A4110" s="32">
        <f>IFERROR(__xludf.DUMMYFUNCTION("""COMPUTED_VALUE"""),43432.90337759259)</f>
        <v>43432.90338</v>
      </c>
      <c r="B4110" t="s">
        <v>2583</v>
      </c>
    </row>
    <row r="4111">
      <c r="A4111" s="32">
        <f>IFERROR(__xludf.DUMMYFUNCTION("""COMPUTED_VALUE"""),43433.01176334491)</f>
        <v>43433.01176</v>
      </c>
      <c r="B4111" t="s">
        <v>48</v>
      </c>
    </row>
    <row r="4112">
      <c r="A4112" s="32">
        <f>IFERROR(__xludf.DUMMYFUNCTION("""COMPUTED_VALUE"""),43433.34247924769)</f>
        <v>43433.34248</v>
      </c>
      <c r="B4112" t="s">
        <v>33</v>
      </c>
    </row>
    <row r="4113">
      <c r="A4113" s="32">
        <f>IFERROR(__xludf.DUMMYFUNCTION("""COMPUTED_VALUE"""),43433.38571270833)</f>
        <v>43433.38571</v>
      </c>
      <c r="B4113" t="s">
        <v>80</v>
      </c>
    </row>
    <row r="4114">
      <c r="A4114" s="32">
        <f>IFERROR(__xludf.DUMMYFUNCTION("""COMPUTED_VALUE"""),43433.38739743056)</f>
        <v>43433.3874</v>
      </c>
      <c r="B4114" t="s">
        <v>33</v>
      </c>
    </row>
    <row r="4115">
      <c r="A4115" s="32">
        <f>IFERROR(__xludf.DUMMYFUNCTION("""COMPUTED_VALUE"""),43433.47260603009)</f>
        <v>43433.47261</v>
      </c>
      <c r="B4115" t="s">
        <v>371</v>
      </c>
    </row>
    <row r="4116">
      <c r="A4116" s="32">
        <f>IFERROR(__xludf.DUMMYFUNCTION("""COMPUTED_VALUE"""),43433.49031680556)</f>
        <v>43433.49032</v>
      </c>
      <c r="B4116" t="s">
        <v>80</v>
      </c>
    </row>
    <row r="4117">
      <c r="A4117" s="32">
        <f>IFERROR(__xludf.DUMMYFUNCTION("""COMPUTED_VALUE"""),43433.50889725694)</f>
        <v>43433.5089</v>
      </c>
      <c r="B4117" t="s">
        <v>350</v>
      </c>
    </row>
    <row r="4118">
      <c r="A4118" s="32">
        <f>IFERROR(__xludf.DUMMYFUNCTION("""COMPUTED_VALUE"""),43433.5124741551)</f>
        <v>43433.51247</v>
      </c>
      <c r="B4118" t="s">
        <v>157</v>
      </c>
    </row>
    <row r="4119">
      <c r="A4119" s="32">
        <f>IFERROR(__xludf.DUMMYFUNCTION("""COMPUTED_VALUE"""),43433.73264217592)</f>
        <v>43433.73264</v>
      </c>
      <c r="B4119" t="s">
        <v>820</v>
      </c>
    </row>
    <row r="4120">
      <c r="A4120" s="32">
        <f>IFERROR(__xludf.DUMMYFUNCTION("""COMPUTED_VALUE"""),43433.891514745366)</f>
        <v>43433.89151</v>
      </c>
      <c r="B4120" t="s">
        <v>170</v>
      </c>
    </row>
    <row r="4121">
      <c r="A4121" s="32">
        <f>IFERROR(__xludf.DUMMYFUNCTION("""COMPUTED_VALUE"""),43433.912707118056)</f>
        <v>43433.91271</v>
      </c>
      <c r="B4121" t="s">
        <v>48</v>
      </c>
    </row>
    <row r="4122">
      <c r="A4122" s="32">
        <f>IFERROR(__xludf.DUMMYFUNCTION("""COMPUTED_VALUE"""),43433.91838916666)</f>
        <v>43433.91839</v>
      </c>
      <c r="B4122" t="s">
        <v>2588</v>
      </c>
    </row>
    <row r="4123">
      <c r="A4123" s="32">
        <f>IFERROR(__xludf.DUMMYFUNCTION("""COMPUTED_VALUE"""),43433.96458788194)</f>
        <v>43433.96459</v>
      </c>
      <c r="B4123" t="s">
        <v>48</v>
      </c>
    </row>
    <row r="4124">
      <c r="A4124" s="32">
        <f>IFERROR(__xludf.DUMMYFUNCTION("""COMPUTED_VALUE"""),43433.97944052084)</f>
        <v>43433.97944</v>
      </c>
      <c r="B4124" t="s">
        <v>2590</v>
      </c>
    </row>
    <row r="4125">
      <c r="A4125" s="32">
        <f>IFERROR(__xludf.DUMMYFUNCTION("""COMPUTED_VALUE"""),43434.013420891206)</f>
        <v>43434.01342</v>
      </c>
      <c r="B4125" t="s">
        <v>380</v>
      </c>
    </row>
    <row r="4126">
      <c r="A4126" s="32">
        <f>IFERROR(__xludf.DUMMYFUNCTION("""COMPUTED_VALUE"""),43434.05619883102)</f>
        <v>43434.0562</v>
      </c>
      <c r="B4126" t="s">
        <v>45</v>
      </c>
    </row>
    <row r="4127">
      <c r="A4127" s="32">
        <f>IFERROR(__xludf.DUMMYFUNCTION("""COMPUTED_VALUE"""),43434.07119650463)</f>
        <v>43434.0712</v>
      </c>
      <c r="B4127" t="s">
        <v>36</v>
      </c>
    </row>
    <row r="4128">
      <c r="A4128" s="32">
        <f>IFERROR(__xludf.DUMMYFUNCTION("""COMPUTED_VALUE"""),43434.27173434028)</f>
        <v>43434.27173</v>
      </c>
      <c r="B4128" t="s">
        <v>80</v>
      </c>
    </row>
    <row r="4129">
      <c r="A4129" s="32">
        <f>IFERROR(__xludf.DUMMYFUNCTION("""COMPUTED_VALUE"""),43434.37295230324)</f>
        <v>43434.37295</v>
      </c>
      <c r="B4129" t="s">
        <v>2592</v>
      </c>
    </row>
    <row r="4130">
      <c r="A4130" s="32">
        <f>IFERROR(__xludf.DUMMYFUNCTION("""COMPUTED_VALUE"""),43434.48688195602)</f>
        <v>43434.48688</v>
      </c>
      <c r="B4130" t="s">
        <v>40</v>
      </c>
    </row>
    <row r="4131">
      <c r="A4131" s="32">
        <f>IFERROR(__xludf.DUMMYFUNCTION("""COMPUTED_VALUE"""),43434.511847002315)</f>
        <v>43434.51185</v>
      </c>
      <c r="B4131" t="s">
        <v>204</v>
      </c>
    </row>
    <row r="4132">
      <c r="A4132" s="32">
        <f>IFERROR(__xludf.DUMMYFUNCTION("""COMPUTED_VALUE"""),43434.5634574537)</f>
        <v>43434.56346</v>
      </c>
      <c r="B4132" t="s">
        <v>1160</v>
      </c>
    </row>
    <row r="4133">
      <c r="A4133" s="32">
        <f>IFERROR(__xludf.DUMMYFUNCTION("""COMPUTED_VALUE"""),43434.564945300925)</f>
        <v>43434.56495</v>
      </c>
      <c r="B4133" t="s">
        <v>1160</v>
      </c>
    </row>
    <row r="4134">
      <c r="A4134" s="32">
        <f>IFERROR(__xludf.DUMMYFUNCTION("""COMPUTED_VALUE"""),43434.580261979165)</f>
        <v>43434.58026</v>
      </c>
      <c r="B4134" t="s">
        <v>40</v>
      </c>
    </row>
    <row r="4135">
      <c r="A4135" s="32">
        <f>IFERROR(__xludf.DUMMYFUNCTION("""COMPUTED_VALUE"""),43434.6417760301)</f>
        <v>43434.64178</v>
      </c>
      <c r="B4135" t="s">
        <v>40</v>
      </c>
    </row>
    <row r="4136">
      <c r="A4136" s="32">
        <f>IFERROR(__xludf.DUMMYFUNCTION("""COMPUTED_VALUE"""),43434.65176359954)</f>
        <v>43434.65176</v>
      </c>
      <c r="B4136" t="s">
        <v>40</v>
      </c>
    </row>
    <row r="4137">
      <c r="A4137" s="32">
        <f>IFERROR(__xludf.DUMMYFUNCTION("""COMPUTED_VALUE"""),43434.659234618055)</f>
        <v>43434.65923</v>
      </c>
      <c r="B4137" t="s">
        <v>48</v>
      </c>
    </row>
    <row r="4138">
      <c r="A4138" s="32">
        <f>IFERROR(__xludf.DUMMYFUNCTION("""COMPUTED_VALUE"""),43434.750043101856)</f>
        <v>43434.75004</v>
      </c>
      <c r="B4138" t="s">
        <v>45</v>
      </c>
    </row>
    <row r="4139">
      <c r="A4139" s="32">
        <f>IFERROR(__xludf.DUMMYFUNCTION("""COMPUTED_VALUE"""),43434.796746875)</f>
        <v>43434.79675</v>
      </c>
      <c r="B4139" t="s">
        <v>40</v>
      </c>
    </row>
    <row r="4140">
      <c r="A4140" s="32">
        <f>IFERROR(__xludf.DUMMYFUNCTION("""COMPUTED_VALUE"""),43434.82483887731)</f>
        <v>43434.82484</v>
      </c>
      <c r="B4140" t="s">
        <v>33</v>
      </c>
    </row>
    <row r="4141">
      <c r="A4141" s="32">
        <f>IFERROR(__xludf.DUMMYFUNCTION("""COMPUTED_VALUE"""),43434.87157184028)</f>
        <v>43434.87157</v>
      </c>
      <c r="B4141" t="s">
        <v>2816</v>
      </c>
    </row>
    <row r="4142">
      <c r="A4142" s="32">
        <f>IFERROR(__xludf.DUMMYFUNCTION("""COMPUTED_VALUE"""),43434.872272106484)</f>
        <v>43434.87227</v>
      </c>
      <c r="B4142" t="s">
        <v>1957</v>
      </c>
    </row>
    <row r="4143">
      <c r="A4143" s="32">
        <f>IFERROR(__xludf.DUMMYFUNCTION("""COMPUTED_VALUE"""),43434.876837013886)</f>
        <v>43434.87684</v>
      </c>
      <c r="B4143" t="s">
        <v>658</v>
      </c>
    </row>
    <row r="4144">
      <c r="A4144" s="32">
        <f>IFERROR(__xludf.DUMMYFUNCTION("""COMPUTED_VALUE"""),43434.88707849537)</f>
        <v>43434.88708</v>
      </c>
      <c r="B4144" t="s">
        <v>2817</v>
      </c>
    </row>
    <row r="4145">
      <c r="A4145" s="32">
        <f>IFERROR(__xludf.DUMMYFUNCTION("""COMPUTED_VALUE"""),43434.90277240741)</f>
        <v>43434.90277</v>
      </c>
      <c r="B4145" t="s">
        <v>48</v>
      </c>
    </row>
    <row r="4146">
      <c r="A4146" s="32">
        <f>IFERROR(__xludf.DUMMYFUNCTION("""COMPUTED_VALUE"""),43434.9065238426)</f>
        <v>43434.90652</v>
      </c>
      <c r="B4146" t="s">
        <v>123</v>
      </c>
    </row>
    <row r="4147">
      <c r="A4147" s="32">
        <f>IFERROR(__xludf.DUMMYFUNCTION("""COMPUTED_VALUE"""),43434.92654236111)</f>
        <v>43434.92654</v>
      </c>
      <c r="B4147" t="s">
        <v>1276</v>
      </c>
    </row>
    <row r="4148">
      <c r="A4148" s="32">
        <f>IFERROR(__xludf.DUMMYFUNCTION("""COMPUTED_VALUE"""),43434.943992939814)</f>
        <v>43434.94399</v>
      </c>
      <c r="B4148" t="s">
        <v>45</v>
      </c>
    </row>
    <row r="4149">
      <c r="A4149" s="32">
        <f>IFERROR(__xludf.DUMMYFUNCTION("""COMPUTED_VALUE"""),43434.95712476852)</f>
        <v>43434.95712</v>
      </c>
      <c r="B4149" t="s">
        <v>36</v>
      </c>
    </row>
    <row r="4150">
      <c r="A4150" s="32">
        <f>IFERROR(__xludf.DUMMYFUNCTION("""COMPUTED_VALUE"""),43435.514134780096)</f>
        <v>43435.51413</v>
      </c>
      <c r="B4150" t="s">
        <v>80</v>
      </c>
    </row>
    <row r="4151">
      <c r="A4151" s="32">
        <f>IFERROR(__xludf.DUMMYFUNCTION("""COMPUTED_VALUE"""),43435.52977300926)</f>
        <v>43435.52977</v>
      </c>
      <c r="B4151" t="s">
        <v>188</v>
      </c>
    </row>
    <row r="4152">
      <c r="A4152" s="32">
        <f>IFERROR(__xludf.DUMMYFUNCTION("""COMPUTED_VALUE"""),43435.53251574074)</f>
        <v>43435.53252</v>
      </c>
      <c r="B4152" t="s">
        <v>119</v>
      </c>
    </row>
    <row r="4153">
      <c r="A4153" s="32">
        <f>IFERROR(__xludf.DUMMYFUNCTION("""COMPUTED_VALUE"""),43435.56862440972)</f>
        <v>43435.56862</v>
      </c>
      <c r="B4153" t="s">
        <v>40</v>
      </c>
    </row>
    <row r="4154">
      <c r="A4154" s="32">
        <f>IFERROR(__xludf.DUMMYFUNCTION("""COMPUTED_VALUE"""),43435.61842362268)</f>
        <v>43435.61842</v>
      </c>
      <c r="B4154" t="s">
        <v>33</v>
      </c>
    </row>
    <row r="4155">
      <c r="A4155" s="32">
        <f>IFERROR(__xludf.DUMMYFUNCTION("""COMPUTED_VALUE"""),43435.73429552083)</f>
        <v>43435.7343</v>
      </c>
      <c r="B4155" t="s">
        <v>45</v>
      </c>
    </row>
    <row r="4156">
      <c r="A4156" s="32">
        <f>IFERROR(__xludf.DUMMYFUNCTION("""COMPUTED_VALUE"""),43435.76486407407)</f>
        <v>43435.76486</v>
      </c>
      <c r="B4156" t="s">
        <v>33</v>
      </c>
    </row>
    <row r="4157">
      <c r="A4157" s="32">
        <f>IFERROR(__xludf.DUMMYFUNCTION("""COMPUTED_VALUE"""),43435.796895)</f>
        <v>43435.7969</v>
      </c>
      <c r="B4157" t="s">
        <v>33</v>
      </c>
    </row>
    <row r="4158">
      <c r="A4158" s="32">
        <f>IFERROR(__xludf.DUMMYFUNCTION("""COMPUTED_VALUE"""),43435.88263626157)</f>
        <v>43435.88264</v>
      </c>
      <c r="B4158" t="s">
        <v>80</v>
      </c>
    </row>
    <row r="4159">
      <c r="A4159" s="32">
        <f>IFERROR(__xludf.DUMMYFUNCTION("""COMPUTED_VALUE"""),43435.927255902774)</f>
        <v>43435.92726</v>
      </c>
      <c r="B4159" t="s">
        <v>188</v>
      </c>
    </row>
    <row r="4160">
      <c r="A4160" s="32">
        <f>IFERROR(__xludf.DUMMYFUNCTION("""COMPUTED_VALUE"""),43435.94439405092)</f>
        <v>43435.94439</v>
      </c>
      <c r="B4160" t="s">
        <v>268</v>
      </c>
    </row>
    <row r="4161">
      <c r="A4161" s="32">
        <f>IFERROR(__xludf.DUMMYFUNCTION("""COMPUTED_VALUE"""),43436.03279471065)</f>
        <v>43436.03279</v>
      </c>
      <c r="B4161" t="s">
        <v>45</v>
      </c>
    </row>
    <row r="4162">
      <c r="A4162" s="32">
        <f>IFERROR(__xludf.DUMMYFUNCTION("""COMPUTED_VALUE"""),43436.314054710645)</f>
        <v>43436.31405</v>
      </c>
      <c r="B4162" t="s">
        <v>371</v>
      </c>
    </row>
    <row r="4163">
      <c r="A4163" s="32">
        <f>IFERROR(__xludf.DUMMYFUNCTION("""COMPUTED_VALUE"""),43436.40885383102)</f>
        <v>43436.40885</v>
      </c>
      <c r="B4163" t="s">
        <v>80</v>
      </c>
    </row>
    <row r="4164">
      <c r="A4164" s="32">
        <f>IFERROR(__xludf.DUMMYFUNCTION("""COMPUTED_VALUE"""),43436.420129791666)</f>
        <v>43436.42013</v>
      </c>
      <c r="B4164" t="s">
        <v>722</v>
      </c>
    </row>
    <row r="4165">
      <c r="A4165" s="32">
        <f>IFERROR(__xludf.DUMMYFUNCTION("""COMPUTED_VALUE"""),43436.46622261574)</f>
        <v>43436.46622</v>
      </c>
      <c r="B4165" t="s">
        <v>36</v>
      </c>
    </row>
    <row r="4166">
      <c r="A4166" s="32">
        <f>IFERROR(__xludf.DUMMYFUNCTION("""COMPUTED_VALUE"""),43436.57198184028)</f>
        <v>43436.57198</v>
      </c>
      <c r="B4166" t="s">
        <v>33</v>
      </c>
    </row>
    <row r="4167">
      <c r="A4167" s="32">
        <f>IFERROR(__xludf.DUMMYFUNCTION("""COMPUTED_VALUE"""),43436.63767087963)</f>
        <v>43436.63767</v>
      </c>
      <c r="B4167" t="s">
        <v>48</v>
      </c>
    </row>
    <row r="4168">
      <c r="A4168" s="32">
        <f>IFERROR(__xludf.DUMMYFUNCTION("""COMPUTED_VALUE"""),43436.674015428245)</f>
        <v>43436.67402</v>
      </c>
      <c r="B4168" t="s">
        <v>139</v>
      </c>
    </row>
    <row r="4169">
      <c r="A4169" s="32">
        <f>IFERROR(__xludf.DUMMYFUNCTION("""COMPUTED_VALUE"""),43436.6958659838)</f>
        <v>43436.69587</v>
      </c>
      <c r="B4169" t="s">
        <v>48</v>
      </c>
    </row>
    <row r="4170">
      <c r="A4170" s="32">
        <f>IFERROR(__xludf.DUMMYFUNCTION("""COMPUTED_VALUE"""),43436.73620584491)</f>
        <v>43436.73621</v>
      </c>
      <c r="B4170" t="s">
        <v>2606</v>
      </c>
    </row>
    <row r="4171">
      <c r="A4171" s="32">
        <f>IFERROR(__xludf.DUMMYFUNCTION("""COMPUTED_VALUE"""),43436.82036326389)</f>
        <v>43436.82036</v>
      </c>
      <c r="B4171" t="s">
        <v>109</v>
      </c>
    </row>
    <row r="4172">
      <c r="A4172" s="32">
        <f>IFERROR(__xludf.DUMMYFUNCTION("""COMPUTED_VALUE"""),43436.82559436343)</f>
        <v>43436.82559</v>
      </c>
      <c r="B4172" t="s">
        <v>263</v>
      </c>
    </row>
    <row r="4173">
      <c r="A4173" s="32">
        <f>IFERROR(__xludf.DUMMYFUNCTION("""COMPUTED_VALUE"""),43436.857752916665)</f>
        <v>43436.85775</v>
      </c>
      <c r="B4173" t="s">
        <v>33</v>
      </c>
    </row>
    <row r="4174">
      <c r="A4174" s="32">
        <f>IFERROR(__xludf.DUMMYFUNCTION("""COMPUTED_VALUE"""),43436.89998818287)</f>
        <v>43436.89999</v>
      </c>
      <c r="B4174" t="s">
        <v>40</v>
      </c>
    </row>
    <row r="4175">
      <c r="A4175" s="32">
        <f>IFERROR(__xludf.DUMMYFUNCTION("""COMPUTED_VALUE"""),43437.269550729165)</f>
        <v>43437.26955</v>
      </c>
      <c r="B4175" t="s">
        <v>387</v>
      </c>
    </row>
    <row r="4176">
      <c r="A4176" s="32">
        <f>IFERROR(__xludf.DUMMYFUNCTION("""COMPUTED_VALUE"""),43437.39518244213)</f>
        <v>43437.39518</v>
      </c>
      <c r="B4176" t="s">
        <v>139</v>
      </c>
    </row>
    <row r="4177">
      <c r="A4177" s="32">
        <f>IFERROR(__xludf.DUMMYFUNCTION("""COMPUTED_VALUE"""),43437.41220359954)</f>
        <v>43437.4122</v>
      </c>
      <c r="B4177" t="s">
        <v>170</v>
      </c>
    </row>
    <row r="4178">
      <c r="A4178" s="32">
        <f>IFERROR(__xludf.DUMMYFUNCTION("""COMPUTED_VALUE"""),43437.52335675926)</f>
        <v>43437.52336</v>
      </c>
      <c r="B4178" t="s">
        <v>452</v>
      </c>
    </row>
    <row r="4179">
      <c r="A4179" s="32">
        <f>IFERROR(__xludf.DUMMYFUNCTION("""COMPUTED_VALUE"""),43437.60197059027)</f>
        <v>43437.60197</v>
      </c>
      <c r="B4179" t="s">
        <v>80</v>
      </c>
    </row>
    <row r="4180">
      <c r="A4180" s="32">
        <f>IFERROR(__xludf.DUMMYFUNCTION("""COMPUTED_VALUE"""),43437.61028501157)</f>
        <v>43437.61029</v>
      </c>
      <c r="B4180" t="s">
        <v>36</v>
      </c>
    </row>
    <row r="4181">
      <c r="A4181" s="32">
        <f>IFERROR(__xludf.DUMMYFUNCTION("""COMPUTED_VALUE"""),43437.61028569445)</f>
        <v>43437.61029</v>
      </c>
      <c r="B4181" t="s">
        <v>36</v>
      </c>
    </row>
    <row r="4182">
      <c r="A4182" s="32">
        <f>IFERROR(__xludf.DUMMYFUNCTION("""COMPUTED_VALUE"""),43437.61247158565)</f>
        <v>43437.61247</v>
      </c>
      <c r="B4182" t="s">
        <v>2760</v>
      </c>
    </row>
    <row r="4183">
      <c r="A4183" s="32">
        <f>IFERROR(__xludf.DUMMYFUNCTION("""COMPUTED_VALUE"""),43437.71972245371)</f>
        <v>43437.71972</v>
      </c>
      <c r="B4183" t="s">
        <v>2614</v>
      </c>
    </row>
    <row r="4184">
      <c r="A4184" s="32">
        <f>IFERROR(__xludf.DUMMYFUNCTION("""COMPUTED_VALUE"""),43437.748969803244)</f>
        <v>43437.74897</v>
      </c>
      <c r="B4184" t="s">
        <v>2424</v>
      </c>
    </row>
    <row r="4185">
      <c r="A4185" s="32">
        <f>IFERROR(__xludf.DUMMYFUNCTION("""COMPUTED_VALUE"""),43437.83445042824)</f>
        <v>43437.83445</v>
      </c>
      <c r="B4185" t="s">
        <v>40</v>
      </c>
    </row>
    <row r="4186">
      <c r="A4186" s="32">
        <f>IFERROR(__xludf.DUMMYFUNCTION("""COMPUTED_VALUE"""),43437.97602238426)</f>
        <v>43437.97602</v>
      </c>
      <c r="B4186" t="s">
        <v>80</v>
      </c>
    </row>
    <row r="4187">
      <c r="A4187" s="32">
        <f>IFERROR(__xludf.DUMMYFUNCTION("""COMPUTED_VALUE"""),43437.980099016204)</f>
        <v>43437.9801</v>
      </c>
      <c r="B4187" t="s">
        <v>658</v>
      </c>
    </row>
    <row r="4188">
      <c r="A4188" s="32">
        <f>IFERROR(__xludf.DUMMYFUNCTION("""COMPUTED_VALUE"""),43437.996522013884)</f>
        <v>43437.99652</v>
      </c>
      <c r="B4188" t="s">
        <v>33</v>
      </c>
    </row>
    <row r="4189">
      <c r="A4189" s="32">
        <f>IFERROR(__xludf.DUMMYFUNCTION("""COMPUTED_VALUE"""),43438.165406875)</f>
        <v>43438.16541</v>
      </c>
      <c r="B4189" t="s">
        <v>2618</v>
      </c>
    </row>
    <row r="4190">
      <c r="A4190" s="32">
        <f>IFERROR(__xludf.DUMMYFUNCTION("""COMPUTED_VALUE"""),43438.29054987269)</f>
        <v>43438.29055</v>
      </c>
      <c r="B4190" t="s">
        <v>40</v>
      </c>
    </row>
    <row r="4191">
      <c r="A4191" s="32">
        <f>IFERROR(__xludf.DUMMYFUNCTION("""COMPUTED_VALUE"""),43438.41416460648)</f>
        <v>43438.41416</v>
      </c>
      <c r="B4191" t="s">
        <v>80</v>
      </c>
    </row>
    <row r="4192">
      <c r="A4192" s="32">
        <f>IFERROR(__xludf.DUMMYFUNCTION("""COMPUTED_VALUE"""),43438.42248201389)</f>
        <v>43438.42248</v>
      </c>
      <c r="B4192" t="s">
        <v>371</v>
      </c>
    </row>
    <row r="4193">
      <c r="A4193" s="32">
        <f>IFERROR(__xludf.DUMMYFUNCTION("""COMPUTED_VALUE"""),43438.422949687505)</f>
        <v>43438.42295</v>
      </c>
      <c r="B4193" t="s">
        <v>371</v>
      </c>
    </row>
    <row r="4194">
      <c r="A4194" s="32">
        <f>IFERROR(__xludf.DUMMYFUNCTION("""COMPUTED_VALUE"""),43438.43045869213)</f>
        <v>43438.43046</v>
      </c>
      <c r="B4194" t="s">
        <v>2818</v>
      </c>
    </row>
    <row r="4195">
      <c r="A4195" s="32">
        <f>IFERROR(__xludf.DUMMYFUNCTION("""COMPUTED_VALUE"""),43438.478886192126)</f>
        <v>43438.47889</v>
      </c>
      <c r="B4195" t="s">
        <v>80</v>
      </c>
    </row>
    <row r="4196">
      <c r="A4196" s="32">
        <f>IFERROR(__xludf.DUMMYFUNCTION("""COMPUTED_VALUE"""),43438.49609619213)</f>
        <v>43438.4961</v>
      </c>
      <c r="B4196" t="s">
        <v>33</v>
      </c>
    </row>
    <row r="4197">
      <c r="A4197" s="32">
        <f>IFERROR(__xludf.DUMMYFUNCTION("""COMPUTED_VALUE"""),43438.512106828704)</f>
        <v>43438.51211</v>
      </c>
      <c r="B4197" t="s">
        <v>80</v>
      </c>
    </row>
    <row r="4198">
      <c r="A4198" s="32">
        <f>IFERROR(__xludf.DUMMYFUNCTION("""COMPUTED_VALUE"""),43438.54936701389)</f>
        <v>43438.54937</v>
      </c>
      <c r="B4198" t="s">
        <v>25</v>
      </c>
    </row>
    <row r="4199">
      <c r="A4199" s="32">
        <f>IFERROR(__xludf.DUMMYFUNCTION("""COMPUTED_VALUE"""),43438.63915152778)</f>
        <v>43438.63915</v>
      </c>
      <c r="B4199" t="s">
        <v>80</v>
      </c>
    </row>
    <row r="4200">
      <c r="A4200" s="32">
        <f>IFERROR(__xludf.DUMMYFUNCTION("""COMPUTED_VALUE"""),43438.685873124996)</f>
        <v>43438.68587</v>
      </c>
      <c r="B4200" t="s">
        <v>33</v>
      </c>
    </row>
    <row r="4201">
      <c r="A4201" s="32">
        <f>IFERROR(__xludf.DUMMYFUNCTION("""COMPUTED_VALUE"""),43438.74397015046)</f>
        <v>43438.74397</v>
      </c>
      <c r="B4201" t="s">
        <v>80</v>
      </c>
    </row>
    <row r="4202">
      <c r="A4202" s="32">
        <f>IFERROR(__xludf.DUMMYFUNCTION("""COMPUTED_VALUE"""),43438.766405925926)</f>
        <v>43438.76641</v>
      </c>
      <c r="B4202" t="s">
        <v>40</v>
      </c>
    </row>
    <row r="4203">
      <c r="A4203" s="32">
        <f>IFERROR(__xludf.DUMMYFUNCTION("""COMPUTED_VALUE"""),43438.79207947917)</f>
        <v>43438.79208</v>
      </c>
      <c r="B4203" t="s">
        <v>2819</v>
      </c>
    </row>
    <row r="4204">
      <c r="A4204" s="32">
        <f>IFERROR(__xludf.DUMMYFUNCTION("""COMPUTED_VALUE"""),43438.828930752316)</f>
        <v>43438.82893</v>
      </c>
      <c r="B4204" t="s">
        <v>80</v>
      </c>
    </row>
    <row r="4205">
      <c r="A4205" s="32">
        <f>IFERROR(__xludf.DUMMYFUNCTION("""COMPUTED_VALUE"""),43438.8510899074)</f>
        <v>43438.85109</v>
      </c>
      <c r="B4205" t="s">
        <v>80</v>
      </c>
    </row>
    <row r="4206">
      <c r="A4206" s="32">
        <f>IFERROR(__xludf.DUMMYFUNCTION("""COMPUTED_VALUE"""),43438.85331340278)</f>
        <v>43438.85331</v>
      </c>
      <c r="B4206" t="s">
        <v>2628</v>
      </c>
    </row>
    <row r="4207">
      <c r="A4207" s="32">
        <f>IFERROR(__xludf.DUMMYFUNCTION("""COMPUTED_VALUE"""),43438.86084849537)</f>
        <v>43438.86085</v>
      </c>
      <c r="B4207" t="s">
        <v>33</v>
      </c>
    </row>
    <row r="4208">
      <c r="A4208" s="32">
        <f>IFERROR(__xludf.DUMMYFUNCTION("""COMPUTED_VALUE"""),43438.867697685186)</f>
        <v>43438.8677</v>
      </c>
      <c r="B4208" t="s">
        <v>2424</v>
      </c>
    </row>
    <row r="4209">
      <c r="A4209" s="32">
        <f>IFERROR(__xludf.DUMMYFUNCTION("""COMPUTED_VALUE"""),43438.87342509259)</f>
        <v>43438.87343</v>
      </c>
      <c r="B4209" t="s">
        <v>80</v>
      </c>
    </row>
    <row r="4210">
      <c r="A4210" s="32">
        <f>IFERROR(__xludf.DUMMYFUNCTION("""COMPUTED_VALUE"""),43438.88340502315)</f>
        <v>43438.88341</v>
      </c>
      <c r="B4210" t="s">
        <v>187</v>
      </c>
    </row>
    <row r="4211">
      <c r="A4211" s="32">
        <f>IFERROR(__xludf.DUMMYFUNCTION("""COMPUTED_VALUE"""),43438.939952835644)</f>
        <v>43438.93995</v>
      </c>
      <c r="B4211" t="s">
        <v>33</v>
      </c>
    </row>
    <row r="4212">
      <c r="A4212" s="32">
        <f>IFERROR(__xludf.DUMMYFUNCTION("""COMPUTED_VALUE"""),43438.94292670139)</f>
        <v>43438.94293</v>
      </c>
      <c r="B4212" t="s">
        <v>1935</v>
      </c>
    </row>
    <row r="4213">
      <c r="A4213" s="32">
        <f>IFERROR(__xludf.DUMMYFUNCTION("""COMPUTED_VALUE"""),43439.02361888889)</f>
        <v>43439.02362</v>
      </c>
      <c r="B4213" t="s">
        <v>2746</v>
      </c>
    </row>
    <row r="4214">
      <c r="A4214" s="32">
        <f>IFERROR(__xludf.DUMMYFUNCTION("""COMPUTED_VALUE"""),43439.37828365741)</f>
        <v>43439.37828</v>
      </c>
      <c r="B4214" t="s">
        <v>80</v>
      </c>
    </row>
    <row r="4215">
      <c r="A4215" s="32">
        <f>IFERROR(__xludf.DUMMYFUNCTION("""COMPUTED_VALUE"""),43439.4787621412)</f>
        <v>43439.47876</v>
      </c>
      <c r="B4215" t="s">
        <v>119</v>
      </c>
    </row>
    <row r="4216">
      <c r="A4216" s="32">
        <f>IFERROR(__xludf.DUMMYFUNCTION("""COMPUTED_VALUE"""),43439.49127414352)</f>
        <v>43439.49127</v>
      </c>
      <c r="B4216" t="s">
        <v>33</v>
      </c>
    </row>
    <row r="4217">
      <c r="A4217" s="32">
        <f>IFERROR(__xludf.DUMMYFUNCTION("""COMPUTED_VALUE"""),43439.56869774306)</f>
        <v>43439.5687</v>
      </c>
      <c r="B4217" t="s">
        <v>48</v>
      </c>
    </row>
    <row r="4218">
      <c r="A4218" s="32">
        <f>IFERROR(__xludf.DUMMYFUNCTION("""COMPUTED_VALUE"""),43439.59974746528)</f>
        <v>43439.59975</v>
      </c>
      <c r="B4218" t="s">
        <v>142</v>
      </c>
    </row>
    <row r="4219">
      <c r="A4219" s="32">
        <f>IFERROR(__xludf.DUMMYFUNCTION("""COMPUTED_VALUE"""),43439.602376006944)</f>
        <v>43439.60238</v>
      </c>
      <c r="B4219" t="s">
        <v>25</v>
      </c>
    </row>
    <row r="4220">
      <c r="A4220" s="32">
        <f>IFERROR(__xludf.DUMMYFUNCTION("""COMPUTED_VALUE"""),43439.66303460648)</f>
        <v>43439.66303</v>
      </c>
      <c r="B4220" t="s">
        <v>2638</v>
      </c>
    </row>
    <row r="4221">
      <c r="A4221" s="32">
        <f>IFERROR(__xludf.DUMMYFUNCTION("""COMPUTED_VALUE"""),43439.68679601852)</f>
        <v>43439.6868</v>
      </c>
      <c r="B4221" t="s">
        <v>40</v>
      </c>
    </row>
    <row r="4222">
      <c r="A4222" s="32">
        <f>IFERROR(__xludf.DUMMYFUNCTION("""COMPUTED_VALUE"""),43439.701976192126)</f>
        <v>43439.70198</v>
      </c>
      <c r="B4222" t="s">
        <v>25</v>
      </c>
    </row>
    <row r="4223">
      <c r="A4223" s="32">
        <f>IFERROR(__xludf.DUMMYFUNCTION("""COMPUTED_VALUE"""),43439.73867436343)</f>
        <v>43439.73867</v>
      </c>
      <c r="B4223" t="s">
        <v>371</v>
      </c>
    </row>
    <row r="4224">
      <c r="A4224" s="32">
        <f>IFERROR(__xludf.DUMMYFUNCTION("""COMPUTED_VALUE"""),43439.84468731481)</f>
        <v>43439.84469</v>
      </c>
      <c r="B4224" t="s">
        <v>2159</v>
      </c>
    </row>
    <row r="4225">
      <c r="A4225" s="32">
        <f>IFERROR(__xludf.DUMMYFUNCTION("""COMPUTED_VALUE"""),43439.91852114583)</f>
        <v>43439.91852</v>
      </c>
      <c r="B4225" t="s">
        <v>123</v>
      </c>
    </row>
    <row r="4226">
      <c r="A4226" s="32">
        <f>IFERROR(__xludf.DUMMYFUNCTION("""COMPUTED_VALUE"""),43439.92786199074)</f>
        <v>43439.92786</v>
      </c>
      <c r="B4226" t="s">
        <v>258</v>
      </c>
    </row>
    <row r="4227">
      <c r="A4227" s="32">
        <f>IFERROR(__xludf.DUMMYFUNCTION("""COMPUTED_VALUE"""),43439.97699039352)</f>
        <v>43439.97699</v>
      </c>
      <c r="B4227" t="s">
        <v>1012</v>
      </c>
    </row>
    <row r="4228">
      <c r="A4228" s="32">
        <f>IFERROR(__xludf.DUMMYFUNCTION("""COMPUTED_VALUE"""),43440.00183609954)</f>
        <v>43440.00184</v>
      </c>
      <c r="B4228" t="s">
        <v>33</v>
      </c>
    </row>
    <row r="4229">
      <c r="A4229" s="32">
        <f>IFERROR(__xludf.DUMMYFUNCTION("""COMPUTED_VALUE"""),43440.049294675926)</f>
        <v>43440.04929</v>
      </c>
      <c r="B4229" t="s">
        <v>48</v>
      </c>
    </row>
    <row r="4230">
      <c r="A4230" s="32">
        <f>IFERROR(__xludf.DUMMYFUNCTION("""COMPUTED_VALUE"""),43440.16904699074)</f>
        <v>43440.16905</v>
      </c>
      <c r="B4230" t="s">
        <v>80</v>
      </c>
    </row>
    <row r="4231">
      <c r="A4231" s="32">
        <f>IFERROR(__xludf.DUMMYFUNCTION("""COMPUTED_VALUE"""),43440.28755273148)</f>
        <v>43440.28755</v>
      </c>
      <c r="B4231" t="s">
        <v>40</v>
      </c>
    </row>
    <row r="4232">
      <c r="A4232" s="32">
        <f>IFERROR(__xludf.DUMMYFUNCTION("""COMPUTED_VALUE"""),43440.430310474534)</f>
        <v>43440.43031</v>
      </c>
      <c r="B4232" t="s">
        <v>157</v>
      </c>
    </row>
    <row r="4233">
      <c r="A4233" s="32">
        <f>IFERROR(__xludf.DUMMYFUNCTION("""COMPUTED_VALUE"""),43440.44251724537)</f>
        <v>43440.44252</v>
      </c>
      <c r="B4233" t="s">
        <v>258</v>
      </c>
    </row>
    <row r="4234">
      <c r="A4234" s="32">
        <f>IFERROR(__xludf.DUMMYFUNCTION("""COMPUTED_VALUE"""),43440.50439851852)</f>
        <v>43440.5044</v>
      </c>
      <c r="B4234" t="s">
        <v>80</v>
      </c>
    </row>
    <row r="4235">
      <c r="A4235" s="32">
        <f>IFERROR(__xludf.DUMMYFUNCTION("""COMPUTED_VALUE"""),43440.56369362268)</f>
        <v>43440.56369</v>
      </c>
      <c r="B4235" t="s">
        <v>45</v>
      </c>
    </row>
    <row r="4236">
      <c r="A4236" s="32">
        <f>IFERROR(__xludf.DUMMYFUNCTION("""COMPUTED_VALUE"""),43440.57851303241)</f>
        <v>43440.57851</v>
      </c>
      <c r="B4236" t="s">
        <v>380</v>
      </c>
    </row>
    <row r="4237">
      <c r="A4237" s="32">
        <f>IFERROR(__xludf.DUMMYFUNCTION("""COMPUTED_VALUE"""),43440.668629872685)</f>
        <v>43440.66863</v>
      </c>
      <c r="B4237" t="s">
        <v>1769</v>
      </c>
    </row>
    <row r="4238">
      <c r="A4238" s="32">
        <f>IFERROR(__xludf.DUMMYFUNCTION("""COMPUTED_VALUE"""),43440.78387895833)</f>
        <v>43440.78388</v>
      </c>
      <c r="B4238" t="s">
        <v>33</v>
      </c>
    </row>
    <row r="4239">
      <c r="A4239" s="32">
        <f>IFERROR(__xludf.DUMMYFUNCTION("""COMPUTED_VALUE"""),43440.86747265046)</f>
        <v>43440.86747</v>
      </c>
      <c r="B4239" t="s">
        <v>80</v>
      </c>
    </row>
    <row r="4240">
      <c r="A4240" s="32">
        <f>IFERROR(__xludf.DUMMYFUNCTION("""COMPUTED_VALUE"""),43440.87271952546)</f>
        <v>43440.87272</v>
      </c>
      <c r="B4240" t="s">
        <v>80</v>
      </c>
    </row>
    <row r="4241">
      <c r="A4241" s="32">
        <f>IFERROR(__xludf.DUMMYFUNCTION("""COMPUTED_VALUE"""),43440.90641976852)</f>
        <v>43440.90642</v>
      </c>
      <c r="B4241" t="s">
        <v>80</v>
      </c>
    </row>
    <row r="4242">
      <c r="A4242" s="32">
        <f>IFERROR(__xludf.DUMMYFUNCTION("""COMPUTED_VALUE"""),43440.924345520834)</f>
        <v>43440.92435</v>
      </c>
      <c r="B4242" t="s">
        <v>268</v>
      </c>
    </row>
    <row r="4243">
      <c r="A4243" s="32">
        <f>IFERROR(__xludf.DUMMYFUNCTION("""COMPUTED_VALUE"""),43440.950433715276)</f>
        <v>43440.95043</v>
      </c>
      <c r="B4243" t="s">
        <v>123</v>
      </c>
    </row>
    <row r="4244">
      <c r="A4244" s="32">
        <f>IFERROR(__xludf.DUMMYFUNCTION("""COMPUTED_VALUE"""),43440.95045520834)</f>
        <v>43440.95046</v>
      </c>
      <c r="B4244" t="s">
        <v>282</v>
      </c>
    </row>
    <row r="4245">
      <c r="A4245" s="32">
        <f>IFERROR(__xludf.DUMMYFUNCTION("""COMPUTED_VALUE"""),43440.95220364584)</f>
        <v>43440.9522</v>
      </c>
      <c r="B4245" t="s">
        <v>40</v>
      </c>
    </row>
    <row r="4246">
      <c r="A4246" s="32">
        <f>IFERROR(__xludf.DUMMYFUNCTION("""COMPUTED_VALUE"""),43440.95346739583)</f>
        <v>43440.95347</v>
      </c>
      <c r="B4246" t="s">
        <v>33</v>
      </c>
    </row>
    <row r="4247">
      <c r="A4247" s="32">
        <f>IFERROR(__xludf.DUMMYFUNCTION("""COMPUTED_VALUE"""),43440.965303715275)</f>
        <v>43440.9653</v>
      </c>
      <c r="B4247" t="s">
        <v>25</v>
      </c>
    </row>
    <row r="4248">
      <c r="A4248" s="32">
        <f>IFERROR(__xludf.DUMMYFUNCTION("""COMPUTED_VALUE"""),43440.97671643519)</f>
        <v>43440.97672</v>
      </c>
      <c r="B4248" t="s">
        <v>119</v>
      </c>
    </row>
    <row r="4249">
      <c r="A4249" s="32">
        <f>IFERROR(__xludf.DUMMYFUNCTION("""COMPUTED_VALUE"""),43440.98888258102)</f>
        <v>43440.98888</v>
      </c>
      <c r="B4249" t="s">
        <v>944</v>
      </c>
    </row>
    <row r="4250">
      <c r="A4250" s="32">
        <f>IFERROR(__xludf.DUMMYFUNCTION("""COMPUTED_VALUE"""),43441.07503033565)</f>
        <v>43441.07503</v>
      </c>
      <c r="B4250" t="s">
        <v>40</v>
      </c>
    </row>
    <row r="4251">
      <c r="A4251" s="32">
        <f>IFERROR(__xludf.DUMMYFUNCTION("""COMPUTED_VALUE"""),43441.3295597338)</f>
        <v>43441.32956</v>
      </c>
      <c r="B4251" t="s">
        <v>2644</v>
      </c>
    </row>
    <row r="4252">
      <c r="A4252" s="32">
        <f>IFERROR(__xludf.DUMMYFUNCTION("""COMPUTED_VALUE"""),43441.39472295139)</f>
        <v>43441.39472</v>
      </c>
      <c r="B4252" t="s">
        <v>1276</v>
      </c>
    </row>
    <row r="4253">
      <c r="A4253" s="32">
        <f>IFERROR(__xludf.DUMMYFUNCTION("""COMPUTED_VALUE"""),43441.54063391204)</f>
        <v>43441.54063</v>
      </c>
      <c r="B4253" t="s">
        <v>819</v>
      </c>
    </row>
    <row r="4254">
      <c r="A4254" s="32">
        <f>IFERROR(__xludf.DUMMYFUNCTION("""COMPUTED_VALUE"""),43441.54576201389)</f>
        <v>43441.54576</v>
      </c>
      <c r="B4254" t="s">
        <v>2801</v>
      </c>
    </row>
    <row r="4255">
      <c r="A4255" s="32">
        <f>IFERROR(__xludf.DUMMYFUNCTION("""COMPUTED_VALUE"""),43441.595712106486)</f>
        <v>43441.59571</v>
      </c>
      <c r="B4255" t="s">
        <v>2820</v>
      </c>
    </row>
    <row r="4256">
      <c r="A4256" s="32">
        <f>IFERROR(__xludf.DUMMYFUNCTION("""COMPUTED_VALUE"""),43441.633499965275)</f>
        <v>43441.6335</v>
      </c>
      <c r="B4256" t="s">
        <v>428</v>
      </c>
    </row>
    <row r="4257">
      <c r="A4257" s="32">
        <f>IFERROR(__xludf.DUMMYFUNCTION("""COMPUTED_VALUE"""),43441.66733940972)</f>
        <v>43441.66734</v>
      </c>
      <c r="B4257" t="s">
        <v>80</v>
      </c>
    </row>
    <row r="4258">
      <c r="A4258" s="32">
        <f>IFERROR(__xludf.DUMMYFUNCTION("""COMPUTED_VALUE"""),43441.7187481713)</f>
        <v>43441.71875</v>
      </c>
      <c r="B4258" t="s">
        <v>2638</v>
      </c>
    </row>
    <row r="4259">
      <c r="A4259" s="32">
        <f>IFERROR(__xludf.DUMMYFUNCTION("""COMPUTED_VALUE"""),43441.72383736111)</f>
        <v>43441.72384</v>
      </c>
      <c r="B4259" t="s">
        <v>119</v>
      </c>
    </row>
    <row r="4260">
      <c r="A4260" s="32">
        <f>IFERROR(__xludf.DUMMYFUNCTION("""COMPUTED_VALUE"""),43441.73671222222)</f>
        <v>43441.73671</v>
      </c>
      <c r="B4260" t="s">
        <v>36</v>
      </c>
    </row>
    <row r="4261">
      <c r="A4261" s="32">
        <f>IFERROR(__xludf.DUMMYFUNCTION("""COMPUTED_VALUE"""),43441.73788527778)</f>
        <v>43441.73789</v>
      </c>
      <c r="B4261" t="s">
        <v>48</v>
      </c>
    </row>
    <row r="4262">
      <c r="A4262" s="32">
        <f>IFERROR(__xludf.DUMMYFUNCTION("""COMPUTED_VALUE"""),43441.74509024306)</f>
        <v>43441.74509</v>
      </c>
      <c r="B4262" t="s">
        <v>40</v>
      </c>
    </row>
    <row r="4263">
      <c r="A4263" s="32">
        <f>IFERROR(__xludf.DUMMYFUNCTION("""COMPUTED_VALUE"""),43441.75243458334)</f>
        <v>43441.75243</v>
      </c>
      <c r="B4263" t="s">
        <v>48</v>
      </c>
    </row>
    <row r="4264">
      <c r="A4264" s="32">
        <f>IFERROR(__xludf.DUMMYFUNCTION("""COMPUTED_VALUE"""),43441.76072185185)</f>
        <v>43441.76072</v>
      </c>
      <c r="B4264" t="s">
        <v>1968</v>
      </c>
    </row>
    <row r="4265">
      <c r="A4265" s="32">
        <f>IFERROR(__xludf.DUMMYFUNCTION("""COMPUTED_VALUE"""),43441.78577928241)</f>
        <v>43441.78578</v>
      </c>
      <c r="B4265" t="s">
        <v>974</v>
      </c>
    </row>
    <row r="4266">
      <c r="A4266" s="32">
        <f>IFERROR(__xludf.DUMMYFUNCTION("""COMPUTED_VALUE"""),43441.78984755787)</f>
        <v>43441.78985</v>
      </c>
      <c r="B4266" t="s">
        <v>80</v>
      </c>
    </row>
    <row r="4267">
      <c r="A4267" s="32">
        <f>IFERROR(__xludf.DUMMYFUNCTION("""COMPUTED_VALUE"""),43441.815970717595)</f>
        <v>43441.81597</v>
      </c>
      <c r="B4267" t="s">
        <v>204</v>
      </c>
    </row>
    <row r="4268">
      <c r="A4268" s="32">
        <f>IFERROR(__xludf.DUMMYFUNCTION("""COMPUTED_VALUE"""),43441.81661113426)</f>
        <v>43441.81661</v>
      </c>
      <c r="B4268" t="s">
        <v>204</v>
      </c>
    </row>
    <row r="4269">
      <c r="A4269" s="32" t="str">
        <f>IFERROR(__xludf.DUMMYFUNCTION("""COMPUTED_VALUE"""),"")</f>
        <v/>
      </c>
      <c r="B4269" t="s">
        <v>15</v>
      </c>
    </row>
    <row r="4270">
      <c r="A4270" s="32" t="str">
        <f>IFERROR(__xludf.DUMMYFUNCTION("""COMPUTED_VALUE"""),"")</f>
        <v/>
      </c>
      <c r="B4270" t="s">
        <v>15</v>
      </c>
    </row>
    <row r="4271">
      <c r="A4271" s="32" t="str">
        <f>IFERROR(__xludf.DUMMYFUNCTION("""COMPUTED_VALUE"""),"")</f>
        <v/>
      </c>
      <c r="B4271" t="s">
        <v>15</v>
      </c>
    </row>
    <row r="4272">
      <c r="A4272" s="32" t="str">
        <f>IFERROR(__xludf.DUMMYFUNCTION("""COMPUTED_VALUE"""),"")</f>
        <v/>
      </c>
      <c r="B4272" t="s">
        <v>15</v>
      </c>
    </row>
    <row r="4273">
      <c r="A4273" s="32" t="str">
        <f>IFERROR(__xludf.DUMMYFUNCTION("""COMPUTED_VALUE"""),"")</f>
        <v/>
      </c>
      <c r="B4273" t="s">
        <v>15</v>
      </c>
    </row>
    <row r="4274">
      <c r="A4274" s="32" t="str">
        <f>IFERROR(__xludf.DUMMYFUNCTION("""COMPUTED_VALUE"""),"")</f>
        <v/>
      </c>
      <c r="B4274" t="s">
        <v>15</v>
      </c>
    </row>
    <row r="4275">
      <c r="A4275" s="32" t="str">
        <f>IFERROR(__xludf.DUMMYFUNCTION("""COMPUTED_VALUE"""),"")</f>
        <v/>
      </c>
      <c r="B4275" t="s">
        <v>15</v>
      </c>
    </row>
    <row r="4276">
      <c r="A4276" s="32" t="str">
        <f>IFERROR(__xludf.DUMMYFUNCTION("""COMPUTED_VALUE"""),"")</f>
        <v/>
      </c>
      <c r="B4276" t="s">
        <v>15</v>
      </c>
    </row>
    <row r="4277">
      <c r="A4277" s="32" t="str">
        <f>IFERROR(__xludf.DUMMYFUNCTION("""COMPUTED_VALUE"""),"")</f>
        <v/>
      </c>
      <c r="B4277" t="s">
        <v>15</v>
      </c>
    </row>
    <row r="4278">
      <c r="A4278" s="32" t="str">
        <f>IFERROR(__xludf.DUMMYFUNCTION("""COMPUTED_VALUE"""),"")</f>
        <v/>
      </c>
      <c r="B4278" t="s">
        <v>15</v>
      </c>
    </row>
    <row r="4279">
      <c r="A4279" s="32" t="str">
        <f>IFERROR(__xludf.DUMMYFUNCTION("""COMPUTED_VALUE"""),"")</f>
        <v/>
      </c>
      <c r="B4279" t="s">
        <v>15</v>
      </c>
    </row>
    <row r="4280">
      <c r="A4280" s="32" t="str">
        <f>IFERROR(__xludf.DUMMYFUNCTION("""COMPUTED_VALUE"""),"")</f>
        <v/>
      </c>
      <c r="B4280" t="s">
        <v>15</v>
      </c>
    </row>
    <row r="4281">
      <c r="A4281" s="32" t="str">
        <f>IFERROR(__xludf.DUMMYFUNCTION("""COMPUTED_VALUE"""),"")</f>
        <v/>
      </c>
      <c r="B4281" t="s">
        <v>15</v>
      </c>
    </row>
    <row r="4282">
      <c r="A4282" s="32" t="str">
        <f>IFERROR(__xludf.DUMMYFUNCTION("""COMPUTED_VALUE"""),"")</f>
        <v/>
      </c>
      <c r="B4282" t="s">
        <v>15</v>
      </c>
    </row>
    <row r="4283">
      <c r="A4283" s="32" t="str">
        <f>IFERROR(__xludf.DUMMYFUNCTION("""COMPUTED_VALUE"""),"")</f>
        <v/>
      </c>
      <c r="B4283" t="s">
        <v>15</v>
      </c>
    </row>
    <row r="4284">
      <c r="A4284" s="32" t="str">
        <f>IFERROR(__xludf.DUMMYFUNCTION("""COMPUTED_VALUE"""),"")</f>
        <v/>
      </c>
      <c r="B4284" t="s">
        <v>15</v>
      </c>
    </row>
    <row r="4285">
      <c r="A4285" s="32" t="str">
        <f>IFERROR(__xludf.DUMMYFUNCTION("""COMPUTED_VALUE"""),"")</f>
        <v/>
      </c>
      <c r="B4285" t="s">
        <v>15</v>
      </c>
    </row>
    <row r="4286">
      <c r="A4286" s="32" t="str">
        <f>IFERROR(__xludf.DUMMYFUNCTION("""COMPUTED_VALUE"""),"")</f>
        <v/>
      </c>
      <c r="B4286" t="s">
        <v>15</v>
      </c>
    </row>
    <row r="4287">
      <c r="A4287" s="32" t="str">
        <f>IFERROR(__xludf.DUMMYFUNCTION("""COMPUTED_VALUE"""),"")</f>
        <v/>
      </c>
      <c r="B4287" t="s">
        <v>15</v>
      </c>
    </row>
    <row r="4288">
      <c r="A4288" s="32" t="str">
        <f>IFERROR(__xludf.DUMMYFUNCTION("""COMPUTED_VALUE"""),"")</f>
        <v/>
      </c>
      <c r="B4288" t="s">
        <v>15</v>
      </c>
    </row>
    <row r="4289">
      <c r="A4289" s="32" t="str">
        <f>IFERROR(__xludf.DUMMYFUNCTION("""COMPUTED_VALUE"""),"")</f>
        <v/>
      </c>
      <c r="B4289" t="s">
        <v>15</v>
      </c>
    </row>
    <row r="4290">
      <c r="A4290" s="32" t="str">
        <f>IFERROR(__xludf.DUMMYFUNCTION("""COMPUTED_VALUE"""),"")</f>
        <v/>
      </c>
      <c r="B4290" t="s">
        <v>15</v>
      </c>
    </row>
    <row r="4291">
      <c r="A4291" s="32" t="str">
        <f>IFERROR(__xludf.DUMMYFUNCTION("""COMPUTED_VALUE"""),"")</f>
        <v/>
      </c>
      <c r="B4291" t="s">
        <v>15</v>
      </c>
    </row>
    <row r="4292">
      <c r="A4292" s="32" t="str">
        <f>IFERROR(__xludf.DUMMYFUNCTION("""COMPUTED_VALUE"""),"")</f>
        <v/>
      </c>
      <c r="B4292" t="s">
        <v>15</v>
      </c>
    </row>
    <row r="4293">
      <c r="A4293" s="32" t="str">
        <f>IFERROR(__xludf.DUMMYFUNCTION("""COMPUTED_VALUE"""),"")</f>
        <v/>
      </c>
      <c r="B4293" t="s">
        <v>15</v>
      </c>
    </row>
    <row r="4294">
      <c r="A4294" s="32" t="str">
        <f>IFERROR(__xludf.DUMMYFUNCTION("""COMPUTED_VALUE"""),"")</f>
        <v/>
      </c>
      <c r="B4294" t="s">
        <v>15</v>
      </c>
    </row>
    <row r="4295">
      <c r="A4295" s="32" t="str">
        <f>IFERROR(__xludf.DUMMYFUNCTION("""COMPUTED_VALUE"""),"")</f>
        <v/>
      </c>
      <c r="B4295" t="s">
        <v>15</v>
      </c>
    </row>
    <row r="4296">
      <c r="A4296" s="32" t="str">
        <f>IFERROR(__xludf.DUMMYFUNCTION("""COMPUTED_VALUE"""),"")</f>
        <v/>
      </c>
      <c r="B4296" t="s">
        <v>15</v>
      </c>
    </row>
    <row r="4297">
      <c r="A4297" s="32" t="str">
        <f>IFERROR(__xludf.DUMMYFUNCTION("""COMPUTED_VALUE"""),"")</f>
        <v/>
      </c>
      <c r="B4297" t="s">
        <v>15</v>
      </c>
    </row>
    <row r="4298">
      <c r="A4298" s="32" t="str">
        <f>IFERROR(__xludf.DUMMYFUNCTION("""COMPUTED_VALUE"""),"")</f>
        <v/>
      </c>
      <c r="B4298" t="s">
        <v>15</v>
      </c>
    </row>
    <row r="4299">
      <c r="A4299" s="32" t="str">
        <f>IFERROR(__xludf.DUMMYFUNCTION("""COMPUTED_VALUE"""),"")</f>
        <v/>
      </c>
      <c r="B4299" t="s">
        <v>15</v>
      </c>
    </row>
    <row r="4300">
      <c r="A4300" s="32" t="str">
        <f>IFERROR(__xludf.DUMMYFUNCTION("""COMPUTED_VALUE"""),"")</f>
        <v/>
      </c>
      <c r="B4300" t="s">
        <v>15</v>
      </c>
    </row>
    <row r="4301">
      <c r="A4301" s="32" t="str">
        <f>IFERROR(__xludf.DUMMYFUNCTION("""COMPUTED_VALUE"""),"")</f>
        <v/>
      </c>
      <c r="B4301" t="s">
        <v>15</v>
      </c>
    </row>
    <row r="4302">
      <c r="A4302" s="32" t="str">
        <f>IFERROR(__xludf.DUMMYFUNCTION("""COMPUTED_VALUE"""),"")</f>
        <v/>
      </c>
      <c r="B4302" t="s">
        <v>15</v>
      </c>
    </row>
    <row r="4303">
      <c r="A4303" s="32" t="str">
        <f>IFERROR(__xludf.DUMMYFUNCTION("""COMPUTED_VALUE"""),"")</f>
        <v/>
      </c>
      <c r="B4303" t="s">
        <v>15</v>
      </c>
    </row>
    <row r="4304">
      <c r="A4304" s="32" t="str">
        <f>IFERROR(__xludf.DUMMYFUNCTION("""COMPUTED_VALUE"""),"")</f>
        <v/>
      </c>
      <c r="B4304" t="s">
        <v>15</v>
      </c>
    </row>
    <row r="4305">
      <c r="A4305" s="32" t="str">
        <f>IFERROR(__xludf.DUMMYFUNCTION("""COMPUTED_VALUE"""),"")</f>
        <v/>
      </c>
      <c r="B4305" t="s">
        <v>15</v>
      </c>
    </row>
    <row r="4306">
      <c r="A4306" s="32" t="str">
        <f>IFERROR(__xludf.DUMMYFUNCTION("""COMPUTED_VALUE"""),"")</f>
        <v/>
      </c>
      <c r="B4306" t="s">
        <v>15</v>
      </c>
    </row>
    <row r="4307">
      <c r="A4307" s="32" t="str">
        <f>IFERROR(__xludf.DUMMYFUNCTION("""COMPUTED_VALUE"""),"")</f>
        <v/>
      </c>
      <c r="B4307" t="s">
        <v>15</v>
      </c>
    </row>
    <row r="4308">
      <c r="A4308" s="32" t="str">
        <f>IFERROR(__xludf.DUMMYFUNCTION("""COMPUTED_VALUE"""),"")</f>
        <v/>
      </c>
      <c r="B4308" t="s">
        <v>15</v>
      </c>
    </row>
    <row r="4309">
      <c r="A4309" s="32" t="str">
        <f>IFERROR(__xludf.DUMMYFUNCTION("""COMPUTED_VALUE"""),"")</f>
        <v/>
      </c>
      <c r="B4309" t="s">
        <v>15</v>
      </c>
    </row>
    <row r="4310">
      <c r="A4310" s="32" t="str">
        <f>IFERROR(__xludf.DUMMYFUNCTION("""COMPUTED_VALUE"""),"")</f>
        <v/>
      </c>
      <c r="B4310" t="s">
        <v>15</v>
      </c>
    </row>
    <row r="4311">
      <c r="A4311" s="32" t="str">
        <f>IFERROR(__xludf.DUMMYFUNCTION("""COMPUTED_VALUE"""),"")</f>
        <v/>
      </c>
      <c r="B4311" t="s">
        <v>15</v>
      </c>
    </row>
    <row r="4312">
      <c r="A4312" s="32" t="str">
        <f>IFERROR(__xludf.DUMMYFUNCTION("""COMPUTED_VALUE"""),"")</f>
        <v/>
      </c>
      <c r="B4312" t="s">
        <v>15</v>
      </c>
    </row>
    <row r="4313">
      <c r="A4313" s="32" t="str">
        <f>IFERROR(__xludf.DUMMYFUNCTION("""COMPUTED_VALUE"""),"")</f>
        <v/>
      </c>
      <c r="B4313" t="s">
        <v>15</v>
      </c>
    </row>
    <row r="4314">
      <c r="A4314" s="32" t="str">
        <f>IFERROR(__xludf.DUMMYFUNCTION("""COMPUTED_VALUE"""),"")</f>
        <v/>
      </c>
      <c r="B4314" t="s">
        <v>15</v>
      </c>
    </row>
    <row r="4315">
      <c r="A4315" s="32" t="str">
        <f>IFERROR(__xludf.DUMMYFUNCTION("""COMPUTED_VALUE"""),"")</f>
        <v/>
      </c>
      <c r="B4315" t="s">
        <v>15</v>
      </c>
    </row>
    <row r="4316">
      <c r="A4316" s="32" t="str">
        <f>IFERROR(__xludf.DUMMYFUNCTION("""COMPUTED_VALUE"""),"")</f>
        <v/>
      </c>
      <c r="B4316" t="s">
        <v>15</v>
      </c>
    </row>
    <row r="4317">
      <c r="A4317" s="32" t="str">
        <f>IFERROR(__xludf.DUMMYFUNCTION("""COMPUTED_VALUE"""),"")</f>
        <v/>
      </c>
      <c r="B4317" t="s">
        <v>15</v>
      </c>
    </row>
    <row r="4318">
      <c r="A4318" s="32" t="str">
        <f>IFERROR(__xludf.DUMMYFUNCTION("""COMPUTED_VALUE"""),"")</f>
        <v/>
      </c>
      <c r="B4318" t="s">
        <v>15</v>
      </c>
    </row>
    <row r="4319">
      <c r="A4319" s="32" t="str">
        <f>IFERROR(__xludf.DUMMYFUNCTION("""COMPUTED_VALUE"""),"")</f>
        <v/>
      </c>
      <c r="B4319" t="s">
        <v>15</v>
      </c>
    </row>
    <row r="4320">
      <c r="A4320" s="32" t="str">
        <f>IFERROR(__xludf.DUMMYFUNCTION("""COMPUTED_VALUE"""),"")</f>
        <v/>
      </c>
      <c r="B4320" t="s">
        <v>15</v>
      </c>
    </row>
    <row r="4321">
      <c r="A4321" s="32" t="str">
        <f>IFERROR(__xludf.DUMMYFUNCTION("""COMPUTED_VALUE"""),"")</f>
        <v/>
      </c>
      <c r="B4321" t="s">
        <v>15</v>
      </c>
    </row>
    <row r="4322">
      <c r="A4322" s="32" t="str">
        <f>IFERROR(__xludf.DUMMYFUNCTION("""COMPUTED_VALUE"""),"")</f>
        <v/>
      </c>
      <c r="B4322" t="s">
        <v>15</v>
      </c>
    </row>
    <row r="4323">
      <c r="A4323" s="32" t="str">
        <f>IFERROR(__xludf.DUMMYFUNCTION("""COMPUTED_VALUE"""),"")</f>
        <v/>
      </c>
      <c r="B4323" t="s">
        <v>15</v>
      </c>
    </row>
    <row r="4324">
      <c r="A4324" s="32" t="str">
        <f>IFERROR(__xludf.DUMMYFUNCTION("""COMPUTED_VALUE"""),"")</f>
        <v/>
      </c>
      <c r="B4324" t="s">
        <v>15</v>
      </c>
    </row>
    <row r="4325">
      <c r="A4325" s="32" t="str">
        <f>IFERROR(__xludf.DUMMYFUNCTION("""COMPUTED_VALUE"""),"")</f>
        <v/>
      </c>
      <c r="B4325" t="s">
        <v>15</v>
      </c>
    </row>
    <row r="4326">
      <c r="A4326" s="32" t="str">
        <f>IFERROR(__xludf.DUMMYFUNCTION("""COMPUTED_VALUE"""),"")</f>
        <v/>
      </c>
      <c r="B4326" t="s">
        <v>15</v>
      </c>
    </row>
    <row r="4327">
      <c r="A4327" s="32" t="str">
        <f>IFERROR(__xludf.DUMMYFUNCTION("""COMPUTED_VALUE"""),"")</f>
        <v/>
      </c>
      <c r="B4327" t="s">
        <v>15</v>
      </c>
    </row>
    <row r="4328">
      <c r="A4328" s="32" t="str">
        <f>IFERROR(__xludf.DUMMYFUNCTION("""COMPUTED_VALUE"""),"")</f>
        <v/>
      </c>
      <c r="B4328" t="s">
        <v>15</v>
      </c>
    </row>
    <row r="4329">
      <c r="A4329" s="32" t="str">
        <f>IFERROR(__xludf.DUMMYFUNCTION("""COMPUTED_VALUE"""),"")</f>
        <v/>
      </c>
      <c r="B4329" t="s">
        <v>15</v>
      </c>
    </row>
    <row r="4330">
      <c r="A4330" s="32" t="str">
        <f>IFERROR(__xludf.DUMMYFUNCTION("""COMPUTED_VALUE"""),"")</f>
        <v/>
      </c>
      <c r="B4330" t="s">
        <v>15</v>
      </c>
    </row>
    <row r="4331">
      <c r="A4331" s="32" t="str">
        <f>IFERROR(__xludf.DUMMYFUNCTION("""COMPUTED_VALUE"""),"")</f>
        <v/>
      </c>
      <c r="B4331" t="s">
        <v>15</v>
      </c>
    </row>
    <row r="4332">
      <c r="A4332" s="32" t="str">
        <f>IFERROR(__xludf.DUMMYFUNCTION("""COMPUTED_VALUE"""),"")</f>
        <v/>
      </c>
      <c r="B4332" t="s">
        <v>15</v>
      </c>
    </row>
    <row r="4333">
      <c r="A4333" s="32" t="str">
        <f>IFERROR(__xludf.DUMMYFUNCTION("""COMPUTED_VALUE"""),"")</f>
        <v/>
      </c>
      <c r="B4333" t="s">
        <v>15</v>
      </c>
    </row>
    <row r="4334">
      <c r="A4334" s="32" t="str">
        <f>IFERROR(__xludf.DUMMYFUNCTION("""COMPUTED_VALUE"""),"")</f>
        <v/>
      </c>
      <c r="B4334" t="s">
        <v>15</v>
      </c>
    </row>
    <row r="4335">
      <c r="A4335" s="32" t="str">
        <f>IFERROR(__xludf.DUMMYFUNCTION("""COMPUTED_VALUE"""),"")</f>
        <v/>
      </c>
      <c r="B4335" t="s">
        <v>15</v>
      </c>
    </row>
    <row r="4336">
      <c r="A4336" s="32" t="str">
        <f>IFERROR(__xludf.DUMMYFUNCTION("""COMPUTED_VALUE"""),"")</f>
        <v/>
      </c>
      <c r="B4336" t="s">
        <v>15</v>
      </c>
    </row>
    <row r="4337">
      <c r="A4337" s="32" t="str">
        <f>IFERROR(__xludf.DUMMYFUNCTION("""COMPUTED_VALUE"""),"")</f>
        <v/>
      </c>
      <c r="B4337" t="s">
        <v>15</v>
      </c>
    </row>
    <row r="4338">
      <c r="A4338" s="32" t="str">
        <f>IFERROR(__xludf.DUMMYFUNCTION("""COMPUTED_VALUE"""),"")</f>
        <v/>
      </c>
      <c r="B4338" t="s">
        <v>15</v>
      </c>
    </row>
    <row r="4339">
      <c r="A4339" s="32" t="str">
        <f>IFERROR(__xludf.DUMMYFUNCTION("""COMPUTED_VALUE"""),"")</f>
        <v/>
      </c>
      <c r="B4339" t="s">
        <v>15</v>
      </c>
    </row>
    <row r="4340">
      <c r="A4340" s="32" t="str">
        <f>IFERROR(__xludf.DUMMYFUNCTION("""COMPUTED_VALUE"""),"")</f>
        <v/>
      </c>
      <c r="B4340" t="s">
        <v>15</v>
      </c>
    </row>
    <row r="4341">
      <c r="A4341" s="32" t="str">
        <f>IFERROR(__xludf.DUMMYFUNCTION("""COMPUTED_VALUE"""),"")</f>
        <v/>
      </c>
      <c r="B4341" t="s">
        <v>15</v>
      </c>
    </row>
    <row r="4342">
      <c r="A4342" s="32" t="str">
        <f>IFERROR(__xludf.DUMMYFUNCTION("""COMPUTED_VALUE"""),"")</f>
        <v/>
      </c>
      <c r="B4342" t="s">
        <v>15</v>
      </c>
    </row>
    <row r="4343">
      <c r="A4343" s="32" t="str">
        <f>IFERROR(__xludf.DUMMYFUNCTION("""COMPUTED_VALUE"""),"")</f>
        <v/>
      </c>
      <c r="B4343" t="s">
        <v>15</v>
      </c>
    </row>
    <row r="4344">
      <c r="A4344" s="32" t="str">
        <f>IFERROR(__xludf.DUMMYFUNCTION("""COMPUTED_VALUE"""),"")</f>
        <v/>
      </c>
      <c r="B4344" t="s">
        <v>15</v>
      </c>
    </row>
    <row r="4345">
      <c r="A4345" s="32" t="str">
        <f>IFERROR(__xludf.DUMMYFUNCTION("""COMPUTED_VALUE"""),"")</f>
        <v/>
      </c>
      <c r="B4345" t="s">
        <v>15</v>
      </c>
    </row>
    <row r="4346">
      <c r="A4346" s="32" t="str">
        <f>IFERROR(__xludf.DUMMYFUNCTION("""COMPUTED_VALUE"""),"")</f>
        <v/>
      </c>
      <c r="B4346" t="s">
        <v>15</v>
      </c>
    </row>
    <row r="4347">
      <c r="A4347" s="32" t="str">
        <f>IFERROR(__xludf.DUMMYFUNCTION("""COMPUTED_VALUE"""),"")</f>
        <v/>
      </c>
      <c r="B4347" t="s">
        <v>15</v>
      </c>
    </row>
    <row r="4348">
      <c r="A4348" s="32" t="str">
        <f>IFERROR(__xludf.DUMMYFUNCTION("""COMPUTED_VALUE"""),"")</f>
        <v/>
      </c>
      <c r="B4348" t="s">
        <v>15</v>
      </c>
    </row>
    <row r="4349">
      <c r="A4349" s="32" t="str">
        <f>IFERROR(__xludf.DUMMYFUNCTION("""COMPUTED_VALUE"""),"")</f>
        <v/>
      </c>
      <c r="B4349" t="s">
        <v>15</v>
      </c>
    </row>
    <row r="4350">
      <c r="A4350" s="32" t="str">
        <f>IFERROR(__xludf.DUMMYFUNCTION("""COMPUTED_VALUE"""),"")</f>
        <v/>
      </c>
      <c r="B4350" t="s">
        <v>15</v>
      </c>
    </row>
    <row r="4351">
      <c r="A4351" s="32" t="str">
        <f>IFERROR(__xludf.DUMMYFUNCTION("""COMPUTED_VALUE"""),"")</f>
        <v/>
      </c>
      <c r="B4351" t="s">
        <v>15</v>
      </c>
    </row>
    <row r="4352">
      <c r="A4352" s="32" t="str">
        <f>IFERROR(__xludf.DUMMYFUNCTION("""COMPUTED_VALUE"""),"")</f>
        <v/>
      </c>
      <c r="B4352" t="s">
        <v>15</v>
      </c>
    </row>
    <row r="4353">
      <c r="A4353" s="32" t="str">
        <f>IFERROR(__xludf.DUMMYFUNCTION("""COMPUTED_VALUE"""),"")</f>
        <v/>
      </c>
      <c r="B4353" t="s">
        <v>15</v>
      </c>
    </row>
    <row r="4354">
      <c r="A4354" s="32" t="str">
        <f>IFERROR(__xludf.DUMMYFUNCTION("""COMPUTED_VALUE"""),"")</f>
        <v/>
      </c>
      <c r="B4354" t="s">
        <v>15</v>
      </c>
    </row>
    <row r="4355">
      <c r="A4355" s="32" t="str">
        <f>IFERROR(__xludf.DUMMYFUNCTION("""COMPUTED_VALUE"""),"")</f>
        <v/>
      </c>
      <c r="B4355" t="s">
        <v>15</v>
      </c>
    </row>
    <row r="4356">
      <c r="A4356" s="32" t="str">
        <f>IFERROR(__xludf.DUMMYFUNCTION("""COMPUTED_VALUE"""),"")</f>
        <v/>
      </c>
      <c r="B4356" t="s">
        <v>15</v>
      </c>
    </row>
    <row r="4357">
      <c r="A4357" s="32" t="str">
        <f>IFERROR(__xludf.DUMMYFUNCTION("""COMPUTED_VALUE"""),"")</f>
        <v/>
      </c>
      <c r="B4357" t="s">
        <v>15</v>
      </c>
    </row>
    <row r="4358">
      <c r="A4358" s="32" t="str">
        <f>IFERROR(__xludf.DUMMYFUNCTION("""COMPUTED_VALUE"""),"")</f>
        <v/>
      </c>
      <c r="B4358" t="s">
        <v>15</v>
      </c>
    </row>
    <row r="4359">
      <c r="A4359" s="32" t="str">
        <f>IFERROR(__xludf.DUMMYFUNCTION("""COMPUTED_VALUE"""),"")</f>
        <v/>
      </c>
      <c r="B4359" t="s">
        <v>15</v>
      </c>
    </row>
    <row r="4360">
      <c r="A4360" s="32" t="str">
        <f>IFERROR(__xludf.DUMMYFUNCTION("""COMPUTED_VALUE"""),"")</f>
        <v/>
      </c>
      <c r="B4360" t="s">
        <v>15</v>
      </c>
    </row>
    <row r="4361">
      <c r="A4361" s="32" t="str">
        <f>IFERROR(__xludf.DUMMYFUNCTION("""COMPUTED_VALUE"""),"")</f>
        <v/>
      </c>
      <c r="B4361" t="s">
        <v>15</v>
      </c>
    </row>
    <row r="4362">
      <c r="A4362" s="32" t="str">
        <f>IFERROR(__xludf.DUMMYFUNCTION("""COMPUTED_VALUE"""),"")</f>
        <v/>
      </c>
      <c r="B4362" t="s">
        <v>15</v>
      </c>
    </row>
    <row r="4363">
      <c r="A4363" s="32" t="str">
        <f>IFERROR(__xludf.DUMMYFUNCTION("""COMPUTED_VALUE"""),"")</f>
        <v/>
      </c>
      <c r="B4363" t="s">
        <v>15</v>
      </c>
    </row>
    <row r="4364">
      <c r="A4364" s="32" t="str">
        <f>IFERROR(__xludf.DUMMYFUNCTION("""COMPUTED_VALUE"""),"")</f>
        <v/>
      </c>
      <c r="B4364" t="s">
        <v>15</v>
      </c>
    </row>
    <row r="4365">
      <c r="A4365" s="32" t="str">
        <f>IFERROR(__xludf.DUMMYFUNCTION("""COMPUTED_VALUE"""),"")</f>
        <v/>
      </c>
      <c r="B4365" t="s">
        <v>15</v>
      </c>
    </row>
    <row r="4366">
      <c r="A4366" s="32" t="str">
        <f>IFERROR(__xludf.DUMMYFUNCTION("""COMPUTED_VALUE"""),"")</f>
        <v/>
      </c>
      <c r="B4366" t="s">
        <v>15</v>
      </c>
    </row>
    <row r="4367">
      <c r="A4367" s="32" t="str">
        <f>IFERROR(__xludf.DUMMYFUNCTION("""COMPUTED_VALUE"""),"")</f>
        <v/>
      </c>
      <c r="B4367" t="s">
        <v>15</v>
      </c>
    </row>
    <row r="4368">
      <c r="A4368" s="34"/>
    </row>
    <row r="4369">
      <c r="A4369" s="34"/>
    </row>
    <row r="4370">
      <c r="A4370" s="34"/>
    </row>
    <row r="4371">
      <c r="A4371" s="34"/>
    </row>
    <row r="4372">
      <c r="A4372" s="34"/>
    </row>
    <row r="4373">
      <c r="A4373" s="34"/>
    </row>
    <row r="4374">
      <c r="A4374" s="34"/>
    </row>
    <row r="4375">
      <c r="A4375" s="34"/>
    </row>
    <row r="4376">
      <c r="A4376" s="34"/>
    </row>
    <row r="4377">
      <c r="A4377" s="34"/>
    </row>
    <row r="4378">
      <c r="A4378" s="34"/>
    </row>
    <row r="4379">
      <c r="A4379" s="34"/>
    </row>
    <row r="4380">
      <c r="A4380" s="34"/>
    </row>
    <row r="4381">
      <c r="A4381" s="34"/>
    </row>
    <row r="4382">
      <c r="A4382" s="34"/>
    </row>
    <row r="4383">
      <c r="A4383" s="34"/>
    </row>
    <row r="4384">
      <c r="A4384" s="34"/>
    </row>
    <row r="4385">
      <c r="A4385" s="34"/>
    </row>
    <row r="4386">
      <c r="A4386" s="34"/>
    </row>
    <row r="4387">
      <c r="A4387" s="34"/>
    </row>
    <row r="4388">
      <c r="A4388" s="34"/>
    </row>
    <row r="4389">
      <c r="A4389" s="34"/>
    </row>
    <row r="4390">
      <c r="A4390" s="34"/>
    </row>
    <row r="4391">
      <c r="A4391" s="34"/>
    </row>
    <row r="4392">
      <c r="A4392" s="34"/>
    </row>
    <row r="4393">
      <c r="A4393" s="34"/>
    </row>
    <row r="4394">
      <c r="A4394" s="34"/>
    </row>
    <row r="4395">
      <c r="A4395" s="34"/>
    </row>
    <row r="4396">
      <c r="A4396" s="34"/>
    </row>
    <row r="4397">
      <c r="A4397" s="34"/>
    </row>
    <row r="4398">
      <c r="A4398" s="34"/>
    </row>
    <row r="4399">
      <c r="A4399" s="34"/>
    </row>
    <row r="4400">
      <c r="A4400" s="34"/>
    </row>
    <row r="4401">
      <c r="A4401" s="34"/>
    </row>
    <row r="4402">
      <c r="A4402" s="34"/>
    </row>
    <row r="4403">
      <c r="A4403" s="34"/>
    </row>
    <row r="4404">
      <c r="A4404" s="34"/>
    </row>
    <row r="4405">
      <c r="A4405" s="34"/>
    </row>
    <row r="4406">
      <c r="A4406" s="34"/>
    </row>
    <row r="4407">
      <c r="A4407" s="34"/>
    </row>
    <row r="4408">
      <c r="A4408" s="34"/>
    </row>
    <row r="4409">
      <c r="A4409" s="34"/>
    </row>
    <row r="4410">
      <c r="A4410" s="34"/>
    </row>
    <row r="4411">
      <c r="A4411" s="34"/>
    </row>
    <row r="4412">
      <c r="A4412" s="34"/>
    </row>
    <row r="4413">
      <c r="A4413" s="34"/>
    </row>
    <row r="4414">
      <c r="A4414" s="34"/>
    </row>
    <row r="4415">
      <c r="A4415" s="34"/>
    </row>
    <row r="4416">
      <c r="A4416" s="34"/>
    </row>
    <row r="4417">
      <c r="A4417" s="34"/>
    </row>
    <row r="4418">
      <c r="A4418" s="34"/>
    </row>
    <row r="4419">
      <c r="A4419" s="34"/>
    </row>
    <row r="4420">
      <c r="A4420" s="34"/>
    </row>
    <row r="4421">
      <c r="A4421" s="34"/>
    </row>
    <row r="4422">
      <c r="A4422" s="34"/>
    </row>
    <row r="4423">
      <c r="A4423" s="34"/>
    </row>
    <row r="4424">
      <c r="A4424" s="34"/>
    </row>
    <row r="4425">
      <c r="A4425" s="34"/>
    </row>
    <row r="4426">
      <c r="A4426" s="34"/>
    </row>
    <row r="4427">
      <c r="A4427" s="34"/>
    </row>
    <row r="4428">
      <c r="A4428" s="34"/>
    </row>
    <row r="4429">
      <c r="A4429" s="34"/>
    </row>
    <row r="4430">
      <c r="A4430" s="34"/>
    </row>
    <row r="4431">
      <c r="A4431" s="34"/>
    </row>
    <row r="4432">
      <c r="A4432" s="34"/>
    </row>
    <row r="4433">
      <c r="A4433" s="34"/>
    </row>
    <row r="4434">
      <c r="A4434" s="34"/>
    </row>
    <row r="4435">
      <c r="A4435" s="34"/>
    </row>
    <row r="4436">
      <c r="A4436" s="34"/>
    </row>
    <row r="4437">
      <c r="A4437" s="34"/>
    </row>
    <row r="4438">
      <c r="A4438" s="34"/>
    </row>
    <row r="4439">
      <c r="A4439" s="34"/>
    </row>
    <row r="4440">
      <c r="A4440" s="34"/>
    </row>
    <row r="4441">
      <c r="A4441" s="34"/>
    </row>
    <row r="4442">
      <c r="A4442" s="34"/>
    </row>
    <row r="4443">
      <c r="A4443" s="34"/>
    </row>
    <row r="4444">
      <c r="A4444" s="34"/>
    </row>
    <row r="4445">
      <c r="A4445" s="34"/>
    </row>
    <row r="4446">
      <c r="A4446" s="34"/>
    </row>
    <row r="4447">
      <c r="A4447" s="34"/>
    </row>
    <row r="4448">
      <c r="A4448" s="34"/>
    </row>
    <row r="4449">
      <c r="A4449" s="34"/>
    </row>
    <row r="4450">
      <c r="A4450" s="34"/>
    </row>
    <row r="4451">
      <c r="A4451" s="34"/>
    </row>
    <row r="4452">
      <c r="A4452" s="34"/>
    </row>
    <row r="4453">
      <c r="A4453" s="34"/>
    </row>
    <row r="4454">
      <c r="A4454" s="34"/>
    </row>
    <row r="4455">
      <c r="A4455" s="34"/>
    </row>
    <row r="4456">
      <c r="A4456" s="34"/>
    </row>
    <row r="4457">
      <c r="A4457" s="34"/>
    </row>
    <row r="4458">
      <c r="A4458" s="34"/>
    </row>
    <row r="4459">
      <c r="A4459" s="34"/>
    </row>
    <row r="4460">
      <c r="A4460" s="34"/>
    </row>
    <row r="4461">
      <c r="A4461" s="34"/>
    </row>
    <row r="4462">
      <c r="A4462" s="34"/>
    </row>
    <row r="4463">
      <c r="A4463" s="34"/>
    </row>
    <row r="4464">
      <c r="A4464" s="34"/>
    </row>
    <row r="4465">
      <c r="A4465" s="34"/>
    </row>
    <row r="4466">
      <c r="A4466" s="34"/>
    </row>
    <row r="4467">
      <c r="A4467" s="34"/>
    </row>
    <row r="4468">
      <c r="A4468" s="34"/>
    </row>
    <row r="4469">
      <c r="A4469" s="34"/>
    </row>
    <row r="4470">
      <c r="A4470" s="34"/>
    </row>
    <row r="4471">
      <c r="A4471" s="34"/>
    </row>
    <row r="4472">
      <c r="A4472" s="34"/>
    </row>
    <row r="4473">
      <c r="A4473" s="34"/>
    </row>
    <row r="4474">
      <c r="A4474" s="34"/>
    </row>
    <row r="4475">
      <c r="A4475" s="34"/>
    </row>
    <row r="4476">
      <c r="A4476" s="34"/>
    </row>
    <row r="4477">
      <c r="A4477" s="34"/>
    </row>
    <row r="4478">
      <c r="A4478" s="34"/>
    </row>
    <row r="4479">
      <c r="A4479" s="34"/>
    </row>
    <row r="4480">
      <c r="A4480" s="34"/>
    </row>
    <row r="4481">
      <c r="A4481" s="34"/>
    </row>
    <row r="4482">
      <c r="A4482" s="34"/>
    </row>
    <row r="4483">
      <c r="A4483" s="34"/>
    </row>
    <row r="4484">
      <c r="A4484" s="34"/>
    </row>
    <row r="4485">
      <c r="A4485" s="34"/>
    </row>
    <row r="4486">
      <c r="A4486" s="34"/>
    </row>
    <row r="4487">
      <c r="A4487" s="34"/>
    </row>
    <row r="4488">
      <c r="A4488" s="34"/>
    </row>
    <row r="4489">
      <c r="A4489" s="34"/>
    </row>
    <row r="4490">
      <c r="A4490" s="34"/>
    </row>
    <row r="4491">
      <c r="A4491" s="34"/>
    </row>
    <row r="4492">
      <c r="A4492" s="34"/>
    </row>
    <row r="4493">
      <c r="A4493" s="34"/>
    </row>
    <row r="4494">
      <c r="A4494" s="34"/>
    </row>
    <row r="4495">
      <c r="A4495" s="34"/>
    </row>
    <row r="4496">
      <c r="A4496" s="34"/>
    </row>
    <row r="4497">
      <c r="A4497" s="34"/>
    </row>
    <row r="4498">
      <c r="A4498" s="34"/>
    </row>
    <row r="4499">
      <c r="A4499" s="34"/>
    </row>
    <row r="4500">
      <c r="A4500" s="34"/>
    </row>
    <row r="4501">
      <c r="A4501" s="34"/>
    </row>
    <row r="4502">
      <c r="A4502" s="34"/>
    </row>
    <row r="4503">
      <c r="A4503" s="34"/>
    </row>
    <row r="4504">
      <c r="A4504" s="34"/>
    </row>
    <row r="4505">
      <c r="A4505" s="34"/>
    </row>
    <row r="4506">
      <c r="A4506" s="34"/>
    </row>
  </sheetData>
  <autoFilter ref="$A$1:$B$3003">
    <filterColumn colId="0">
      <filters>
        <filter val="7/30/2018"/>
        <filter val="3/14/2018"/>
        <filter val="4/25/2018"/>
        <filter val="8/24/2017"/>
        <filter val="7/13/2018"/>
        <filter val="8/24/2018"/>
        <filter val="10/11/2018"/>
        <filter val="10/11/2017"/>
        <filter val="9/18/2018"/>
        <filter val="5/19/2018"/>
        <filter val="1/2/2018"/>
        <filter val="7/29/2017"/>
        <filter val="7/29/2018"/>
        <filter val="11/17/2017"/>
        <filter val="5/20/2018"/>
        <filter val="3/26/2018"/>
        <filter val="6/14/2017"/>
        <filter val="2/19/2018"/>
        <filter val="3/31/2018"/>
        <filter val="6/14/2018"/>
        <filter val="6/3/2018"/>
        <filter val="2/3/2018"/>
        <filter val="10/18/2018"/>
        <filter val="3/10/2018"/>
        <filter val="4/21/2018"/>
        <filter val="12/5/2017"/>
        <filter val="5/24/2018"/>
        <filter val="8/12/2018"/>
        <filter val="9/23/2018"/>
        <filter val="5/2/2018"/>
        <filter val="9/2/2018"/>
        <filter val="6/26/2018"/>
        <filter val="6/26/2017"/>
        <filter val="8/1/2017"/>
        <filter val="6/23/2018"/>
        <filter val="10/15/2018"/>
        <filter val="8/1/2018"/>
        <filter val="9/11/2017"/>
        <filter val="9/11/2018"/>
        <filter val="4/1/2018"/>
        <filter val="9/14/2018"/>
        <filter val="9/14/2017"/>
        <filter val="7/25/2018"/>
        <filter val="7/25/2017"/>
        <filter val="10/3/2017"/>
        <filter val="2/20/2018"/>
        <filter val="5/28/2018"/>
        <filter val="4/17/2018"/>
        <filter val="2/6/2018"/>
        <filter val="11/7/2017"/>
        <filter val="5/6/2018"/>
        <filter val="7/21/2018"/>
        <filter val="7/21/2017"/>
        <filter val="6/10/2018"/>
        <filter val="8/5/2018"/>
        <filter val="6/10/2017"/>
        <filter val="4/16/2018"/>
        <filter val="5/27/2018"/>
        <filter val="5/5/2018"/>
        <filter val="11/14/2017"/>
        <filter val="1/30/2018"/>
        <filter val="11/8/2017"/>
        <filter val="9/26/2018"/>
        <filter val="2/27/2018"/>
        <filter val="9/26/2017"/>
        <filter val="4/8/2018"/>
        <filter val="5/12/2018"/>
        <filter val="3/23/2018"/>
        <filter val="8/28/2018"/>
        <filter val="3/4/2018"/>
        <filter val="7/7/2018"/>
        <filter val="7/7/2017"/>
        <filter val="9/10/2018"/>
        <filter val="9/10/2017"/>
        <filter val="4/9/2018"/>
        <filter val="8/19/2018"/>
        <filter val="9/9/2018"/>
        <filter val="9/9/2017"/>
        <filter val="1/9/2018"/>
        <filter val="4/30/2018"/>
        <filter val="7/8/2017"/>
        <filter val="11/29/2017"/>
        <filter val="1/25/2018"/>
        <filter val="7/8/2018"/>
        <filter val="2/28/2018"/>
        <filter val="9/15/2018"/>
        <filter val="10/26/2017"/>
        <filter val="6/15/2018"/>
        <filter val="10/20/2017"/>
        <filter val="2/12/2018"/>
        <filter val="7/17/2017"/>
        <filter val="7/17/2018"/>
        <filter val="2/18/2018"/>
        <filter val="2/7/2018"/>
        <filter val="9/19/2018"/>
        <filter val="9/19/2017"/>
        <filter val="7/28/2018"/>
        <filter val="7/28/2017"/>
        <filter val="11/18/2017"/>
        <filter val="11/1/2017"/>
        <filter val="3/30/2018"/>
        <filter val="5/21/2018"/>
        <filter val="2/2/2018"/>
        <filter val="5/18/2018"/>
        <filter val="4/24/2018"/>
        <filter val="7/31/2017"/>
        <filter val="7/31/2018"/>
        <filter val="7/1/2018"/>
        <filter val="3/29/2018"/>
        <filter val="5/1/2018"/>
        <filter val="3/15/2018"/>
        <filter val="8/25/2018"/>
        <filter val="10/19/2018"/>
        <filter val="8/30/2018"/>
        <filter val="5/11/2018"/>
        <filter val="10/19/2017"/>
        <filter val="2/9/2018"/>
        <filter val="9/24/2018"/>
        <filter val="4/22/2018"/>
        <filter val="7/10/2018"/>
        <filter val="10/22/2017"/>
        <filter val="6/13/2017"/>
        <filter val="6/13/2018"/>
        <filter val="5/8/2018"/>
        <filter val="8/27/2018"/>
        <filter val="3/25/2018"/>
        <filter val="1/8/2018"/>
        <filter val="9/20/2018"/>
        <filter val="10/6/2018"/>
        <filter val="8/4/2017"/>
        <filter val="8/15/2018"/>
        <filter val="10/6/2017"/>
        <filter val="8/4/2018"/>
        <filter val="3/19/2018"/>
        <filter val="10/12/2017"/>
        <filter val="10/12/2018"/>
        <filter val="4/7/2018"/>
        <filter val="9/17/2018"/>
        <filter val="2/23/2018"/>
        <filter val="4/12/2018"/>
        <filter val="8/7/2018"/>
        <filter val="8/7/2017"/>
        <filter val="6/6/2018"/>
        <filter val="1/31/2018"/>
        <filter val="3/22/2018"/>
        <filter val="9/27/2018"/>
        <filter val="1/6/2018"/>
        <filter val="7/6/2018"/>
        <filter val="9/5/2018"/>
        <filter val="1/28/2018"/>
        <filter val="10/8/2017"/>
        <filter val="10/29/2017"/>
        <filter val="9/12/2018"/>
        <filter val="9/12/2017"/>
        <filter val="4/5/2018"/>
        <filter val="2/25/2018"/>
        <filter val="10/8/2018"/>
        <filter val="9/7/2017"/>
        <filter val="9/7/2018"/>
        <filter val="2/10/2018"/>
        <filter val="11/26/2017"/>
        <filter val="9/29/2018"/>
        <filter val="7/23/2018"/>
        <filter val="3/7/2018"/>
        <filter val="7/4/2018"/>
        <filter val="6/11/2018"/>
        <filter val="6/11/2017"/>
        <filter val="5/26/2018"/>
        <filter val="8/30/2017"/>
        <filter val="3/20/2018"/>
        <filter val="8/17/2018"/>
        <filter val="8/17/2017"/>
        <filter val="5/3/2018"/>
        <filter val="8/9/2018"/>
        <filter val="12/18/2017"/>
        <filter val="4/14/2018"/>
        <filter val="6/28/2018"/>
        <filter val="4/19/2018"/>
        <filter val="6/21/2017"/>
        <filter val="5/16/2018"/>
        <filter val="10/14/2018"/>
        <filter val="6/21/2018"/>
        <filter val="3/2/2018"/>
        <filter val="8/2/2018"/>
        <filter val="6/18/2018"/>
        <filter val="1/13/2018"/>
        <filter val="8/20/2018"/>
        <filter val="8/20/2017"/>
        <filter val="6/18/2017"/>
        <filter val="12/28/2017"/>
        <filter val="3/27/2018"/>
        <filter val="6/1/2018"/>
        <filter val="2/4/2018"/>
        <filter val="4/29/2018"/>
        <filter val="9/22/2018"/>
        <filter val="2/15/2018"/>
        <filter val="11/16/2017"/>
        <filter val="4/11/2018"/>
        <filter val="5/22/2018"/>
        <filter val="1/23/2018"/>
        <filter val="8/10/2018"/>
        <filter val="9/21/2018"/>
        <filter val="8/10/2017"/>
        <filter val="2/1/2018"/>
        <filter val="10/25/2017"/>
        <filter val="3/28/2018"/>
        <filter val="6/16/2018"/>
        <filter val="7/27/2018"/>
        <filter val="6/16/2017"/>
        <filter val="7/15/2018"/>
        <filter val="4/27/2018"/>
        <filter val="11/20/2017"/>
        <filter val="8/22/2018"/>
        <filter val="8/22/2017"/>
        <filter val="3/12/2018"/>
        <filter val="11/24/2017"/>
        <filter val="7/9/2018"/>
        <filter val="3/9/2018"/>
        <filter val="5/17/2018"/>
        <filter val="1/18/2018"/>
        <filter val="6/8/2018"/>
        <filter val="1/11/2018"/>
        <filter val="12/14/2017"/>
        <filter val="1/27/2018"/>
        <filter val="8/31/2017"/>
        <filter val="8/31/2018"/>
        <filter val="3/16/2018"/>
        <filter val="12/26/2017"/>
        <filter val="12/23/2017"/>
        <filter val="4/15/2018"/>
        <filter val="4/18/2018"/>
        <filter val="10/16/2018"/>
        <filter val="6/25/2018"/>
        <filter val="5/14/2018"/>
        <filter val="12/7/2017"/>
        <filter val="8/6/2017"/>
        <filter val="3/6/2018"/>
        <filter val="8/6/2018"/>
        <filter val="5/13/2018"/>
        <filter val="6/5/2018"/>
        <filter val="6/24/2018"/>
        <filter val="11/9/2017"/>
        <filter val="7/20/2017"/>
        <filter val="9/4/2017"/>
        <filter val="2/8/2018"/>
        <filter val="7/20/2018"/>
        <filter val="9/4/2018"/>
        <filter val="7/18/2018"/>
        <filter val="2/13/2018"/>
        <filter val="8/14/2018"/>
        <filter val="1/15/2018"/>
        <filter val="1/4/2018"/>
        <filter val="5/31/2018"/>
        <filter val="5/29/2018"/>
        <filter val="10/21/2017"/>
        <filter val="5/7/2018"/>
        <filter val="9/16/2018"/>
        <filter val="1/20/2018"/>
        <filter val="4/3/2018"/>
        <filter val="9/3/2018"/>
        <filter val="1/3/2018"/>
        <filter val="8/13/2018"/>
        <filter val="8/13/2017"/>
        <filter val="10/4/2017"/>
        <filter val="10/4/2018"/>
        <filter val="10/5/2018"/>
        <filter val="7/2/2017"/>
        <filter val="4/2/2018"/>
        <filter val="7/2/2018"/>
        <filter val="8/23/2018"/>
        <filter val="3/5/2018"/>
        <filter val="8/23/2017"/>
        <filter val="12/6/2017"/>
        <filter val="10/17/2017"/>
        <filter val="10/17/2018"/>
        <filter val="8/29/2017"/>
        <filter val="3/24/2018"/>
        <filter val="8/29/2018"/>
        <filter val="4/20/2018"/>
        <filter val="9/25/2018"/>
        <filter val="12/15/2017"/>
        <filter val="6/4/2018"/>
        <filter val="7/11/2018"/>
        <filter val="4/26/2018"/>
        <filter val="11/19/2017"/>
        <filter val="10/10/2017"/>
        <filter val="10/2/2017"/>
        <filter val="10/10/2018"/>
        <filter val="12/29/2017"/>
        <filter val="1/22/2018"/>
        <filter val="4/10/2018"/>
        <filter val="11/3/2017"/>
        <filter val="7/12/2018"/>
        <filter val="9/1/2018"/>
        <filter val="9/1/2017"/>
        <filter val="2/16/2018"/>
        <filter val="7/26/2018"/>
        <filter val="2/21/2018"/>
        <filter val="8/11/2018"/>
        <filter val="3/1/2018"/>
        <filter val="6/17/2017"/>
        <filter val="6/17/2018"/>
        <filter val="5/23/2018"/>
        <filter val="4/28/2018"/>
        <filter val="7/3/2017"/>
        <filter val="6/9/2018"/>
        <filter val="7/3/2018"/>
        <filter val="2/14/2018"/>
        <filter val="6/30/2018"/>
        <filter val="6/30/2017"/>
        <filter val="3/3/2018"/>
        <filter val="8/21/2018"/>
        <filter val="8/21/2017"/>
        <filter val="9/8/2017"/>
        <filter val="9/8/2018"/>
        <filter val="7/16/2018"/>
        <filter val="7/16/2017"/>
        <filter val="1/17/2018"/>
        <filter val="6/19/2018"/>
        <filter val="12/30/2017"/>
        <filter val="6/2/2018"/>
        <filter val="1/5/2018"/>
        <filter val="6/29/2017"/>
        <filter val="10/9/2018"/>
        <filter val="6/29/2018"/>
        <filter val="1/24/2018"/>
        <filter val="10/31/2017"/>
        <filter val="6/20/2017"/>
        <filter val="8/18/2018"/>
        <filter val="3/13/2018"/>
        <filter val="6/20/2018"/>
        <filter val="8/18/2017"/>
        <filter val="4/4/2018"/>
        <filter val="10/28/2017"/>
        <filter val="12/20/2017"/>
        <filter val="7/22/2017"/>
        <filter val="7/22/2018"/>
        <filter val="9/13/2017"/>
        <filter val="8/16/2017"/>
        <filter val="9/13/2018"/>
        <filter val="9/6/2017"/>
        <filter val="5/30/2018"/>
        <filter val="2/26/2018"/>
        <filter val="4/6/2018"/>
        <filter val="8/16/2018"/>
        <filter val="9/6/2018"/>
        <filter val="7/5/2018"/>
        <filter val="11/30/2017"/>
        <filter val="10/15/2017"/>
        <filter val="1/29/2018"/>
        <filter val="1/14/2018"/>
        <filter val="7/19/2018"/>
        <filter val="12/8/2017"/>
        <filter val="2/5/2018"/>
        <filter val="2/24/2018"/>
        <filter val="5/15/2018"/>
        <filter val="11/15/2017"/>
        <filter val="10/7/2018"/>
        <filter val="1/12/2018"/>
        <filter val="3/18/2018"/>
        <filter val="5/4/2018"/>
        <filter val="5/9/2018"/>
        <filter val="10/13/2017"/>
        <filter val="10/13/2018"/>
        <filter val="12/27/2017"/>
        <filter val="8/3/2018"/>
        <filter val="6/22/2017"/>
        <filter val="6/22/2018"/>
        <filter val="3/11/2018"/>
        <filter val="5/25/2018"/>
        <filter val="6/27/2018"/>
        <filter val="8/8/2018"/>
        <filter val="8/8/2017"/>
        <filter val="5/10/2018"/>
        <filter val="4/13/2018"/>
        <filter val="11/25/2017"/>
        <filter val="7/24/2017"/>
        <filter val="7/24/2018"/>
        <filter val="11/5/2017"/>
        <filter val="12/22/2017"/>
        <filter val="6/12/2018"/>
        <filter val="12/3/2017"/>
        <filter val="8/26/2018"/>
        <filter val="3/8/2018"/>
        <filter val="3/21/2018"/>
        <filter val="9/28/2018"/>
        <filter val="4/23/2018"/>
        <filter val="6/7/2017"/>
        <filter val="6/7/2018"/>
        <filter val="7/14/2017"/>
        <filter val="9/28/2017"/>
        <filter val="7/14/2018"/>
      </filters>
    </filterColumn>
  </autoFilter>
  <hyperlinks>
    <hyperlink r:id="rId1" ref="B4084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2657</v>
      </c>
      <c r="B1" s="19" t="s">
        <v>2</v>
      </c>
    </row>
    <row r="2" hidden="1">
      <c r="A2" s="32">
        <f>IFERROR(__xludf.DUMMYFUNCTION("Arrayformula(TO_DATE('Form Responses'!A6:A4506))"),42893.48156550926)</f>
        <v>42893.48157</v>
      </c>
      <c r="B2" s="33" t="str">
        <f t="array" ref="B2:B4367">PROPER(TRIM(SUBSTITUTE(LOWER('Form Responses'!B6:B4506), ".com", "")))</f>
        <v>Oracle</v>
      </c>
    </row>
    <row r="3" hidden="1">
      <c r="A3" s="32">
        <f>IFERROR(__xludf.DUMMYFUNCTION("""COMPUTED_VALUE"""),42896.7163134838)</f>
        <v>42896.71631</v>
      </c>
      <c r="B3" t="s">
        <v>282</v>
      </c>
    </row>
    <row r="4" hidden="1">
      <c r="A4" s="32">
        <f>IFERROR(__xludf.DUMMYFUNCTION("""COMPUTED_VALUE"""),42897.62079364584)</f>
        <v>42897.62079</v>
      </c>
      <c r="B4" t="s">
        <v>33</v>
      </c>
    </row>
    <row r="5" hidden="1">
      <c r="A5" s="32">
        <f>IFERROR(__xludf.DUMMYFUNCTION("""COMPUTED_VALUE"""),42899.233059907405)</f>
        <v>42899.23306</v>
      </c>
      <c r="B5" t="s">
        <v>36</v>
      </c>
    </row>
    <row r="6" hidden="1">
      <c r="A6" s="32">
        <f>IFERROR(__xludf.DUMMYFUNCTION("""COMPUTED_VALUE"""),42900.89056260417)</f>
        <v>42900.89056</v>
      </c>
      <c r="B6" t="s">
        <v>40</v>
      </c>
    </row>
    <row r="7" hidden="1">
      <c r="A7" s="32">
        <f>IFERROR(__xludf.DUMMYFUNCTION("""COMPUTED_VALUE"""),42902.44723494213)</f>
        <v>42902.44723</v>
      </c>
      <c r="B7" t="s">
        <v>33</v>
      </c>
    </row>
    <row r="8" hidden="1">
      <c r="A8" s="32">
        <f>IFERROR(__xludf.DUMMYFUNCTION("""COMPUTED_VALUE"""),42903.01613089121)</f>
        <v>42903.01613</v>
      </c>
      <c r="B8" t="s">
        <v>45</v>
      </c>
    </row>
    <row r="9" hidden="1">
      <c r="A9" s="32">
        <f>IFERROR(__xludf.DUMMYFUNCTION("""COMPUTED_VALUE"""),42904.98426611111)</f>
        <v>42904.98427</v>
      </c>
      <c r="B9" t="s">
        <v>48</v>
      </c>
    </row>
    <row r="10" hidden="1">
      <c r="A10" s="32">
        <f>IFERROR(__xludf.DUMMYFUNCTION("""COMPUTED_VALUE"""),42906.45753542824)</f>
        <v>42906.45754</v>
      </c>
      <c r="B10" t="s">
        <v>40</v>
      </c>
    </row>
    <row r="11" hidden="1">
      <c r="A11" s="32">
        <f>IFERROR(__xludf.DUMMYFUNCTION("""COMPUTED_VALUE"""),42906.784706817125)</f>
        <v>42906.78471</v>
      </c>
      <c r="B11" t="s">
        <v>33</v>
      </c>
    </row>
    <row r="12" hidden="1">
      <c r="A12" s="32">
        <f>IFERROR(__xludf.DUMMYFUNCTION("""COMPUTED_VALUE"""),42907.72762908565)</f>
        <v>42907.72763</v>
      </c>
      <c r="B12" t="s">
        <v>40</v>
      </c>
    </row>
    <row r="13" hidden="1">
      <c r="A13" s="32">
        <f>IFERROR(__xludf.DUMMYFUNCTION("""COMPUTED_VALUE"""),42908.52628917824)</f>
        <v>42908.52629</v>
      </c>
      <c r="B13" t="s">
        <v>40</v>
      </c>
    </row>
    <row r="14" hidden="1">
      <c r="A14" s="32">
        <f>IFERROR(__xludf.DUMMYFUNCTION("""COMPUTED_VALUE"""),42908.580163819446)</f>
        <v>42908.58016</v>
      </c>
      <c r="B14" t="s">
        <v>40</v>
      </c>
    </row>
    <row r="15" hidden="1">
      <c r="A15" s="32">
        <f>IFERROR(__xludf.DUMMYFUNCTION("""COMPUTED_VALUE"""),42908.90263420139)</f>
        <v>42908.90263</v>
      </c>
      <c r="B15" t="s">
        <v>36</v>
      </c>
    </row>
    <row r="16" hidden="1">
      <c r="A16" s="32">
        <f>IFERROR(__xludf.DUMMYFUNCTION("""COMPUTED_VALUE"""),42908.96406857639)</f>
        <v>42908.96407</v>
      </c>
      <c r="B16" t="s">
        <v>40</v>
      </c>
    </row>
    <row r="17" hidden="1">
      <c r="A17" s="32">
        <f>IFERROR(__xludf.DUMMYFUNCTION("""COMPUTED_VALUE"""),42912.89288005787)</f>
        <v>42912.89288</v>
      </c>
      <c r="B17" t="s">
        <v>40</v>
      </c>
    </row>
    <row r="18" hidden="1">
      <c r="A18" s="32">
        <f>IFERROR(__xludf.DUMMYFUNCTION("""COMPUTED_VALUE"""),42915.634910162036)</f>
        <v>42915.63491</v>
      </c>
      <c r="B18" t="s">
        <v>40</v>
      </c>
    </row>
    <row r="19" hidden="1">
      <c r="A19" s="32">
        <f>IFERROR(__xludf.DUMMYFUNCTION("""COMPUTED_VALUE"""),42916.68738912037)</f>
        <v>42916.68739</v>
      </c>
      <c r="B19" t="s">
        <v>119</v>
      </c>
    </row>
    <row r="20" hidden="1">
      <c r="A20" s="32">
        <f>IFERROR(__xludf.DUMMYFUNCTION("""COMPUTED_VALUE"""),42918.59504039352)</f>
        <v>42918.59504</v>
      </c>
      <c r="B20" t="s">
        <v>40</v>
      </c>
    </row>
    <row r="21" hidden="1">
      <c r="A21" s="32">
        <f>IFERROR(__xludf.DUMMYFUNCTION("""COMPUTED_VALUE"""),42919.81121290509)</f>
        <v>42919.81121</v>
      </c>
      <c r="B21" t="s">
        <v>40</v>
      </c>
    </row>
    <row r="22" hidden="1">
      <c r="A22" s="32">
        <f>IFERROR(__xludf.DUMMYFUNCTION("""COMPUTED_VALUE"""),42923.93719703704)</f>
        <v>42923.9372</v>
      </c>
      <c r="B22" t="s">
        <v>40</v>
      </c>
    </row>
    <row r="23" hidden="1">
      <c r="A23" s="32">
        <f>IFERROR(__xludf.DUMMYFUNCTION("""COMPUTED_VALUE"""),42924.61224957176)</f>
        <v>42924.61225</v>
      </c>
      <c r="B23" t="s">
        <v>40</v>
      </c>
    </row>
    <row r="24" hidden="1">
      <c r="A24" s="32">
        <f>IFERROR(__xludf.DUMMYFUNCTION("""COMPUTED_VALUE"""),42930.900174016206)</f>
        <v>42930.90017</v>
      </c>
      <c r="B24" t="s">
        <v>33</v>
      </c>
    </row>
    <row r="25" hidden="1">
      <c r="A25" s="32">
        <f>IFERROR(__xludf.DUMMYFUNCTION("""COMPUTED_VALUE"""),42932.00273532407)</f>
        <v>42932.00274</v>
      </c>
      <c r="B25" t="s">
        <v>2658</v>
      </c>
    </row>
    <row r="26" hidden="1">
      <c r="A26" s="32">
        <f>IFERROR(__xludf.DUMMYFUNCTION("""COMPUTED_VALUE"""),42932.70192148148)</f>
        <v>42932.70192</v>
      </c>
      <c r="B26" t="s">
        <v>33</v>
      </c>
    </row>
    <row r="27" hidden="1">
      <c r="A27" s="32">
        <f>IFERROR(__xludf.DUMMYFUNCTION("""COMPUTED_VALUE"""),42933.910321944444)</f>
        <v>42933.91032</v>
      </c>
      <c r="B27" t="s">
        <v>48</v>
      </c>
    </row>
    <row r="28" hidden="1">
      <c r="A28" s="32">
        <f>IFERROR(__xludf.DUMMYFUNCTION("""COMPUTED_VALUE"""),42936.94153696759)</f>
        <v>42936.94154</v>
      </c>
      <c r="B28" t="s">
        <v>48</v>
      </c>
    </row>
    <row r="29" hidden="1">
      <c r="A29" s="32">
        <f>IFERROR(__xludf.DUMMYFUNCTION("""COMPUTED_VALUE"""),42937.64922681713)</f>
        <v>42937.64923</v>
      </c>
      <c r="B29" t="s">
        <v>48</v>
      </c>
    </row>
    <row r="30" hidden="1">
      <c r="A30" s="32">
        <f>IFERROR(__xludf.DUMMYFUNCTION("""COMPUTED_VALUE"""),42938.930755775466)</f>
        <v>42938.93076</v>
      </c>
      <c r="B30" t="s">
        <v>36</v>
      </c>
    </row>
    <row r="31" hidden="1">
      <c r="A31" s="32">
        <f>IFERROR(__xludf.DUMMYFUNCTION("""COMPUTED_VALUE"""),42940.514669236116)</f>
        <v>42940.51467</v>
      </c>
      <c r="B31" t="s">
        <v>45</v>
      </c>
    </row>
    <row r="32" hidden="1">
      <c r="A32" s="32">
        <f>IFERROR(__xludf.DUMMYFUNCTION("""COMPUTED_VALUE"""),42940.96850732639)</f>
        <v>42940.96851</v>
      </c>
      <c r="B32" t="s">
        <v>40</v>
      </c>
    </row>
    <row r="33" hidden="1">
      <c r="A33" s="32">
        <f>IFERROR(__xludf.DUMMYFUNCTION("""COMPUTED_VALUE"""),42941.45941328704)</f>
        <v>42941.45941</v>
      </c>
      <c r="B33" t="s">
        <v>33</v>
      </c>
    </row>
    <row r="34" hidden="1">
      <c r="A34" s="32">
        <f>IFERROR(__xludf.DUMMYFUNCTION("""COMPUTED_VALUE"""),42941.614500578704)</f>
        <v>42941.6145</v>
      </c>
      <c r="B34" t="s">
        <v>77</v>
      </c>
    </row>
    <row r="35" hidden="1">
      <c r="A35" s="32">
        <f>IFERROR(__xludf.DUMMYFUNCTION("""COMPUTED_VALUE"""),42941.807371574076)</f>
        <v>42941.80737</v>
      </c>
      <c r="B35" t="s">
        <v>80</v>
      </c>
    </row>
    <row r="36" hidden="1">
      <c r="A36" s="32">
        <f>IFERROR(__xludf.DUMMYFUNCTION("""COMPUTED_VALUE"""),42944.649097511574)</f>
        <v>42944.6491</v>
      </c>
      <c r="B36" t="s">
        <v>119</v>
      </c>
    </row>
    <row r="37" hidden="1">
      <c r="A37" s="32">
        <f>IFERROR(__xludf.DUMMYFUNCTION("""COMPUTED_VALUE"""),42945.81754553241)</f>
        <v>42945.81755</v>
      </c>
      <c r="B37" t="s">
        <v>40</v>
      </c>
    </row>
    <row r="38" hidden="1">
      <c r="A38" s="32">
        <f>IFERROR(__xludf.DUMMYFUNCTION("""COMPUTED_VALUE"""),42945.83065204861)</f>
        <v>42945.83065</v>
      </c>
      <c r="B38" t="s">
        <v>40</v>
      </c>
    </row>
    <row r="39" hidden="1">
      <c r="A39" s="32">
        <f>IFERROR(__xludf.DUMMYFUNCTION("""COMPUTED_VALUE"""),42947.662698796295)</f>
        <v>42947.6627</v>
      </c>
      <c r="B39" t="s">
        <v>33</v>
      </c>
    </row>
    <row r="40" hidden="1">
      <c r="A40" s="32">
        <f>IFERROR(__xludf.DUMMYFUNCTION("""COMPUTED_VALUE"""),42947.66321012731)</f>
        <v>42947.66321</v>
      </c>
      <c r="B40" t="s">
        <v>33</v>
      </c>
    </row>
    <row r="41" hidden="1">
      <c r="A41" s="32">
        <f>IFERROR(__xludf.DUMMYFUNCTION("""COMPUTED_VALUE"""),42948.53826702546)</f>
        <v>42948.53827</v>
      </c>
      <c r="B41" t="s">
        <v>40</v>
      </c>
    </row>
    <row r="42" hidden="1">
      <c r="A42" s="32">
        <f>IFERROR(__xludf.DUMMYFUNCTION("""COMPUTED_VALUE"""),42948.57423641204)</f>
        <v>42948.57424</v>
      </c>
      <c r="B42" t="s">
        <v>40</v>
      </c>
    </row>
    <row r="43" hidden="1">
      <c r="A43" s="32">
        <f>IFERROR(__xludf.DUMMYFUNCTION("""COMPUTED_VALUE"""),42951.11319172454)</f>
        <v>42951.11319</v>
      </c>
      <c r="B43" t="s">
        <v>25</v>
      </c>
    </row>
    <row r="44" hidden="1">
      <c r="A44" s="32">
        <f>IFERROR(__xludf.DUMMYFUNCTION("""COMPUTED_VALUE"""),42951.46114800926)</f>
        <v>42951.46115</v>
      </c>
      <c r="B44" t="s">
        <v>40</v>
      </c>
    </row>
    <row r="45" hidden="1">
      <c r="A45" s="32">
        <f>IFERROR(__xludf.DUMMYFUNCTION("""COMPUTED_VALUE"""),42953.5164634838)</f>
        <v>42953.51646</v>
      </c>
      <c r="B45" t="s">
        <v>40</v>
      </c>
    </row>
    <row r="46" hidden="1">
      <c r="A46" s="32">
        <f>IFERROR(__xludf.DUMMYFUNCTION("""COMPUTED_VALUE"""),42953.932664340275)</f>
        <v>42953.93266</v>
      </c>
      <c r="B46" t="s">
        <v>45</v>
      </c>
    </row>
    <row r="47" hidden="1">
      <c r="A47" s="32">
        <f>IFERROR(__xludf.DUMMYFUNCTION("""COMPUTED_VALUE"""),42953.93515734954)</f>
        <v>42953.93516</v>
      </c>
      <c r="B47" t="s">
        <v>40</v>
      </c>
    </row>
    <row r="48" hidden="1">
      <c r="A48" s="32">
        <f>IFERROR(__xludf.DUMMYFUNCTION("""COMPUTED_VALUE"""),42953.98160372685)</f>
        <v>42953.9816</v>
      </c>
      <c r="B48" t="s">
        <v>33</v>
      </c>
    </row>
    <row r="49" hidden="1">
      <c r="A49" s="32">
        <f>IFERROR(__xludf.DUMMYFUNCTION("""COMPUTED_VALUE"""),42954.08944001158)</f>
        <v>42954.08944</v>
      </c>
      <c r="B49" t="s">
        <v>80</v>
      </c>
    </row>
    <row r="50" hidden="1">
      <c r="A50" s="32">
        <f>IFERROR(__xludf.DUMMYFUNCTION("""COMPUTED_VALUE"""),42954.47217591435)</f>
        <v>42954.47218</v>
      </c>
      <c r="B50" t="s">
        <v>80</v>
      </c>
    </row>
    <row r="51" hidden="1">
      <c r="A51" s="32">
        <f>IFERROR(__xludf.DUMMYFUNCTION("""COMPUTED_VALUE"""),42955.24612321759)</f>
        <v>42955.24612</v>
      </c>
      <c r="B51" t="s">
        <v>33</v>
      </c>
    </row>
    <row r="52" hidden="1">
      <c r="A52" s="32">
        <f>IFERROR(__xludf.DUMMYFUNCTION("""COMPUTED_VALUE"""),42955.593357199075)</f>
        <v>42955.59336</v>
      </c>
      <c r="B52" t="s">
        <v>95</v>
      </c>
    </row>
    <row r="53" hidden="1">
      <c r="A53" s="32">
        <f>IFERROR(__xludf.DUMMYFUNCTION("""COMPUTED_VALUE"""),42957.75397556713)</f>
        <v>42957.75398</v>
      </c>
      <c r="B53" t="s">
        <v>45</v>
      </c>
    </row>
    <row r="54" hidden="1">
      <c r="A54" s="32">
        <f>IFERROR(__xludf.DUMMYFUNCTION("""COMPUTED_VALUE"""),42960.45690251158)</f>
        <v>42960.4569</v>
      </c>
      <c r="B54" t="s">
        <v>33</v>
      </c>
    </row>
    <row r="55" hidden="1">
      <c r="A55" s="32">
        <f>IFERROR(__xludf.DUMMYFUNCTION("""COMPUTED_VALUE"""),42963.809604814815)</f>
        <v>42963.8096</v>
      </c>
      <c r="B55" t="s">
        <v>33</v>
      </c>
    </row>
    <row r="56" hidden="1">
      <c r="A56" s="32">
        <f>IFERROR(__xludf.DUMMYFUNCTION("""COMPUTED_VALUE"""),42964.53141939815)</f>
        <v>42964.53142</v>
      </c>
      <c r="B56" t="s">
        <v>40</v>
      </c>
    </row>
    <row r="57" hidden="1">
      <c r="A57" s="32">
        <f>IFERROR(__xludf.DUMMYFUNCTION("""COMPUTED_VALUE"""),42964.859245416665)</f>
        <v>42964.85925</v>
      </c>
      <c r="B57" t="s">
        <v>36</v>
      </c>
    </row>
    <row r="58" hidden="1">
      <c r="A58" s="32">
        <f>IFERROR(__xludf.DUMMYFUNCTION("""COMPUTED_VALUE"""),42965.91497596065)</f>
        <v>42965.91498</v>
      </c>
      <c r="B58" t="s">
        <v>45</v>
      </c>
    </row>
    <row r="59" hidden="1">
      <c r="A59" s="32">
        <f>IFERROR(__xludf.DUMMYFUNCTION("""COMPUTED_VALUE"""),42967.05615766204)</f>
        <v>42967.05616</v>
      </c>
      <c r="B59" t="s">
        <v>119</v>
      </c>
    </row>
    <row r="60" hidden="1">
      <c r="A60" s="32">
        <f>IFERROR(__xludf.DUMMYFUNCTION("""COMPUTED_VALUE"""),42967.41172452546)</f>
        <v>42967.41172</v>
      </c>
      <c r="B60" t="s">
        <v>40</v>
      </c>
    </row>
    <row r="61" hidden="1">
      <c r="A61" s="32">
        <f>IFERROR(__xludf.DUMMYFUNCTION("""COMPUTED_VALUE"""),42967.80314236111)</f>
        <v>42967.80314</v>
      </c>
      <c r="B61" t="s">
        <v>45</v>
      </c>
    </row>
    <row r="62" hidden="1">
      <c r="A62" s="32">
        <f>IFERROR(__xludf.DUMMYFUNCTION("""COMPUTED_VALUE"""),42968.55493266204)</f>
        <v>42968.55493</v>
      </c>
      <c r="B62" t="s">
        <v>105</v>
      </c>
    </row>
    <row r="63" hidden="1">
      <c r="A63" s="32">
        <f>IFERROR(__xludf.DUMMYFUNCTION("""COMPUTED_VALUE"""),42969.77958649305)</f>
        <v>42969.77959</v>
      </c>
      <c r="B63" t="s">
        <v>40</v>
      </c>
    </row>
    <row r="64" hidden="1">
      <c r="A64" s="32">
        <f>IFERROR(__xludf.DUMMYFUNCTION("""COMPUTED_VALUE"""),42970.701116412034)</f>
        <v>42970.70112</v>
      </c>
      <c r="B64" t="s">
        <v>40</v>
      </c>
    </row>
    <row r="65" hidden="1">
      <c r="A65" s="32">
        <f>IFERROR(__xludf.DUMMYFUNCTION("""COMPUTED_VALUE"""),42970.99591238426)</f>
        <v>42970.99591</v>
      </c>
      <c r="B65" t="s">
        <v>33</v>
      </c>
    </row>
    <row r="66" hidden="1">
      <c r="A66" s="32">
        <f>IFERROR(__xludf.DUMMYFUNCTION("""COMPUTED_VALUE"""),42971.30744517361)</f>
        <v>42971.30745</v>
      </c>
      <c r="B66" t="s">
        <v>33</v>
      </c>
    </row>
    <row r="67" hidden="1">
      <c r="A67" s="32">
        <f>IFERROR(__xludf.DUMMYFUNCTION("""COMPUTED_VALUE"""),42971.471040868055)</f>
        <v>42971.47104</v>
      </c>
      <c r="B67" t="s">
        <v>109</v>
      </c>
    </row>
    <row r="68" hidden="1">
      <c r="A68" s="32">
        <f>IFERROR(__xludf.DUMMYFUNCTION("""COMPUTED_VALUE"""),42971.751340069444)</f>
        <v>42971.75134</v>
      </c>
      <c r="B68" t="s">
        <v>36</v>
      </c>
    </row>
    <row r="69" hidden="1">
      <c r="A69" s="32">
        <f>IFERROR(__xludf.DUMMYFUNCTION("""COMPUTED_VALUE"""),42971.96794340278)</f>
        <v>42971.96794</v>
      </c>
      <c r="B69" t="s">
        <v>33</v>
      </c>
    </row>
    <row r="70" hidden="1">
      <c r="A70" s="32">
        <f>IFERROR(__xludf.DUMMYFUNCTION("""COMPUTED_VALUE"""),42971.99348319444)</f>
        <v>42971.99348</v>
      </c>
      <c r="B70" t="s">
        <v>25</v>
      </c>
    </row>
    <row r="71" hidden="1">
      <c r="A71" s="32">
        <f>IFERROR(__xludf.DUMMYFUNCTION("""COMPUTED_VALUE"""),42971.99686565972)</f>
        <v>42971.99687</v>
      </c>
      <c r="B71" t="s">
        <v>282</v>
      </c>
    </row>
    <row r="72" hidden="1">
      <c r="A72" s="32">
        <f>IFERROR(__xludf.DUMMYFUNCTION("""COMPUTED_VALUE"""),42976.92616592592)</f>
        <v>42976.92617</v>
      </c>
      <c r="B72" t="s">
        <v>77</v>
      </c>
    </row>
    <row r="73" hidden="1">
      <c r="A73" s="32">
        <f>IFERROR(__xludf.DUMMYFUNCTION("""COMPUTED_VALUE"""),42977.35481884259)</f>
        <v>42977.35482</v>
      </c>
      <c r="B73" t="s">
        <v>45</v>
      </c>
    </row>
    <row r="74" hidden="1">
      <c r="A74" s="32">
        <f>IFERROR(__xludf.DUMMYFUNCTION("""COMPUTED_VALUE"""),42978.363835219905)</f>
        <v>42978.36384</v>
      </c>
      <c r="B74" t="s">
        <v>77</v>
      </c>
    </row>
    <row r="75" hidden="1">
      <c r="A75" s="32">
        <f>IFERROR(__xludf.DUMMYFUNCTION("""COMPUTED_VALUE"""),42979.0677924537)</f>
        <v>42979.06779</v>
      </c>
      <c r="B75" t="s">
        <v>40</v>
      </c>
    </row>
    <row r="76" hidden="1">
      <c r="A76" s="32">
        <f>IFERROR(__xludf.DUMMYFUNCTION("""COMPUTED_VALUE"""),42979.50659506944)</f>
        <v>42979.5066</v>
      </c>
      <c r="B76" t="s">
        <v>119</v>
      </c>
    </row>
    <row r="77" hidden="1">
      <c r="A77" s="32">
        <f>IFERROR(__xludf.DUMMYFUNCTION("""COMPUTED_VALUE"""),42979.970421481485)</f>
        <v>42979.97042</v>
      </c>
      <c r="B77" t="s">
        <v>122</v>
      </c>
    </row>
    <row r="78" hidden="1">
      <c r="A78" s="32">
        <f>IFERROR(__xludf.DUMMYFUNCTION("""COMPUTED_VALUE"""),42982.595219282404)</f>
        <v>42982.59522</v>
      </c>
      <c r="B78" t="s">
        <v>48</v>
      </c>
    </row>
    <row r="79" hidden="1">
      <c r="A79" s="32">
        <f>IFERROR(__xludf.DUMMYFUNCTION("""COMPUTED_VALUE"""),42982.77920077546)</f>
        <v>42982.7792</v>
      </c>
      <c r="B79" t="s">
        <v>33</v>
      </c>
    </row>
    <row r="80" hidden="1">
      <c r="A80" s="32">
        <f>IFERROR(__xludf.DUMMYFUNCTION("""COMPUTED_VALUE"""),42984.65158524306)</f>
        <v>42984.65159</v>
      </c>
      <c r="B80" t="s">
        <v>33</v>
      </c>
    </row>
    <row r="81" hidden="1">
      <c r="A81" s="32">
        <f>IFERROR(__xludf.DUMMYFUNCTION("""COMPUTED_VALUE"""),42985.66358983796)</f>
        <v>42985.66359</v>
      </c>
      <c r="B81" t="s">
        <v>45</v>
      </c>
    </row>
    <row r="82" hidden="1">
      <c r="A82" s="32">
        <f>IFERROR(__xludf.DUMMYFUNCTION("""COMPUTED_VALUE"""),42986.58014164351)</f>
        <v>42986.58014</v>
      </c>
      <c r="B82" t="s">
        <v>33</v>
      </c>
    </row>
    <row r="83" hidden="1">
      <c r="A83" s="32">
        <f>IFERROR(__xludf.DUMMYFUNCTION("""COMPUTED_VALUE"""),42986.58155920139)</f>
        <v>42986.58156</v>
      </c>
      <c r="B83" t="s">
        <v>123</v>
      </c>
    </row>
    <row r="84" hidden="1">
      <c r="A84" s="32">
        <f>IFERROR(__xludf.DUMMYFUNCTION("""COMPUTED_VALUE"""),42986.613806863425)</f>
        <v>42986.61381</v>
      </c>
      <c r="B84" t="s">
        <v>124</v>
      </c>
    </row>
    <row r="85" hidden="1">
      <c r="A85" s="32">
        <f>IFERROR(__xludf.DUMMYFUNCTION("""COMPUTED_VALUE"""),42986.695358310186)</f>
        <v>42986.69536</v>
      </c>
      <c r="B85" t="s">
        <v>33</v>
      </c>
    </row>
    <row r="86" hidden="1">
      <c r="A86" s="32">
        <f>IFERROR(__xludf.DUMMYFUNCTION("""COMPUTED_VALUE"""),42986.75640109954)</f>
        <v>42986.7564</v>
      </c>
      <c r="B86" t="s">
        <v>33</v>
      </c>
    </row>
    <row r="87" hidden="1">
      <c r="A87" s="32">
        <f>IFERROR(__xludf.DUMMYFUNCTION("""COMPUTED_VALUE"""),42986.75823100694)</f>
        <v>42986.75823</v>
      </c>
      <c r="B87" t="s">
        <v>33</v>
      </c>
    </row>
    <row r="88" hidden="1">
      <c r="A88" s="32">
        <f>IFERROR(__xludf.DUMMYFUNCTION("""COMPUTED_VALUE"""),42986.84371851852)</f>
        <v>42986.84372</v>
      </c>
      <c r="B88" t="s">
        <v>33</v>
      </c>
    </row>
    <row r="89" hidden="1">
      <c r="A89" s="32">
        <f>IFERROR(__xludf.DUMMYFUNCTION("""COMPUTED_VALUE"""),42986.85583854167)</f>
        <v>42986.85584</v>
      </c>
      <c r="B89" t="s">
        <v>33</v>
      </c>
    </row>
    <row r="90" hidden="1">
      <c r="A90" s="32">
        <f>IFERROR(__xludf.DUMMYFUNCTION("""COMPUTED_VALUE"""),42986.92031134259)</f>
        <v>42986.92031</v>
      </c>
      <c r="B90" t="s">
        <v>33</v>
      </c>
    </row>
    <row r="91" hidden="1">
      <c r="A91" s="32">
        <f>IFERROR(__xludf.DUMMYFUNCTION("""COMPUTED_VALUE"""),42986.94644530093)</f>
        <v>42986.94645</v>
      </c>
      <c r="B91" t="s">
        <v>33</v>
      </c>
    </row>
    <row r="92" hidden="1">
      <c r="A92" s="32">
        <f>IFERROR(__xludf.DUMMYFUNCTION("""COMPUTED_VALUE"""),42986.98627789352)</f>
        <v>42986.98628</v>
      </c>
      <c r="B92" t="s">
        <v>33</v>
      </c>
    </row>
    <row r="93" hidden="1">
      <c r="A93" s="32">
        <f>IFERROR(__xludf.DUMMYFUNCTION("""COMPUTED_VALUE"""),42987.26396430556)</f>
        <v>42987.26396</v>
      </c>
      <c r="B93" t="s">
        <v>33</v>
      </c>
    </row>
    <row r="94" hidden="1">
      <c r="A94" s="32">
        <f>IFERROR(__xludf.DUMMYFUNCTION("""COMPUTED_VALUE"""),42987.372350578706)</f>
        <v>42987.37235</v>
      </c>
      <c r="B94" t="s">
        <v>33</v>
      </c>
    </row>
    <row r="95" hidden="1">
      <c r="A95" s="32">
        <f>IFERROR(__xludf.DUMMYFUNCTION("""COMPUTED_VALUE"""),42987.67767359954)</f>
        <v>42987.67767</v>
      </c>
      <c r="B95" t="s">
        <v>33</v>
      </c>
    </row>
    <row r="96" hidden="1">
      <c r="A96" s="32">
        <f>IFERROR(__xludf.DUMMYFUNCTION("""COMPUTED_VALUE"""),42988.434361631946)</f>
        <v>42988.43436</v>
      </c>
      <c r="B96" t="s">
        <v>33</v>
      </c>
    </row>
    <row r="97" hidden="1">
      <c r="A97" s="32">
        <f>IFERROR(__xludf.DUMMYFUNCTION("""COMPUTED_VALUE"""),42988.81144464121)</f>
        <v>42988.81144</v>
      </c>
      <c r="B97" t="s">
        <v>33</v>
      </c>
    </row>
    <row r="98" hidden="1">
      <c r="A98" s="32">
        <f>IFERROR(__xludf.DUMMYFUNCTION("""COMPUTED_VALUE"""),42989.0420659375)</f>
        <v>42989.04207</v>
      </c>
      <c r="B98" t="s">
        <v>40</v>
      </c>
    </row>
    <row r="99" hidden="1">
      <c r="A99" s="32">
        <f>IFERROR(__xludf.DUMMYFUNCTION("""COMPUTED_VALUE"""),42989.57766928241)</f>
        <v>42989.57767</v>
      </c>
      <c r="B99" t="s">
        <v>45</v>
      </c>
    </row>
    <row r="100" hidden="1">
      <c r="A100" s="32">
        <f>IFERROR(__xludf.DUMMYFUNCTION("""COMPUTED_VALUE"""),42990.87858127315)</f>
        <v>42990.87858</v>
      </c>
      <c r="B100" t="s">
        <v>123</v>
      </c>
    </row>
    <row r="101" hidden="1">
      <c r="A101" s="32">
        <f>IFERROR(__xludf.DUMMYFUNCTION("""COMPUTED_VALUE"""),42991.631289108795)</f>
        <v>42991.63129</v>
      </c>
      <c r="B101" t="s">
        <v>123</v>
      </c>
    </row>
    <row r="102" hidden="1">
      <c r="A102" s="32">
        <f>IFERROR(__xludf.DUMMYFUNCTION("""COMPUTED_VALUE"""),42992.840373032406)</f>
        <v>42992.84037</v>
      </c>
      <c r="B102" t="s">
        <v>139</v>
      </c>
    </row>
    <row r="103" hidden="1">
      <c r="A103" s="32">
        <f>IFERROR(__xludf.DUMMYFUNCTION("""COMPUTED_VALUE"""),42997.96142685185)</f>
        <v>42997.96143</v>
      </c>
      <c r="B103" t="s">
        <v>122</v>
      </c>
    </row>
    <row r="104" hidden="1">
      <c r="A104" s="32">
        <f>IFERROR(__xludf.DUMMYFUNCTION("""COMPUTED_VALUE"""),43004.02139797454)</f>
        <v>43004.0214</v>
      </c>
      <c r="B104" t="s">
        <v>33</v>
      </c>
    </row>
    <row r="105" hidden="1">
      <c r="A105" s="32">
        <f>IFERROR(__xludf.DUMMYFUNCTION("""COMPUTED_VALUE"""),43006.94809644676)</f>
        <v>43006.9481</v>
      </c>
      <c r="B105" t="s">
        <v>40</v>
      </c>
    </row>
    <row r="106" hidden="1">
      <c r="A106" s="32">
        <f>IFERROR(__xludf.DUMMYFUNCTION("""COMPUTED_VALUE"""),43010.42910511574)</f>
        <v>43010.42911</v>
      </c>
      <c r="B106" t="s">
        <v>142</v>
      </c>
    </row>
    <row r="107" hidden="1">
      <c r="A107" s="32">
        <f>IFERROR(__xludf.DUMMYFUNCTION("""COMPUTED_VALUE"""),43011.46906069445)</f>
        <v>43011.46906</v>
      </c>
      <c r="B107" t="s">
        <v>40</v>
      </c>
    </row>
    <row r="108" hidden="1">
      <c r="A108" s="32">
        <f>IFERROR(__xludf.DUMMYFUNCTION("""COMPUTED_VALUE"""),43011.53932768518)</f>
        <v>43011.53933</v>
      </c>
      <c r="B108" t="s">
        <v>123</v>
      </c>
    </row>
    <row r="109" hidden="1">
      <c r="A109" s="32">
        <f>IFERROR(__xludf.DUMMYFUNCTION("""COMPUTED_VALUE"""),43012.756847129625)</f>
        <v>43012.75685</v>
      </c>
      <c r="B109" t="s">
        <v>40</v>
      </c>
    </row>
    <row r="110" hidden="1">
      <c r="A110" s="32">
        <f>IFERROR(__xludf.DUMMYFUNCTION("""COMPUTED_VALUE"""),43014.48980084491)</f>
        <v>43014.4898</v>
      </c>
      <c r="B110" t="s">
        <v>123</v>
      </c>
    </row>
    <row r="111" hidden="1">
      <c r="A111" s="32">
        <f>IFERROR(__xludf.DUMMYFUNCTION("""COMPUTED_VALUE"""),43014.73117918981)</f>
        <v>43014.73118</v>
      </c>
      <c r="B111" t="s">
        <v>45</v>
      </c>
    </row>
    <row r="112" hidden="1">
      <c r="A112" s="32">
        <f>IFERROR(__xludf.DUMMYFUNCTION("""COMPUTED_VALUE"""),43014.732501516206)</f>
        <v>43014.7325</v>
      </c>
      <c r="B112" t="s">
        <v>45</v>
      </c>
    </row>
    <row r="113" hidden="1">
      <c r="A113" s="32">
        <f>IFERROR(__xludf.DUMMYFUNCTION("""COMPUTED_VALUE"""),43014.92305030093)</f>
        <v>43014.92305</v>
      </c>
      <c r="B113" t="s">
        <v>33</v>
      </c>
    </row>
    <row r="114" hidden="1">
      <c r="A114" s="32">
        <f>IFERROR(__xludf.DUMMYFUNCTION("""COMPUTED_VALUE"""),43014.96441731481)</f>
        <v>43014.96442</v>
      </c>
      <c r="B114" t="s">
        <v>33</v>
      </c>
    </row>
    <row r="115" hidden="1">
      <c r="A115" s="32">
        <f>IFERROR(__xludf.DUMMYFUNCTION("""COMPUTED_VALUE"""),43016.99962449074)</f>
        <v>43016.99962</v>
      </c>
      <c r="B115" t="s">
        <v>33</v>
      </c>
    </row>
    <row r="116" hidden="1">
      <c r="A116" s="32">
        <f>IFERROR(__xludf.DUMMYFUNCTION("""COMPUTED_VALUE"""),43018.83123833333)</f>
        <v>43018.83124</v>
      </c>
      <c r="B116" t="s">
        <v>119</v>
      </c>
    </row>
    <row r="117" hidden="1">
      <c r="A117" s="32">
        <f>IFERROR(__xludf.DUMMYFUNCTION("""COMPUTED_VALUE"""),43019.26726729167)</f>
        <v>43019.26727</v>
      </c>
      <c r="B117" t="s">
        <v>154</v>
      </c>
    </row>
    <row r="118" hidden="1">
      <c r="A118" s="32">
        <f>IFERROR(__xludf.DUMMYFUNCTION("""COMPUTED_VALUE"""),43019.60233364583)</f>
        <v>43019.60233</v>
      </c>
      <c r="B118" t="s">
        <v>157</v>
      </c>
    </row>
    <row r="119" hidden="1">
      <c r="A119" s="32">
        <f>IFERROR(__xludf.DUMMYFUNCTION("""COMPUTED_VALUE"""),43020.831140532406)</f>
        <v>43020.83114</v>
      </c>
      <c r="B119" t="s">
        <v>33</v>
      </c>
    </row>
    <row r="120" hidden="1">
      <c r="A120" s="32">
        <f>IFERROR(__xludf.DUMMYFUNCTION("""COMPUTED_VALUE"""),43021.481865925925)</f>
        <v>43021.48187</v>
      </c>
      <c r="B120" t="s">
        <v>40</v>
      </c>
    </row>
    <row r="121" hidden="1">
      <c r="A121" s="32">
        <f>IFERROR(__xludf.DUMMYFUNCTION("""COMPUTED_VALUE"""),43023.50599232639)</f>
        <v>43023.50599</v>
      </c>
      <c r="B121" t="s">
        <v>45</v>
      </c>
    </row>
    <row r="122" hidden="1">
      <c r="A122" s="32">
        <f>IFERROR(__xludf.DUMMYFUNCTION("""COMPUTED_VALUE"""),43023.99813862269)</f>
        <v>43023.99814</v>
      </c>
      <c r="B122" t="s">
        <v>40</v>
      </c>
    </row>
    <row r="123" hidden="1">
      <c r="A123" s="32">
        <f>IFERROR(__xludf.DUMMYFUNCTION("""COMPUTED_VALUE"""),43025.94492109954)</f>
        <v>43025.94492</v>
      </c>
      <c r="B123" t="s">
        <v>2658</v>
      </c>
    </row>
    <row r="124" hidden="1">
      <c r="A124" s="32">
        <f>IFERROR(__xludf.DUMMYFUNCTION("""COMPUTED_VALUE"""),43025.95669958333)</f>
        <v>43025.9567</v>
      </c>
      <c r="B124" t="s">
        <v>48</v>
      </c>
    </row>
    <row r="125" hidden="1">
      <c r="A125" s="32">
        <f>IFERROR(__xludf.DUMMYFUNCTION("""COMPUTED_VALUE"""),43027.063604826384)</f>
        <v>43027.0636</v>
      </c>
      <c r="B125" t="s">
        <v>48</v>
      </c>
    </row>
    <row r="126" hidden="1">
      <c r="A126" s="32">
        <f>IFERROR(__xludf.DUMMYFUNCTION("""COMPUTED_VALUE"""),43027.5999478125)</f>
        <v>43027.59995</v>
      </c>
      <c r="B126" t="s">
        <v>163</v>
      </c>
    </row>
    <row r="127" hidden="1">
      <c r="A127" s="32">
        <f>IFERROR(__xludf.DUMMYFUNCTION("""COMPUTED_VALUE"""),43027.648965960645)</f>
        <v>43027.64897</v>
      </c>
      <c r="B127" t="s">
        <v>36</v>
      </c>
    </row>
    <row r="128" hidden="1">
      <c r="A128" s="32">
        <f>IFERROR(__xludf.DUMMYFUNCTION("""COMPUTED_VALUE"""),43028.313401747684)</f>
        <v>43028.3134</v>
      </c>
      <c r="B128" t="s">
        <v>33</v>
      </c>
    </row>
    <row r="129" hidden="1">
      <c r="A129" s="32">
        <f>IFERROR(__xludf.DUMMYFUNCTION("""COMPUTED_VALUE"""),43029.550874374996)</f>
        <v>43029.55087</v>
      </c>
      <c r="B129" t="s">
        <v>48</v>
      </c>
    </row>
    <row r="130" hidden="1">
      <c r="A130" s="32">
        <f>IFERROR(__xludf.DUMMYFUNCTION("""COMPUTED_VALUE"""),43030.48804899305)</f>
        <v>43030.48805</v>
      </c>
      <c r="B130" t="s">
        <v>48</v>
      </c>
    </row>
    <row r="131" hidden="1">
      <c r="A131" s="32">
        <f>IFERROR(__xludf.DUMMYFUNCTION("""COMPUTED_VALUE"""),43030.99488416666)</f>
        <v>43030.99488</v>
      </c>
      <c r="B131" t="s">
        <v>33</v>
      </c>
    </row>
    <row r="132" hidden="1">
      <c r="A132" s="32">
        <f>IFERROR(__xludf.DUMMYFUNCTION("""COMPUTED_VALUE"""),43033.43812931713)</f>
        <v>43033.43813</v>
      </c>
      <c r="B132" t="s">
        <v>80</v>
      </c>
    </row>
    <row r="133" hidden="1">
      <c r="A133" s="32">
        <f>IFERROR(__xludf.DUMMYFUNCTION("""COMPUTED_VALUE"""),43034.49438263889)</f>
        <v>43034.49438</v>
      </c>
      <c r="B133" t="s">
        <v>119</v>
      </c>
    </row>
    <row r="134" hidden="1">
      <c r="A134" s="32">
        <f>IFERROR(__xludf.DUMMYFUNCTION("""COMPUTED_VALUE"""),43036.04344760417)</f>
        <v>43036.04345</v>
      </c>
      <c r="B134" t="s">
        <v>40</v>
      </c>
    </row>
    <row r="135" hidden="1">
      <c r="A135" s="32">
        <f>IFERROR(__xludf.DUMMYFUNCTION("""COMPUTED_VALUE"""),43037.465139328706)</f>
        <v>43037.46514</v>
      </c>
      <c r="B135" t="s">
        <v>33</v>
      </c>
    </row>
    <row r="136" hidden="1">
      <c r="A136" s="32">
        <f>IFERROR(__xludf.DUMMYFUNCTION("""COMPUTED_VALUE"""),43039.391993831014)</f>
        <v>43039.39199</v>
      </c>
      <c r="B136" t="s">
        <v>33</v>
      </c>
    </row>
    <row r="137" hidden="1">
      <c r="A137" s="32">
        <f>IFERROR(__xludf.DUMMYFUNCTION("""COMPUTED_VALUE"""),43039.96224230324)</f>
        <v>43039.96224</v>
      </c>
      <c r="B137" t="s">
        <v>170</v>
      </c>
    </row>
    <row r="138" hidden="1">
      <c r="A138" s="32">
        <f>IFERROR(__xludf.DUMMYFUNCTION("""COMPUTED_VALUE"""),43040.93014837963)</f>
        <v>43040.93015</v>
      </c>
      <c r="B138" t="s">
        <v>33</v>
      </c>
    </row>
    <row r="139" hidden="1">
      <c r="A139" s="32">
        <f>IFERROR(__xludf.DUMMYFUNCTION("""COMPUTED_VALUE"""),43042.81444747685)</f>
        <v>43042.81445</v>
      </c>
      <c r="B139" t="s">
        <v>40</v>
      </c>
    </row>
    <row r="140" hidden="1">
      <c r="A140" s="32">
        <f>IFERROR(__xludf.DUMMYFUNCTION("""COMPUTED_VALUE"""),43042.96269263889)</f>
        <v>43042.96269</v>
      </c>
      <c r="B140" t="s">
        <v>173</v>
      </c>
    </row>
    <row r="141" hidden="1">
      <c r="A141" s="32">
        <f>IFERROR(__xludf.DUMMYFUNCTION("""COMPUTED_VALUE"""),43044.05994821759)</f>
        <v>43044.05995</v>
      </c>
      <c r="B141" t="s">
        <v>36</v>
      </c>
    </row>
    <row r="142" hidden="1">
      <c r="A142" s="32">
        <f>IFERROR(__xludf.DUMMYFUNCTION("""COMPUTED_VALUE"""),43046.943082997685)</f>
        <v>43046.94308</v>
      </c>
      <c r="B142" t="s">
        <v>80</v>
      </c>
    </row>
    <row r="143" hidden="1">
      <c r="A143" s="32">
        <f>IFERROR(__xludf.DUMMYFUNCTION("""COMPUTED_VALUE"""),43047.88240209491)</f>
        <v>43047.8824</v>
      </c>
      <c r="B143" t="s">
        <v>40</v>
      </c>
    </row>
    <row r="144" hidden="1">
      <c r="A144" s="32">
        <f>IFERROR(__xludf.DUMMYFUNCTION("""COMPUTED_VALUE"""),43048.550215752315)</f>
        <v>43048.55022</v>
      </c>
      <c r="B144" t="s">
        <v>33</v>
      </c>
    </row>
    <row r="145" hidden="1">
      <c r="A145" s="32">
        <f>IFERROR(__xludf.DUMMYFUNCTION("""COMPUTED_VALUE"""),43048.793699131944)</f>
        <v>43048.7937</v>
      </c>
      <c r="B145" t="s">
        <v>33</v>
      </c>
    </row>
    <row r="146" hidden="1">
      <c r="A146" s="32">
        <f>IFERROR(__xludf.DUMMYFUNCTION("""COMPUTED_VALUE"""),43053.24858144676)</f>
        <v>43053.24858</v>
      </c>
      <c r="B146" t="s">
        <v>45</v>
      </c>
    </row>
    <row r="147" hidden="1">
      <c r="A147" s="32">
        <f>IFERROR(__xludf.DUMMYFUNCTION("""COMPUTED_VALUE"""),43053.860918402774)</f>
        <v>43053.86092</v>
      </c>
      <c r="B147" t="s">
        <v>80</v>
      </c>
    </row>
    <row r="148" hidden="1">
      <c r="A148" s="32">
        <f>IFERROR(__xludf.DUMMYFUNCTION("""COMPUTED_VALUE"""),43054.43454141203)</f>
        <v>43054.43454</v>
      </c>
      <c r="B148" t="s">
        <v>33</v>
      </c>
    </row>
    <row r="149" hidden="1">
      <c r="A149" s="32">
        <f>IFERROR(__xludf.DUMMYFUNCTION("""COMPUTED_VALUE"""),43055.234066689816)</f>
        <v>43055.23407</v>
      </c>
      <c r="B149" t="s">
        <v>40</v>
      </c>
    </row>
    <row r="150" hidden="1">
      <c r="A150" s="32">
        <f>IFERROR(__xludf.DUMMYFUNCTION("""COMPUTED_VALUE"""),43055.77819423611)</f>
        <v>43055.77819</v>
      </c>
      <c r="B150" t="s">
        <v>80</v>
      </c>
    </row>
    <row r="151" hidden="1">
      <c r="A151" s="32">
        <f>IFERROR(__xludf.DUMMYFUNCTION("""COMPUTED_VALUE"""),43055.97876799769)</f>
        <v>43055.97877</v>
      </c>
      <c r="B151" t="s">
        <v>40</v>
      </c>
    </row>
    <row r="152" hidden="1">
      <c r="A152" s="32">
        <f>IFERROR(__xludf.DUMMYFUNCTION("""COMPUTED_VALUE"""),43056.487247199075)</f>
        <v>43056.48725</v>
      </c>
      <c r="B152" t="s">
        <v>25</v>
      </c>
    </row>
    <row r="153" hidden="1">
      <c r="A153" s="32">
        <f>IFERROR(__xludf.DUMMYFUNCTION("""COMPUTED_VALUE"""),43057.532015358796)</f>
        <v>43057.53202</v>
      </c>
      <c r="B153" t="s">
        <v>40</v>
      </c>
    </row>
    <row r="154" hidden="1">
      <c r="A154" s="32">
        <f>IFERROR(__xludf.DUMMYFUNCTION("""COMPUTED_VALUE"""),43058.94166851851)</f>
        <v>43058.94167</v>
      </c>
      <c r="B154" t="s">
        <v>45</v>
      </c>
    </row>
    <row r="155" hidden="1">
      <c r="A155" s="32">
        <f>IFERROR(__xludf.DUMMYFUNCTION("""COMPUTED_VALUE"""),43058.955279444446)</f>
        <v>43058.95528</v>
      </c>
      <c r="B155" t="s">
        <v>187</v>
      </c>
    </row>
    <row r="156" hidden="1">
      <c r="A156" s="32">
        <f>IFERROR(__xludf.DUMMYFUNCTION("""COMPUTED_VALUE"""),43059.6155324537)</f>
        <v>43059.61553</v>
      </c>
      <c r="B156" t="s">
        <v>80</v>
      </c>
    </row>
    <row r="157" hidden="1">
      <c r="A157" s="32">
        <f>IFERROR(__xludf.DUMMYFUNCTION("""COMPUTED_VALUE"""),43059.61977634259)</f>
        <v>43059.61978</v>
      </c>
      <c r="B157" t="s">
        <v>188</v>
      </c>
    </row>
    <row r="158" hidden="1">
      <c r="A158" s="32">
        <f>IFERROR(__xludf.DUMMYFUNCTION("""COMPUTED_VALUE"""),43063.009147372686)</f>
        <v>43063.00915</v>
      </c>
      <c r="B158" t="s">
        <v>80</v>
      </c>
    </row>
    <row r="159" hidden="1">
      <c r="A159" s="32">
        <f>IFERROR(__xludf.DUMMYFUNCTION("""COMPUTED_VALUE"""),43063.57847678241)</f>
        <v>43063.57848</v>
      </c>
      <c r="B159" t="s">
        <v>33</v>
      </c>
    </row>
    <row r="160" hidden="1">
      <c r="A160" s="32">
        <f>IFERROR(__xludf.DUMMYFUNCTION("""COMPUTED_VALUE"""),43064.940997233796)</f>
        <v>43064.941</v>
      </c>
      <c r="B160" t="s">
        <v>40</v>
      </c>
    </row>
    <row r="161" hidden="1">
      <c r="A161" s="32">
        <f>IFERROR(__xludf.DUMMYFUNCTION("""COMPUTED_VALUE"""),43065.433532152776)</f>
        <v>43065.43353</v>
      </c>
      <c r="B161" t="s">
        <v>187</v>
      </c>
    </row>
    <row r="162" hidden="1">
      <c r="A162" s="32">
        <f>IFERROR(__xludf.DUMMYFUNCTION("""COMPUTED_VALUE"""),43068.44206614583)</f>
        <v>43068.44207</v>
      </c>
      <c r="B162" t="s">
        <v>190</v>
      </c>
    </row>
    <row r="163" hidden="1">
      <c r="A163" s="32">
        <f>IFERROR(__xludf.DUMMYFUNCTION("""COMPUTED_VALUE"""),43068.55515295139)</f>
        <v>43068.55515</v>
      </c>
      <c r="B163" t="s">
        <v>40</v>
      </c>
    </row>
    <row r="164" hidden="1">
      <c r="A164" s="32">
        <f>IFERROR(__xludf.DUMMYFUNCTION("""COMPUTED_VALUE"""),43068.70243474537)</f>
        <v>43068.70243</v>
      </c>
      <c r="B164" t="s">
        <v>40</v>
      </c>
    </row>
    <row r="165" hidden="1">
      <c r="A165" s="32">
        <f>IFERROR(__xludf.DUMMYFUNCTION("""COMPUTED_VALUE"""),43069.23273336806)</f>
        <v>43069.23273</v>
      </c>
      <c r="B165" t="s">
        <v>40</v>
      </c>
    </row>
    <row r="166" hidden="1">
      <c r="A166" s="32">
        <f>IFERROR(__xludf.DUMMYFUNCTION("""COMPUTED_VALUE"""),43069.79824802083)</f>
        <v>43069.79825</v>
      </c>
      <c r="B166" t="s">
        <v>40</v>
      </c>
    </row>
    <row r="167" hidden="1">
      <c r="A167" s="32">
        <f>IFERROR(__xludf.DUMMYFUNCTION("""COMPUTED_VALUE"""),43069.94977601852)</f>
        <v>43069.94978</v>
      </c>
      <c r="B167" t="s">
        <v>33</v>
      </c>
    </row>
    <row r="168" hidden="1">
      <c r="A168" s="32">
        <f>IFERROR(__xludf.DUMMYFUNCTION("""COMPUTED_VALUE"""),43072.56748484954)</f>
        <v>43072.56748</v>
      </c>
      <c r="B168" t="s">
        <v>36</v>
      </c>
    </row>
    <row r="169" hidden="1">
      <c r="A169" s="32">
        <f>IFERROR(__xludf.DUMMYFUNCTION("""COMPUTED_VALUE"""),43072.981708935185)</f>
        <v>43072.98171</v>
      </c>
      <c r="B169" t="s">
        <v>80</v>
      </c>
    </row>
    <row r="170" hidden="1">
      <c r="A170" s="32">
        <f>IFERROR(__xludf.DUMMYFUNCTION("""COMPUTED_VALUE"""),43074.74402302083)</f>
        <v>43074.74402</v>
      </c>
      <c r="B170" t="s">
        <v>123</v>
      </c>
    </row>
    <row r="171" hidden="1">
      <c r="A171" s="32">
        <f>IFERROR(__xludf.DUMMYFUNCTION("""COMPUTED_VALUE"""),43075.43049010416)</f>
        <v>43075.43049</v>
      </c>
      <c r="B171" t="s">
        <v>142</v>
      </c>
    </row>
    <row r="172" hidden="1">
      <c r="A172" s="32">
        <f>IFERROR(__xludf.DUMMYFUNCTION("""COMPUTED_VALUE"""),43075.63148931713)</f>
        <v>43075.63149</v>
      </c>
      <c r="B172" t="s">
        <v>48</v>
      </c>
    </row>
    <row r="173" hidden="1">
      <c r="A173" s="32">
        <f>IFERROR(__xludf.DUMMYFUNCTION("""COMPUTED_VALUE"""),43075.901206828705)</f>
        <v>43075.90121</v>
      </c>
      <c r="B173" t="s">
        <v>196</v>
      </c>
    </row>
    <row r="174" hidden="1">
      <c r="A174" s="32">
        <f>IFERROR(__xludf.DUMMYFUNCTION("""COMPUTED_VALUE"""),43076.164795185185)</f>
        <v>43076.1648</v>
      </c>
      <c r="B174" t="s">
        <v>33</v>
      </c>
    </row>
    <row r="175" hidden="1">
      <c r="A175" s="32">
        <f>IFERROR(__xludf.DUMMYFUNCTION("""COMPUTED_VALUE"""),43077.70033320602)</f>
        <v>43077.70033</v>
      </c>
      <c r="B175" t="s">
        <v>48</v>
      </c>
    </row>
    <row r="176" hidden="1">
      <c r="A176" s="32">
        <f>IFERROR(__xludf.DUMMYFUNCTION("""COMPUTED_VALUE"""),43083.93472538194)</f>
        <v>43083.93473</v>
      </c>
      <c r="B176" t="s">
        <v>33</v>
      </c>
    </row>
    <row r="177" hidden="1">
      <c r="A177" s="32">
        <f>IFERROR(__xludf.DUMMYFUNCTION("""COMPUTED_VALUE"""),43084.65036393519)</f>
        <v>43084.65036</v>
      </c>
      <c r="B177" t="s">
        <v>80</v>
      </c>
    </row>
    <row r="178" hidden="1">
      <c r="A178" s="32">
        <f>IFERROR(__xludf.DUMMYFUNCTION("""COMPUTED_VALUE"""),43087.70252167824)</f>
        <v>43087.70252</v>
      </c>
      <c r="B178" t="s">
        <v>200</v>
      </c>
    </row>
    <row r="179" hidden="1">
      <c r="A179" s="32">
        <f>IFERROR(__xludf.DUMMYFUNCTION("""COMPUTED_VALUE"""),43087.90948030092)</f>
        <v>43087.90948</v>
      </c>
      <c r="B179" t="s">
        <v>40</v>
      </c>
    </row>
    <row r="180" hidden="1">
      <c r="A180" s="32">
        <f>IFERROR(__xludf.DUMMYFUNCTION("""COMPUTED_VALUE"""),43089.782896550925)</f>
        <v>43089.7829</v>
      </c>
      <c r="B180" t="s">
        <v>80</v>
      </c>
    </row>
    <row r="181" hidden="1">
      <c r="A181" s="32">
        <f>IFERROR(__xludf.DUMMYFUNCTION("""COMPUTED_VALUE"""),43091.72765774306)</f>
        <v>43091.72766</v>
      </c>
      <c r="B181" t="s">
        <v>40</v>
      </c>
    </row>
    <row r="182" hidden="1">
      <c r="A182" s="32">
        <f>IFERROR(__xludf.DUMMYFUNCTION("""COMPUTED_VALUE"""),43092.44686818287)</f>
        <v>43092.44687</v>
      </c>
      <c r="B182" t="s">
        <v>40</v>
      </c>
    </row>
    <row r="183" hidden="1">
      <c r="A183" s="32">
        <f>IFERROR(__xludf.DUMMYFUNCTION("""COMPUTED_VALUE"""),43092.48078219907)</f>
        <v>43092.48078</v>
      </c>
      <c r="B183" t="s">
        <v>40</v>
      </c>
    </row>
    <row r="184" hidden="1">
      <c r="A184" s="32">
        <f>IFERROR(__xludf.DUMMYFUNCTION("""COMPUTED_VALUE"""),43092.75617165509)</f>
        <v>43092.75617</v>
      </c>
      <c r="B184" t="s">
        <v>33</v>
      </c>
    </row>
    <row r="185" hidden="1">
      <c r="A185" s="32">
        <f>IFERROR(__xludf.DUMMYFUNCTION("""COMPUTED_VALUE"""),43092.9663719213)</f>
        <v>43092.96637</v>
      </c>
      <c r="B185" t="s">
        <v>204</v>
      </c>
    </row>
    <row r="186" hidden="1">
      <c r="A186" s="32">
        <f>IFERROR(__xludf.DUMMYFUNCTION("""COMPUTED_VALUE"""),43095.90098561342)</f>
        <v>43095.90099</v>
      </c>
      <c r="B186" t="s">
        <v>2658</v>
      </c>
    </row>
    <row r="187" hidden="1">
      <c r="A187" s="32">
        <f>IFERROR(__xludf.DUMMYFUNCTION("""COMPUTED_VALUE"""),43096.502675717595)</f>
        <v>43096.50268</v>
      </c>
      <c r="B187" t="s">
        <v>33</v>
      </c>
    </row>
    <row r="188" hidden="1">
      <c r="A188" s="32">
        <f>IFERROR(__xludf.DUMMYFUNCTION("""COMPUTED_VALUE"""),43096.50495876158)</f>
        <v>43096.50496</v>
      </c>
      <c r="B188" t="s">
        <v>80</v>
      </c>
    </row>
    <row r="189" hidden="1">
      <c r="A189" s="32">
        <f>IFERROR(__xludf.DUMMYFUNCTION("""COMPUTED_VALUE"""),43096.71354239583)</f>
        <v>43096.71354</v>
      </c>
      <c r="B189" t="s">
        <v>48</v>
      </c>
    </row>
    <row r="190" hidden="1">
      <c r="A190" s="32">
        <f>IFERROR(__xludf.DUMMYFUNCTION("""COMPUTED_VALUE"""),43096.86100104167)</f>
        <v>43096.861</v>
      </c>
      <c r="B190" t="s">
        <v>33</v>
      </c>
    </row>
    <row r="191" hidden="1">
      <c r="A191" s="32">
        <f>IFERROR(__xludf.DUMMYFUNCTION("""COMPUTED_VALUE"""),43096.95935160879)</f>
        <v>43096.95935</v>
      </c>
      <c r="B191" t="s">
        <v>2659</v>
      </c>
    </row>
    <row r="192" hidden="1">
      <c r="A192" s="32">
        <f>IFERROR(__xludf.DUMMYFUNCTION("""COMPUTED_VALUE"""),43097.07208912037)</f>
        <v>43097.07209</v>
      </c>
      <c r="B192" t="s">
        <v>40</v>
      </c>
    </row>
    <row r="193" hidden="1">
      <c r="A193" s="32">
        <f>IFERROR(__xludf.DUMMYFUNCTION("""COMPUTED_VALUE"""),43097.54339103009)</f>
        <v>43097.54339</v>
      </c>
      <c r="B193" t="s">
        <v>33</v>
      </c>
    </row>
    <row r="194" hidden="1">
      <c r="A194" s="32">
        <f>IFERROR(__xludf.DUMMYFUNCTION("""COMPUTED_VALUE"""),43097.56373353009)</f>
        <v>43097.56373</v>
      </c>
      <c r="B194" t="s">
        <v>48</v>
      </c>
    </row>
    <row r="195" hidden="1">
      <c r="A195" s="32">
        <f>IFERROR(__xludf.DUMMYFUNCTION("""COMPUTED_VALUE"""),43098.60962391204)</f>
        <v>43098.60962</v>
      </c>
      <c r="B195" t="s">
        <v>1255</v>
      </c>
    </row>
    <row r="196" hidden="1">
      <c r="A196" s="32">
        <f>IFERROR(__xludf.DUMMYFUNCTION("""COMPUTED_VALUE"""),43099.55528140046)</f>
        <v>43099.55528</v>
      </c>
      <c r="B196" t="s">
        <v>80</v>
      </c>
    </row>
    <row r="197" hidden="1">
      <c r="A197" s="32">
        <f>IFERROR(__xludf.DUMMYFUNCTION("""COMPUTED_VALUE"""),43102.468030613425)</f>
        <v>43102.46803</v>
      </c>
      <c r="B197" t="s">
        <v>204</v>
      </c>
    </row>
    <row r="198" hidden="1">
      <c r="A198" s="32">
        <f>IFERROR(__xludf.DUMMYFUNCTION("""COMPUTED_VALUE"""),43102.469318738425)</f>
        <v>43102.46932</v>
      </c>
      <c r="B198" t="s">
        <v>40</v>
      </c>
    </row>
    <row r="199" hidden="1">
      <c r="A199" s="32">
        <f>IFERROR(__xludf.DUMMYFUNCTION("""COMPUTED_VALUE"""),43102.862644444445)</f>
        <v>43102.86264</v>
      </c>
      <c r="B199" t="s">
        <v>48</v>
      </c>
    </row>
    <row r="200" hidden="1">
      <c r="A200" s="32">
        <f>IFERROR(__xludf.DUMMYFUNCTION("""COMPUTED_VALUE"""),43102.976851053245)</f>
        <v>43102.97685</v>
      </c>
      <c r="B200" t="s">
        <v>80</v>
      </c>
    </row>
    <row r="201" hidden="1">
      <c r="A201" s="32">
        <f>IFERROR(__xludf.DUMMYFUNCTION("""COMPUTED_VALUE"""),43103.363057002316)</f>
        <v>43103.36306</v>
      </c>
      <c r="B201" t="s">
        <v>33</v>
      </c>
    </row>
    <row r="202" hidden="1">
      <c r="A202" s="32">
        <f>IFERROR(__xludf.DUMMYFUNCTION("""COMPUTED_VALUE"""),43103.86150625)</f>
        <v>43103.86151</v>
      </c>
      <c r="B202" t="s">
        <v>33</v>
      </c>
    </row>
    <row r="203" hidden="1">
      <c r="A203" s="32">
        <f>IFERROR(__xludf.DUMMYFUNCTION("""COMPUTED_VALUE"""),43103.86279798611)</f>
        <v>43103.8628</v>
      </c>
      <c r="B203" t="s">
        <v>48</v>
      </c>
    </row>
    <row r="204" hidden="1">
      <c r="A204" s="32">
        <f>IFERROR(__xludf.DUMMYFUNCTION("""COMPUTED_VALUE"""),43104.02883753472)</f>
        <v>43104.02884</v>
      </c>
      <c r="B204" t="s">
        <v>48</v>
      </c>
    </row>
    <row r="205" hidden="1">
      <c r="A205" s="32">
        <f>IFERROR(__xludf.DUMMYFUNCTION("""COMPUTED_VALUE"""),43104.33350982639)</f>
        <v>43104.33351</v>
      </c>
      <c r="B205" t="s">
        <v>2660</v>
      </c>
    </row>
    <row r="206" hidden="1">
      <c r="A206" s="32">
        <f>IFERROR(__xludf.DUMMYFUNCTION("""COMPUTED_VALUE"""),43104.41388721065)</f>
        <v>43104.41389</v>
      </c>
      <c r="B206" t="s">
        <v>80</v>
      </c>
    </row>
    <row r="207" hidden="1">
      <c r="A207" s="32">
        <f>IFERROR(__xludf.DUMMYFUNCTION("""COMPUTED_VALUE"""),43104.5097709838)</f>
        <v>43104.50977</v>
      </c>
      <c r="B207" t="s">
        <v>80</v>
      </c>
    </row>
    <row r="208" hidden="1">
      <c r="A208" s="32">
        <f>IFERROR(__xludf.DUMMYFUNCTION("""COMPUTED_VALUE"""),43104.76172388889)</f>
        <v>43104.76172</v>
      </c>
      <c r="B208" t="s">
        <v>40</v>
      </c>
    </row>
    <row r="209" hidden="1">
      <c r="A209" s="32">
        <f>IFERROR(__xludf.DUMMYFUNCTION("""COMPUTED_VALUE"""),43104.78967219907)</f>
        <v>43104.78967</v>
      </c>
      <c r="B209" t="s">
        <v>33</v>
      </c>
    </row>
    <row r="210" hidden="1">
      <c r="A210" s="32">
        <f>IFERROR(__xludf.DUMMYFUNCTION("""COMPUTED_VALUE"""),43104.95128405093)</f>
        <v>43104.95128</v>
      </c>
      <c r="B210" t="s">
        <v>80</v>
      </c>
    </row>
    <row r="211" hidden="1">
      <c r="A211" s="32">
        <f>IFERROR(__xludf.DUMMYFUNCTION("""COMPUTED_VALUE"""),43105.38184444445)</f>
        <v>43105.38184</v>
      </c>
      <c r="B211" t="s">
        <v>40</v>
      </c>
    </row>
    <row r="212" hidden="1">
      <c r="A212" s="32">
        <f>IFERROR(__xludf.DUMMYFUNCTION("""COMPUTED_VALUE"""),43105.56374994213)</f>
        <v>43105.56375</v>
      </c>
      <c r="B212" t="s">
        <v>139</v>
      </c>
    </row>
    <row r="213" hidden="1">
      <c r="A213" s="32">
        <f>IFERROR(__xludf.DUMMYFUNCTION("""COMPUTED_VALUE"""),43105.567176261575)</f>
        <v>43105.56718</v>
      </c>
      <c r="B213" t="s">
        <v>48</v>
      </c>
    </row>
    <row r="214" hidden="1">
      <c r="A214" s="32">
        <f>IFERROR(__xludf.DUMMYFUNCTION("""COMPUTED_VALUE"""),43105.583314143514)</f>
        <v>43105.58331</v>
      </c>
      <c r="B214" t="s">
        <v>40</v>
      </c>
    </row>
    <row r="215" hidden="1">
      <c r="A215" s="32">
        <f>IFERROR(__xludf.DUMMYFUNCTION("""COMPUTED_VALUE"""),43106.99436913195)</f>
        <v>43106.99437</v>
      </c>
      <c r="B215" t="s">
        <v>139</v>
      </c>
    </row>
    <row r="216" hidden="1">
      <c r="A216" s="32">
        <f>IFERROR(__xludf.DUMMYFUNCTION("""COMPUTED_VALUE"""),43108.58051020833)</f>
        <v>43108.58051</v>
      </c>
      <c r="B216" t="s">
        <v>2661</v>
      </c>
    </row>
    <row r="217" hidden="1">
      <c r="A217" s="32">
        <f>IFERROR(__xludf.DUMMYFUNCTION("""COMPUTED_VALUE"""),43108.582175567135)</f>
        <v>43108.58218</v>
      </c>
      <c r="B217" t="s">
        <v>463</v>
      </c>
    </row>
    <row r="218" hidden="1">
      <c r="A218" s="32">
        <f>IFERROR(__xludf.DUMMYFUNCTION("""COMPUTED_VALUE"""),43109.972905902774)</f>
        <v>43109.97291</v>
      </c>
      <c r="B218" t="s">
        <v>2662</v>
      </c>
    </row>
    <row r="219" hidden="1">
      <c r="A219" s="32">
        <f>IFERROR(__xludf.DUMMYFUNCTION("""COMPUTED_VALUE"""),43111.000469652776)</f>
        <v>43111.00047</v>
      </c>
      <c r="B219" t="s">
        <v>48</v>
      </c>
    </row>
    <row r="220" hidden="1">
      <c r="A220" s="32">
        <f>IFERROR(__xludf.DUMMYFUNCTION("""COMPUTED_VALUE"""),43111.65579991898)</f>
        <v>43111.6558</v>
      </c>
      <c r="B220" t="s">
        <v>33</v>
      </c>
    </row>
    <row r="221" hidden="1">
      <c r="A221" s="32">
        <f>IFERROR(__xludf.DUMMYFUNCTION("""COMPUTED_VALUE"""),43112.03631753472)</f>
        <v>43112.03632</v>
      </c>
      <c r="B221" t="s">
        <v>33</v>
      </c>
    </row>
    <row r="222" hidden="1">
      <c r="A222" s="32">
        <f>IFERROR(__xludf.DUMMYFUNCTION("""COMPUTED_VALUE"""),43112.70704418981)</f>
        <v>43112.70704</v>
      </c>
      <c r="B222" t="s">
        <v>80</v>
      </c>
    </row>
    <row r="223" hidden="1">
      <c r="A223" s="32">
        <f>IFERROR(__xludf.DUMMYFUNCTION("""COMPUTED_VALUE"""),43112.87909916667)</f>
        <v>43112.8791</v>
      </c>
      <c r="B223" t="s">
        <v>80</v>
      </c>
    </row>
    <row r="224" hidden="1">
      <c r="A224" s="32">
        <f>IFERROR(__xludf.DUMMYFUNCTION("""COMPUTED_VALUE"""),43113.74659427084)</f>
        <v>43113.74659</v>
      </c>
      <c r="B224" t="s">
        <v>45</v>
      </c>
    </row>
    <row r="225" hidden="1">
      <c r="A225" s="32">
        <f>IFERROR(__xludf.DUMMYFUNCTION("""COMPUTED_VALUE"""),43113.747241018515)</f>
        <v>43113.74724</v>
      </c>
      <c r="B225" t="s">
        <v>45</v>
      </c>
    </row>
    <row r="226" hidden="1">
      <c r="A226" s="32">
        <f>IFERROR(__xludf.DUMMYFUNCTION("""COMPUTED_VALUE"""),43113.77641063658)</f>
        <v>43113.77641</v>
      </c>
      <c r="B226" t="s">
        <v>33</v>
      </c>
    </row>
    <row r="227" hidden="1">
      <c r="A227" s="32">
        <f>IFERROR(__xludf.DUMMYFUNCTION("""COMPUTED_VALUE"""),43114.93290506944)</f>
        <v>43114.93291</v>
      </c>
      <c r="B227" t="s">
        <v>80</v>
      </c>
    </row>
    <row r="228" hidden="1">
      <c r="A228" s="32">
        <f>IFERROR(__xludf.DUMMYFUNCTION("""COMPUTED_VALUE"""),43115.86112241898)</f>
        <v>43115.86112</v>
      </c>
      <c r="B228" t="s">
        <v>241</v>
      </c>
    </row>
    <row r="229" hidden="1">
      <c r="A229" s="32">
        <f>IFERROR(__xludf.DUMMYFUNCTION("""COMPUTED_VALUE"""),43117.592726296294)</f>
        <v>43117.59273</v>
      </c>
      <c r="B229" t="s">
        <v>40</v>
      </c>
    </row>
    <row r="230" hidden="1">
      <c r="A230" s="32">
        <f>IFERROR(__xludf.DUMMYFUNCTION("""COMPUTED_VALUE"""),43117.76628207176)</f>
        <v>43117.76628</v>
      </c>
      <c r="B230" t="s">
        <v>80</v>
      </c>
    </row>
    <row r="231" hidden="1">
      <c r="A231" s="32">
        <f>IFERROR(__xludf.DUMMYFUNCTION("""COMPUTED_VALUE"""),43117.77830276621)</f>
        <v>43117.7783</v>
      </c>
      <c r="B231" t="s">
        <v>33</v>
      </c>
    </row>
    <row r="232" hidden="1">
      <c r="A232" s="32">
        <f>IFERROR(__xludf.DUMMYFUNCTION("""COMPUTED_VALUE"""),43117.88669834491)</f>
        <v>43117.8867</v>
      </c>
      <c r="B232" t="s">
        <v>45</v>
      </c>
    </row>
    <row r="233" hidden="1">
      <c r="A233" s="32">
        <f>IFERROR(__xludf.DUMMYFUNCTION("""COMPUTED_VALUE"""),43118.03359068287)</f>
        <v>43118.03359</v>
      </c>
      <c r="B233" t="s">
        <v>200</v>
      </c>
    </row>
    <row r="234" hidden="1">
      <c r="A234" s="32">
        <f>IFERROR(__xludf.DUMMYFUNCTION("""COMPUTED_VALUE"""),43118.98824805555)</f>
        <v>43118.98825</v>
      </c>
      <c r="B234" t="s">
        <v>33</v>
      </c>
    </row>
    <row r="235" hidden="1">
      <c r="A235" s="32">
        <f>IFERROR(__xludf.DUMMYFUNCTION("""COMPUTED_VALUE"""),43120.94116253473)</f>
        <v>43120.94116</v>
      </c>
      <c r="B235" t="s">
        <v>33</v>
      </c>
    </row>
    <row r="236" hidden="1">
      <c r="A236" s="32">
        <f>IFERROR(__xludf.DUMMYFUNCTION("""COMPUTED_VALUE"""),43122.658320057875)</f>
        <v>43122.65832</v>
      </c>
      <c r="B236" t="s">
        <v>249</v>
      </c>
    </row>
    <row r="237" hidden="1">
      <c r="A237" s="32">
        <f>IFERROR(__xludf.DUMMYFUNCTION("""COMPUTED_VALUE"""),43122.99894076389)</f>
        <v>43122.99894</v>
      </c>
      <c r="B237" t="s">
        <v>25</v>
      </c>
    </row>
    <row r="238" hidden="1">
      <c r="A238" s="32">
        <f>IFERROR(__xludf.DUMMYFUNCTION("""COMPUTED_VALUE"""),43123.4522205324)</f>
        <v>43123.45222</v>
      </c>
      <c r="B238" t="s">
        <v>48</v>
      </c>
    </row>
    <row r="239" hidden="1">
      <c r="A239" s="32">
        <f>IFERROR(__xludf.DUMMYFUNCTION("""COMPUTED_VALUE"""),43123.516065034724)</f>
        <v>43123.51607</v>
      </c>
      <c r="B239" t="s">
        <v>2658</v>
      </c>
    </row>
    <row r="240" hidden="1">
      <c r="A240" s="32">
        <f>IFERROR(__xludf.DUMMYFUNCTION("""COMPUTED_VALUE"""),43123.551076840275)</f>
        <v>43123.55108</v>
      </c>
      <c r="B240" t="s">
        <v>123</v>
      </c>
    </row>
    <row r="241" hidden="1">
      <c r="A241" s="32">
        <f>IFERROR(__xludf.DUMMYFUNCTION("""COMPUTED_VALUE"""),43123.61279825232)</f>
        <v>43123.6128</v>
      </c>
      <c r="B241" t="s">
        <v>254</v>
      </c>
    </row>
    <row r="242" hidden="1">
      <c r="A242" s="32">
        <f>IFERROR(__xludf.DUMMYFUNCTION("""COMPUTED_VALUE"""),43123.815598877314)</f>
        <v>43123.8156</v>
      </c>
      <c r="B242" t="s">
        <v>45</v>
      </c>
    </row>
    <row r="243" hidden="1">
      <c r="A243" s="32">
        <f>IFERROR(__xludf.DUMMYFUNCTION("""COMPUTED_VALUE"""),43124.20249390046)</f>
        <v>43124.20249</v>
      </c>
      <c r="B243" t="s">
        <v>80</v>
      </c>
    </row>
    <row r="244" hidden="1">
      <c r="A244" s="32">
        <f>IFERROR(__xludf.DUMMYFUNCTION("""COMPUTED_VALUE"""),43124.77688123843)</f>
        <v>43124.77688</v>
      </c>
      <c r="B244" t="s">
        <v>256</v>
      </c>
    </row>
    <row r="245" hidden="1">
      <c r="A245" s="32">
        <f>IFERROR(__xludf.DUMMYFUNCTION("""COMPUTED_VALUE"""),43124.96727835648)</f>
        <v>43124.96728</v>
      </c>
      <c r="B245" t="s">
        <v>48</v>
      </c>
    </row>
    <row r="246" hidden="1">
      <c r="A246" s="32">
        <f>IFERROR(__xludf.DUMMYFUNCTION("""COMPUTED_VALUE"""),43125.38576041667)</f>
        <v>43125.38576</v>
      </c>
      <c r="B246" t="s">
        <v>187</v>
      </c>
    </row>
    <row r="247" hidden="1">
      <c r="A247" s="32">
        <f>IFERROR(__xludf.DUMMYFUNCTION("""COMPUTED_VALUE"""),43125.44332385417)</f>
        <v>43125.44332</v>
      </c>
      <c r="B247" t="s">
        <v>48</v>
      </c>
    </row>
    <row r="248" hidden="1">
      <c r="A248" s="32">
        <f>IFERROR(__xludf.DUMMYFUNCTION("""COMPUTED_VALUE"""),43125.74702951389)</f>
        <v>43125.74703</v>
      </c>
      <c r="B248" t="s">
        <v>33</v>
      </c>
    </row>
    <row r="249" hidden="1">
      <c r="A249" s="32">
        <f>IFERROR(__xludf.DUMMYFUNCTION("""COMPUTED_VALUE"""),43127.31214903935)</f>
        <v>43127.31215</v>
      </c>
      <c r="B249" t="s">
        <v>36</v>
      </c>
    </row>
    <row r="250" hidden="1">
      <c r="A250" s="32">
        <f>IFERROR(__xludf.DUMMYFUNCTION("""COMPUTED_VALUE"""),43127.38520481481)</f>
        <v>43127.3852</v>
      </c>
      <c r="B250" t="s">
        <v>258</v>
      </c>
    </row>
    <row r="251" hidden="1">
      <c r="A251" s="32">
        <f>IFERROR(__xludf.DUMMYFUNCTION("""COMPUTED_VALUE"""),43127.39167950231)</f>
        <v>43127.39168</v>
      </c>
      <c r="B251" t="s">
        <v>122</v>
      </c>
    </row>
    <row r="252" hidden="1">
      <c r="A252" s="32">
        <f>IFERROR(__xludf.DUMMYFUNCTION("""COMPUTED_VALUE"""),43128.830144155094)</f>
        <v>43128.83014</v>
      </c>
      <c r="B252" t="s">
        <v>259</v>
      </c>
    </row>
    <row r="253" hidden="1">
      <c r="A253" s="32">
        <f>IFERROR(__xludf.DUMMYFUNCTION("""COMPUTED_VALUE"""),43128.896059328705)</f>
        <v>43128.89606</v>
      </c>
      <c r="B253" t="s">
        <v>95</v>
      </c>
    </row>
    <row r="254" hidden="1">
      <c r="A254" s="32">
        <f>IFERROR(__xludf.DUMMYFUNCTION("""COMPUTED_VALUE"""),43129.36962162037)</f>
        <v>43129.36962</v>
      </c>
      <c r="B254" t="s">
        <v>80</v>
      </c>
    </row>
    <row r="255" hidden="1">
      <c r="A255" s="32">
        <f>IFERROR(__xludf.DUMMYFUNCTION("""COMPUTED_VALUE"""),43129.643938124995)</f>
        <v>43129.64394</v>
      </c>
      <c r="B255" t="s">
        <v>204</v>
      </c>
    </row>
    <row r="256" hidden="1">
      <c r="A256" s="32">
        <f>IFERROR(__xludf.DUMMYFUNCTION("""COMPUTED_VALUE"""),43130.60671071759)</f>
        <v>43130.60671</v>
      </c>
      <c r="B256" t="s">
        <v>2658</v>
      </c>
    </row>
    <row r="257" hidden="1">
      <c r="A257" s="32">
        <f>IFERROR(__xludf.DUMMYFUNCTION("""COMPUTED_VALUE"""),43130.873176284724)</f>
        <v>43130.87318</v>
      </c>
      <c r="B257" t="s">
        <v>80</v>
      </c>
    </row>
    <row r="258" hidden="1">
      <c r="A258" s="32">
        <f>IFERROR(__xludf.DUMMYFUNCTION("""COMPUTED_VALUE"""),43131.254048738425)</f>
        <v>43131.25405</v>
      </c>
      <c r="B258" t="s">
        <v>119</v>
      </c>
    </row>
    <row r="259" hidden="1">
      <c r="A259" s="32">
        <f>IFERROR(__xludf.DUMMYFUNCTION("""COMPUTED_VALUE"""),43131.41398570602)</f>
        <v>43131.41399</v>
      </c>
      <c r="B259" t="s">
        <v>80</v>
      </c>
    </row>
    <row r="260" hidden="1">
      <c r="A260" s="32">
        <f>IFERROR(__xludf.DUMMYFUNCTION("""COMPUTED_VALUE"""),43131.48161635417)</f>
        <v>43131.48162</v>
      </c>
      <c r="B260" t="s">
        <v>263</v>
      </c>
    </row>
    <row r="261" hidden="1">
      <c r="A261" s="32">
        <f>IFERROR(__xludf.DUMMYFUNCTION("""COMPUTED_VALUE"""),43131.589555011575)</f>
        <v>43131.58956</v>
      </c>
      <c r="B261" t="s">
        <v>45</v>
      </c>
    </row>
    <row r="262" hidden="1">
      <c r="A262" s="32">
        <f>IFERROR(__xludf.DUMMYFUNCTION("""COMPUTED_VALUE"""),43131.69008195602)</f>
        <v>43131.69008</v>
      </c>
      <c r="B262" t="s">
        <v>139</v>
      </c>
    </row>
    <row r="263" hidden="1">
      <c r="A263" s="32">
        <f>IFERROR(__xludf.DUMMYFUNCTION("""COMPUTED_VALUE"""),43132.38299454861)</f>
        <v>43132.38299</v>
      </c>
      <c r="B263" t="s">
        <v>48</v>
      </c>
    </row>
    <row r="264" hidden="1">
      <c r="A264" s="32">
        <f>IFERROR(__xludf.DUMMYFUNCTION("""COMPUTED_VALUE"""),43132.48646476852)</f>
        <v>43132.48646</v>
      </c>
      <c r="B264" t="s">
        <v>33</v>
      </c>
    </row>
    <row r="265" hidden="1">
      <c r="A265" s="32">
        <f>IFERROR(__xludf.DUMMYFUNCTION("""COMPUTED_VALUE"""),43132.550154675926)</f>
        <v>43132.55015</v>
      </c>
      <c r="B265" t="s">
        <v>25</v>
      </c>
    </row>
    <row r="266" hidden="1">
      <c r="A266" s="32">
        <f>IFERROR(__xludf.DUMMYFUNCTION("""COMPUTED_VALUE"""),43132.56703711806)</f>
        <v>43132.56704</v>
      </c>
      <c r="B266" t="s">
        <v>33</v>
      </c>
    </row>
    <row r="267" hidden="1">
      <c r="A267" s="32">
        <f>IFERROR(__xludf.DUMMYFUNCTION("""COMPUTED_VALUE"""),43132.8846408449)</f>
        <v>43132.88464</v>
      </c>
      <c r="B267" t="s">
        <v>40</v>
      </c>
    </row>
    <row r="268" hidden="1">
      <c r="A268" s="32">
        <f>IFERROR(__xludf.DUMMYFUNCTION("""COMPUTED_VALUE"""),43133.73334224537)</f>
        <v>43133.73334</v>
      </c>
      <c r="B268" t="s">
        <v>268</v>
      </c>
    </row>
    <row r="269" hidden="1">
      <c r="A269" s="32">
        <f>IFERROR(__xludf.DUMMYFUNCTION("""COMPUTED_VALUE"""),43133.880478125)</f>
        <v>43133.88048</v>
      </c>
      <c r="B269" t="s">
        <v>80</v>
      </c>
    </row>
    <row r="270" hidden="1">
      <c r="A270" s="32">
        <f>IFERROR(__xludf.DUMMYFUNCTION("""COMPUTED_VALUE"""),43134.348510185184)</f>
        <v>43134.34851</v>
      </c>
      <c r="B270" t="s">
        <v>270</v>
      </c>
    </row>
    <row r="271" hidden="1">
      <c r="A271" s="32">
        <f>IFERROR(__xludf.DUMMYFUNCTION("""COMPUTED_VALUE"""),43134.65426523148)</f>
        <v>43134.65427</v>
      </c>
      <c r="B271" t="s">
        <v>80</v>
      </c>
    </row>
    <row r="272" hidden="1">
      <c r="A272" s="32">
        <f>IFERROR(__xludf.DUMMYFUNCTION("""COMPUTED_VALUE"""),43134.920467233795)</f>
        <v>43134.92047</v>
      </c>
      <c r="B272" t="s">
        <v>33</v>
      </c>
    </row>
    <row r="273" hidden="1">
      <c r="A273" s="32">
        <f>IFERROR(__xludf.DUMMYFUNCTION("""COMPUTED_VALUE"""),43135.50359659722)</f>
        <v>43135.5036</v>
      </c>
      <c r="B273" t="s">
        <v>40</v>
      </c>
    </row>
    <row r="274" hidden="1">
      <c r="A274" s="32">
        <f>IFERROR(__xludf.DUMMYFUNCTION("""COMPUTED_VALUE"""),43135.545533530094)</f>
        <v>43135.54553</v>
      </c>
      <c r="B274" t="s">
        <v>80</v>
      </c>
    </row>
    <row r="275" hidden="1">
      <c r="A275" s="32">
        <f>IFERROR(__xludf.DUMMYFUNCTION("""COMPUTED_VALUE"""),43135.65700331019)</f>
        <v>43135.657</v>
      </c>
      <c r="B275" t="s">
        <v>33</v>
      </c>
    </row>
    <row r="276" hidden="1">
      <c r="A276" s="32">
        <f>IFERROR(__xludf.DUMMYFUNCTION("""COMPUTED_VALUE"""),43135.66181576389)</f>
        <v>43135.66182</v>
      </c>
      <c r="B276" t="s">
        <v>40</v>
      </c>
    </row>
    <row r="277" hidden="1">
      <c r="A277" s="32">
        <f>IFERROR(__xludf.DUMMYFUNCTION("""COMPUTED_VALUE"""),43136.54883083333)</f>
        <v>43136.54883</v>
      </c>
      <c r="B277" t="s">
        <v>36</v>
      </c>
    </row>
    <row r="278" hidden="1">
      <c r="A278" s="32">
        <f>IFERROR(__xludf.DUMMYFUNCTION("""COMPUTED_VALUE"""),43136.79496046296)</f>
        <v>43136.79496</v>
      </c>
      <c r="B278" t="s">
        <v>270</v>
      </c>
    </row>
    <row r="279" hidden="1">
      <c r="A279" s="32">
        <f>IFERROR(__xludf.DUMMYFUNCTION("""COMPUTED_VALUE"""),43137.610902789354)</f>
        <v>43137.6109</v>
      </c>
      <c r="B279" t="s">
        <v>33</v>
      </c>
    </row>
    <row r="280" hidden="1">
      <c r="A280" s="32">
        <f>IFERROR(__xludf.DUMMYFUNCTION("""COMPUTED_VALUE"""),43137.70893005787)</f>
        <v>43137.70893</v>
      </c>
      <c r="B280" t="s">
        <v>204</v>
      </c>
    </row>
    <row r="281" hidden="1">
      <c r="A281" s="32">
        <f>IFERROR(__xludf.DUMMYFUNCTION("""COMPUTED_VALUE"""),43137.77547729167)</f>
        <v>43137.77548</v>
      </c>
      <c r="B281" t="s">
        <v>33</v>
      </c>
    </row>
    <row r="282" hidden="1">
      <c r="A282" s="32">
        <f>IFERROR(__xludf.DUMMYFUNCTION("""COMPUTED_VALUE"""),43137.82100236111)</f>
        <v>43137.821</v>
      </c>
      <c r="B282" t="s">
        <v>33</v>
      </c>
    </row>
    <row r="283" hidden="1">
      <c r="A283" s="32">
        <f>IFERROR(__xludf.DUMMYFUNCTION("""COMPUTED_VALUE"""),43137.950805127315)</f>
        <v>43137.95081</v>
      </c>
      <c r="B283" t="s">
        <v>279</v>
      </c>
    </row>
    <row r="284" hidden="1">
      <c r="A284" s="32">
        <f>IFERROR(__xludf.DUMMYFUNCTION("""COMPUTED_VALUE"""),43138.32600313658)</f>
        <v>43138.326</v>
      </c>
      <c r="B284" t="s">
        <v>282</v>
      </c>
    </row>
    <row r="285" hidden="1">
      <c r="A285" s="32">
        <f>IFERROR(__xludf.DUMMYFUNCTION("""COMPUTED_VALUE"""),43138.64764252315)</f>
        <v>43138.64764</v>
      </c>
      <c r="B285" t="s">
        <v>2658</v>
      </c>
    </row>
    <row r="286" hidden="1">
      <c r="A286" s="32">
        <f>IFERROR(__xludf.DUMMYFUNCTION("""COMPUTED_VALUE"""),43138.74034704861)</f>
        <v>43138.74035</v>
      </c>
      <c r="B286" t="s">
        <v>33</v>
      </c>
    </row>
    <row r="287" hidden="1">
      <c r="A287" s="32">
        <f>IFERROR(__xludf.DUMMYFUNCTION("""COMPUTED_VALUE"""),43138.90154799768)</f>
        <v>43138.90155</v>
      </c>
      <c r="B287" t="s">
        <v>286</v>
      </c>
    </row>
    <row r="288" hidden="1">
      <c r="A288" s="32">
        <f>IFERROR(__xludf.DUMMYFUNCTION("""COMPUTED_VALUE"""),43139.323853298614)</f>
        <v>43139.32385</v>
      </c>
      <c r="B288" t="s">
        <v>80</v>
      </c>
    </row>
    <row r="289" hidden="1">
      <c r="A289" s="32">
        <f>IFERROR(__xludf.DUMMYFUNCTION("""COMPUTED_VALUE"""),43139.4307083912)</f>
        <v>43139.43071</v>
      </c>
      <c r="B289" t="s">
        <v>95</v>
      </c>
    </row>
    <row r="290" hidden="1">
      <c r="A290" s="32">
        <f>IFERROR(__xludf.DUMMYFUNCTION("""COMPUTED_VALUE"""),43139.65272438657)</f>
        <v>43139.65272</v>
      </c>
      <c r="B290" t="s">
        <v>40</v>
      </c>
    </row>
    <row r="291" hidden="1">
      <c r="A291" s="32">
        <f>IFERROR(__xludf.DUMMYFUNCTION("""COMPUTED_VALUE"""),43140.0369283912)</f>
        <v>43140.03693</v>
      </c>
      <c r="B291" t="s">
        <v>25</v>
      </c>
    </row>
    <row r="292" hidden="1">
      <c r="A292" s="32">
        <f>IFERROR(__xludf.DUMMYFUNCTION("""COMPUTED_VALUE"""),43140.629392013885)</f>
        <v>43140.62939</v>
      </c>
      <c r="B292" t="s">
        <v>291</v>
      </c>
    </row>
    <row r="293" hidden="1">
      <c r="A293" s="32">
        <f>IFERROR(__xludf.DUMMYFUNCTION("""COMPUTED_VALUE"""),43140.67123866898)</f>
        <v>43140.67124</v>
      </c>
      <c r="B293" t="s">
        <v>45</v>
      </c>
    </row>
    <row r="294" hidden="1">
      <c r="A294" s="32">
        <f>IFERROR(__xludf.DUMMYFUNCTION("""COMPUTED_VALUE"""),43141.248037847225)</f>
        <v>43141.24804</v>
      </c>
      <c r="B294" t="s">
        <v>2500</v>
      </c>
    </row>
    <row r="295" hidden="1">
      <c r="A295" s="32">
        <f>IFERROR(__xludf.DUMMYFUNCTION("""COMPUTED_VALUE"""),43141.55819885417)</f>
        <v>43141.5582</v>
      </c>
      <c r="B295" t="s">
        <v>45</v>
      </c>
    </row>
    <row r="296" hidden="1">
      <c r="A296" s="32">
        <f>IFERROR(__xludf.DUMMYFUNCTION("""COMPUTED_VALUE"""),43141.711631921295)</f>
        <v>43141.71163</v>
      </c>
      <c r="B296" t="s">
        <v>40</v>
      </c>
    </row>
    <row r="297" hidden="1">
      <c r="A297" s="32">
        <f>IFERROR(__xludf.DUMMYFUNCTION("""COMPUTED_VALUE"""),43141.72325833333)</f>
        <v>43141.72326</v>
      </c>
      <c r="B297" t="s">
        <v>36</v>
      </c>
    </row>
    <row r="298" hidden="1">
      <c r="A298" s="32">
        <f>IFERROR(__xludf.DUMMYFUNCTION("""COMPUTED_VALUE"""),43141.92841709491)</f>
        <v>43141.92842</v>
      </c>
      <c r="B298" t="s">
        <v>298</v>
      </c>
    </row>
    <row r="299" hidden="1">
      <c r="A299" s="32">
        <f>IFERROR(__xludf.DUMMYFUNCTION("""COMPUTED_VALUE"""),43141.93495138889)</f>
        <v>43141.93495</v>
      </c>
      <c r="B299" t="s">
        <v>80</v>
      </c>
    </row>
    <row r="300" hidden="1">
      <c r="A300" s="32">
        <f>IFERROR(__xludf.DUMMYFUNCTION("""COMPUTED_VALUE"""),43141.95754480324)</f>
        <v>43141.95754</v>
      </c>
      <c r="B300" t="s">
        <v>263</v>
      </c>
    </row>
    <row r="301" hidden="1">
      <c r="A301" s="32">
        <f>IFERROR(__xludf.DUMMYFUNCTION("""COMPUTED_VALUE"""),43141.96516229167)</f>
        <v>43141.96516</v>
      </c>
      <c r="B301" t="s">
        <v>282</v>
      </c>
    </row>
    <row r="302" hidden="1">
      <c r="A302" s="32">
        <f>IFERROR(__xludf.DUMMYFUNCTION("""COMPUTED_VALUE"""),43143.84374115741)</f>
        <v>43143.84374</v>
      </c>
      <c r="B302" t="s">
        <v>40</v>
      </c>
    </row>
    <row r="303" hidden="1">
      <c r="A303" s="32">
        <f>IFERROR(__xludf.DUMMYFUNCTION("""COMPUTED_VALUE"""),43143.944307708334)</f>
        <v>43143.94431</v>
      </c>
      <c r="B303" t="s">
        <v>40</v>
      </c>
    </row>
    <row r="304" hidden="1">
      <c r="A304" s="32">
        <f>IFERROR(__xludf.DUMMYFUNCTION("""COMPUTED_VALUE"""),43144.2868753125)</f>
        <v>43144.28688</v>
      </c>
      <c r="B304" t="s">
        <v>305</v>
      </c>
    </row>
    <row r="305" hidden="1">
      <c r="A305" s="32">
        <f>IFERROR(__xludf.DUMMYFUNCTION("""COMPUTED_VALUE"""),43144.40808299769)</f>
        <v>43144.40808</v>
      </c>
      <c r="B305" t="s">
        <v>33</v>
      </c>
    </row>
    <row r="306" hidden="1">
      <c r="A306" s="32">
        <f>IFERROR(__xludf.DUMMYFUNCTION("""COMPUTED_VALUE"""),43144.55395615741)</f>
        <v>43144.55396</v>
      </c>
      <c r="B306" t="s">
        <v>80</v>
      </c>
    </row>
    <row r="307" hidden="1">
      <c r="A307" s="32">
        <f>IFERROR(__xludf.DUMMYFUNCTION("""COMPUTED_VALUE"""),43144.65954728009)</f>
        <v>43144.65955</v>
      </c>
      <c r="B307" t="s">
        <v>33</v>
      </c>
    </row>
    <row r="308" hidden="1">
      <c r="A308" s="32">
        <f>IFERROR(__xludf.DUMMYFUNCTION("""COMPUTED_VALUE"""),43144.841144375)</f>
        <v>43144.84114</v>
      </c>
      <c r="B308" t="s">
        <v>77</v>
      </c>
    </row>
    <row r="309" hidden="1">
      <c r="A309" s="32">
        <f>IFERROR(__xludf.DUMMYFUNCTION("""COMPUTED_VALUE"""),43145.581320717596)</f>
        <v>43145.58132</v>
      </c>
      <c r="B309" t="s">
        <v>33</v>
      </c>
    </row>
    <row r="310" hidden="1">
      <c r="A310" s="32">
        <f>IFERROR(__xludf.DUMMYFUNCTION("""COMPUTED_VALUE"""),43145.78642364583)</f>
        <v>43145.78642</v>
      </c>
      <c r="B310" t="s">
        <v>263</v>
      </c>
    </row>
    <row r="311" hidden="1">
      <c r="A311" s="32">
        <f>IFERROR(__xludf.DUMMYFUNCTION("""COMPUTED_VALUE"""),43145.85908549769)</f>
        <v>43145.85909</v>
      </c>
      <c r="B311" t="s">
        <v>204</v>
      </c>
    </row>
    <row r="312" hidden="1">
      <c r="A312" s="32">
        <f>IFERROR(__xludf.DUMMYFUNCTION("""COMPUTED_VALUE"""),43146.10409518519)</f>
        <v>43146.1041</v>
      </c>
      <c r="B312" t="s">
        <v>256</v>
      </c>
    </row>
    <row r="313" hidden="1">
      <c r="A313" s="32">
        <f>IFERROR(__xludf.DUMMYFUNCTION("""COMPUTED_VALUE"""),43146.383875659725)</f>
        <v>43146.38388</v>
      </c>
      <c r="B313" t="s">
        <v>80</v>
      </c>
    </row>
    <row r="314" hidden="1">
      <c r="A314" s="32">
        <f>IFERROR(__xludf.DUMMYFUNCTION("""COMPUTED_VALUE"""),43146.75192202546)</f>
        <v>43146.75192</v>
      </c>
      <c r="B314" t="s">
        <v>48</v>
      </c>
    </row>
    <row r="315" hidden="1">
      <c r="A315" s="32">
        <f>IFERROR(__xludf.DUMMYFUNCTION("""COMPUTED_VALUE"""),43146.97452884259)</f>
        <v>43146.97453</v>
      </c>
      <c r="B315" t="s">
        <v>48</v>
      </c>
    </row>
    <row r="316" hidden="1">
      <c r="A316" s="32">
        <f>IFERROR(__xludf.DUMMYFUNCTION("""COMPUTED_VALUE"""),43147.411205324075)</f>
        <v>43147.41121</v>
      </c>
      <c r="B316" t="s">
        <v>33</v>
      </c>
    </row>
    <row r="317" hidden="1">
      <c r="A317" s="32">
        <f>IFERROR(__xludf.DUMMYFUNCTION("""COMPUTED_VALUE"""),43147.451068379625)</f>
        <v>43147.45107</v>
      </c>
      <c r="B317" t="s">
        <v>2424</v>
      </c>
    </row>
    <row r="318" hidden="1">
      <c r="A318" s="32">
        <f>IFERROR(__xludf.DUMMYFUNCTION("""COMPUTED_VALUE"""),43147.47213796296)</f>
        <v>43147.47214</v>
      </c>
      <c r="B318" t="s">
        <v>282</v>
      </c>
    </row>
    <row r="319" hidden="1">
      <c r="A319" s="32">
        <f>IFERROR(__xludf.DUMMYFUNCTION("""COMPUTED_VALUE"""),43149.469858958335)</f>
        <v>43149.46986</v>
      </c>
      <c r="B319" t="s">
        <v>33</v>
      </c>
    </row>
    <row r="320" hidden="1">
      <c r="A320" s="32">
        <f>IFERROR(__xludf.DUMMYFUNCTION("""COMPUTED_VALUE"""),43149.8964274537)</f>
        <v>43149.89643</v>
      </c>
      <c r="B320" t="s">
        <v>33</v>
      </c>
    </row>
    <row r="321" hidden="1">
      <c r="A321" s="32">
        <f>IFERROR(__xludf.DUMMYFUNCTION("""COMPUTED_VALUE"""),43150.774111238425)</f>
        <v>43150.77411</v>
      </c>
      <c r="B321" t="s">
        <v>2424</v>
      </c>
    </row>
    <row r="322" hidden="1">
      <c r="A322" s="32">
        <f>IFERROR(__xludf.DUMMYFUNCTION("""COMPUTED_VALUE"""),43150.77459568287)</f>
        <v>43150.7746</v>
      </c>
      <c r="B322" t="s">
        <v>2424</v>
      </c>
    </row>
    <row r="323" hidden="1">
      <c r="A323" s="32">
        <f>IFERROR(__xludf.DUMMYFUNCTION("""COMPUTED_VALUE"""),43150.801719270836)</f>
        <v>43150.80172</v>
      </c>
      <c r="B323" t="s">
        <v>170</v>
      </c>
    </row>
    <row r="324" hidden="1">
      <c r="A324" s="32">
        <f>IFERROR(__xludf.DUMMYFUNCTION("""COMPUTED_VALUE"""),43151.22682267361)</f>
        <v>43151.22682</v>
      </c>
      <c r="B324" t="s">
        <v>2072</v>
      </c>
    </row>
    <row r="325" hidden="1">
      <c r="A325" s="32">
        <f>IFERROR(__xludf.DUMMYFUNCTION("""COMPUTED_VALUE"""),43151.45018486111)</f>
        <v>43151.45018</v>
      </c>
      <c r="B325" t="s">
        <v>45</v>
      </c>
    </row>
    <row r="326" hidden="1">
      <c r="A326" s="32">
        <f>IFERROR(__xludf.DUMMYFUNCTION("""COMPUTED_VALUE"""),43151.45738836806)</f>
        <v>43151.45739</v>
      </c>
      <c r="B326" t="s">
        <v>48</v>
      </c>
    </row>
    <row r="327" hidden="1">
      <c r="A327" s="32">
        <f>IFERROR(__xludf.DUMMYFUNCTION("""COMPUTED_VALUE"""),43151.87748232639)</f>
        <v>43151.87748</v>
      </c>
      <c r="B327" t="s">
        <v>80</v>
      </c>
    </row>
    <row r="328" hidden="1">
      <c r="A328" s="32">
        <f>IFERROR(__xludf.DUMMYFUNCTION("""COMPUTED_VALUE"""),43151.95661480324)</f>
        <v>43151.95661</v>
      </c>
      <c r="B328" t="s">
        <v>33</v>
      </c>
    </row>
    <row r="329" hidden="1">
      <c r="A329" s="32">
        <f>IFERROR(__xludf.DUMMYFUNCTION("""COMPUTED_VALUE"""),43152.980659953704)</f>
        <v>43152.98066</v>
      </c>
      <c r="B329" t="s">
        <v>249</v>
      </c>
    </row>
    <row r="330" hidden="1">
      <c r="A330" s="32">
        <f>IFERROR(__xludf.DUMMYFUNCTION("""COMPUTED_VALUE"""),43154.31744222222)</f>
        <v>43154.31744</v>
      </c>
      <c r="B330" t="s">
        <v>123</v>
      </c>
    </row>
    <row r="331" hidden="1">
      <c r="A331" s="32">
        <f>IFERROR(__xludf.DUMMYFUNCTION("""COMPUTED_VALUE"""),43154.533975196755)</f>
        <v>43154.53398</v>
      </c>
      <c r="B331" t="s">
        <v>256</v>
      </c>
    </row>
    <row r="332" hidden="1">
      <c r="A332" s="32">
        <f>IFERROR(__xludf.DUMMYFUNCTION("""COMPUTED_VALUE"""),43154.82886840278)</f>
        <v>43154.82887</v>
      </c>
      <c r="B332" t="s">
        <v>124</v>
      </c>
    </row>
    <row r="333" hidden="1">
      <c r="A333" s="32">
        <f>IFERROR(__xludf.DUMMYFUNCTION("""COMPUTED_VALUE"""),43155.42996140046)</f>
        <v>43155.42996</v>
      </c>
      <c r="B333" t="s">
        <v>48</v>
      </c>
    </row>
    <row r="334" hidden="1">
      <c r="A334" s="32">
        <f>IFERROR(__xludf.DUMMYFUNCTION("""COMPUTED_VALUE"""),43156.30039366898)</f>
        <v>43156.30039</v>
      </c>
      <c r="B334" t="s">
        <v>33</v>
      </c>
    </row>
    <row r="335" hidden="1">
      <c r="A335" s="32">
        <f>IFERROR(__xludf.DUMMYFUNCTION("""COMPUTED_VALUE"""),43156.5853100463)</f>
        <v>43156.58531</v>
      </c>
      <c r="B335" t="s">
        <v>33</v>
      </c>
    </row>
    <row r="336" hidden="1">
      <c r="A336" s="32">
        <f>IFERROR(__xludf.DUMMYFUNCTION("""COMPUTED_VALUE"""),43156.75017832176)</f>
        <v>43156.75018</v>
      </c>
      <c r="B336" t="s">
        <v>282</v>
      </c>
    </row>
    <row r="337" hidden="1">
      <c r="A337" s="32">
        <f>IFERROR(__xludf.DUMMYFUNCTION("""COMPUTED_VALUE"""),43157.09752009259)</f>
        <v>43157.09752</v>
      </c>
      <c r="B337" t="s">
        <v>33</v>
      </c>
    </row>
    <row r="338" hidden="1">
      <c r="A338" s="32">
        <f>IFERROR(__xludf.DUMMYFUNCTION("""COMPUTED_VALUE"""),43157.263222361114)</f>
        <v>43157.26322</v>
      </c>
      <c r="B338" t="s">
        <v>119</v>
      </c>
    </row>
    <row r="339" hidden="1">
      <c r="A339" s="32">
        <f>IFERROR(__xludf.DUMMYFUNCTION("""COMPUTED_VALUE"""),43157.55694115741)</f>
        <v>43157.55694</v>
      </c>
      <c r="B339" t="s">
        <v>2255</v>
      </c>
    </row>
    <row r="340" hidden="1">
      <c r="A340" s="32">
        <f>IFERROR(__xludf.DUMMYFUNCTION("""COMPUTED_VALUE"""),43157.58149737268)</f>
        <v>43157.5815</v>
      </c>
      <c r="B340" t="s">
        <v>48</v>
      </c>
    </row>
    <row r="341" hidden="1">
      <c r="A341" s="32">
        <f>IFERROR(__xludf.DUMMYFUNCTION("""COMPUTED_VALUE"""),43158.52972648148)</f>
        <v>43158.52973</v>
      </c>
      <c r="B341" t="s">
        <v>123</v>
      </c>
    </row>
    <row r="342" hidden="1">
      <c r="A342" s="32">
        <f>IFERROR(__xludf.DUMMYFUNCTION("""COMPUTED_VALUE"""),43158.581546030095)</f>
        <v>43158.58155</v>
      </c>
      <c r="B342" t="s">
        <v>33</v>
      </c>
    </row>
    <row r="343" hidden="1">
      <c r="A343" s="32">
        <f>IFERROR(__xludf.DUMMYFUNCTION("""COMPUTED_VALUE"""),43159.439532476856)</f>
        <v>43159.43953</v>
      </c>
      <c r="B343" t="s">
        <v>40</v>
      </c>
    </row>
    <row r="344" hidden="1">
      <c r="A344" s="32">
        <f>IFERROR(__xludf.DUMMYFUNCTION("""COMPUTED_VALUE"""),43159.45766223379)</f>
        <v>43159.45766</v>
      </c>
      <c r="B344" t="s">
        <v>123</v>
      </c>
    </row>
    <row r="345" hidden="1">
      <c r="A345" s="32">
        <f>IFERROR(__xludf.DUMMYFUNCTION("""COMPUTED_VALUE"""),43159.86699563658)</f>
        <v>43159.867</v>
      </c>
      <c r="B345" t="s">
        <v>123</v>
      </c>
    </row>
    <row r="346" hidden="1">
      <c r="A346" s="32">
        <f>IFERROR(__xludf.DUMMYFUNCTION("""COMPUTED_VALUE"""),43159.91162704861)</f>
        <v>43159.91163</v>
      </c>
      <c r="B346" t="s">
        <v>40</v>
      </c>
    </row>
    <row r="347" hidden="1">
      <c r="A347" s="32">
        <f>IFERROR(__xludf.DUMMYFUNCTION("""COMPUTED_VALUE"""),43160.552778136574)</f>
        <v>43160.55278</v>
      </c>
      <c r="B347" t="s">
        <v>40</v>
      </c>
    </row>
    <row r="348" hidden="1">
      <c r="A348" s="32">
        <f>IFERROR(__xludf.DUMMYFUNCTION("""COMPUTED_VALUE"""),43160.84730101852)</f>
        <v>43160.8473</v>
      </c>
      <c r="B348" t="s">
        <v>123</v>
      </c>
    </row>
    <row r="349" hidden="1">
      <c r="A349" s="32">
        <f>IFERROR(__xludf.DUMMYFUNCTION("""COMPUTED_VALUE"""),43160.88757025463)</f>
        <v>43160.88757</v>
      </c>
      <c r="B349" t="s">
        <v>282</v>
      </c>
    </row>
    <row r="350" hidden="1">
      <c r="A350" s="32">
        <f>IFERROR(__xludf.DUMMYFUNCTION("""COMPUTED_VALUE"""),43161.702577731485)</f>
        <v>43161.70258</v>
      </c>
      <c r="B350" t="s">
        <v>343</v>
      </c>
    </row>
    <row r="351" hidden="1">
      <c r="A351" s="32">
        <f>IFERROR(__xludf.DUMMYFUNCTION("""COMPUTED_VALUE"""),43161.88179393519)</f>
        <v>43161.88179</v>
      </c>
      <c r="B351" t="s">
        <v>33</v>
      </c>
    </row>
    <row r="352" hidden="1">
      <c r="A352" s="32">
        <f>IFERROR(__xludf.DUMMYFUNCTION("""COMPUTED_VALUE"""),43161.926904884254)</f>
        <v>43161.9269</v>
      </c>
      <c r="B352" t="s">
        <v>33</v>
      </c>
    </row>
    <row r="353" hidden="1">
      <c r="A353" s="32">
        <f>IFERROR(__xludf.DUMMYFUNCTION("""COMPUTED_VALUE"""),43162.68618870371)</f>
        <v>43162.68619</v>
      </c>
      <c r="B353" t="s">
        <v>40</v>
      </c>
    </row>
    <row r="354" hidden="1">
      <c r="A354" s="32">
        <f>IFERROR(__xludf.DUMMYFUNCTION("""COMPUTED_VALUE"""),43162.95118081018)</f>
        <v>43162.95118</v>
      </c>
      <c r="B354" t="s">
        <v>119</v>
      </c>
    </row>
    <row r="355" hidden="1">
      <c r="A355" s="32">
        <f>IFERROR(__xludf.DUMMYFUNCTION("""COMPUTED_VALUE"""),43162.99577214121)</f>
        <v>43162.99577</v>
      </c>
      <c r="B355" t="s">
        <v>45</v>
      </c>
    </row>
    <row r="356" hidden="1">
      <c r="A356" s="32">
        <f>IFERROR(__xludf.DUMMYFUNCTION("""COMPUTED_VALUE"""),43163.730592314816)</f>
        <v>43163.73059</v>
      </c>
      <c r="B356" t="s">
        <v>350</v>
      </c>
    </row>
    <row r="357" hidden="1">
      <c r="A357" s="32">
        <f>IFERROR(__xludf.DUMMYFUNCTION("""COMPUTED_VALUE"""),43164.43024556713)</f>
        <v>43164.43025</v>
      </c>
      <c r="B357" t="s">
        <v>40</v>
      </c>
    </row>
    <row r="358" hidden="1">
      <c r="A358" s="32">
        <f>IFERROR(__xludf.DUMMYFUNCTION("""COMPUTED_VALUE"""),43164.50598844908)</f>
        <v>43164.50599</v>
      </c>
      <c r="B358" t="s">
        <v>188</v>
      </c>
    </row>
    <row r="359" hidden="1">
      <c r="A359" s="32">
        <f>IFERROR(__xludf.DUMMYFUNCTION("""COMPUTED_VALUE"""),43164.815223425925)</f>
        <v>43164.81522</v>
      </c>
      <c r="B359" t="s">
        <v>48</v>
      </c>
    </row>
    <row r="360" hidden="1">
      <c r="A360" s="32">
        <f>IFERROR(__xludf.DUMMYFUNCTION("""COMPUTED_VALUE"""),43164.89184762731)</f>
        <v>43164.89185</v>
      </c>
      <c r="B360" t="s">
        <v>357</v>
      </c>
    </row>
    <row r="361" hidden="1">
      <c r="A361" s="32">
        <f>IFERROR(__xludf.DUMMYFUNCTION("""COMPUTED_VALUE"""),43165.41358054398)</f>
        <v>43165.41358</v>
      </c>
      <c r="B361" t="s">
        <v>33</v>
      </c>
    </row>
    <row r="362" hidden="1">
      <c r="A362" s="32">
        <f>IFERROR(__xludf.DUMMYFUNCTION("""COMPUTED_VALUE"""),43165.71204135417)</f>
        <v>43165.71204</v>
      </c>
      <c r="B362" t="s">
        <v>33</v>
      </c>
    </row>
    <row r="363" hidden="1">
      <c r="A363" s="32">
        <f>IFERROR(__xludf.DUMMYFUNCTION("""COMPUTED_VALUE"""),43165.73188306713)</f>
        <v>43165.73188</v>
      </c>
      <c r="B363" t="s">
        <v>40</v>
      </c>
    </row>
    <row r="364" hidden="1">
      <c r="A364" s="32">
        <f>IFERROR(__xludf.DUMMYFUNCTION("""COMPUTED_VALUE"""),43165.784929201385)</f>
        <v>43165.78493</v>
      </c>
      <c r="B364" t="s">
        <v>33</v>
      </c>
    </row>
    <row r="365" hidden="1">
      <c r="A365" s="32">
        <f>IFERROR(__xludf.DUMMYFUNCTION("""COMPUTED_VALUE"""),43165.83510509259)</f>
        <v>43165.83511</v>
      </c>
      <c r="B365" t="s">
        <v>45</v>
      </c>
    </row>
    <row r="366" hidden="1">
      <c r="A366" s="32">
        <f>IFERROR(__xludf.DUMMYFUNCTION("""COMPUTED_VALUE"""),43165.88311388889)</f>
        <v>43165.88311</v>
      </c>
      <c r="B366" t="s">
        <v>48</v>
      </c>
    </row>
    <row r="367" hidden="1">
      <c r="A367" s="32">
        <f>IFERROR(__xludf.DUMMYFUNCTION("""COMPUTED_VALUE"""),43166.517434988426)</f>
        <v>43166.51743</v>
      </c>
      <c r="B367" t="s">
        <v>33</v>
      </c>
    </row>
    <row r="368" hidden="1">
      <c r="A368" s="32">
        <f>IFERROR(__xludf.DUMMYFUNCTION("""COMPUTED_VALUE"""),43166.84323846065)</f>
        <v>43166.84324</v>
      </c>
      <c r="B368" t="s">
        <v>40</v>
      </c>
    </row>
    <row r="369" hidden="1">
      <c r="A369" s="32">
        <f>IFERROR(__xludf.DUMMYFUNCTION("""COMPUTED_VALUE"""),43166.871845092595)</f>
        <v>43166.87185</v>
      </c>
      <c r="B369" t="s">
        <v>48</v>
      </c>
    </row>
    <row r="370" hidden="1">
      <c r="A370" s="32">
        <f>IFERROR(__xludf.DUMMYFUNCTION("""COMPUTED_VALUE"""),43166.982123483795)</f>
        <v>43166.98212</v>
      </c>
      <c r="B370" t="s">
        <v>268</v>
      </c>
    </row>
    <row r="371" hidden="1">
      <c r="A371" s="32">
        <f>IFERROR(__xludf.DUMMYFUNCTION("""COMPUTED_VALUE"""),43167.00340746528)</f>
        <v>43167.00341</v>
      </c>
      <c r="B371" t="s">
        <v>105</v>
      </c>
    </row>
    <row r="372" hidden="1">
      <c r="A372" s="32">
        <f>IFERROR(__xludf.DUMMYFUNCTION("""COMPUTED_VALUE"""),43167.22027049768)</f>
        <v>43167.22027</v>
      </c>
      <c r="B372" t="s">
        <v>45</v>
      </c>
    </row>
    <row r="373" hidden="1">
      <c r="A373" s="32">
        <f>IFERROR(__xludf.DUMMYFUNCTION("""COMPUTED_VALUE"""),43167.22153304398)</f>
        <v>43167.22153</v>
      </c>
      <c r="B373" t="s">
        <v>25</v>
      </c>
    </row>
    <row r="374" hidden="1">
      <c r="A374" s="32">
        <f>IFERROR(__xludf.DUMMYFUNCTION("""COMPUTED_VALUE"""),43167.5209678588)</f>
        <v>43167.52097</v>
      </c>
      <c r="B374" t="s">
        <v>368</v>
      </c>
    </row>
    <row r="375" hidden="1">
      <c r="A375" s="32">
        <f>IFERROR(__xludf.DUMMYFUNCTION("""COMPUTED_VALUE"""),43167.588353935185)</f>
        <v>43167.58835</v>
      </c>
      <c r="B375" t="s">
        <v>263</v>
      </c>
    </row>
    <row r="376" hidden="1">
      <c r="A376" s="32">
        <f>IFERROR(__xludf.DUMMYFUNCTION("""COMPUTED_VALUE"""),43167.6250978125)</f>
        <v>43167.6251</v>
      </c>
      <c r="B376" t="s">
        <v>371</v>
      </c>
    </row>
    <row r="377" hidden="1">
      <c r="A377" s="32">
        <f>IFERROR(__xludf.DUMMYFUNCTION("""COMPUTED_VALUE"""),43167.9452790162)</f>
        <v>43167.94528</v>
      </c>
      <c r="B377" t="s">
        <v>40</v>
      </c>
    </row>
    <row r="378" hidden="1">
      <c r="A378" s="32">
        <f>IFERROR(__xludf.DUMMYFUNCTION("""COMPUTED_VALUE"""),43168.38569943287)</f>
        <v>43168.3857</v>
      </c>
      <c r="B378" t="s">
        <v>33</v>
      </c>
    </row>
    <row r="379" hidden="1">
      <c r="A379" s="32">
        <f>IFERROR(__xludf.DUMMYFUNCTION("""COMPUTED_VALUE"""),43169.37226743056)</f>
        <v>43169.37227</v>
      </c>
      <c r="B379" t="s">
        <v>95</v>
      </c>
    </row>
    <row r="380" hidden="1">
      <c r="A380" s="32">
        <f>IFERROR(__xludf.DUMMYFUNCTION("""COMPUTED_VALUE"""),43170.061273935185)</f>
        <v>43170.06127</v>
      </c>
      <c r="B380" t="s">
        <v>123</v>
      </c>
    </row>
    <row r="381" hidden="1">
      <c r="A381" s="32">
        <f>IFERROR(__xludf.DUMMYFUNCTION("""COMPUTED_VALUE"""),43170.51335616898)</f>
        <v>43170.51336</v>
      </c>
      <c r="B381" t="s">
        <v>80</v>
      </c>
    </row>
    <row r="382" hidden="1">
      <c r="A382" s="32">
        <f>IFERROR(__xludf.DUMMYFUNCTION("""COMPUTED_VALUE"""),43170.51400869213)</f>
        <v>43170.51401</v>
      </c>
      <c r="B382" t="s">
        <v>80</v>
      </c>
    </row>
    <row r="383" hidden="1">
      <c r="A383" s="32">
        <f>IFERROR(__xludf.DUMMYFUNCTION("""COMPUTED_VALUE"""),43170.51619945602)</f>
        <v>43170.5162</v>
      </c>
      <c r="B383" t="s">
        <v>48</v>
      </c>
    </row>
    <row r="384" hidden="1">
      <c r="A384" s="32">
        <f>IFERROR(__xludf.DUMMYFUNCTION("""COMPUTED_VALUE"""),43170.517729722225)</f>
        <v>43170.51773</v>
      </c>
      <c r="B384" t="s">
        <v>378</v>
      </c>
    </row>
    <row r="385" hidden="1">
      <c r="A385" s="32">
        <f>IFERROR(__xludf.DUMMYFUNCTION("""COMPUTED_VALUE"""),43170.52246309028)</f>
        <v>43170.52246</v>
      </c>
      <c r="B385" t="s">
        <v>380</v>
      </c>
    </row>
    <row r="386" hidden="1">
      <c r="A386" s="32">
        <f>IFERROR(__xludf.DUMMYFUNCTION("""COMPUTED_VALUE"""),43170.89549137732)</f>
        <v>43170.89549</v>
      </c>
      <c r="B386" t="s">
        <v>80</v>
      </c>
    </row>
    <row r="387" hidden="1">
      <c r="A387" s="32">
        <f>IFERROR(__xludf.DUMMYFUNCTION("""COMPUTED_VALUE"""),43171.85372050926)</f>
        <v>43171.85372</v>
      </c>
      <c r="B387" t="s">
        <v>383</v>
      </c>
    </row>
    <row r="388" hidden="1">
      <c r="A388" s="32">
        <f>IFERROR(__xludf.DUMMYFUNCTION("""COMPUTED_VALUE"""),43172.05653253473)</f>
        <v>43172.05653</v>
      </c>
      <c r="B388" t="s">
        <v>33</v>
      </c>
    </row>
    <row r="389" hidden="1">
      <c r="A389" s="32">
        <f>IFERROR(__xludf.DUMMYFUNCTION("""COMPUTED_VALUE"""),43172.270060173614)</f>
        <v>43172.27006</v>
      </c>
      <c r="B389" t="s">
        <v>48</v>
      </c>
    </row>
    <row r="390" hidden="1">
      <c r="A390" s="32">
        <f>IFERROR(__xludf.DUMMYFUNCTION("""COMPUTED_VALUE"""),43172.76208883102)</f>
        <v>43172.76209</v>
      </c>
      <c r="B390" t="s">
        <v>123</v>
      </c>
    </row>
    <row r="391" hidden="1">
      <c r="A391" s="32">
        <f>IFERROR(__xludf.DUMMYFUNCTION("""COMPUTED_VALUE"""),43172.86315885417)</f>
        <v>43172.86316</v>
      </c>
      <c r="B391" t="s">
        <v>40</v>
      </c>
    </row>
    <row r="392" hidden="1">
      <c r="A392" s="32">
        <f>IFERROR(__xludf.DUMMYFUNCTION("""COMPUTED_VALUE"""),43173.64098454861)</f>
        <v>43173.64098</v>
      </c>
      <c r="B392" t="s">
        <v>80</v>
      </c>
    </row>
    <row r="393" hidden="1">
      <c r="A393" s="32">
        <f>IFERROR(__xludf.DUMMYFUNCTION("""COMPUTED_VALUE"""),43173.71343321759)</f>
        <v>43173.71343</v>
      </c>
      <c r="B393" t="s">
        <v>256</v>
      </c>
    </row>
    <row r="394" hidden="1">
      <c r="A394" s="32">
        <f>IFERROR(__xludf.DUMMYFUNCTION("""COMPUTED_VALUE"""),43174.332406608795)</f>
        <v>43174.33241</v>
      </c>
      <c r="B394" t="s">
        <v>80</v>
      </c>
    </row>
    <row r="395" hidden="1">
      <c r="A395" s="32">
        <f>IFERROR(__xludf.DUMMYFUNCTION("""COMPUTED_VALUE"""),43174.55166950231)</f>
        <v>43174.55167</v>
      </c>
      <c r="B395" t="s">
        <v>2663</v>
      </c>
    </row>
    <row r="396" hidden="1">
      <c r="A396" s="32">
        <f>IFERROR(__xludf.DUMMYFUNCTION("""COMPUTED_VALUE"""),43174.922084571765)</f>
        <v>43174.92208</v>
      </c>
      <c r="B396" t="s">
        <v>48</v>
      </c>
    </row>
    <row r="397" hidden="1">
      <c r="A397" s="32">
        <f>IFERROR(__xludf.DUMMYFUNCTION("""COMPUTED_VALUE"""),43175.43205752315)</f>
        <v>43175.43206</v>
      </c>
      <c r="B397" t="s">
        <v>2255</v>
      </c>
    </row>
    <row r="398" hidden="1">
      <c r="A398" s="32">
        <f>IFERROR(__xludf.DUMMYFUNCTION("""COMPUTED_VALUE"""),43177.07763295139)</f>
        <v>43177.07763</v>
      </c>
      <c r="B398" t="s">
        <v>387</v>
      </c>
    </row>
    <row r="399" hidden="1">
      <c r="A399" s="32">
        <f>IFERROR(__xludf.DUMMYFUNCTION("""COMPUTED_VALUE"""),43177.43902521991)</f>
        <v>43177.43903</v>
      </c>
      <c r="B399" t="s">
        <v>40</v>
      </c>
    </row>
    <row r="400" hidden="1">
      <c r="A400" s="32">
        <f>IFERROR(__xludf.DUMMYFUNCTION("""COMPUTED_VALUE"""),43177.58061142361)</f>
        <v>43177.58061</v>
      </c>
      <c r="B400" t="s">
        <v>658</v>
      </c>
    </row>
    <row r="401" hidden="1">
      <c r="A401" s="32">
        <f>IFERROR(__xludf.DUMMYFUNCTION("""COMPUTED_VALUE"""),43177.64214146991)</f>
        <v>43177.64214</v>
      </c>
      <c r="B401" t="s">
        <v>25</v>
      </c>
    </row>
    <row r="402" hidden="1">
      <c r="A402" s="32">
        <f>IFERROR(__xludf.DUMMYFUNCTION("""COMPUTED_VALUE"""),43178.412731006945)</f>
        <v>43178.41273</v>
      </c>
      <c r="B402" t="s">
        <v>40</v>
      </c>
    </row>
    <row r="403" hidden="1">
      <c r="A403" s="32">
        <f>IFERROR(__xludf.DUMMYFUNCTION("""COMPUTED_VALUE"""),43178.45876245371)</f>
        <v>43178.45876</v>
      </c>
      <c r="B403" t="s">
        <v>40</v>
      </c>
    </row>
    <row r="404" hidden="1">
      <c r="A404" s="32">
        <f>IFERROR(__xludf.DUMMYFUNCTION("""COMPUTED_VALUE"""),43178.751179548606)</f>
        <v>43178.75118</v>
      </c>
      <c r="B404" t="s">
        <v>282</v>
      </c>
    </row>
    <row r="405" hidden="1">
      <c r="A405" s="32">
        <f>IFERROR(__xludf.DUMMYFUNCTION("""COMPUTED_VALUE"""),43178.77515783565)</f>
        <v>43178.77516</v>
      </c>
      <c r="B405" t="s">
        <v>282</v>
      </c>
    </row>
    <row r="406" hidden="1">
      <c r="A406" s="32">
        <f>IFERROR(__xludf.DUMMYFUNCTION("""COMPUTED_VALUE"""),43179.97472414352)</f>
        <v>43179.97472</v>
      </c>
      <c r="B406" t="s">
        <v>33</v>
      </c>
    </row>
    <row r="407" hidden="1">
      <c r="A407" s="32">
        <f>IFERROR(__xludf.DUMMYFUNCTION("""COMPUTED_VALUE"""),43179.996540555556)</f>
        <v>43179.99654</v>
      </c>
      <c r="B407" t="s">
        <v>33</v>
      </c>
    </row>
    <row r="408" hidden="1">
      <c r="A408" s="32">
        <f>IFERROR(__xludf.DUMMYFUNCTION("""COMPUTED_VALUE"""),43180.074246516204)</f>
        <v>43180.07425</v>
      </c>
      <c r="B408" t="s">
        <v>45</v>
      </c>
    </row>
    <row r="409" hidden="1">
      <c r="A409" s="32">
        <f>IFERROR(__xludf.DUMMYFUNCTION("""COMPUTED_VALUE"""),43180.32172420139)</f>
        <v>43180.32172</v>
      </c>
      <c r="B409" t="s">
        <v>2664</v>
      </c>
    </row>
    <row r="410" hidden="1">
      <c r="A410" s="32">
        <f>IFERROR(__xludf.DUMMYFUNCTION("""COMPUTED_VALUE"""),43180.37013027778)</f>
        <v>43180.37013</v>
      </c>
      <c r="B410" t="s">
        <v>33</v>
      </c>
    </row>
    <row r="411" hidden="1">
      <c r="A411" s="32">
        <f>IFERROR(__xludf.DUMMYFUNCTION("""COMPUTED_VALUE"""),43180.59452119213)</f>
        <v>43180.59452</v>
      </c>
      <c r="B411" t="s">
        <v>268</v>
      </c>
    </row>
    <row r="412" hidden="1">
      <c r="A412" s="32">
        <f>IFERROR(__xludf.DUMMYFUNCTION("""COMPUTED_VALUE"""),43181.658024282406)</f>
        <v>43181.65802</v>
      </c>
      <c r="B412" t="s">
        <v>33</v>
      </c>
    </row>
    <row r="413" hidden="1">
      <c r="A413" s="32">
        <f>IFERROR(__xludf.DUMMYFUNCTION("""COMPUTED_VALUE"""),43182.53565096065)</f>
        <v>43182.53565</v>
      </c>
      <c r="B413" t="s">
        <v>80</v>
      </c>
    </row>
    <row r="414" hidden="1">
      <c r="A414" s="32">
        <f>IFERROR(__xludf.DUMMYFUNCTION("""COMPUTED_VALUE"""),43183.34198414352)</f>
        <v>43183.34198</v>
      </c>
      <c r="B414" t="s">
        <v>33</v>
      </c>
    </row>
    <row r="415" hidden="1">
      <c r="A415" s="32">
        <f>IFERROR(__xludf.DUMMYFUNCTION("""COMPUTED_VALUE"""),43183.53269260417)</f>
        <v>43183.53269</v>
      </c>
      <c r="B415" t="s">
        <v>80</v>
      </c>
    </row>
    <row r="416" hidden="1">
      <c r="A416" s="32">
        <f>IFERROR(__xludf.DUMMYFUNCTION("""COMPUTED_VALUE"""),43183.831183981485)</f>
        <v>43183.83118</v>
      </c>
      <c r="B416" t="s">
        <v>80</v>
      </c>
    </row>
    <row r="417" hidden="1">
      <c r="A417" s="32">
        <f>IFERROR(__xludf.DUMMYFUNCTION("""COMPUTED_VALUE"""),43184.78144673611)</f>
        <v>43184.78145</v>
      </c>
      <c r="B417" t="s">
        <v>40</v>
      </c>
    </row>
    <row r="418" hidden="1">
      <c r="A418" s="32">
        <f>IFERROR(__xludf.DUMMYFUNCTION("""COMPUTED_VALUE"""),43184.80761866899)</f>
        <v>43184.80762</v>
      </c>
      <c r="B418" t="s">
        <v>123</v>
      </c>
    </row>
    <row r="419" hidden="1">
      <c r="A419" s="32">
        <f>IFERROR(__xludf.DUMMYFUNCTION("""COMPUTED_VALUE"""),43185.91603609954)</f>
        <v>43185.91604</v>
      </c>
      <c r="B419" t="s">
        <v>36</v>
      </c>
    </row>
    <row r="420" hidden="1">
      <c r="A420" s="32">
        <f>IFERROR(__xludf.DUMMYFUNCTION("""COMPUTED_VALUE"""),43185.95439828704)</f>
        <v>43185.9544</v>
      </c>
      <c r="B420" t="s">
        <v>45</v>
      </c>
    </row>
    <row r="421" hidden="1">
      <c r="A421" s="32">
        <f>IFERROR(__xludf.DUMMYFUNCTION("""COMPUTED_VALUE"""),43186.90071349537)</f>
        <v>43186.90071</v>
      </c>
      <c r="B421" t="s">
        <v>33</v>
      </c>
    </row>
    <row r="422" hidden="1">
      <c r="A422" s="32">
        <f>IFERROR(__xludf.DUMMYFUNCTION("""COMPUTED_VALUE"""),43187.3815103588)</f>
        <v>43187.38151</v>
      </c>
      <c r="B422" t="s">
        <v>40</v>
      </c>
    </row>
    <row r="423" hidden="1">
      <c r="A423" s="32">
        <f>IFERROR(__xludf.DUMMYFUNCTION("""COMPUTED_VALUE"""),43187.835919386576)</f>
        <v>43187.83592</v>
      </c>
      <c r="B423" t="s">
        <v>258</v>
      </c>
    </row>
    <row r="424" hidden="1">
      <c r="A424" s="32">
        <f>IFERROR(__xludf.DUMMYFUNCTION("""COMPUTED_VALUE"""),43188.12560950231)</f>
        <v>43188.12561</v>
      </c>
      <c r="B424" t="s">
        <v>36</v>
      </c>
    </row>
    <row r="425" hidden="1">
      <c r="A425" s="32">
        <f>IFERROR(__xludf.DUMMYFUNCTION("""COMPUTED_VALUE"""),43188.598995740744)</f>
        <v>43188.599</v>
      </c>
      <c r="B425" t="s">
        <v>33</v>
      </c>
    </row>
    <row r="426" hidden="1">
      <c r="A426" s="32">
        <f>IFERROR(__xludf.DUMMYFUNCTION("""COMPUTED_VALUE"""),43188.634787303235)</f>
        <v>43188.63479</v>
      </c>
      <c r="B426" t="s">
        <v>105</v>
      </c>
    </row>
    <row r="427" hidden="1">
      <c r="A427" s="32">
        <f>IFERROR(__xludf.DUMMYFUNCTION("""COMPUTED_VALUE"""),43188.64352175926)</f>
        <v>43188.64352</v>
      </c>
      <c r="B427" t="s">
        <v>33</v>
      </c>
    </row>
    <row r="428" hidden="1">
      <c r="A428" s="32">
        <f>IFERROR(__xludf.DUMMYFUNCTION("""COMPUTED_VALUE"""),43188.75137996528)</f>
        <v>43188.75138</v>
      </c>
      <c r="B428" t="s">
        <v>119</v>
      </c>
    </row>
    <row r="429" hidden="1">
      <c r="A429" s="32">
        <f>IFERROR(__xludf.DUMMYFUNCTION("""COMPUTED_VALUE"""),43188.754768495375)</f>
        <v>43188.75477</v>
      </c>
      <c r="B429" t="s">
        <v>40</v>
      </c>
    </row>
    <row r="430" hidden="1">
      <c r="A430" s="32">
        <f>IFERROR(__xludf.DUMMYFUNCTION("""COMPUTED_VALUE"""),43189.38318983796)</f>
        <v>43189.38319</v>
      </c>
      <c r="B430" t="s">
        <v>258</v>
      </c>
    </row>
    <row r="431" hidden="1">
      <c r="A431" s="32">
        <f>IFERROR(__xludf.DUMMYFUNCTION("""COMPUTED_VALUE"""),43189.470590868055)</f>
        <v>43189.47059</v>
      </c>
      <c r="B431" t="s">
        <v>256</v>
      </c>
    </row>
    <row r="432" hidden="1">
      <c r="A432" s="32">
        <f>IFERROR(__xludf.DUMMYFUNCTION("""COMPUTED_VALUE"""),43189.50909319444)</f>
        <v>43189.50909</v>
      </c>
      <c r="B432" t="s">
        <v>407</v>
      </c>
    </row>
    <row r="433" hidden="1">
      <c r="A433" s="32">
        <f>IFERROR(__xludf.DUMMYFUNCTION("""COMPUTED_VALUE"""),43189.8518062963)</f>
        <v>43189.85181</v>
      </c>
      <c r="B433" t="s">
        <v>33</v>
      </c>
    </row>
    <row r="434" hidden="1">
      <c r="A434" s="32">
        <f>IFERROR(__xludf.DUMMYFUNCTION("""COMPUTED_VALUE"""),43190.33809041667)</f>
        <v>43190.33809</v>
      </c>
      <c r="B434" t="s">
        <v>95</v>
      </c>
    </row>
    <row r="435" hidden="1">
      <c r="A435" s="32">
        <f>IFERROR(__xludf.DUMMYFUNCTION("""COMPUTED_VALUE"""),43190.4226193287)</f>
        <v>43190.42262</v>
      </c>
      <c r="B435" t="s">
        <v>33</v>
      </c>
    </row>
    <row r="436" hidden="1">
      <c r="A436" s="32">
        <f>IFERROR(__xludf.DUMMYFUNCTION("""COMPUTED_VALUE"""),43190.655506446754)</f>
        <v>43190.65551</v>
      </c>
      <c r="B436" t="s">
        <v>119</v>
      </c>
    </row>
    <row r="437" hidden="1">
      <c r="A437" s="32">
        <f>IFERROR(__xludf.DUMMYFUNCTION("""COMPUTED_VALUE"""),43191.6232824537)</f>
        <v>43191.62328</v>
      </c>
      <c r="B437" t="s">
        <v>409</v>
      </c>
    </row>
    <row r="438" hidden="1">
      <c r="A438" s="32">
        <f>IFERROR(__xludf.DUMMYFUNCTION("""COMPUTED_VALUE"""),43192.32465894676)</f>
        <v>43192.32466</v>
      </c>
      <c r="B438" t="s">
        <v>40</v>
      </c>
    </row>
    <row r="439" hidden="1">
      <c r="A439" s="32">
        <f>IFERROR(__xludf.DUMMYFUNCTION("""COMPUTED_VALUE"""),43192.62256525463)</f>
        <v>43192.62257</v>
      </c>
      <c r="B439" t="s">
        <v>2665</v>
      </c>
    </row>
    <row r="440" hidden="1">
      <c r="A440" s="32">
        <f>IFERROR(__xludf.DUMMYFUNCTION("""COMPUTED_VALUE"""),43192.71657188657)</f>
        <v>43192.71657</v>
      </c>
      <c r="B440" t="s">
        <v>33</v>
      </c>
    </row>
    <row r="441" hidden="1">
      <c r="A441" s="32">
        <f>IFERROR(__xludf.DUMMYFUNCTION("""COMPUTED_VALUE"""),43192.79837050926)</f>
        <v>43192.79837</v>
      </c>
      <c r="B441" t="s">
        <v>40</v>
      </c>
    </row>
    <row r="442" hidden="1">
      <c r="A442" s="32">
        <f>IFERROR(__xludf.DUMMYFUNCTION("""COMPUTED_VALUE"""),43192.993356203704)</f>
        <v>43192.99336</v>
      </c>
      <c r="B442" t="s">
        <v>36</v>
      </c>
    </row>
    <row r="443" hidden="1">
      <c r="A443" s="32">
        <f>IFERROR(__xludf.DUMMYFUNCTION("""COMPUTED_VALUE"""),43193.001175613426)</f>
        <v>43193.00118</v>
      </c>
      <c r="B443" t="s">
        <v>48</v>
      </c>
    </row>
    <row r="444" hidden="1">
      <c r="A444" s="32">
        <f>IFERROR(__xludf.DUMMYFUNCTION("""COMPUTED_VALUE"""),43193.97981230324)</f>
        <v>43193.97981</v>
      </c>
      <c r="B444" t="s">
        <v>2666</v>
      </c>
    </row>
    <row r="445" hidden="1">
      <c r="A445" s="32">
        <f>IFERROR(__xludf.DUMMYFUNCTION("""COMPUTED_VALUE"""),43193.98958980324)</f>
        <v>43193.98959</v>
      </c>
      <c r="B445" t="s">
        <v>371</v>
      </c>
    </row>
    <row r="446" hidden="1">
      <c r="A446" s="32">
        <f>IFERROR(__xludf.DUMMYFUNCTION("""COMPUTED_VALUE"""),43194.05089546296)</f>
        <v>43194.0509</v>
      </c>
      <c r="B446" t="s">
        <v>2667</v>
      </c>
    </row>
    <row r="447" hidden="1">
      <c r="A447" s="32">
        <f>IFERROR(__xludf.DUMMYFUNCTION("""COMPUTED_VALUE"""),43194.07477474537)</f>
        <v>43194.07477</v>
      </c>
      <c r="B447" t="s">
        <v>33</v>
      </c>
    </row>
    <row r="448" hidden="1">
      <c r="A448" s="32">
        <f>IFERROR(__xludf.DUMMYFUNCTION("""COMPUTED_VALUE"""),43194.37718880787)</f>
        <v>43194.37719</v>
      </c>
      <c r="B448" t="s">
        <v>36</v>
      </c>
    </row>
    <row r="449" hidden="1">
      <c r="A449" s="32">
        <f>IFERROR(__xludf.DUMMYFUNCTION("""COMPUTED_VALUE"""),43194.384941365744)</f>
        <v>43194.38494</v>
      </c>
      <c r="B449" t="s">
        <v>170</v>
      </c>
    </row>
    <row r="450" hidden="1">
      <c r="A450" s="32">
        <f>IFERROR(__xludf.DUMMYFUNCTION("""COMPUTED_VALUE"""),43194.79160045139)</f>
        <v>43194.7916</v>
      </c>
      <c r="B450" t="s">
        <v>426</v>
      </c>
    </row>
    <row r="451" hidden="1">
      <c r="A451" s="32">
        <f>IFERROR(__xludf.DUMMYFUNCTION("""COMPUTED_VALUE"""),43194.95931168982)</f>
        <v>43194.95931</v>
      </c>
      <c r="B451" t="s">
        <v>45</v>
      </c>
    </row>
    <row r="452" hidden="1">
      <c r="A452" s="32">
        <f>IFERROR(__xludf.DUMMYFUNCTION("""COMPUTED_VALUE"""),43195.557280821755)</f>
        <v>43195.55728</v>
      </c>
      <c r="B452" t="s">
        <v>428</v>
      </c>
    </row>
    <row r="453" hidden="1">
      <c r="A453" s="32">
        <f>IFERROR(__xludf.DUMMYFUNCTION("""COMPUTED_VALUE"""),43195.57661425926)</f>
        <v>43195.57661</v>
      </c>
      <c r="B453" t="s">
        <v>36</v>
      </c>
    </row>
    <row r="454" hidden="1">
      <c r="A454" s="32">
        <f>IFERROR(__xludf.DUMMYFUNCTION("""COMPUTED_VALUE"""),43195.67631318287)</f>
        <v>43195.67631</v>
      </c>
      <c r="B454" t="s">
        <v>122</v>
      </c>
    </row>
    <row r="455" hidden="1">
      <c r="A455" s="32">
        <f>IFERROR(__xludf.DUMMYFUNCTION("""COMPUTED_VALUE"""),43196.949980543985)</f>
        <v>43196.94998</v>
      </c>
      <c r="B455" t="s">
        <v>33</v>
      </c>
    </row>
    <row r="456" hidden="1">
      <c r="A456" s="32">
        <f>IFERROR(__xludf.DUMMYFUNCTION("""COMPUTED_VALUE"""),43197.09131657408)</f>
        <v>43197.09132</v>
      </c>
      <c r="B456" t="s">
        <v>40</v>
      </c>
    </row>
    <row r="457" hidden="1">
      <c r="A457" s="32">
        <f>IFERROR(__xludf.DUMMYFUNCTION("""COMPUTED_VALUE"""),43197.727763310184)</f>
        <v>43197.72776</v>
      </c>
      <c r="B457" t="s">
        <v>80</v>
      </c>
    </row>
    <row r="458" hidden="1">
      <c r="A458" s="32">
        <f>IFERROR(__xludf.DUMMYFUNCTION("""COMPUTED_VALUE"""),43198.39083822917)</f>
        <v>43198.39084</v>
      </c>
      <c r="B458" t="s">
        <v>80</v>
      </c>
    </row>
    <row r="459" hidden="1">
      <c r="A459" s="32">
        <f>IFERROR(__xludf.DUMMYFUNCTION("""COMPUTED_VALUE"""),43198.537381145834)</f>
        <v>43198.53738</v>
      </c>
      <c r="B459" t="s">
        <v>139</v>
      </c>
    </row>
    <row r="460" hidden="1">
      <c r="A460" s="32">
        <f>IFERROR(__xludf.DUMMYFUNCTION("""COMPUTED_VALUE"""),43198.94350710648)</f>
        <v>43198.94351</v>
      </c>
      <c r="B460" t="s">
        <v>263</v>
      </c>
    </row>
    <row r="461" hidden="1">
      <c r="A461" s="32">
        <f>IFERROR(__xludf.DUMMYFUNCTION("""COMPUTED_VALUE"""),43199.003792337964)</f>
        <v>43199.00379</v>
      </c>
      <c r="B461" t="s">
        <v>2658</v>
      </c>
    </row>
    <row r="462" hidden="1">
      <c r="A462" s="32">
        <f>IFERROR(__xludf.DUMMYFUNCTION("""COMPUTED_VALUE"""),43199.720198298615)</f>
        <v>43199.7202</v>
      </c>
      <c r="B462" t="s">
        <v>80</v>
      </c>
    </row>
    <row r="463" hidden="1">
      <c r="A463" s="32">
        <f>IFERROR(__xludf.DUMMYFUNCTION("""COMPUTED_VALUE"""),43199.88607144676)</f>
        <v>43199.88607</v>
      </c>
      <c r="B463" t="s">
        <v>33</v>
      </c>
    </row>
    <row r="464" hidden="1">
      <c r="A464" s="32">
        <f>IFERROR(__xludf.DUMMYFUNCTION("""COMPUTED_VALUE"""),43199.92595952546)</f>
        <v>43199.92596</v>
      </c>
      <c r="B464" t="s">
        <v>33</v>
      </c>
    </row>
    <row r="465" hidden="1">
      <c r="A465" s="32">
        <f>IFERROR(__xludf.DUMMYFUNCTION("""COMPUTED_VALUE"""),43199.954206469905)</f>
        <v>43199.95421</v>
      </c>
      <c r="B465" t="s">
        <v>33</v>
      </c>
    </row>
    <row r="466" hidden="1">
      <c r="A466" s="32">
        <f>IFERROR(__xludf.DUMMYFUNCTION("""COMPUTED_VALUE"""),43200.494778125)</f>
        <v>43200.49478</v>
      </c>
      <c r="B466" t="s">
        <v>80</v>
      </c>
    </row>
    <row r="467" hidden="1">
      <c r="A467" s="32">
        <f>IFERROR(__xludf.DUMMYFUNCTION("""COMPUTED_VALUE"""),43200.7783544213)</f>
        <v>43200.77835</v>
      </c>
      <c r="B467" t="s">
        <v>40</v>
      </c>
    </row>
    <row r="468" hidden="1">
      <c r="A468" s="32">
        <f>IFERROR(__xludf.DUMMYFUNCTION("""COMPUTED_VALUE"""),43200.833870601855)</f>
        <v>43200.83387</v>
      </c>
      <c r="B468" t="s">
        <v>428</v>
      </c>
    </row>
    <row r="469" hidden="1">
      <c r="A469" s="32">
        <f>IFERROR(__xludf.DUMMYFUNCTION("""COMPUTED_VALUE"""),43200.91247898148)</f>
        <v>43200.91248</v>
      </c>
      <c r="B469" t="s">
        <v>33</v>
      </c>
    </row>
    <row r="470" hidden="1">
      <c r="A470" s="32">
        <f>IFERROR(__xludf.DUMMYFUNCTION("""COMPUTED_VALUE"""),43200.92252581019)</f>
        <v>43200.92253</v>
      </c>
      <c r="B470" t="s">
        <v>268</v>
      </c>
    </row>
    <row r="471" hidden="1">
      <c r="A471" s="32">
        <f>IFERROR(__xludf.DUMMYFUNCTION("""COMPUTED_VALUE"""),43201.34484666667)</f>
        <v>43201.34485</v>
      </c>
      <c r="B471" t="s">
        <v>2668</v>
      </c>
    </row>
    <row r="472" hidden="1">
      <c r="A472" s="32">
        <f>IFERROR(__xludf.DUMMYFUNCTION("""COMPUTED_VALUE"""),43201.39968721065)</f>
        <v>43201.39969</v>
      </c>
      <c r="B472" t="s">
        <v>2669</v>
      </c>
    </row>
    <row r="473" hidden="1">
      <c r="A473" s="32">
        <f>IFERROR(__xludf.DUMMYFUNCTION("""COMPUTED_VALUE"""),43201.572374131945)</f>
        <v>43201.57237</v>
      </c>
      <c r="B473" t="s">
        <v>440</v>
      </c>
    </row>
    <row r="474" hidden="1">
      <c r="A474" s="32">
        <f>IFERROR(__xludf.DUMMYFUNCTION("""COMPUTED_VALUE"""),43201.574113379625)</f>
        <v>43201.57411</v>
      </c>
      <c r="B474" t="s">
        <v>80</v>
      </c>
    </row>
    <row r="475" hidden="1">
      <c r="A475" s="32">
        <f>IFERROR(__xludf.DUMMYFUNCTION("""COMPUTED_VALUE"""),43201.723509999996)</f>
        <v>43201.72351</v>
      </c>
      <c r="B475" t="s">
        <v>258</v>
      </c>
    </row>
    <row r="476" hidden="1">
      <c r="A476" s="32">
        <f>IFERROR(__xludf.DUMMYFUNCTION("""COMPUTED_VALUE"""),43201.962623935186)</f>
        <v>43201.96262</v>
      </c>
      <c r="B476" t="s">
        <v>123</v>
      </c>
    </row>
    <row r="477" hidden="1">
      <c r="A477" s="32">
        <f>IFERROR(__xludf.DUMMYFUNCTION("""COMPUTED_VALUE"""),43201.985179780095)</f>
        <v>43201.98518</v>
      </c>
      <c r="B477" t="s">
        <v>204</v>
      </c>
    </row>
    <row r="478" hidden="1">
      <c r="A478" s="32">
        <f>IFERROR(__xludf.DUMMYFUNCTION("""COMPUTED_VALUE"""),43202.218170625)</f>
        <v>43202.21817</v>
      </c>
      <c r="B478" t="s">
        <v>2670</v>
      </c>
    </row>
    <row r="479" hidden="1">
      <c r="A479" s="32">
        <f>IFERROR(__xludf.DUMMYFUNCTION("""COMPUTED_VALUE"""),43202.67745278935)</f>
        <v>43202.67745</v>
      </c>
      <c r="B479" t="s">
        <v>2665</v>
      </c>
    </row>
    <row r="480" hidden="1">
      <c r="A480" s="32">
        <f>IFERROR(__xludf.DUMMYFUNCTION("""COMPUTED_VALUE"""),43202.971911493056)</f>
        <v>43202.97191</v>
      </c>
      <c r="B480" t="s">
        <v>33</v>
      </c>
    </row>
    <row r="481" hidden="1">
      <c r="A481" s="32">
        <f>IFERROR(__xludf.DUMMYFUNCTION("""COMPUTED_VALUE"""),43203.272416493055)</f>
        <v>43203.27242</v>
      </c>
      <c r="B481" t="s">
        <v>36</v>
      </c>
    </row>
    <row r="482" hidden="1">
      <c r="A482" s="32">
        <f>IFERROR(__xludf.DUMMYFUNCTION("""COMPUTED_VALUE"""),43203.57787954861)</f>
        <v>43203.57788</v>
      </c>
      <c r="B482" t="s">
        <v>452</v>
      </c>
    </row>
    <row r="483" hidden="1">
      <c r="A483" s="32">
        <f>IFERROR(__xludf.DUMMYFUNCTION("""COMPUTED_VALUE"""),43203.68614704861)</f>
        <v>43203.68615</v>
      </c>
      <c r="B483" t="s">
        <v>40</v>
      </c>
    </row>
    <row r="484" hidden="1">
      <c r="A484" s="32">
        <f>IFERROR(__xludf.DUMMYFUNCTION("""COMPUTED_VALUE"""),43203.73232753472)</f>
        <v>43203.73233</v>
      </c>
      <c r="B484" t="s">
        <v>40</v>
      </c>
    </row>
    <row r="485" hidden="1">
      <c r="A485" s="32">
        <f>IFERROR(__xludf.DUMMYFUNCTION("""COMPUTED_VALUE"""),43204.54036274306)</f>
        <v>43204.54036</v>
      </c>
      <c r="B485" t="s">
        <v>33</v>
      </c>
    </row>
    <row r="486" hidden="1">
      <c r="A486" s="32">
        <f>IFERROR(__xludf.DUMMYFUNCTION("""COMPUTED_VALUE"""),43204.545398946764)</f>
        <v>43204.5454</v>
      </c>
      <c r="B486" t="s">
        <v>40</v>
      </c>
    </row>
    <row r="487" hidden="1">
      <c r="A487" s="32">
        <f>IFERROR(__xludf.DUMMYFUNCTION("""COMPUTED_VALUE"""),43204.60661126157)</f>
        <v>43204.60661</v>
      </c>
      <c r="B487" t="s">
        <v>40</v>
      </c>
    </row>
    <row r="488" hidden="1">
      <c r="A488" s="32">
        <f>IFERROR(__xludf.DUMMYFUNCTION("""COMPUTED_VALUE"""),43205.34221806713)</f>
        <v>43205.34222</v>
      </c>
      <c r="B488" t="s">
        <v>380</v>
      </c>
    </row>
    <row r="489" hidden="1">
      <c r="A489" s="32">
        <f>IFERROR(__xludf.DUMMYFUNCTION("""COMPUTED_VALUE"""),43205.49158027778)</f>
        <v>43205.49158</v>
      </c>
      <c r="B489" t="s">
        <v>80</v>
      </c>
    </row>
    <row r="490" hidden="1">
      <c r="A490" s="32">
        <f>IFERROR(__xludf.DUMMYFUNCTION("""COMPUTED_VALUE"""),43205.54193900463)</f>
        <v>43205.54194</v>
      </c>
      <c r="B490" t="s">
        <v>428</v>
      </c>
    </row>
    <row r="491" hidden="1">
      <c r="A491" s="32">
        <f>IFERROR(__xludf.DUMMYFUNCTION("""COMPUTED_VALUE"""),43205.65474864583)</f>
        <v>43205.65475</v>
      </c>
      <c r="B491" t="s">
        <v>124</v>
      </c>
    </row>
    <row r="492" hidden="1">
      <c r="A492" s="32">
        <f>IFERROR(__xludf.DUMMYFUNCTION("""COMPUTED_VALUE"""),43205.929589444444)</f>
        <v>43205.92959</v>
      </c>
      <c r="B492" t="s">
        <v>461</v>
      </c>
    </row>
    <row r="493" hidden="1">
      <c r="A493" s="32">
        <f>IFERROR(__xludf.DUMMYFUNCTION("""COMPUTED_VALUE"""),43206.28471085648)</f>
        <v>43206.28471</v>
      </c>
      <c r="B493" t="s">
        <v>40</v>
      </c>
    </row>
    <row r="494" hidden="1">
      <c r="A494" s="32">
        <f>IFERROR(__xludf.DUMMYFUNCTION("""COMPUTED_VALUE"""),43206.56354739583)</f>
        <v>43206.56355</v>
      </c>
      <c r="B494" t="s">
        <v>33</v>
      </c>
    </row>
    <row r="495" hidden="1">
      <c r="A495" s="32">
        <f>IFERROR(__xludf.DUMMYFUNCTION("""COMPUTED_VALUE"""),43206.94447800926)</f>
        <v>43206.94448</v>
      </c>
      <c r="B495" t="s">
        <v>45</v>
      </c>
    </row>
    <row r="496" hidden="1">
      <c r="A496" s="32">
        <f>IFERROR(__xludf.DUMMYFUNCTION("""COMPUTED_VALUE"""),43207.0181296875)</f>
        <v>43207.01813</v>
      </c>
      <c r="B496" t="s">
        <v>25</v>
      </c>
    </row>
    <row r="497" hidden="1">
      <c r="A497" s="32">
        <f>IFERROR(__xludf.DUMMYFUNCTION("""COMPUTED_VALUE"""),43207.495287743055)</f>
        <v>43207.49529</v>
      </c>
      <c r="B497" t="s">
        <v>33</v>
      </c>
    </row>
    <row r="498" hidden="1">
      <c r="A498" s="32">
        <f>IFERROR(__xludf.DUMMYFUNCTION("""COMPUTED_VALUE"""),43207.5707996875)</f>
        <v>43207.5708</v>
      </c>
      <c r="B498" t="s">
        <v>463</v>
      </c>
    </row>
    <row r="499" hidden="1">
      <c r="A499" s="32">
        <f>IFERROR(__xludf.DUMMYFUNCTION("""COMPUTED_VALUE"""),43207.96799300926)</f>
        <v>43207.96799</v>
      </c>
      <c r="B499" t="s">
        <v>33</v>
      </c>
    </row>
    <row r="500" hidden="1">
      <c r="A500" s="32">
        <f>IFERROR(__xludf.DUMMYFUNCTION("""COMPUTED_VALUE"""),43208.37361407407)</f>
        <v>43208.37361</v>
      </c>
      <c r="B500" t="s">
        <v>40</v>
      </c>
    </row>
    <row r="501" hidden="1">
      <c r="A501" s="32">
        <f>IFERROR(__xludf.DUMMYFUNCTION("""COMPUTED_VALUE"""),43208.374288541665)</f>
        <v>43208.37429</v>
      </c>
      <c r="B501" t="s">
        <v>45</v>
      </c>
    </row>
    <row r="502" hidden="1">
      <c r="A502" s="32">
        <f>IFERROR(__xludf.DUMMYFUNCTION("""COMPUTED_VALUE"""),43208.44134472222)</f>
        <v>43208.44134</v>
      </c>
      <c r="B502" t="s">
        <v>466</v>
      </c>
    </row>
    <row r="503" hidden="1">
      <c r="A503" s="32">
        <f>IFERROR(__xludf.DUMMYFUNCTION("""COMPUTED_VALUE"""),43208.456768923614)</f>
        <v>43208.45677</v>
      </c>
      <c r="B503" t="s">
        <v>40</v>
      </c>
    </row>
    <row r="504" hidden="1">
      <c r="A504" s="32">
        <f>IFERROR(__xludf.DUMMYFUNCTION("""COMPUTED_VALUE"""),43208.63634722222)</f>
        <v>43208.63635</v>
      </c>
      <c r="B504" t="s">
        <v>40</v>
      </c>
    </row>
    <row r="505" hidden="1">
      <c r="A505" s="32">
        <f>IFERROR(__xludf.DUMMYFUNCTION("""COMPUTED_VALUE"""),43208.79400646991)</f>
        <v>43208.79401</v>
      </c>
      <c r="B505" t="s">
        <v>142</v>
      </c>
    </row>
    <row r="506" hidden="1">
      <c r="A506" s="32">
        <f>IFERROR(__xludf.DUMMYFUNCTION("""COMPUTED_VALUE"""),43208.94659048611)</f>
        <v>43208.94659</v>
      </c>
      <c r="B506" t="s">
        <v>468</v>
      </c>
    </row>
    <row r="507" hidden="1">
      <c r="A507" s="32">
        <f>IFERROR(__xludf.DUMMYFUNCTION("""COMPUTED_VALUE"""),43208.94667125)</f>
        <v>43208.94667</v>
      </c>
      <c r="B507" t="s">
        <v>468</v>
      </c>
    </row>
    <row r="508" hidden="1">
      <c r="A508" s="32">
        <f>IFERROR(__xludf.DUMMYFUNCTION("""COMPUTED_VALUE"""),43208.966391678245)</f>
        <v>43208.96639</v>
      </c>
      <c r="B508" t="s">
        <v>33</v>
      </c>
    </row>
    <row r="509" hidden="1">
      <c r="A509" s="32">
        <f>IFERROR(__xludf.DUMMYFUNCTION("""COMPUTED_VALUE"""),43209.61089646991)</f>
        <v>43209.6109</v>
      </c>
      <c r="B509" t="s">
        <v>469</v>
      </c>
    </row>
    <row r="510" hidden="1">
      <c r="A510" s="32">
        <f>IFERROR(__xludf.DUMMYFUNCTION("""COMPUTED_VALUE"""),43209.64589063657)</f>
        <v>43209.64589</v>
      </c>
      <c r="B510" t="s">
        <v>2662</v>
      </c>
    </row>
    <row r="511" hidden="1">
      <c r="A511" s="32">
        <f>IFERROR(__xludf.DUMMYFUNCTION("""COMPUTED_VALUE"""),43209.657539085645)</f>
        <v>43209.65754</v>
      </c>
      <c r="B511" t="s">
        <v>204</v>
      </c>
    </row>
    <row r="512" hidden="1">
      <c r="A512" s="32">
        <f>IFERROR(__xludf.DUMMYFUNCTION("""COMPUTED_VALUE"""),43210.548827465274)</f>
        <v>43210.54883</v>
      </c>
      <c r="B512" t="s">
        <v>45</v>
      </c>
    </row>
    <row r="513" hidden="1">
      <c r="A513" s="32">
        <f>IFERROR(__xludf.DUMMYFUNCTION("""COMPUTED_VALUE"""),43210.752719675926)</f>
        <v>43210.75272</v>
      </c>
      <c r="B513" t="s">
        <v>48</v>
      </c>
    </row>
    <row r="514" hidden="1">
      <c r="A514" s="32">
        <f>IFERROR(__xludf.DUMMYFUNCTION("""COMPUTED_VALUE"""),43211.4422084838)</f>
        <v>43211.44221</v>
      </c>
      <c r="B514" t="s">
        <v>2671</v>
      </c>
    </row>
    <row r="515" hidden="1">
      <c r="A515" s="32">
        <f>IFERROR(__xludf.DUMMYFUNCTION("""COMPUTED_VALUE"""),43211.54704172454)</f>
        <v>43211.54704</v>
      </c>
      <c r="B515" t="s">
        <v>33</v>
      </c>
    </row>
    <row r="516" hidden="1">
      <c r="A516" s="32">
        <f>IFERROR(__xludf.DUMMYFUNCTION("""COMPUTED_VALUE"""),43211.663174236106)</f>
        <v>43211.66317</v>
      </c>
      <c r="B516" t="s">
        <v>473</v>
      </c>
    </row>
    <row r="517" hidden="1">
      <c r="A517" s="32">
        <f>IFERROR(__xludf.DUMMYFUNCTION("""COMPUTED_VALUE"""),43212.5722680787)</f>
        <v>43212.57227</v>
      </c>
      <c r="B517" t="s">
        <v>475</v>
      </c>
    </row>
    <row r="518" hidden="1">
      <c r="A518" s="32">
        <f>IFERROR(__xludf.DUMMYFUNCTION("""COMPUTED_VALUE"""),43212.62325422454)</f>
        <v>43212.62325</v>
      </c>
      <c r="B518" t="s">
        <v>170</v>
      </c>
    </row>
    <row r="519" hidden="1">
      <c r="A519" s="32">
        <f>IFERROR(__xludf.DUMMYFUNCTION("""COMPUTED_VALUE"""),43212.8924134838)</f>
        <v>43212.89241</v>
      </c>
      <c r="B519" t="s">
        <v>33</v>
      </c>
    </row>
    <row r="520" hidden="1">
      <c r="A520" s="32">
        <f>IFERROR(__xludf.DUMMYFUNCTION("""COMPUTED_VALUE"""),43213.08725590278)</f>
        <v>43213.08726</v>
      </c>
      <c r="B520" t="s">
        <v>33</v>
      </c>
    </row>
    <row r="521" hidden="1">
      <c r="A521" s="32">
        <f>IFERROR(__xludf.DUMMYFUNCTION("""COMPUTED_VALUE"""),43213.90076752315)</f>
        <v>43213.90077</v>
      </c>
      <c r="B521" t="s">
        <v>480</v>
      </c>
    </row>
    <row r="522" hidden="1">
      <c r="A522" s="32">
        <f>IFERROR(__xludf.DUMMYFUNCTION("""COMPUTED_VALUE"""),43213.92303667824)</f>
        <v>43213.92304</v>
      </c>
      <c r="B522" t="s">
        <v>33</v>
      </c>
    </row>
    <row r="523" hidden="1">
      <c r="A523" s="32">
        <f>IFERROR(__xludf.DUMMYFUNCTION("""COMPUTED_VALUE"""),43213.93401003472)</f>
        <v>43213.93401</v>
      </c>
      <c r="B523" t="s">
        <v>33</v>
      </c>
    </row>
    <row r="524" hidden="1">
      <c r="A524" s="32">
        <f>IFERROR(__xludf.DUMMYFUNCTION("""COMPUTED_VALUE"""),43213.94399652778)</f>
        <v>43213.944</v>
      </c>
      <c r="B524" t="s">
        <v>124</v>
      </c>
    </row>
    <row r="525" hidden="1">
      <c r="A525" s="32">
        <f>IFERROR(__xludf.DUMMYFUNCTION("""COMPUTED_VALUE"""),43213.96048854166)</f>
        <v>43213.96049</v>
      </c>
      <c r="B525" t="s">
        <v>119</v>
      </c>
    </row>
    <row r="526" hidden="1">
      <c r="A526" s="32">
        <f>IFERROR(__xludf.DUMMYFUNCTION("""COMPUTED_VALUE"""),43214.009149930556)</f>
        <v>43214.00915</v>
      </c>
      <c r="B526" t="s">
        <v>2660</v>
      </c>
    </row>
    <row r="527" hidden="1">
      <c r="A527" s="32">
        <f>IFERROR(__xludf.DUMMYFUNCTION("""COMPUTED_VALUE"""),43214.04347881944)</f>
        <v>43214.04348</v>
      </c>
      <c r="B527" t="s">
        <v>48</v>
      </c>
    </row>
    <row r="528" hidden="1">
      <c r="A528" s="32">
        <f>IFERROR(__xludf.DUMMYFUNCTION("""COMPUTED_VALUE"""),43214.106297604165)</f>
        <v>43214.1063</v>
      </c>
      <c r="B528" t="s">
        <v>80</v>
      </c>
    </row>
    <row r="529" hidden="1">
      <c r="A529" s="32">
        <f>IFERROR(__xludf.DUMMYFUNCTION("""COMPUTED_VALUE"""),43214.276545243054)</f>
        <v>43214.27655</v>
      </c>
      <c r="B529" t="s">
        <v>487</v>
      </c>
    </row>
    <row r="530" hidden="1">
      <c r="A530" s="32">
        <f>IFERROR(__xludf.DUMMYFUNCTION("""COMPUTED_VALUE"""),43214.361164675924)</f>
        <v>43214.36116</v>
      </c>
      <c r="B530" t="s">
        <v>123</v>
      </c>
    </row>
    <row r="531" hidden="1">
      <c r="A531" s="32">
        <f>IFERROR(__xludf.DUMMYFUNCTION("""COMPUTED_VALUE"""),43214.401636145834)</f>
        <v>43214.40164</v>
      </c>
      <c r="B531" t="s">
        <v>33</v>
      </c>
    </row>
    <row r="532" hidden="1">
      <c r="A532" s="32">
        <f>IFERROR(__xludf.DUMMYFUNCTION("""COMPUTED_VALUE"""),43214.4589225)</f>
        <v>43214.45892</v>
      </c>
      <c r="B532" t="s">
        <v>33</v>
      </c>
    </row>
    <row r="533" hidden="1">
      <c r="A533" s="32">
        <f>IFERROR(__xludf.DUMMYFUNCTION("""COMPUTED_VALUE"""),43214.68404511574)</f>
        <v>43214.68405</v>
      </c>
      <c r="B533" t="s">
        <v>371</v>
      </c>
    </row>
    <row r="534" hidden="1">
      <c r="A534" s="32">
        <f>IFERROR(__xludf.DUMMYFUNCTION("""COMPUTED_VALUE"""),43214.68535442129)</f>
        <v>43214.68535</v>
      </c>
      <c r="B534" t="s">
        <v>2658</v>
      </c>
    </row>
    <row r="535" hidden="1">
      <c r="A535" s="32">
        <f>IFERROR(__xludf.DUMMYFUNCTION("""COMPUTED_VALUE"""),43214.83681940973)</f>
        <v>43214.83682</v>
      </c>
      <c r="B535" t="s">
        <v>80</v>
      </c>
    </row>
    <row r="536" hidden="1">
      <c r="A536" s="32">
        <f>IFERROR(__xludf.DUMMYFUNCTION("""COMPUTED_VALUE"""),43214.872629317135)</f>
        <v>43214.87263</v>
      </c>
      <c r="B536" t="s">
        <v>40</v>
      </c>
    </row>
    <row r="537" hidden="1">
      <c r="A537" s="32">
        <f>IFERROR(__xludf.DUMMYFUNCTION("""COMPUTED_VALUE"""),43215.505171006946)</f>
        <v>43215.50517</v>
      </c>
      <c r="B537" t="s">
        <v>350</v>
      </c>
    </row>
    <row r="538" hidden="1">
      <c r="A538" s="32">
        <f>IFERROR(__xludf.DUMMYFUNCTION("""COMPUTED_VALUE"""),43215.52729028935)</f>
        <v>43215.52729</v>
      </c>
      <c r="B538" t="s">
        <v>499</v>
      </c>
    </row>
    <row r="539" hidden="1">
      <c r="A539" s="32">
        <f>IFERROR(__xludf.DUMMYFUNCTION("""COMPUTED_VALUE"""),43215.65526625)</f>
        <v>43215.65527</v>
      </c>
      <c r="B539" t="s">
        <v>501</v>
      </c>
    </row>
    <row r="540" hidden="1">
      <c r="A540" s="32">
        <f>IFERROR(__xludf.DUMMYFUNCTION("""COMPUTED_VALUE"""),43215.67022399306)</f>
        <v>43215.67022</v>
      </c>
      <c r="B540" t="s">
        <v>33</v>
      </c>
    </row>
    <row r="541" hidden="1">
      <c r="A541" s="32">
        <f>IFERROR(__xludf.DUMMYFUNCTION("""COMPUTED_VALUE"""),43215.90580943287)</f>
        <v>43215.90581</v>
      </c>
      <c r="B541" t="s">
        <v>123</v>
      </c>
    </row>
    <row r="542" hidden="1">
      <c r="A542" s="32">
        <f>IFERROR(__xludf.DUMMYFUNCTION("""COMPUTED_VALUE"""),43216.1944881713)</f>
        <v>43216.19449</v>
      </c>
      <c r="B542" t="s">
        <v>33</v>
      </c>
    </row>
    <row r="543" hidden="1">
      <c r="A543" s="32">
        <f>IFERROR(__xludf.DUMMYFUNCTION("""COMPUTED_VALUE"""),43216.39953915509)</f>
        <v>43216.39954</v>
      </c>
      <c r="B543" t="s">
        <v>2672</v>
      </c>
    </row>
    <row r="544" hidden="1">
      <c r="A544" s="32">
        <f>IFERROR(__xludf.DUMMYFUNCTION("""COMPUTED_VALUE"""),43216.5389575463)</f>
        <v>43216.53896</v>
      </c>
      <c r="B544" t="s">
        <v>119</v>
      </c>
    </row>
    <row r="545" hidden="1">
      <c r="A545" s="32">
        <f>IFERROR(__xludf.DUMMYFUNCTION("""COMPUTED_VALUE"""),43217.63685414352)</f>
        <v>43217.63685</v>
      </c>
      <c r="B545" t="s">
        <v>506</v>
      </c>
    </row>
    <row r="546" hidden="1">
      <c r="A546" s="32">
        <f>IFERROR(__xludf.DUMMYFUNCTION("""COMPUTED_VALUE"""),43217.6918728125)</f>
        <v>43217.69187</v>
      </c>
      <c r="B546" t="s">
        <v>25</v>
      </c>
    </row>
    <row r="547" hidden="1">
      <c r="A547" s="32">
        <f>IFERROR(__xludf.DUMMYFUNCTION("""COMPUTED_VALUE"""),43218.34240519676)</f>
        <v>43218.34241</v>
      </c>
      <c r="B547" t="s">
        <v>2673</v>
      </c>
    </row>
    <row r="548" hidden="1">
      <c r="A548" s="32">
        <f>IFERROR(__xludf.DUMMYFUNCTION("""COMPUTED_VALUE"""),43218.42741451389)</f>
        <v>43218.42741</v>
      </c>
      <c r="B548" t="s">
        <v>33</v>
      </c>
    </row>
    <row r="549" hidden="1">
      <c r="A549" s="32">
        <f>IFERROR(__xludf.DUMMYFUNCTION("""COMPUTED_VALUE"""),43218.42891883102)</f>
        <v>43218.42892</v>
      </c>
      <c r="B549" t="s">
        <v>2667</v>
      </c>
    </row>
    <row r="550" hidden="1">
      <c r="A550" s="32">
        <f>IFERROR(__xludf.DUMMYFUNCTION("""COMPUTED_VALUE"""),43218.462196504624)</f>
        <v>43218.4622</v>
      </c>
      <c r="B550" t="s">
        <v>40</v>
      </c>
    </row>
    <row r="551" hidden="1">
      <c r="A551" s="32">
        <f>IFERROR(__xludf.DUMMYFUNCTION("""COMPUTED_VALUE"""),43218.50738545139)</f>
        <v>43218.50739</v>
      </c>
      <c r="B551" t="s">
        <v>119</v>
      </c>
    </row>
    <row r="552" hidden="1">
      <c r="A552" s="32">
        <f>IFERROR(__xludf.DUMMYFUNCTION("""COMPUTED_VALUE"""),43218.77914403935)</f>
        <v>43218.77914</v>
      </c>
      <c r="B552" t="s">
        <v>513</v>
      </c>
    </row>
    <row r="553" hidden="1">
      <c r="A553" s="32">
        <f>IFERROR(__xludf.DUMMYFUNCTION("""COMPUTED_VALUE"""),43218.78930396991)</f>
        <v>43218.7893</v>
      </c>
      <c r="B553" t="s">
        <v>170</v>
      </c>
    </row>
    <row r="554" hidden="1">
      <c r="A554" s="32">
        <f>IFERROR(__xludf.DUMMYFUNCTION("""COMPUTED_VALUE"""),43219.46051128472)</f>
        <v>43219.46051</v>
      </c>
      <c r="B554" t="s">
        <v>33</v>
      </c>
    </row>
    <row r="555" hidden="1">
      <c r="A555" s="32">
        <f>IFERROR(__xludf.DUMMYFUNCTION("""COMPUTED_VALUE"""),43219.581279363425)</f>
        <v>43219.58128</v>
      </c>
      <c r="B555" t="s">
        <v>40</v>
      </c>
    </row>
    <row r="556" hidden="1">
      <c r="A556" s="32">
        <f>IFERROR(__xludf.DUMMYFUNCTION("""COMPUTED_VALUE"""),43219.81093332176)</f>
        <v>43219.81093</v>
      </c>
      <c r="B556" t="s">
        <v>33</v>
      </c>
    </row>
    <row r="557" hidden="1">
      <c r="A557" s="32">
        <f>IFERROR(__xludf.DUMMYFUNCTION("""COMPUTED_VALUE"""),43219.94481137731)</f>
        <v>43219.94481</v>
      </c>
      <c r="B557" t="s">
        <v>357</v>
      </c>
    </row>
    <row r="558" hidden="1">
      <c r="A558" s="32">
        <f>IFERROR(__xludf.DUMMYFUNCTION("""COMPUTED_VALUE"""),43220.01114638889)</f>
        <v>43220.01115</v>
      </c>
      <c r="B558" t="s">
        <v>170</v>
      </c>
    </row>
    <row r="559" hidden="1">
      <c r="A559" s="32">
        <f>IFERROR(__xludf.DUMMYFUNCTION("""COMPUTED_VALUE"""),43220.58498619213)</f>
        <v>43220.58499</v>
      </c>
      <c r="B559" t="s">
        <v>523</v>
      </c>
    </row>
    <row r="560" hidden="1">
      <c r="A560" s="32">
        <f>IFERROR(__xludf.DUMMYFUNCTION("""COMPUTED_VALUE"""),43220.67157173611)</f>
        <v>43220.67157</v>
      </c>
      <c r="B560" t="s">
        <v>45</v>
      </c>
    </row>
    <row r="561" hidden="1">
      <c r="A561" s="32">
        <f>IFERROR(__xludf.DUMMYFUNCTION("""COMPUTED_VALUE"""),43220.77588298611)</f>
        <v>43220.77588</v>
      </c>
      <c r="B561" t="s">
        <v>40</v>
      </c>
    </row>
    <row r="562" hidden="1">
      <c r="A562" s="32">
        <f>IFERROR(__xludf.DUMMYFUNCTION("""COMPUTED_VALUE"""),43220.78915993056)</f>
        <v>43220.78916</v>
      </c>
      <c r="B562" t="s">
        <v>528</v>
      </c>
    </row>
    <row r="563" hidden="1">
      <c r="A563" s="32">
        <f>IFERROR(__xludf.DUMMYFUNCTION("""COMPUTED_VALUE"""),43220.795045798615)</f>
        <v>43220.79505</v>
      </c>
      <c r="B563" t="s">
        <v>528</v>
      </c>
    </row>
    <row r="564" hidden="1">
      <c r="A564" s="32">
        <f>IFERROR(__xludf.DUMMYFUNCTION("""COMPUTED_VALUE"""),43220.92538516204)</f>
        <v>43220.92539</v>
      </c>
      <c r="B564" t="s">
        <v>122</v>
      </c>
    </row>
    <row r="565" hidden="1">
      <c r="A565" s="32">
        <f>IFERROR(__xludf.DUMMYFUNCTION("""COMPUTED_VALUE"""),43221.29443278935)</f>
        <v>43221.29443</v>
      </c>
      <c r="B565" t="s">
        <v>33</v>
      </c>
    </row>
    <row r="566" hidden="1">
      <c r="A566" s="32">
        <f>IFERROR(__xludf.DUMMYFUNCTION("""COMPUTED_VALUE"""),43221.72394045139)</f>
        <v>43221.72394</v>
      </c>
      <c r="B566" t="s">
        <v>532</v>
      </c>
    </row>
    <row r="567" hidden="1">
      <c r="A567" s="32">
        <f>IFERROR(__xludf.DUMMYFUNCTION("""COMPUTED_VALUE"""),43222.356746840276)</f>
        <v>43222.35675</v>
      </c>
      <c r="B567" t="s">
        <v>33</v>
      </c>
    </row>
    <row r="568" hidden="1">
      <c r="A568" s="32">
        <f>IFERROR(__xludf.DUMMYFUNCTION("""COMPUTED_VALUE"""),43222.375697881944)</f>
        <v>43222.3757</v>
      </c>
      <c r="B568" t="s">
        <v>33</v>
      </c>
    </row>
    <row r="569" hidden="1">
      <c r="A569" s="32">
        <f>IFERROR(__xludf.DUMMYFUNCTION("""COMPUTED_VALUE"""),43223.57823238426)</f>
        <v>43223.57823</v>
      </c>
      <c r="B569" t="s">
        <v>119</v>
      </c>
    </row>
    <row r="570" hidden="1">
      <c r="A570" s="32">
        <f>IFERROR(__xludf.DUMMYFUNCTION("""COMPUTED_VALUE"""),43223.75103082176)</f>
        <v>43223.75103</v>
      </c>
      <c r="B570" t="s">
        <v>33</v>
      </c>
    </row>
    <row r="571" hidden="1">
      <c r="A571" s="32">
        <f>IFERROR(__xludf.DUMMYFUNCTION("""COMPUTED_VALUE"""),43224.41214049769)</f>
        <v>43224.41214</v>
      </c>
      <c r="B571" t="s">
        <v>2383</v>
      </c>
    </row>
    <row r="572" hidden="1">
      <c r="A572" s="32">
        <f>IFERROR(__xludf.DUMMYFUNCTION("""COMPUTED_VALUE"""),43224.93058885417)</f>
        <v>43224.93059</v>
      </c>
      <c r="B572" t="s">
        <v>170</v>
      </c>
    </row>
    <row r="573" hidden="1">
      <c r="A573" s="32">
        <f>IFERROR(__xludf.DUMMYFUNCTION("""COMPUTED_VALUE"""),43225.24275827546)</f>
        <v>43225.24276</v>
      </c>
      <c r="B573" t="s">
        <v>538</v>
      </c>
    </row>
    <row r="574" hidden="1">
      <c r="A574" s="32">
        <f>IFERROR(__xludf.DUMMYFUNCTION("""COMPUTED_VALUE"""),43225.37141634259)</f>
        <v>43225.37142</v>
      </c>
      <c r="B574" t="s">
        <v>33</v>
      </c>
    </row>
    <row r="575" hidden="1">
      <c r="A575" s="32">
        <f>IFERROR(__xludf.DUMMYFUNCTION("""COMPUTED_VALUE"""),43225.51911013889)</f>
        <v>43225.51911</v>
      </c>
      <c r="B575" t="s">
        <v>33</v>
      </c>
    </row>
    <row r="576" hidden="1">
      <c r="A576" s="32">
        <f>IFERROR(__xludf.DUMMYFUNCTION("""COMPUTED_VALUE"""),43225.53022800926)</f>
        <v>43225.53023</v>
      </c>
      <c r="B576" t="s">
        <v>80</v>
      </c>
    </row>
    <row r="577" hidden="1">
      <c r="A577" s="32">
        <f>IFERROR(__xludf.DUMMYFUNCTION("""COMPUTED_VALUE"""),43225.5955893287)</f>
        <v>43225.59559</v>
      </c>
      <c r="B577" t="s">
        <v>48</v>
      </c>
    </row>
    <row r="578" hidden="1">
      <c r="A578" s="32">
        <f>IFERROR(__xludf.DUMMYFUNCTION("""COMPUTED_VALUE"""),43225.61090649306)</f>
        <v>43225.61091</v>
      </c>
      <c r="B578" t="s">
        <v>40</v>
      </c>
    </row>
    <row r="579" hidden="1">
      <c r="A579" s="32">
        <f>IFERROR(__xludf.DUMMYFUNCTION("""COMPUTED_VALUE"""),43226.55668361111)</f>
        <v>43226.55668</v>
      </c>
      <c r="B579" t="s">
        <v>40</v>
      </c>
    </row>
    <row r="580" hidden="1">
      <c r="A580" s="32">
        <f>IFERROR(__xludf.DUMMYFUNCTION("""COMPUTED_VALUE"""),43227.509277199075)</f>
        <v>43227.50928</v>
      </c>
      <c r="B580" t="s">
        <v>40</v>
      </c>
    </row>
    <row r="581" hidden="1">
      <c r="A581" s="32">
        <f>IFERROR(__xludf.DUMMYFUNCTION("""COMPUTED_VALUE"""),43227.57861575231)</f>
        <v>43227.57862</v>
      </c>
      <c r="B581" t="s">
        <v>40</v>
      </c>
    </row>
    <row r="582" hidden="1">
      <c r="A582" s="32">
        <f>IFERROR(__xludf.DUMMYFUNCTION("""COMPUTED_VALUE"""),43227.788881863424)</f>
        <v>43227.78888</v>
      </c>
      <c r="B582" t="s">
        <v>48</v>
      </c>
    </row>
    <row r="583" hidden="1">
      <c r="A583" s="32">
        <f>IFERROR(__xludf.DUMMYFUNCTION("""COMPUTED_VALUE"""),43227.79715107639)</f>
        <v>43227.79715</v>
      </c>
      <c r="B583" t="s">
        <v>540</v>
      </c>
    </row>
    <row r="584" hidden="1">
      <c r="A584" s="32">
        <f>IFERROR(__xludf.DUMMYFUNCTION("""COMPUTED_VALUE"""),43227.80033105324)</f>
        <v>43227.80033</v>
      </c>
      <c r="B584" t="s">
        <v>33</v>
      </c>
    </row>
    <row r="585" hidden="1">
      <c r="A585" s="32">
        <f>IFERROR(__xludf.DUMMYFUNCTION("""COMPUTED_VALUE"""),43227.86698821759)</f>
        <v>43227.86699</v>
      </c>
      <c r="B585" t="s">
        <v>33</v>
      </c>
    </row>
    <row r="586" hidden="1">
      <c r="A586" s="32">
        <f>IFERROR(__xludf.DUMMYFUNCTION("""COMPUTED_VALUE"""),43227.876025694444)</f>
        <v>43227.87603</v>
      </c>
      <c r="B586" t="s">
        <v>1036</v>
      </c>
    </row>
    <row r="587" hidden="1">
      <c r="A587" s="32">
        <f>IFERROR(__xludf.DUMMYFUNCTION("""COMPUTED_VALUE"""),43227.88517116898)</f>
        <v>43227.88517</v>
      </c>
      <c r="B587" t="s">
        <v>33</v>
      </c>
    </row>
    <row r="588" hidden="1">
      <c r="A588" s="32">
        <f>IFERROR(__xludf.DUMMYFUNCTION("""COMPUTED_VALUE"""),43228.09087375)</f>
        <v>43228.09087</v>
      </c>
      <c r="B588" t="s">
        <v>48</v>
      </c>
    </row>
    <row r="589" hidden="1">
      <c r="A589" s="32">
        <f>IFERROR(__xludf.DUMMYFUNCTION("""COMPUTED_VALUE"""),43228.11928008102)</f>
        <v>43228.11928</v>
      </c>
      <c r="B589" t="s">
        <v>40</v>
      </c>
    </row>
    <row r="590" hidden="1">
      <c r="A590" s="32">
        <f>IFERROR(__xludf.DUMMYFUNCTION("""COMPUTED_VALUE"""),43228.204206168986)</f>
        <v>43228.20421</v>
      </c>
      <c r="B590" t="s">
        <v>40</v>
      </c>
    </row>
    <row r="591" hidden="1">
      <c r="A591" s="32">
        <f>IFERROR(__xludf.DUMMYFUNCTION("""COMPUTED_VALUE"""),43228.577886875)</f>
        <v>43228.57789</v>
      </c>
      <c r="B591" t="s">
        <v>40</v>
      </c>
    </row>
    <row r="592" hidden="1">
      <c r="A592" s="32">
        <f>IFERROR(__xludf.DUMMYFUNCTION("""COMPUTED_VALUE"""),43228.601780972225)</f>
        <v>43228.60178</v>
      </c>
      <c r="B592" t="s">
        <v>33</v>
      </c>
    </row>
    <row r="593" hidden="1">
      <c r="A593" s="32">
        <f>IFERROR(__xludf.DUMMYFUNCTION("""COMPUTED_VALUE"""),43228.66489804398)</f>
        <v>43228.6649</v>
      </c>
      <c r="B593" t="s">
        <v>2658</v>
      </c>
    </row>
    <row r="594" hidden="1">
      <c r="A594" s="32">
        <f>IFERROR(__xludf.DUMMYFUNCTION("""COMPUTED_VALUE"""),43228.798749062495)</f>
        <v>43228.79875</v>
      </c>
      <c r="B594" t="s">
        <v>33</v>
      </c>
    </row>
    <row r="595" hidden="1">
      <c r="A595" s="32">
        <f>IFERROR(__xludf.DUMMYFUNCTION("""COMPUTED_VALUE"""),43228.81525833333)</f>
        <v>43228.81526</v>
      </c>
      <c r="B595" t="s">
        <v>258</v>
      </c>
    </row>
    <row r="596" hidden="1">
      <c r="A596" s="32">
        <f>IFERROR(__xludf.DUMMYFUNCTION("""COMPUTED_VALUE"""),43228.84344523148)</f>
        <v>43228.84345</v>
      </c>
      <c r="B596" t="s">
        <v>80</v>
      </c>
    </row>
    <row r="597" hidden="1">
      <c r="A597" s="32">
        <f>IFERROR(__xludf.DUMMYFUNCTION("""COMPUTED_VALUE"""),43228.8552978588)</f>
        <v>43228.8553</v>
      </c>
      <c r="B597" t="s">
        <v>33</v>
      </c>
    </row>
    <row r="598" hidden="1">
      <c r="A598" s="32">
        <f>IFERROR(__xludf.DUMMYFUNCTION("""COMPUTED_VALUE"""),43228.886501643516)</f>
        <v>43228.8865</v>
      </c>
      <c r="B598" t="s">
        <v>40</v>
      </c>
    </row>
    <row r="599" hidden="1">
      <c r="A599" s="32">
        <f>IFERROR(__xludf.DUMMYFUNCTION("""COMPUTED_VALUE"""),43228.94922005787)</f>
        <v>43228.94922</v>
      </c>
      <c r="B599" t="s">
        <v>548</v>
      </c>
    </row>
    <row r="600" hidden="1">
      <c r="A600" s="32">
        <f>IFERROR(__xludf.DUMMYFUNCTION("""COMPUTED_VALUE"""),43228.96066275463)</f>
        <v>43228.96066</v>
      </c>
      <c r="B600" t="s">
        <v>33</v>
      </c>
    </row>
    <row r="601" hidden="1">
      <c r="A601" s="32">
        <f>IFERROR(__xludf.DUMMYFUNCTION("""COMPUTED_VALUE"""),43229.2673946875)</f>
        <v>43229.26739</v>
      </c>
      <c r="B601" t="s">
        <v>80</v>
      </c>
    </row>
    <row r="602" hidden="1">
      <c r="A602" s="32">
        <f>IFERROR(__xludf.DUMMYFUNCTION("""COMPUTED_VALUE"""),43229.30660847222)</f>
        <v>43229.30661</v>
      </c>
      <c r="B602" t="s">
        <v>80</v>
      </c>
    </row>
    <row r="603" hidden="1">
      <c r="A603" s="32">
        <f>IFERROR(__xludf.DUMMYFUNCTION("""COMPUTED_VALUE"""),43229.324759490744)</f>
        <v>43229.32476</v>
      </c>
      <c r="B603" t="s">
        <v>48</v>
      </c>
    </row>
    <row r="604" hidden="1">
      <c r="A604" s="32">
        <f>IFERROR(__xludf.DUMMYFUNCTION("""COMPUTED_VALUE"""),43229.339428680556)</f>
        <v>43229.33943</v>
      </c>
      <c r="B604" t="s">
        <v>33</v>
      </c>
    </row>
    <row r="605" hidden="1">
      <c r="A605" s="32">
        <f>IFERROR(__xludf.DUMMYFUNCTION("""COMPUTED_VALUE"""),43229.36041862269)</f>
        <v>43229.36042</v>
      </c>
      <c r="B605" t="s">
        <v>45</v>
      </c>
    </row>
    <row r="606" hidden="1">
      <c r="A606" s="32">
        <f>IFERROR(__xludf.DUMMYFUNCTION("""COMPUTED_VALUE"""),43229.36940024306)</f>
        <v>43229.3694</v>
      </c>
      <c r="B606" t="s">
        <v>2674</v>
      </c>
    </row>
    <row r="607" hidden="1">
      <c r="A607" s="32">
        <f>IFERROR(__xludf.DUMMYFUNCTION("""COMPUTED_VALUE"""),43229.46326965278)</f>
        <v>43229.46327</v>
      </c>
      <c r="B607" t="s">
        <v>40</v>
      </c>
    </row>
    <row r="608" hidden="1">
      <c r="A608" s="32">
        <f>IFERROR(__xludf.DUMMYFUNCTION("""COMPUTED_VALUE"""),43229.49327178241)</f>
        <v>43229.49327</v>
      </c>
      <c r="B608" t="s">
        <v>40</v>
      </c>
    </row>
    <row r="609" hidden="1">
      <c r="A609" s="32">
        <f>IFERROR(__xludf.DUMMYFUNCTION("""COMPUTED_VALUE"""),43229.58903349537)</f>
        <v>43229.58903</v>
      </c>
      <c r="B609" t="s">
        <v>123</v>
      </c>
    </row>
    <row r="610" hidden="1">
      <c r="A610" s="32">
        <f>IFERROR(__xludf.DUMMYFUNCTION("""COMPUTED_VALUE"""),43229.89460988426)</f>
        <v>43229.89461</v>
      </c>
      <c r="B610" t="s">
        <v>33</v>
      </c>
    </row>
    <row r="611" hidden="1">
      <c r="A611" s="32">
        <f>IFERROR(__xludf.DUMMYFUNCTION("""COMPUTED_VALUE"""),43229.92172258101)</f>
        <v>43229.92172</v>
      </c>
      <c r="B611" t="s">
        <v>33</v>
      </c>
    </row>
    <row r="612" hidden="1">
      <c r="A612" s="32">
        <f>IFERROR(__xludf.DUMMYFUNCTION("""COMPUTED_VALUE"""),43230.211981354165)</f>
        <v>43230.21198</v>
      </c>
      <c r="B612" t="s">
        <v>33</v>
      </c>
    </row>
    <row r="613" hidden="1">
      <c r="A613" s="32">
        <f>IFERROR(__xludf.DUMMYFUNCTION("""COMPUTED_VALUE"""),43230.26206209491)</f>
        <v>43230.26206</v>
      </c>
      <c r="B613" t="s">
        <v>33</v>
      </c>
    </row>
    <row r="614" hidden="1">
      <c r="A614" s="32">
        <f>IFERROR(__xludf.DUMMYFUNCTION("""COMPUTED_VALUE"""),43230.62335945602)</f>
        <v>43230.62336</v>
      </c>
      <c r="B614" t="s">
        <v>33</v>
      </c>
    </row>
    <row r="615" hidden="1">
      <c r="A615" s="32">
        <f>IFERROR(__xludf.DUMMYFUNCTION("""COMPUTED_VALUE"""),43230.743318912035)</f>
        <v>43230.74332</v>
      </c>
      <c r="B615" t="s">
        <v>2675</v>
      </c>
    </row>
    <row r="616" hidden="1">
      <c r="A616" s="32">
        <f>IFERROR(__xludf.DUMMYFUNCTION("""COMPUTED_VALUE"""),43231.32398973379)</f>
        <v>43231.32399</v>
      </c>
      <c r="B616" t="s">
        <v>40</v>
      </c>
    </row>
    <row r="617" hidden="1">
      <c r="A617" s="32">
        <f>IFERROR(__xludf.DUMMYFUNCTION("""COMPUTED_VALUE"""),43231.356283518515)</f>
        <v>43231.35628</v>
      </c>
      <c r="B617" t="s">
        <v>80</v>
      </c>
    </row>
    <row r="618" hidden="1">
      <c r="A618" s="32">
        <f>IFERROR(__xludf.DUMMYFUNCTION("""COMPUTED_VALUE"""),43231.445814293984)</f>
        <v>43231.44581</v>
      </c>
      <c r="B618" t="s">
        <v>45</v>
      </c>
    </row>
    <row r="619" hidden="1">
      <c r="A619" s="32">
        <f>IFERROR(__xludf.DUMMYFUNCTION("""COMPUTED_VALUE"""),43231.50756773148)</f>
        <v>43231.50757</v>
      </c>
      <c r="B619" t="s">
        <v>2658</v>
      </c>
    </row>
    <row r="620" hidden="1">
      <c r="A620" s="32">
        <f>IFERROR(__xludf.DUMMYFUNCTION("""COMPUTED_VALUE"""),43231.58357150463)</f>
        <v>43231.58357</v>
      </c>
      <c r="B620" t="s">
        <v>560</v>
      </c>
    </row>
    <row r="621" hidden="1">
      <c r="A621" s="32">
        <f>IFERROR(__xludf.DUMMYFUNCTION("""COMPUTED_VALUE"""),43231.85024221065)</f>
        <v>43231.85024</v>
      </c>
      <c r="B621" t="s">
        <v>154</v>
      </c>
    </row>
    <row r="622" hidden="1">
      <c r="A622" s="32">
        <f>IFERROR(__xludf.DUMMYFUNCTION("""COMPUTED_VALUE"""),43231.94647293982)</f>
        <v>43231.94647</v>
      </c>
      <c r="B622" t="s">
        <v>45</v>
      </c>
    </row>
    <row r="623" hidden="1">
      <c r="A623" s="32">
        <f>IFERROR(__xludf.DUMMYFUNCTION("""COMPUTED_VALUE"""),43231.995294953704)</f>
        <v>43231.99529</v>
      </c>
      <c r="B623" t="s">
        <v>25</v>
      </c>
    </row>
    <row r="624" hidden="1">
      <c r="A624" s="32">
        <f>IFERROR(__xludf.DUMMYFUNCTION("""COMPUTED_VALUE"""),43232.22708997685)</f>
        <v>43232.22709</v>
      </c>
      <c r="B624" t="s">
        <v>33</v>
      </c>
    </row>
    <row r="625" hidden="1">
      <c r="A625" s="32">
        <f>IFERROR(__xludf.DUMMYFUNCTION("""COMPUTED_VALUE"""),43232.61513715278)</f>
        <v>43232.61514</v>
      </c>
      <c r="B625" t="s">
        <v>33</v>
      </c>
    </row>
    <row r="626" hidden="1">
      <c r="A626" s="32">
        <f>IFERROR(__xludf.DUMMYFUNCTION("""COMPUTED_VALUE"""),43232.887057280095)</f>
        <v>43232.88706</v>
      </c>
      <c r="B626" t="s">
        <v>123</v>
      </c>
    </row>
    <row r="627" hidden="1">
      <c r="A627" s="32">
        <f>IFERROR(__xludf.DUMMYFUNCTION("""COMPUTED_VALUE"""),43232.91942402778)</f>
        <v>43232.91942</v>
      </c>
      <c r="B627" t="s">
        <v>80</v>
      </c>
    </row>
    <row r="628" hidden="1">
      <c r="A628" s="32">
        <f>IFERROR(__xludf.DUMMYFUNCTION("""COMPUTED_VALUE"""),43232.92004899305)</f>
        <v>43232.92005</v>
      </c>
      <c r="B628" t="s">
        <v>48</v>
      </c>
    </row>
    <row r="629" hidden="1">
      <c r="A629" s="32">
        <f>IFERROR(__xludf.DUMMYFUNCTION("""COMPUTED_VALUE"""),43233.05521756945)</f>
        <v>43233.05522</v>
      </c>
      <c r="B629" t="s">
        <v>80</v>
      </c>
    </row>
    <row r="630" hidden="1">
      <c r="A630" s="32">
        <f>IFERROR(__xludf.DUMMYFUNCTION("""COMPUTED_VALUE"""),43233.164284375)</f>
        <v>43233.16428</v>
      </c>
      <c r="B630" t="s">
        <v>350</v>
      </c>
    </row>
    <row r="631" hidden="1">
      <c r="A631" s="32">
        <f>IFERROR(__xludf.DUMMYFUNCTION("""COMPUTED_VALUE"""),43233.28730393518)</f>
        <v>43233.2873</v>
      </c>
      <c r="B631" t="s">
        <v>548</v>
      </c>
    </row>
    <row r="632" hidden="1">
      <c r="A632" s="32">
        <f>IFERROR(__xludf.DUMMYFUNCTION("""COMPUTED_VALUE"""),43233.29009931713)</f>
        <v>43233.2901</v>
      </c>
      <c r="B632" t="s">
        <v>33</v>
      </c>
    </row>
    <row r="633" hidden="1">
      <c r="A633" s="32">
        <f>IFERROR(__xludf.DUMMYFUNCTION("""COMPUTED_VALUE"""),43233.31015518519)</f>
        <v>43233.31016</v>
      </c>
      <c r="B633" t="s">
        <v>170</v>
      </c>
    </row>
    <row r="634" hidden="1">
      <c r="A634" s="32">
        <f>IFERROR(__xludf.DUMMYFUNCTION("""COMPUTED_VALUE"""),43233.468043877314)</f>
        <v>43233.46804</v>
      </c>
      <c r="B634" t="s">
        <v>40</v>
      </c>
    </row>
    <row r="635" hidden="1">
      <c r="A635" s="32">
        <f>IFERROR(__xludf.DUMMYFUNCTION("""COMPUTED_VALUE"""),43233.899150474535)</f>
        <v>43233.89915</v>
      </c>
      <c r="B635" t="s">
        <v>200</v>
      </c>
    </row>
    <row r="636" hidden="1">
      <c r="A636" s="32">
        <f>IFERROR(__xludf.DUMMYFUNCTION("""COMPUTED_VALUE"""),43233.99613688658)</f>
        <v>43233.99614</v>
      </c>
      <c r="B636" t="s">
        <v>188</v>
      </c>
    </row>
    <row r="637" hidden="1">
      <c r="A637" s="32">
        <f>IFERROR(__xludf.DUMMYFUNCTION("""COMPUTED_VALUE"""),43234.35887486111)</f>
        <v>43234.35887</v>
      </c>
      <c r="B637" t="s">
        <v>574</v>
      </c>
    </row>
    <row r="638" hidden="1">
      <c r="A638" s="32">
        <f>IFERROR(__xludf.DUMMYFUNCTION("""COMPUTED_VALUE"""),43234.57744421296)</f>
        <v>43234.57744</v>
      </c>
      <c r="B638" t="s">
        <v>33</v>
      </c>
    </row>
    <row r="639" hidden="1">
      <c r="A639" s="32">
        <f>IFERROR(__xludf.DUMMYFUNCTION("""COMPUTED_VALUE"""),43234.7697055787)</f>
        <v>43234.76971</v>
      </c>
      <c r="B639" t="s">
        <v>80</v>
      </c>
    </row>
    <row r="640" hidden="1">
      <c r="A640" s="32">
        <f>IFERROR(__xludf.DUMMYFUNCTION("""COMPUTED_VALUE"""),43234.780898171295)</f>
        <v>43234.7809</v>
      </c>
      <c r="B640" t="s">
        <v>80</v>
      </c>
    </row>
    <row r="641" hidden="1">
      <c r="A641" s="32">
        <f>IFERROR(__xludf.DUMMYFUNCTION("""COMPUTED_VALUE"""),43235.32717333334)</f>
        <v>43235.32717</v>
      </c>
      <c r="B641" t="s">
        <v>40</v>
      </c>
    </row>
    <row r="642" hidden="1">
      <c r="A642" s="32">
        <f>IFERROR(__xludf.DUMMYFUNCTION("""COMPUTED_VALUE"""),43235.37652347222)</f>
        <v>43235.37652</v>
      </c>
      <c r="B642" t="s">
        <v>170</v>
      </c>
    </row>
    <row r="643" hidden="1">
      <c r="A643" s="32">
        <f>IFERROR(__xludf.DUMMYFUNCTION("""COMPUTED_VALUE"""),43235.3932705787)</f>
        <v>43235.39327</v>
      </c>
      <c r="B643" t="s">
        <v>170</v>
      </c>
    </row>
    <row r="644" hidden="1">
      <c r="A644" s="32">
        <f>IFERROR(__xludf.DUMMYFUNCTION("""COMPUTED_VALUE"""),43235.464478090274)</f>
        <v>43235.46448</v>
      </c>
      <c r="B644" t="s">
        <v>204</v>
      </c>
    </row>
    <row r="645" hidden="1">
      <c r="A645" s="32">
        <f>IFERROR(__xludf.DUMMYFUNCTION("""COMPUTED_VALUE"""),43235.836045324075)</f>
        <v>43235.83605</v>
      </c>
      <c r="B645" t="s">
        <v>80</v>
      </c>
    </row>
    <row r="646" hidden="1">
      <c r="A646" s="32">
        <f>IFERROR(__xludf.DUMMYFUNCTION("""COMPUTED_VALUE"""),43235.88871417824)</f>
        <v>43235.88871</v>
      </c>
      <c r="B646" t="s">
        <v>33</v>
      </c>
    </row>
    <row r="647" hidden="1">
      <c r="A647" s="32">
        <f>IFERROR(__xludf.DUMMYFUNCTION("""COMPUTED_VALUE"""),43235.921628703705)</f>
        <v>43235.92163</v>
      </c>
      <c r="B647" t="s">
        <v>580</v>
      </c>
    </row>
    <row r="648" hidden="1">
      <c r="A648" s="32">
        <f>IFERROR(__xludf.DUMMYFUNCTION("""COMPUTED_VALUE"""),43235.9277144213)</f>
        <v>43235.92771</v>
      </c>
      <c r="B648" t="s">
        <v>40</v>
      </c>
    </row>
    <row r="649" hidden="1">
      <c r="A649" s="32">
        <f>IFERROR(__xludf.DUMMYFUNCTION("""COMPUTED_VALUE"""),43235.998702592595)</f>
        <v>43235.9987</v>
      </c>
      <c r="B649" t="s">
        <v>40</v>
      </c>
    </row>
    <row r="650" hidden="1">
      <c r="A650" s="32">
        <f>IFERROR(__xludf.DUMMYFUNCTION("""COMPUTED_VALUE"""),43236.36814274306)</f>
        <v>43236.36814</v>
      </c>
      <c r="B650" t="s">
        <v>40</v>
      </c>
    </row>
    <row r="651" hidden="1">
      <c r="A651" s="32">
        <f>IFERROR(__xludf.DUMMYFUNCTION("""COMPUTED_VALUE"""),43236.495359050925)</f>
        <v>43236.49536</v>
      </c>
      <c r="B651" t="s">
        <v>95</v>
      </c>
    </row>
    <row r="652" hidden="1">
      <c r="A652" s="32">
        <f>IFERROR(__xludf.DUMMYFUNCTION("""COMPUTED_VALUE"""),43236.55324193287)</f>
        <v>43236.55324</v>
      </c>
      <c r="B652" t="s">
        <v>157</v>
      </c>
    </row>
    <row r="653" hidden="1">
      <c r="A653" s="32">
        <f>IFERROR(__xludf.DUMMYFUNCTION("""COMPUTED_VALUE"""),43236.667080439816)</f>
        <v>43236.66708</v>
      </c>
      <c r="B653" t="s">
        <v>33</v>
      </c>
    </row>
    <row r="654" hidden="1">
      <c r="A654" s="32">
        <f>IFERROR(__xludf.DUMMYFUNCTION("""COMPUTED_VALUE"""),43236.69070284722)</f>
        <v>43236.6907</v>
      </c>
      <c r="B654" t="s">
        <v>40</v>
      </c>
    </row>
    <row r="655" hidden="1">
      <c r="A655" s="32">
        <f>IFERROR(__xludf.DUMMYFUNCTION("""COMPUTED_VALUE"""),43236.716581597226)</f>
        <v>43236.71658</v>
      </c>
      <c r="B655" t="s">
        <v>40</v>
      </c>
    </row>
    <row r="656" hidden="1">
      <c r="A656" s="32">
        <f>IFERROR(__xludf.DUMMYFUNCTION("""COMPUTED_VALUE"""),43236.76345155093)</f>
        <v>43236.76345</v>
      </c>
      <c r="B656" t="s">
        <v>40</v>
      </c>
    </row>
    <row r="657" hidden="1">
      <c r="A657" s="32">
        <f>IFERROR(__xludf.DUMMYFUNCTION("""COMPUTED_VALUE"""),43236.84699440972)</f>
        <v>43236.84699</v>
      </c>
      <c r="B657" t="s">
        <v>2658</v>
      </c>
    </row>
    <row r="658" hidden="1">
      <c r="A658" s="32">
        <f>IFERROR(__xludf.DUMMYFUNCTION("""COMPUTED_VALUE"""),43236.877258796296)</f>
        <v>43236.87726</v>
      </c>
      <c r="B658" t="s">
        <v>80</v>
      </c>
    </row>
    <row r="659" hidden="1">
      <c r="A659" s="32">
        <f>IFERROR(__xludf.DUMMYFUNCTION("""COMPUTED_VALUE"""),43237.36200284722)</f>
        <v>43237.362</v>
      </c>
      <c r="B659" t="s">
        <v>40</v>
      </c>
    </row>
    <row r="660" hidden="1">
      <c r="A660" s="32">
        <f>IFERROR(__xludf.DUMMYFUNCTION("""COMPUTED_VALUE"""),43237.50501854166)</f>
        <v>43237.50502</v>
      </c>
      <c r="B660" t="s">
        <v>2674</v>
      </c>
    </row>
    <row r="661" hidden="1">
      <c r="A661" s="32">
        <f>IFERROR(__xludf.DUMMYFUNCTION("""COMPUTED_VALUE"""),43237.524017476855)</f>
        <v>43237.52402</v>
      </c>
      <c r="B661" t="s">
        <v>33</v>
      </c>
    </row>
    <row r="662" hidden="1">
      <c r="A662" s="32">
        <f>IFERROR(__xludf.DUMMYFUNCTION("""COMPUTED_VALUE"""),43237.532984722224)</f>
        <v>43237.53298</v>
      </c>
      <c r="B662" t="s">
        <v>25</v>
      </c>
    </row>
    <row r="663" hidden="1">
      <c r="A663" s="32">
        <f>IFERROR(__xludf.DUMMYFUNCTION("""COMPUTED_VALUE"""),43237.562660138894)</f>
        <v>43237.56266</v>
      </c>
      <c r="B663" t="s">
        <v>204</v>
      </c>
    </row>
    <row r="664" hidden="1">
      <c r="A664" s="32">
        <f>IFERROR(__xludf.DUMMYFUNCTION("""COMPUTED_VALUE"""),43237.62082300926)</f>
        <v>43237.62082</v>
      </c>
      <c r="B664" t="s">
        <v>33</v>
      </c>
    </row>
    <row r="665" hidden="1">
      <c r="A665" s="32">
        <f>IFERROR(__xludf.DUMMYFUNCTION("""COMPUTED_VALUE"""),43237.715661064816)</f>
        <v>43237.71566</v>
      </c>
      <c r="B665" t="s">
        <v>170</v>
      </c>
    </row>
    <row r="666" hidden="1">
      <c r="A666" s="32">
        <f>IFERROR(__xludf.DUMMYFUNCTION("""COMPUTED_VALUE"""),43237.79891894676)</f>
        <v>43237.79892</v>
      </c>
      <c r="B666" t="s">
        <v>258</v>
      </c>
    </row>
    <row r="667" hidden="1">
      <c r="A667" s="32">
        <f>IFERROR(__xludf.DUMMYFUNCTION("""COMPUTED_VALUE"""),43237.90597528935)</f>
        <v>43237.90598</v>
      </c>
      <c r="B667" t="s">
        <v>48</v>
      </c>
    </row>
    <row r="668" hidden="1">
      <c r="A668" s="32">
        <f>IFERROR(__xludf.DUMMYFUNCTION("""COMPUTED_VALUE"""),43238.01359905093)</f>
        <v>43238.0136</v>
      </c>
      <c r="B668" t="s">
        <v>40</v>
      </c>
    </row>
    <row r="669" hidden="1">
      <c r="A669" s="32">
        <f>IFERROR(__xludf.DUMMYFUNCTION("""COMPUTED_VALUE"""),43238.03722537037)</f>
        <v>43238.03723</v>
      </c>
      <c r="B669" t="s">
        <v>45</v>
      </c>
    </row>
    <row r="670" hidden="1">
      <c r="A670" s="32">
        <f>IFERROR(__xludf.DUMMYFUNCTION("""COMPUTED_VALUE"""),43238.26005452547)</f>
        <v>43238.26005</v>
      </c>
      <c r="B670" t="s">
        <v>40</v>
      </c>
    </row>
    <row r="671" hidden="1">
      <c r="A671" s="32">
        <f>IFERROR(__xludf.DUMMYFUNCTION("""COMPUTED_VALUE"""),43238.49795295139)</f>
        <v>43238.49795</v>
      </c>
      <c r="B671" t="s">
        <v>123</v>
      </c>
    </row>
    <row r="672" hidden="1">
      <c r="A672" s="32">
        <f>IFERROR(__xludf.DUMMYFUNCTION("""COMPUTED_VALUE"""),43238.50498469907)</f>
        <v>43238.50498</v>
      </c>
      <c r="B672" t="s">
        <v>33</v>
      </c>
    </row>
    <row r="673" hidden="1">
      <c r="A673" s="32">
        <f>IFERROR(__xludf.DUMMYFUNCTION("""COMPUTED_VALUE"""),43238.54059331019)</f>
        <v>43238.54059</v>
      </c>
      <c r="B673" t="s">
        <v>40</v>
      </c>
    </row>
    <row r="674" hidden="1">
      <c r="A674" s="32">
        <f>IFERROR(__xludf.DUMMYFUNCTION("""COMPUTED_VALUE"""),43238.766191030096)</f>
        <v>43238.76619</v>
      </c>
      <c r="B674" t="s">
        <v>123</v>
      </c>
    </row>
    <row r="675" hidden="1">
      <c r="A675" s="32">
        <f>IFERROR(__xludf.DUMMYFUNCTION("""COMPUTED_VALUE"""),43238.77918096065)</f>
        <v>43238.77918</v>
      </c>
      <c r="B675" t="s">
        <v>268</v>
      </c>
    </row>
    <row r="676" hidden="1">
      <c r="A676" s="32">
        <f>IFERROR(__xludf.DUMMYFUNCTION("""COMPUTED_VALUE"""),43238.84013913195)</f>
        <v>43238.84014</v>
      </c>
      <c r="B676" t="s">
        <v>380</v>
      </c>
    </row>
    <row r="677" hidden="1">
      <c r="A677" s="32">
        <f>IFERROR(__xludf.DUMMYFUNCTION("""COMPUTED_VALUE"""),43239.05281545139)</f>
        <v>43239.05282</v>
      </c>
      <c r="B677" t="s">
        <v>122</v>
      </c>
    </row>
    <row r="678" hidden="1">
      <c r="A678" s="32">
        <f>IFERROR(__xludf.DUMMYFUNCTION("""COMPUTED_VALUE"""),43239.64783696759)</f>
        <v>43239.64784</v>
      </c>
      <c r="B678" t="s">
        <v>45</v>
      </c>
    </row>
    <row r="679" hidden="1">
      <c r="A679" s="32">
        <f>IFERROR(__xludf.DUMMYFUNCTION("""COMPUTED_VALUE"""),43239.6854118287)</f>
        <v>43239.68541</v>
      </c>
      <c r="B679" t="s">
        <v>33</v>
      </c>
    </row>
    <row r="680" hidden="1">
      <c r="A680" s="32">
        <f>IFERROR(__xludf.DUMMYFUNCTION("""COMPUTED_VALUE"""),43239.68595840278)</f>
        <v>43239.68596</v>
      </c>
      <c r="B680" t="s">
        <v>95</v>
      </c>
    </row>
    <row r="681" hidden="1">
      <c r="A681" s="32">
        <f>IFERROR(__xludf.DUMMYFUNCTION("""COMPUTED_VALUE"""),43239.686807199076)</f>
        <v>43239.68681</v>
      </c>
      <c r="B681" t="s">
        <v>258</v>
      </c>
    </row>
    <row r="682" hidden="1">
      <c r="A682" s="32">
        <f>IFERROR(__xludf.DUMMYFUNCTION("""COMPUTED_VALUE"""),43239.68735305556)</f>
        <v>43239.68735</v>
      </c>
      <c r="B682" t="s">
        <v>2676</v>
      </c>
    </row>
    <row r="683" hidden="1">
      <c r="A683" s="32">
        <f>IFERROR(__xludf.DUMMYFUNCTION("""COMPUTED_VALUE"""),43239.68788125)</f>
        <v>43239.68788</v>
      </c>
      <c r="B683" t="s">
        <v>80</v>
      </c>
    </row>
    <row r="684" hidden="1">
      <c r="A684" s="32">
        <f>IFERROR(__xludf.DUMMYFUNCTION("""COMPUTED_VALUE"""),43239.6908803125)</f>
        <v>43239.69088</v>
      </c>
      <c r="B684" t="s">
        <v>268</v>
      </c>
    </row>
    <row r="685" hidden="1">
      <c r="A685" s="32">
        <f>IFERROR(__xludf.DUMMYFUNCTION("""COMPUTED_VALUE"""),43239.78085144676)</f>
        <v>43239.78085</v>
      </c>
      <c r="B685" t="s">
        <v>268</v>
      </c>
    </row>
    <row r="686" hidden="1">
      <c r="A686" s="32">
        <f>IFERROR(__xludf.DUMMYFUNCTION("""COMPUTED_VALUE"""),43239.7998834375)</f>
        <v>43239.79988</v>
      </c>
      <c r="B686" t="s">
        <v>25</v>
      </c>
    </row>
    <row r="687" hidden="1">
      <c r="A687" s="32">
        <f>IFERROR(__xludf.DUMMYFUNCTION("""COMPUTED_VALUE"""),43239.838627476856)</f>
        <v>43239.83863</v>
      </c>
      <c r="B687" t="s">
        <v>80</v>
      </c>
    </row>
    <row r="688" hidden="1">
      <c r="A688" s="32">
        <f>IFERROR(__xludf.DUMMYFUNCTION("""COMPUTED_VALUE"""),43239.937311539354)</f>
        <v>43239.93731</v>
      </c>
      <c r="B688" t="s">
        <v>40</v>
      </c>
    </row>
    <row r="689" hidden="1">
      <c r="A689" s="32">
        <f>IFERROR(__xludf.DUMMYFUNCTION("""COMPUTED_VALUE"""),43239.968802777774)</f>
        <v>43239.9688</v>
      </c>
      <c r="B689" t="s">
        <v>80</v>
      </c>
    </row>
    <row r="690" hidden="1">
      <c r="A690" s="32">
        <f>IFERROR(__xludf.DUMMYFUNCTION("""COMPUTED_VALUE"""),43240.33155204861)</f>
        <v>43240.33155</v>
      </c>
      <c r="B690" t="s">
        <v>48</v>
      </c>
    </row>
    <row r="691" hidden="1">
      <c r="A691" s="32">
        <f>IFERROR(__xludf.DUMMYFUNCTION("""COMPUTED_VALUE"""),43240.41920185185)</f>
        <v>43240.4192</v>
      </c>
      <c r="B691" t="s">
        <v>36</v>
      </c>
    </row>
    <row r="692" hidden="1">
      <c r="A692" s="32">
        <f>IFERROR(__xludf.DUMMYFUNCTION("""COMPUTED_VALUE"""),43240.43173590278)</f>
        <v>43240.43174</v>
      </c>
      <c r="B692" t="s">
        <v>40</v>
      </c>
    </row>
    <row r="693" hidden="1">
      <c r="A693" s="32">
        <f>IFERROR(__xludf.DUMMYFUNCTION("""COMPUTED_VALUE"""),43240.720461006946)</f>
        <v>43240.72046</v>
      </c>
      <c r="B693" t="s">
        <v>188</v>
      </c>
    </row>
    <row r="694" hidden="1">
      <c r="A694" s="32">
        <f>IFERROR(__xludf.DUMMYFUNCTION("""COMPUTED_VALUE"""),43240.8192997338)</f>
        <v>43240.8193</v>
      </c>
      <c r="B694" t="s">
        <v>170</v>
      </c>
    </row>
    <row r="695" hidden="1">
      <c r="A695" s="32">
        <f>IFERROR(__xludf.DUMMYFUNCTION("""COMPUTED_VALUE"""),43241.017940543985)</f>
        <v>43241.01794</v>
      </c>
      <c r="B695" t="s">
        <v>387</v>
      </c>
    </row>
    <row r="696" hidden="1">
      <c r="A696" s="32">
        <f>IFERROR(__xludf.DUMMYFUNCTION("""COMPUTED_VALUE"""),43241.47445060185)</f>
        <v>43241.47445</v>
      </c>
      <c r="B696" t="s">
        <v>371</v>
      </c>
    </row>
    <row r="697" hidden="1">
      <c r="A697" s="32">
        <f>IFERROR(__xludf.DUMMYFUNCTION("""COMPUTED_VALUE"""),43241.63764936343)</f>
        <v>43241.63765</v>
      </c>
      <c r="B697" t="s">
        <v>73</v>
      </c>
    </row>
    <row r="698" hidden="1">
      <c r="A698" s="32">
        <f>IFERROR(__xludf.DUMMYFUNCTION("""COMPUTED_VALUE"""),43241.63856394676)</f>
        <v>43241.63856</v>
      </c>
      <c r="B698" t="s">
        <v>40</v>
      </c>
    </row>
    <row r="699" hidden="1">
      <c r="A699" s="32">
        <f>IFERROR(__xludf.DUMMYFUNCTION("""COMPUTED_VALUE"""),43241.69070965278)</f>
        <v>43241.69071</v>
      </c>
      <c r="B699" t="s">
        <v>80</v>
      </c>
    </row>
    <row r="700" hidden="1">
      <c r="A700" s="32">
        <f>IFERROR(__xludf.DUMMYFUNCTION("""COMPUTED_VALUE"""),43241.91652827546)</f>
        <v>43241.91653</v>
      </c>
      <c r="B700" t="s">
        <v>268</v>
      </c>
    </row>
    <row r="701" hidden="1">
      <c r="A701" s="32">
        <f>IFERROR(__xludf.DUMMYFUNCTION("""COMPUTED_VALUE"""),43241.983082743056)</f>
        <v>43241.98308</v>
      </c>
      <c r="B701" t="s">
        <v>40</v>
      </c>
    </row>
    <row r="702" hidden="1">
      <c r="A702" s="32">
        <f>IFERROR(__xludf.DUMMYFUNCTION("""COMPUTED_VALUE"""),43242.06008231481)</f>
        <v>43242.06008</v>
      </c>
      <c r="B702" t="s">
        <v>123</v>
      </c>
    </row>
    <row r="703" hidden="1">
      <c r="A703" s="32">
        <f>IFERROR(__xludf.DUMMYFUNCTION("""COMPUTED_VALUE"""),43242.39185215278)</f>
        <v>43242.39185</v>
      </c>
      <c r="B703" t="s">
        <v>40</v>
      </c>
    </row>
    <row r="704" hidden="1">
      <c r="A704" s="32">
        <f>IFERROR(__xludf.DUMMYFUNCTION("""COMPUTED_VALUE"""),43242.45752285879)</f>
        <v>43242.45752</v>
      </c>
      <c r="B704" t="s">
        <v>48</v>
      </c>
    </row>
    <row r="705" hidden="1">
      <c r="A705" s="32">
        <f>IFERROR(__xludf.DUMMYFUNCTION("""COMPUTED_VALUE"""),43242.46404924769)</f>
        <v>43242.46405</v>
      </c>
      <c r="B705" t="s">
        <v>613</v>
      </c>
    </row>
    <row r="706" hidden="1">
      <c r="A706" s="32">
        <f>IFERROR(__xludf.DUMMYFUNCTION("""COMPUTED_VALUE"""),43242.47785171296)</f>
        <v>43242.47785</v>
      </c>
      <c r="B706" t="s">
        <v>139</v>
      </c>
    </row>
    <row r="707" hidden="1">
      <c r="A707" s="32">
        <f>IFERROR(__xludf.DUMMYFUNCTION("""COMPUTED_VALUE"""),43242.47840436343)</f>
        <v>43242.4784</v>
      </c>
      <c r="B707" t="s">
        <v>123</v>
      </c>
    </row>
    <row r="708" hidden="1">
      <c r="A708" s="32">
        <f>IFERROR(__xludf.DUMMYFUNCTION("""COMPUTED_VALUE"""),43242.57454079861)</f>
        <v>43242.57454</v>
      </c>
      <c r="B708" t="s">
        <v>574</v>
      </c>
    </row>
    <row r="709" hidden="1">
      <c r="A709" s="32">
        <f>IFERROR(__xludf.DUMMYFUNCTION("""COMPUTED_VALUE"""),43242.699643761574)</f>
        <v>43242.69964</v>
      </c>
      <c r="B709" t="s">
        <v>40</v>
      </c>
    </row>
    <row r="710" hidden="1">
      <c r="A710" s="32">
        <f>IFERROR(__xludf.DUMMYFUNCTION("""COMPUTED_VALUE"""),43242.72777291667)</f>
        <v>43242.72777</v>
      </c>
      <c r="B710" t="s">
        <v>619</v>
      </c>
    </row>
    <row r="711" hidden="1">
      <c r="A711" s="32">
        <f>IFERROR(__xludf.DUMMYFUNCTION("""COMPUTED_VALUE"""),43242.84802376157)</f>
        <v>43242.84802</v>
      </c>
      <c r="B711" t="s">
        <v>621</v>
      </c>
    </row>
    <row r="712" hidden="1">
      <c r="A712" s="32">
        <f>IFERROR(__xludf.DUMMYFUNCTION("""COMPUTED_VALUE"""),43243.35385422454)</f>
        <v>43243.35385</v>
      </c>
      <c r="B712" t="s">
        <v>40</v>
      </c>
    </row>
    <row r="713" hidden="1">
      <c r="A713" s="32">
        <f>IFERROR(__xludf.DUMMYFUNCTION("""COMPUTED_VALUE"""),43243.62348501157)</f>
        <v>43243.62349</v>
      </c>
      <c r="B713" t="s">
        <v>123</v>
      </c>
    </row>
    <row r="714" hidden="1">
      <c r="A714" s="32">
        <f>IFERROR(__xludf.DUMMYFUNCTION("""COMPUTED_VALUE"""),43243.69839723379)</f>
        <v>43243.6984</v>
      </c>
      <c r="B714" t="s">
        <v>33</v>
      </c>
    </row>
    <row r="715" hidden="1">
      <c r="A715" s="32">
        <f>IFERROR(__xludf.DUMMYFUNCTION("""COMPUTED_VALUE"""),43243.73775177084)</f>
        <v>43243.73775</v>
      </c>
      <c r="B715" t="s">
        <v>48</v>
      </c>
    </row>
    <row r="716" hidden="1">
      <c r="A716" s="32">
        <f>IFERROR(__xludf.DUMMYFUNCTION("""COMPUTED_VALUE"""),43243.78045049768)</f>
        <v>43243.78045</v>
      </c>
      <c r="B716" t="s">
        <v>123</v>
      </c>
    </row>
    <row r="717" hidden="1">
      <c r="A717" s="32">
        <f>IFERROR(__xludf.DUMMYFUNCTION("""COMPUTED_VALUE"""),43243.82660545139)</f>
        <v>43243.82661</v>
      </c>
      <c r="B717" t="s">
        <v>77</v>
      </c>
    </row>
    <row r="718" hidden="1">
      <c r="A718" s="32">
        <f>IFERROR(__xludf.DUMMYFUNCTION("""COMPUTED_VALUE"""),43243.84732381944)</f>
        <v>43243.84732</v>
      </c>
      <c r="B718" t="s">
        <v>80</v>
      </c>
    </row>
    <row r="719" hidden="1">
      <c r="A719" s="32">
        <f>IFERROR(__xludf.DUMMYFUNCTION("""COMPUTED_VALUE"""),43244.466790763894)</f>
        <v>43244.46679</v>
      </c>
      <c r="B719" t="s">
        <v>2665</v>
      </c>
    </row>
    <row r="720" hidden="1">
      <c r="A720" s="32">
        <f>IFERROR(__xludf.DUMMYFUNCTION("""COMPUTED_VALUE"""),43244.475820127314)</f>
        <v>43244.47582</v>
      </c>
      <c r="B720" t="s">
        <v>124</v>
      </c>
    </row>
    <row r="721" hidden="1">
      <c r="A721" s="32">
        <f>IFERROR(__xludf.DUMMYFUNCTION("""COMPUTED_VALUE"""),43244.481334861106)</f>
        <v>43244.48133</v>
      </c>
      <c r="B721" t="s">
        <v>80</v>
      </c>
    </row>
    <row r="722" hidden="1">
      <c r="A722" s="32">
        <f>IFERROR(__xludf.DUMMYFUNCTION("""COMPUTED_VALUE"""),43244.51842741898)</f>
        <v>43244.51843</v>
      </c>
      <c r="B722" t="s">
        <v>33</v>
      </c>
    </row>
    <row r="723" hidden="1">
      <c r="A723" s="32">
        <f>IFERROR(__xludf.DUMMYFUNCTION("""COMPUTED_VALUE"""),43244.61916376157)</f>
        <v>43244.61916</v>
      </c>
      <c r="B723" t="s">
        <v>40</v>
      </c>
    </row>
    <row r="724" hidden="1">
      <c r="A724" s="32">
        <f>IFERROR(__xludf.DUMMYFUNCTION("""COMPUTED_VALUE"""),43244.6575275)</f>
        <v>43244.65753</v>
      </c>
      <c r="B724" t="s">
        <v>25</v>
      </c>
    </row>
    <row r="725" hidden="1">
      <c r="A725" s="32">
        <f>IFERROR(__xludf.DUMMYFUNCTION("""COMPUTED_VALUE"""),43244.83878716435)</f>
        <v>43244.83879</v>
      </c>
      <c r="B725" t="s">
        <v>124</v>
      </c>
    </row>
    <row r="726" hidden="1">
      <c r="A726" s="32">
        <f>IFERROR(__xludf.DUMMYFUNCTION("""COMPUTED_VALUE"""),43244.95101582176)</f>
        <v>43244.95102</v>
      </c>
      <c r="B726" t="s">
        <v>636</v>
      </c>
    </row>
    <row r="727" hidden="1">
      <c r="A727" s="32">
        <f>IFERROR(__xludf.DUMMYFUNCTION("""COMPUTED_VALUE"""),43244.95373009259)</f>
        <v>43244.95373</v>
      </c>
      <c r="B727" t="s">
        <v>40</v>
      </c>
    </row>
    <row r="728" hidden="1">
      <c r="A728" s="32">
        <f>IFERROR(__xludf.DUMMYFUNCTION("""COMPUTED_VALUE"""),43245.26103837963)</f>
        <v>43245.26104</v>
      </c>
      <c r="B728" t="s">
        <v>33</v>
      </c>
    </row>
    <row r="729" hidden="1">
      <c r="A729" s="32">
        <f>IFERROR(__xludf.DUMMYFUNCTION("""COMPUTED_VALUE"""),43245.41127921296)</f>
        <v>43245.41128</v>
      </c>
      <c r="B729" t="s">
        <v>45</v>
      </c>
    </row>
    <row r="730" hidden="1">
      <c r="A730" s="32">
        <f>IFERROR(__xludf.DUMMYFUNCTION("""COMPUTED_VALUE"""),43245.52066991898)</f>
        <v>43245.52067</v>
      </c>
      <c r="B730" t="s">
        <v>25</v>
      </c>
    </row>
    <row r="731" hidden="1">
      <c r="A731" s="32">
        <f>IFERROR(__xludf.DUMMYFUNCTION("""COMPUTED_VALUE"""),43245.56514715278)</f>
        <v>43245.56515</v>
      </c>
      <c r="B731" t="s">
        <v>36</v>
      </c>
    </row>
    <row r="732" hidden="1">
      <c r="A732" s="32">
        <f>IFERROR(__xludf.DUMMYFUNCTION("""COMPUTED_VALUE"""),43245.65524818287)</f>
        <v>43245.65525</v>
      </c>
      <c r="B732" t="s">
        <v>40</v>
      </c>
    </row>
    <row r="733" hidden="1">
      <c r="A733" s="32">
        <f>IFERROR(__xludf.DUMMYFUNCTION("""COMPUTED_VALUE"""),43246.29444971065)</f>
        <v>43246.29445</v>
      </c>
      <c r="B733" t="s">
        <v>538</v>
      </c>
    </row>
    <row r="734" hidden="1">
      <c r="A734" s="32">
        <f>IFERROR(__xludf.DUMMYFUNCTION("""COMPUTED_VALUE"""),43246.43456916667)</f>
        <v>43246.43457</v>
      </c>
      <c r="B734" t="s">
        <v>270</v>
      </c>
    </row>
    <row r="735" hidden="1">
      <c r="A735" s="32">
        <f>IFERROR(__xludf.DUMMYFUNCTION("""COMPUTED_VALUE"""),43246.5482652662)</f>
        <v>43246.54827</v>
      </c>
      <c r="B735" t="s">
        <v>170</v>
      </c>
    </row>
    <row r="736" hidden="1">
      <c r="A736" s="32">
        <f>IFERROR(__xludf.DUMMYFUNCTION("""COMPUTED_VALUE"""),43247.45325003473)</f>
        <v>43247.45325</v>
      </c>
      <c r="B736" t="s">
        <v>80</v>
      </c>
    </row>
    <row r="737" hidden="1">
      <c r="A737" s="32">
        <f>IFERROR(__xludf.DUMMYFUNCTION("""COMPUTED_VALUE"""),43247.46663547454)</f>
        <v>43247.46664</v>
      </c>
      <c r="B737" t="s">
        <v>640</v>
      </c>
    </row>
    <row r="738" hidden="1">
      <c r="A738" s="32">
        <f>IFERROR(__xludf.DUMMYFUNCTION("""COMPUTED_VALUE"""),43247.7582443287)</f>
        <v>43247.75824</v>
      </c>
      <c r="B738" t="s">
        <v>40</v>
      </c>
    </row>
    <row r="739" hidden="1">
      <c r="A739" s="32">
        <f>IFERROR(__xludf.DUMMYFUNCTION("""COMPUTED_VALUE"""),43247.917186562496)</f>
        <v>43247.91719</v>
      </c>
      <c r="B739" t="s">
        <v>40</v>
      </c>
    </row>
    <row r="740" hidden="1">
      <c r="A740" s="32">
        <f>IFERROR(__xludf.DUMMYFUNCTION("""COMPUTED_VALUE"""),43248.69598341435)</f>
        <v>43248.69598</v>
      </c>
      <c r="B740" t="s">
        <v>350</v>
      </c>
    </row>
    <row r="741" hidden="1">
      <c r="A741" s="32">
        <f>IFERROR(__xludf.DUMMYFUNCTION("""COMPUTED_VALUE"""),43248.762353645834)</f>
        <v>43248.76235</v>
      </c>
      <c r="B741" t="s">
        <v>2677</v>
      </c>
    </row>
    <row r="742" hidden="1">
      <c r="A742" s="32">
        <f>IFERROR(__xludf.DUMMYFUNCTION("""COMPUTED_VALUE"""),43248.92072847222)</f>
        <v>43248.92073</v>
      </c>
      <c r="B742" t="s">
        <v>123</v>
      </c>
    </row>
    <row r="743" hidden="1">
      <c r="A743" s="32">
        <f>IFERROR(__xludf.DUMMYFUNCTION("""COMPUTED_VALUE"""),43249.52409864584)</f>
        <v>43249.5241</v>
      </c>
      <c r="B743" t="s">
        <v>33</v>
      </c>
    </row>
    <row r="744" hidden="1">
      <c r="A744" s="32">
        <f>IFERROR(__xludf.DUMMYFUNCTION("""COMPUTED_VALUE"""),43249.60464560185)</f>
        <v>43249.60465</v>
      </c>
      <c r="B744" t="s">
        <v>645</v>
      </c>
    </row>
    <row r="745" hidden="1">
      <c r="A745" s="32">
        <f>IFERROR(__xludf.DUMMYFUNCTION("""COMPUTED_VALUE"""),43249.74817856481)</f>
        <v>43249.74818</v>
      </c>
      <c r="B745" t="s">
        <v>282</v>
      </c>
    </row>
    <row r="746" hidden="1">
      <c r="A746" s="32">
        <f>IFERROR(__xludf.DUMMYFUNCTION("""COMPUTED_VALUE"""),43249.763598854166)</f>
        <v>43249.7636</v>
      </c>
      <c r="B746" t="s">
        <v>270</v>
      </c>
    </row>
    <row r="747" hidden="1">
      <c r="A747" s="32">
        <f>IFERROR(__xludf.DUMMYFUNCTION("""COMPUTED_VALUE"""),43249.94676194445)</f>
        <v>43249.94676</v>
      </c>
      <c r="B747" t="s">
        <v>33</v>
      </c>
    </row>
    <row r="748" hidden="1">
      <c r="A748" s="32">
        <f>IFERROR(__xludf.DUMMYFUNCTION("""COMPUTED_VALUE"""),43249.95392543981)</f>
        <v>43249.95393</v>
      </c>
      <c r="B748" t="s">
        <v>40</v>
      </c>
    </row>
    <row r="749" hidden="1">
      <c r="A749" s="32">
        <f>IFERROR(__xludf.DUMMYFUNCTION("""COMPUTED_VALUE"""),43249.95986128472)</f>
        <v>43249.95986</v>
      </c>
      <c r="B749" t="s">
        <v>80</v>
      </c>
    </row>
    <row r="750" hidden="1">
      <c r="A750" s="32">
        <f>IFERROR(__xludf.DUMMYFUNCTION("""COMPUTED_VALUE"""),43250.32727008102)</f>
        <v>43250.32727</v>
      </c>
      <c r="B750" t="s">
        <v>2678</v>
      </c>
    </row>
    <row r="751" hidden="1">
      <c r="A751" s="32">
        <f>IFERROR(__xludf.DUMMYFUNCTION("""COMPUTED_VALUE"""),43250.38941859954)</f>
        <v>43250.38942</v>
      </c>
      <c r="B751" t="s">
        <v>80</v>
      </c>
    </row>
    <row r="752" hidden="1">
      <c r="A752" s="32">
        <f>IFERROR(__xludf.DUMMYFUNCTION("""COMPUTED_VALUE"""),43250.40268190972)</f>
        <v>43250.40268</v>
      </c>
      <c r="B752" t="s">
        <v>33</v>
      </c>
    </row>
    <row r="753" hidden="1">
      <c r="A753" s="32">
        <f>IFERROR(__xludf.DUMMYFUNCTION("""COMPUTED_VALUE"""),43250.566884444444)</f>
        <v>43250.56688</v>
      </c>
      <c r="B753" t="s">
        <v>343</v>
      </c>
    </row>
    <row r="754" hidden="1">
      <c r="A754" s="32">
        <f>IFERROR(__xludf.DUMMYFUNCTION("""COMPUTED_VALUE"""),43250.81361884259)</f>
        <v>43250.81362</v>
      </c>
      <c r="B754" t="s">
        <v>40</v>
      </c>
    </row>
    <row r="755" hidden="1">
      <c r="A755" s="32">
        <f>IFERROR(__xludf.DUMMYFUNCTION("""COMPUTED_VALUE"""),43250.840584895835)</f>
        <v>43250.84058</v>
      </c>
      <c r="B755" t="s">
        <v>45</v>
      </c>
    </row>
    <row r="756" hidden="1">
      <c r="A756" s="32">
        <f>IFERROR(__xludf.DUMMYFUNCTION("""COMPUTED_VALUE"""),43250.91861903935)</f>
        <v>43250.91862</v>
      </c>
      <c r="B756" t="s">
        <v>268</v>
      </c>
    </row>
    <row r="757" hidden="1">
      <c r="A757" s="32">
        <f>IFERROR(__xludf.DUMMYFUNCTION("""COMPUTED_VALUE"""),43250.92660501157)</f>
        <v>43250.92661</v>
      </c>
      <c r="B757" t="s">
        <v>40</v>
      </c>
    </row>
    <row r="758" hidden="1">
      <c r="A758" s="32">
        <f>IFERROR(__xludf.DUMMYFUNCTION("""COMPUTED_VALUE"""),43250.94410315972)</f>
        <v>43250.9441</v>
      </c>
      <c r="B758" t="s">
        <v>658</v>
      </c>
    </row>
    <row r="759" hidden="1">
      <c r="A759" s="32">
        <f>IFERROR(__xludf.DUMMYFUNCTION("""COMPUTED_VALUE"""),43250.96740121528)</f>
        <v>43250.9674</v>
      </c>
      <c r="B759" t="s">
        <v>33</v>
      </c>
    </row>
    <row r="760" hidden="1">
      <c r="A760" s="32">
        <f>IFERROR(__xludf.DUMMYFUNCTION("""COMPUTED_VALUE"""),43250.9773590625)</f>
        <v>43250.97736</v>
      </c>
      <c r="B760" t="s">
        <v>268</v>
      </c>
    </row>
    <row r="761" hidden="1">
      <c r="A761" s="32">
        <f>IFERROR(__xludf.DUMMYFUNCTION("""COMPUTED_VALUE"""),43250.97752061342)</f>
        <v>43250.97752</v>
      </c>
      <c r="B761" t="s">
        <v>268</v>
      </c>
    </row>
    <row r="762" hidden="1">
      <c r="A762" s="32">
        <f>IFERROR(__xludf.DUMMYFUNCTION("""COMPUTED_VALUE"""),43251.320348946756)</f>
        <v>43251.32035</v>
      </c>
      <c r="B762" t="s">
        <v>33</v>
      </c>
    </row>
    <row r="763" hidden="1">
      <c r="A763" s="32">
        <f>IFERROR(__xludf.DUMMYFUNCTION("""COMPUTED_VALUE"""),43251.32750252315)</f>
        <v>43251.3275</v>
      </c>
      <c r="B763" t="s">
        <v>2679</v>
      </c>
    </row>
    <row r="764" hidden="1">
      <c r="A764" s="32">
        <f>IFERROR(__xludf.DUMMYFUNCTION("""COMPUTED_VALUE"""),43251.342180381944)</f>
        <v>43251.34218</v>
      </c>
      <c r="B764" t="s">
        <v>80</v>
      </c>
    </row>
    <row r="765" hidden="1">
      <c r="A765" s="32">
        <f>IFERROR(__xludf.DUMMYFUNCTION("""COMPUTED_VALUE"""),43251.36849820602)</f>
        <v>43251.3685</v>
      </c>
      <c r="B765" t="s">
        <v>664</v>
      </c>
    </row>
    <row r="766" hidden="1">
      <c r="A766" s="32">
        <f>IFERROR(__xludf.DUMMYFUNCTION("""COMPUTED_VALUE"""),43251.447951828704)</f>
        <v>43251.44795</v>
      </c>
      <c r="B766" t="s">
        <v>665</v>
      </c>
    </row>
    <row r="767" hidden="1">
      <c r="A767" s="32">
        <f>IFERROR(__xludf.DUMMYFUNCTION("""COMPUTED_VALUE"""),43251.656085891205)</f>
        <v>43251.65609</v>
      </c>
      <c r="B767" t="s">
        <v>2680</v>
      </c>
    </row>
    <row r="768" hidden="1">
      <c r="A768" s="32">
        <f>IFERROR(__xludf.DUMMYFUNCTION("""COMPUTED_VALUE"""),43251.69070065972)</f>
        <v>43251.6907</v>
      </c>
      <c r="B768" t="s">
        <v>48</v>
      </c>
    </row>
    <row r="769" hidden="1">
      <c r="A769" s="32">
        <f>IFERROR(__xludf.DUMMYFUNCTION("""COMPUTED_VALUE"""),43251.9933300463)</f>
        <v>43251.99333</v>
      </c>
      <c r="B769" t="s">
        <v>33</v>
      </c>
    </row>
    <row r="770" hidden="1">
      <c r="A770" s="32">
        <f>IFERROR(__xludf.DUMMYFUNCTION("""COMPUTED_VALUE"""),43252.328359652776)</f>
        <v>43252.32836</v>
      </c>
      <c r="B770" t="s">
        <v>669</v>
      </c>
    </row>
    <row r="771" hidden="1">
      <c r="A771" s="32">
        <f>IFERROR(__xludf.DUMMYFUNCTION("""COMPUTED_VALUE"""),43252.36471792824)</f>
        <v>43252.36472</v>
      </c>
      <c r="B771" t="s">
        <v>671</v>
      </c>
    </row>
    <row r="772" hidden="1">
      <c r="A772" s="32">
        <f>IFERROR(__xludf.DUMMYFUNCTION("""COMPUTED_VALUE"""),43252.40033208333)</f>
        <v>43252.40033</v>
      </c>
      <c r="B772" t="s">
        <v>33</v>
      </c>
    </row>
    <row r="773" hidden="1">
      <c r="A773" s="32">
        <f>IFERROR(__xludf.DUMMYFUNCTION("""COMPUTED_VALUE"""),43252.40566239583)</f>
        <v>43252.40566</v>
      </c>
      <c r="B773" t="s">
        <v>119</v>
      </c>
    </row>
    <row r="774" hidden="1">
      <c r="A774" s="32">
        <f>IFERROR(__xludf.DUMMYFUNCTION("""COMPUTED_VALUE"""),43252.610360983796)</f>
        <v>43252.61036</v>
      </c>
      <c r="B774" t="s">
        <v>33</v>
      </c>
    </row>
    <row r="775" hidden="1">
      <c r="A775" s="32">
        <f>IFERROR(__xludf.DUMMYFUNCTION("""COMPUTED_VALUE"""),43252.62432988426)</f>
        <v>43252.62433</v>
      </c>
      <c r="B775" t="s">
        <v>40</v>
      </c>
    </row>
    <row r="776" hidden="1">
      <c r="A776" s="32">
        <f>IFERROR(__xludf.DUMMYFUNCTION("""COMPUTED_VALUE"""),43252.76841640046)</f>
        <v>43252.76842</v>
      </c>
      <c r="B776" t="s">
        <v>658</v>
      </c>
    </row>
    <row r="777" hidden="1">
      <c r="A777" s="32">
        <f>IFERROR(__xludf.DUMMYFUNCTION("""COMPUTED_VALUE"""),43252.88272810185)</f>
        <v>43252.88273</v>
      </c>
      <c r="B777" t="s">
        <v>154</v>
      </c>
    </row>
    <row r="778" hidden="1">
      <c r="A778" s="32">
        <f>IFERROR(__xludf.DUMMYFUNCTION("""COMPUTED_VALUE"""),43252.963492118055)</f>
        <v>43252.96349</v>
      </c>
      <c r="B778" t="s">
        <v>282</v>
      </c>
    </row>
    <row r="779" hidden="1">
      <c r="A779" s="32">
        <f>IFERROR(__xludf.DUMMYFUNCTION("""COMPUTED_VALUE"""),43252.99680569445)</f>
        <v>43252.99681</v>
      </c>
      <c r="B779" t="s">
        <v>40</v>
      </c>
    </row>
    <row r="780" hidden="1">
      <c r="A780" s="32">
        <f>IFERROR(__xludf.DUMMYFUNCTION("""COMPUTED_VALUE"""),43253.02668458333)</f>
        <v>43253.02668</v>
      </c>
      <c r="B780" t="s">
        <v>80</v>
      </c>
    </row>
    <row r="781" hidden="1">
      <c r="A781" s="32">
        <f>IFERROR(__xludf.DUMMYFUNCTION("""COMPUTED_VALUE"""),43253.17096125)</f>
        <v>43253.17096</v>
      </c>
      <c r="B781" t="s">
        <v>124</v>
      </c>
    </row>
    <row r="782" hidden="1">
      <c r="A782" s="32">
        <f>IFERROR(__xludf.DUMMYFUNCTION("""COMPUTED_VALUE"""),43253.35203101852)</f>
        <v>43253.35203</v>
      </c>
      <c r="B782" t="s">
        <v>33</v>
      </c>
    </row>
    <row r="783" hidden="1">
      <c r="A783" s="32">
        <f>IFERROR(__xludf.DUMMYFUNCTION("""COMPUTED_VALUE"""),43253.41077209491)</f>
        <v>43253.41077</v>
      </c>
      <c r="B783" t="s">
        <v>538</v>
      </c>
    </row>
    <row r="784" hidden="1">
      <c r="A784" s="32">
        <f>IFERROR(__xludf.DUMMYFUNCTION("""COMPUTED_VALUE"""),43253.41491146991)</f>
        <v>43253.41491</v>
      </c>
      <c r="B784" t="s">
        <v>80</v>
      </c>
    </row>
    <row r="785" hidden="1">
      <c r="A785" s="32">
        <f>IFERROR(__xludf.DUMMYFUNCTION("""COMPUTED_VALUE"""),43253.57271574074)</f>
        <v>43253.57272</v>
      </c>
      <c r="B785" t="s">
        <v>706</v>
      </c>
    </row>
    <row r="786" hidden="1">
      <c r="A786" s="32">
        <f>IFERROR(__xludf.DUMMYFUNCTION("""COMPUTED_VALUE"""),43253.95292804398)</f>
        <v>43253.95293</v>
      </c>
      <c r="B786" t="s">
        <v>80</v>
      </c>
    </row>
    <row r="787" hidden="1">
      <c r="A787" s="32">
        <f>IFERROR(__xludf.DUMMYFUNCTION("""COMPUTED_VALUE"""),43254.095525798606)</f>
        <v>43254.09553</v>
      </c>
      <c r="B787" t="s">
        <v>40</v>
      </c>
    </row>
    <row r="788" hidden="1">
      <c r="A788" s="32">
        <f>IFERROR(__xludf.DUMMYFUNCTION("""COMPUTED_VALUE"""),43254.258309502315)</f>
        <v>43254.25831</v>
      </c>
      <c r="B788" t="s">
        <v>40</v>
      </c>
    </row>
    <row r="789" hidden="1">
      <c r="A789" s="32">
        <f>IFERROR(__xludf.DUMMYFUNCTION("""COMPUTED_VALUE"""),43254.32628657407)</f>
        <v>43254.32629</v>
      </c>
      <c r="B789" t="s">
        <v>40</v>
      </c>
    </row>
    <row r="790" hidden="1">
      <c r="A790" s="32">
        <f>IFERROR(__xludf.DUMMYFUNCTION("""COMPUTED_VALUE"""),43254.41181857639)</f>
        <v>43254.41182</v>
      </c>
      <c r="B790" t="s">
        <v>33</v>
      </c>
    </row>
    <row r="791" hidden="1">
      <c r="A791" s="32">
        <f>IFERROR(__xludf.DUMMYFUNCTION("""COMPUTED_VALUE"""),43254.58218027778)</f>
        <v>43254.58218</v>
      </c>
      <c r="B791" t="s">
        <v>139</v>
      </c>
    </row>
    <row r="792" hidden="1">
      <c r="A792" s="32">
        <f>IFERROR(__xludf.DUMMYFUNCTION("""COMPUTED_VALUE"""),43254.62128027777)</f>
        <v>43254.62128</v>
      </c>
      <c r="B792" t="s">
        <v>2424</v>
      </c>
    </row>
    <row r="793" hidden="1">
      <c r="A793" s="32">
        <f>IFERROR(__xludf.DUMMYFUNCTION("""COMPUTED_VALUE"""),43254.799553784724)</f>
        <v>43254.79955</v>
      </c>
      <c r="B793" t="s">
        <v>80</v>
      </c>
    </row>
    <row r="794" hidden="1">
      <c r="A794" s="32">
        <f>IFERROR(__xludf.DUMMYFUNCTION("""COMPUTED_VALUE"""),43255.01112248843)</f>
        <v>43255.01112</v>
      </c>
      <c r="B794" t="s">
        <v>25</v>
      </c>
    </row>
    <row r="795" hidden="1">
      <c r="A795" s="32">
        <f>IFERROR(__xludf.DUMMYFUNCTION("""COMPUTED_VALUE"""),43255.346383888886)</f>
        <v>43255.34638</v>
      </c>
      <c r="B795" t="s">
        <v>33</v>
      </c>
    </row>
    <row r="796" hidden="1">
      <c r="A796" s="32">
        <f>IFERROR(__xludf.DUMMYFUNCTION("""COMPUTED_VALUE"""),43255.71935193287)</f>
        <v>43255.71935</v>
      </c>
      <c r="B796" t="s">
        <v>689</v>
      </c>
    </row>
    <row r="797" hidden="1">
      <c r="A797" s="32">
        <f>IFERROR(__xludf.DUMMYFUNCTION("""COMPUTED_VALUE"""),43255.830863310184)</f>
        <v>43255.83086</v>
      </c>
      <c r="B797" t="s">
        <v>371</v>
      </c>
    </row>
    <row r="798" hidden="1">
      <c r="A798" s="32">
        <f>IFERROR(__xludf.DUMMYFUNCTION("""COMPUTED_VALUE"""),43255.852752997685)</f>
        <v>43255.85275</v>
      </c>
      <c r="B798" t="s">
        <v>270</v>
      </c>
    </row>
    <row r="799" hidden="1">
      <c r="A799" s="32">
        <f>IFERROR(__xludf.DUMMYFUNCTION("""COMPUTED_VALUE"""),43255.85303378472)</f>
        <v>43255.85303</v>
      </c>
      <c r="B799" t="s">
        <v>48</v>
      </c>
    </row>
    <row r="800" hidden="1">
      <c r="A800" s="32">
        <f>IFERROR(__xludf.DUMMYFUNCTION("""COMPUTED_VALUE"""),43256.03926542824)</f>
        <v>43256.03927</v>
      </c>
      <c r="B800" t="s">
        <v>2658</v>
      </c>
    </row>
    <row r="801" hidden="1">
      <c r="A801" s="32">
        <f>IFERROR(__xludf.DUMMYFUNCTION("""COMPUTED_VALUE"""),43256.054919814815)</f>
        <v>43256.05492</v>
      </c>
      <c r="B801" t="s">
        <v>36</v>
      </c>
    </row>
    <row r="802" hidden="1">
      <c r="A802" s="32">
        <f>IFERROR(__xludf.DUMMYFUNCTION("""COMPUTED_VALUE"""),43256.30088966435)</f>
        <v>43256.30089</v>
      </c>
      <c r="B802" t="s">
        <v>350</v>
      </c>
    </row>
    <row r="803" hidden="1">
      <c r="A803" s="32">
        <f>IFERROR(__xludf.DUMMYFUNCTION("""COMPUTED_VALUE"""),43256.40036954861)</f>
        <v>43256.40037</v>
      </c>
      <c r="B803" t="s">
        <v>40</v>
      </c>
    </row>
    <row r="804" hidden="1">
      <c r="A804" s="32">
        <f>IFERROR(__xludf.DUMMYFUNCTION("""COMPUTED_VALUE"""),43256.52864421296)</f>
        <v>43256.52864</v>
      </c>
      <c r="B804" t="s">
        <v>2681</v>
      </c>
    </row>
    <row r="805" hidden="1">
      <c r="A805" s="32">
        <f>IFERROR(__xludf.DUMMYFUNCTION("""COMPUTED_VALUE"""),43256.531161481485)</f>
        <v>43256.53116</v>
      </c>
      <c r="B805" t="s">
        <v>80</v>
      </c>
    </row>
    <row r="806" hidden="1">
      <c r="A806" s="32">
        <f>IFERROR(__xludf.DUMMYFUNCTION("""COMPUTED_VALUE"""),43256.537644826385)</f>
        <v>43256.53764</v>
      </c>
      <c r="B806" t="s">
        <v>33</v>
      </c>
    </row>
    <row r="807" hidden="1">
      <c r="A807" s="32">
        <f>IFERROR(__xludf.DUMMYFUNCTION("""COMPUTED_VALUE"""),43256.538186817124)</f>
        <v>43256.53819</v>
      </c>
      <c r="B807" t="s">
        <v>33</v>
      </c>
    </row>
    <row r="808" hidden="1">
      <c r="A808" s="32">
        <f>IFERROR(__xludf.DUMMYFUNCTION("""COMPUTED_VALUE"""),43256.540389444446)</f>
        <v>43256.54039</v>
      </c>
      <c r="B808" t="s">
        <v>705</v>
      </c>
    </row>
    <row r="809" hidden="1">
      <c r="A809" s="32">
        <f>IFERROR(__xludf.DUMMYFUNCTION("""COMPUTED_VALUE"""),43256.55158943287)</f>
        <v>43256.55159</v>
      </c>
      <c r="B809" t="s">
        <v>706</v>
      </c>
    </row>
    <row r="810" hidden="1">
      <c r="A810" s="32">
        <f>IFERROR(__xludf.DUMMYFUNCTION("""COMPUTED_VALUE"""),43256.55633923611)</f>
        <v>43256.55634</v>
      </c>
      <c r="B810" t="s">
        <v>268</v>
      </c>
    </row>
    <row r="811" hidden="1">
      <c r="A811" s="32">
        <f>IFERROR(__xludf.DUMMYFUNCTION("""COMPUTED_VALUE"""),43256.55857412037)</f>
        <v>43256.55857</v>
      </c>
      <c r="B811" t="s">
        <v>268</v>
      </c>
    </row>
    <row r="812" hidden="1">
      <c r="A812" s="32">
        <f>IFERROR(__xludf.DUMMYFUNCTION("""COMPUTED_VALUE"""),43256.56335891204)</f>
        <v>43256.56336</v>
      </c>
      <c r="B812" t="s">
        <v>25</v>
      </c>
    </row>
    <row r="813" hidden="1">
      <c r="A813" s="32">
        <f>IFERROR(__xludf.DUMMYFUNCTION("""COMPUTED_VALUE"""),43256.587846689814)</f>
        <v>43256.58785</v>
      </c>
      <c r="B813" t="s">
        <v>123</v>
      </c>
    </row>
    <row r="814" hidden="1">
      <c r="A814" s="32">
        <f>IFERROR(__xludf.DUMMYFUNCTION("""COMPUTED_VALUE"""),43256.60044967593)</f>
        <v>43256.60045</v>
      </c>
      <c r="B814" t="s">
        <v>40</v>
      </c>
    </row>
    <row r="815" hidden="1">
      <c r="A815" s="32">
        <f>IFERROR(__xludf.DUMMYFUNCTION("""COMPUTED_VALUE"""),43256.61123144676)</f>
        <v>43256.61123</v>
      </c>
      <c r="B815" t="s">
        <v>45</v>
      </c>
    </row>
    <row r="816" hidden="1">
      <c r="A816" s="32">
        <f>IFERROR(__xludf.DUMMYFUNCTION("""COMPUTED_VALUE"""),43256.61348590278)</f>
        <v>43256.61349</v>
      </c>
      <c r="B816" t="s">
        <v>241</v>
      </c>
    </row>
    <row r="817" hidden="1">
      <c r="A817" s="32">
        <f>IFERROR(__xludf.DUMMYFUNCTION("""COMPUTED_VALUE"""),43256.61434768519)</f>
        <v>43256.61435</v>
      </c>
      <c r="B817" t="s">
        <v>157</v>
      </c>
    </row>
    <row r="818" hidden="1">
      <c r="A818" s="32">
        <f>IFERROR(__xludf.DUMMYFUNCTION("""COMPUTED_VALUE"""),43256.615060358796)</f>
        <v>43256.61506</v>
      </c>
      <c r="B818" t="s">
        <v>717</v>
      </c>
    </row>
    <row r="819" hidden="1">
      <c r="A819" s="32">
        <f>IFERROR(__xludf.DUMMYFUNCTION("""COMPUTED_VALUE"""),43256.615424062504)</f>
        <v>43256.61542</v>
      </c>
      <c r="B819" t="s">
        <v>33</v>
      </c>
    </row>
    <row r="820" hidden="1">
      <c r="A820" s="32">
        <f>IFERROR(__xludf.DUMMYFUNCTION("""COMPUTED_VALUE"""),43256.61589368056)</f>
        <v>43256.61589</v>
      </c>
      <c r="B820" t="s">
        <v>33</v>
      </c>
    </row>
    <row r="821" hidden="1">
      <c r="A821" s="32">
        <f>IFERROR(__xludf.DUMMYFUNCTION("""COMPUTED_VALUE"""),43256.616229085645)</f>
        <v>43256.61623</v>
      </c>
      <c r="B821" t="s">
        <v>45</v>
      </c>
    </row>
    <row r="822" hidden="1">
      <c r="A822" s="32">
        <f>IFERROR(__xludf.DUMMYFUNCTION("""COMPUTED_VALUE"""),43256.61702820602)</f>
        <v>43256.61703</v>
      </c>
      <c r="B822" t="s">
        <v>48</v>
      </c>
    </row>
    <row r="823" hidden="1">
      <c r="A823" s="32">
        <f>IFERROR(__xludf.DUMMYFUNCTION("""COMPUTED_VALUE"""),43256.619758229164)</f>
        <v>43256.61976</v>
      </c>
      <c r="B823" t="s">
        <v>719</v>
      </c>
    </row>
    <row r="824" hidden="1">
      <c r="A824" s="32">
        <f>IFERROR(__xludf.DUMMYFUNCTION("""COMPUTED_VALUE"""),43256.63049971065)</f>
        <v>43256.6305</v>
      </c>
      <c r="B824" t="s">
        <v>722</v>
      </c>
    </row>
    <row r="825" hidden="1">
      <c r="A825" s="32">
        <f>IFERROR(__xludf.DUMMYFUNCTION("""COMPUTED_VALUE"""),43256.68419190972)</f>
        <v>43256.68419</v>
      </c>
      <c r="B825" t="s">
        <v>2682</v>
      </c>
    </row>
    <row r="826" hidden="1">
      <c r="A826" s="32">
        <f>IFERROR(__xludf.DUMMYFUNCTION("""COMPUTED_VALUE"""),43256.841335069446)</f>
        <v>43256.84134</v>
      </c>
      <c r="B826" t="s">
        <v>40</v>
      </c>
    </row>
    <row r="827" hidden="1">
      <c r="A827" s="32">
        <f>IFERROR(__xludf.DUMMYFUNCTION("""COMPUTED_VALUE"""),43256.85837755787)</f>
        <v>43256.85838</v>
      </c>
      <c r="B827" t="s">
        <v>727</v>
      </c>
    </row>
    <row r="828" hidden="1">
      <c r="A828" s="32">
        <f>IFERROR(__xludf.DUMMYFUNCTION("""COMPUTED_VALUE"""),43256.94249912037)</f>
        <v>43256.9425</v>
      </c>
      <c r="B828" t="s">
        <v>33</v>
      </c>
    </row>
    <row r="829" hidden="1">
      <c r="A829" s="32">
        <f>IFERROR(__xludf.DUMMYFUNCTION("""COMPUTED_VALUE"""),43256.96709130787)</f>
        <v>43256.96709</v>
      </c>
      <c r="B829" t="s">
        <v>48</v>
      </c>
    </row>
    <row r="830" hidden="1">
      <c r="A830" s="32">
        <f>IFERROR(__xludf.DUMMYFUNCTION("""COMPUTED_VALUE"""),43256.96867340278)</f>
        <v>43256.96867</v>
      </c>
      <c r="B830" t="s">
        <v>170</v>
      </c>
    </row>
    <row r="831" hidden="1">
      <c r="A831" s="32">
        <f>IFERROR(__xludf.DUMMYFUNCTION("""COMPUTED_VALUE"""),43257.06815546296)</f>
        <v>43257.06816</v>
      </c>
      <c r="B831" t="s">
        <v>2683</v>
      </c>
    </row>
    <row r="832" hidden="1">
      <c r="A832" s="32">
        <f>IFERROR(__xludf.DUMMYFUNCTION("""COMPUTED_VALUE"""),43257.09132274306)</f>
        <v>43257.09132</v>
      </c>
      <c r="B832" t="s">
        <v>33</v>
      </c>
    </row>
    <row r="833" hidden="1">
      <c r="A833" s="32">
        <f>IFERROR(__xludf.DUMMYFUNCTION("""COMPUTED_VALUE"""),43257.3325609375)</f>
        <v>43257.33256</v>
      </c>
      <c r="B833" t="s">
        <v>426</v>
      </c>
    </row>
    <row r="834" hidden="1">
      <c r="A834" s="32">
        <f>IFERROR(__xludf.DUMMYFUNCTION("""COMPUTED_VALUE"""),43257.58983636574)</f>
        <v>43257.58984</v>
      </c>
      <c r="B834" t="s">
        <v>2684</v>
      </c>
    </row>
    <row r="835" hidden="1">
      <c r="A835" s="32">
        <f>IFERROR(__xludf.DUMMYFUNCTION("""COMPUTED_VALUE"""),43257.678272199075)</f>
        <v>43257.67827</v>
      </c>
      <c r="B835" t="s">
        <v>40</v>
      </c>
    </row>
    <row r="836" hidden="1">
      <c r="A836" s="32">
        <f>IFERROR(__xludf.DUMMYFUNCTION("""COMPUTED_VALUE"""),43257.829907754625)</f>
        <v>43257.82991</v>
      </c>
      <c r="B836" t="s">
        <v>119</v>
      </c>
    </row>
    <row r="837" hidden="1">
      <c r="A837" s="32">
        <f>IFERROR(__xludf.DUMMYFUNCTION("""COMPUTED_VALUE"""),43257.95951840278)</f>
        <v>43257.95952</v>
      </c>
      <c r="B837" t="s">
        <v>2685</v>
      </c>
    </row>
    <row r="838" hidden="1">
      <c r="A838" s="32">
        <f>IFERROR(__xludf.DUMMYFUNCTION("""COMPUTED_VALUE"""),43258.0615781713)</f>
        <v>43258.06158</v>
      </c>
      <c r="B838" t="s">
        <v>256</v>
      </c>
    </row>
    <row r="839" hidden="1">
      <c r="A839" s="32">
        <f>IFERROR(__xludf.DUMMYFUNCTION("""COMPUTED_VALUE"""),43258.21713042824)</f>
        <v>43258.21713</v>
      </c>
      <c r="B839" t="s">
        <v>739</v>
      </c>
    </row>
    <row r="840" hidden="1">
      <c r="A840" s="32">
        <f>IFERROR(__xludf.DUMMYFUNCTION("""COMPUTED_VALUE"""),43258.33202284722)</f>
        <v>43258.33202</v>
      </c>
      <c r="B840" t="s">
        <v>741</v>
      </c>
    </row>
    <row r="841" hidden="1">
      <c r="A841" s="32">
        <f>IFERROR(__xludf.DUMMYFUNCTION("""COMPUTED_VALUE"""),43258.51444321759)</f>
        <v>43258.51444</v>
      </c>
      <c r="B841" t="s">
        <v>80</v>
      </c>
    </row>
    <row r="842" hidden="1">
      <c r="A842" s="32">
        <f>IFERROR(__xludf.DUMMYFUNCTION("""COMPUTED_VALUE"""),43258.70066798611)</f>
        <v>43258.70067</v>
      </c>
      <c r="B842" t="s">
        <v>2424</v>
      </c>
    </row>
    <row r="843" hidden="1">
      <c r="A843" s="32">
        <f>IFERROR(__xludf.DUMMYFUNCTION("""COMPUTED_VALUE"""),43258.71021528935)</f>
        <v>43258.71022</v>
      </c>
      <c r="B843" t="s">
        <v>80</v>
      </c>
    </row>
    <row r="844" hidden="1">
      <c r="A844" s="32">
        <f>IFERROR(__xludf.DUMMYFUNCTION("""COMPUTED_VALUE"""),43258.97159918981)</f>
        <v>43258.9716</v>
      </c>
      <c r="B844" t="s">
        <v>747</v>
      </c>
    </row>
    <row r="845" hidden="1">
      <c r="A845" s="32">
        <f>IFERROR(__xludf.DUMMYFUNCTION("""COMPUTED_VALUE"""),43259.02068616898)</f>
        <v>43259.02069</v>
      </c>
      <c r="B845" t="s">
        <v>33</v>
      </c>
    </row>
    <row r="846" hidden="1">
      <c r="A846" s="32">
        <f>IFERROR(__xludf.DUMMYFUNCTION("""COMPUTED_VALUE"""),43259.06403152778)</f>
        <v>43259.06403</v>
      </c>
      <c r="B846" t="s">
        <v>25</v>
      </c>
    </row>
    <row r="847" hidden="1">
      <c r="A847" s="32">
        <f>IFERROR(__xludf.DUMMYFUNCTION("""COMPUTED_VALUE"""),43259.27818613426)</f>
        <v>43259.27819</v>
      </c>
      <c r="B847" t="s">
        <v>33</v>
      </c>
    </row>
    <row r="848" hidden="1">
      <c r="A848" s="32">
        <f>IFERROR(__xludf.DUMMYFUNCTION("""COMPUTED_VALUE"""),43259.348993101856)</f>
        <v>43259.34899</v>
      </c>
      <c r="B848" t="s">
        <v>40</v>
      </c>
    </row>
    <row r="849" hidden="1">
      <c r="A849" s="32">
        <f>IFERROR(__xludf.DUMMYFUNCTION("""COMPUTED_VALUE"""),43259.40932089121)</f>
        <v>43259.40932</v>
      </c>
      <c r="B849" t="s">
        <v>40</v>
      </c>
    </row>
    <row r="850" hidden="1">
      <c r="A850" s="32">
        <f>IFERROR(__xludf.DUMMYFUNCTION("""COMPUTED_VALUE"""),43259.409333090276)</f>
        <v>43259.40933</v>
      </c>
      <c r="B850" t="s">
        <v>407</v>
      </c>
    </row>
    <row r="851" hidden="1">
      <c r="A851" s="32">
        <f>IFERROR(__xludf.DUMMYFUNCTION("""COMPUTED_VALUE"""),43259.49222295139)</f>
        <v>43259.49222</v>
      </c>
      <c r="B851" t="s">
        <v>282</v>
      </c>
    </row>
    <row r="852" hidden="1">
      <c r="A852" s="32">
        <f>IFERROR(__xludf.DUMMYFUNCTION("""COMPUTED_VALUE"""),43259.529504942126)</f>
        <v>43259.5295</v>
      </c>
      <c r="B852" t="s">
        <v>80</v>
      </c>
    </row>
    <row r="853" hidden="1">
      <c r="A853" s="32">
        <f>IFERROR(__xludf.DUMMYFUNCTION("""COMPUTED_VALUE"""),43259.59875612269)</f>
        <v>43259.59876</v>
      </c>
      <c r="B853" t="s">
        <v>2686</v>
      </c>
    </row>
    <row r="854" hidden="1">
      <c r="A854" s="32">
        <f>IFERROR(__xludf.DUMMYFUNCTION("""COMPUTED_VALUE"""),43259.655445798606)</f>
        <v>43259.65545</v>
      </c>
      <c r="B854" t="s">
        <v>80</v>
      </c>
    </row>
    <row r="855" hidden="1">
      <c r="A855" s="32">
        <f>IFERROR(__xludf.DUMMYFUNCTION("""COMPUTED_VALUE"""),43259.74663443287)</f>
        <v>43259.74663</v>
      </c>
      <c r="B855" t="s">
        <v>282</v>
      </c>
    </row>
    <row r="856" hidden="1">
      <c r="A856" s="32">
        <f>IFERROR(__xludf.DUMMYFUNCTION("""COMPUTED_VALUE"""),43259.78630758102)</f>
        <v>43259.78631</v>
      </c>
      <c r="B856" t="s">
        <v>2424</v>
      </c>
    </row>
    <row r="857" hidden="1">
      <c r="A857" s="32">
        <f>IFERROR(__xludf.DUMMYFUNCTION("""COMPUTED_VALUE"""),43259.7869119213)</f>
        <v>43259.78691</v>
      </c>
      <c r="B857" t="s">
        <v>755</v>
      </c>
    </row>
    <row r="858" hidden="1">
      <c r="A858" s="32">
        <f>IFERROR(__xludf.DUMMYFUNCTION("""COMPUTED_VALUE"""),43259.965779652775)</f>
        <v>43259.96578</v>
      </c>
      <c r="B858" t="s">
        <v>119</v>
      </c>
    </row>
    <row r="859" hidden="1">
      <c r="A859" s="32">
        <f>IFERROR(__xludf.DUMMYFUNCTION("""COMPUTED_VALUE"""),43260.02271651621)</f>
        <v>43260.02272</v>
      </c>
      <c r="B859" t="s">
        <v>33</v>
      </c>
    </row>
    <row r="860" hidden="1">
      <c r="A860" s="32">
        <f>IFERROR(__xludf.DUMMYFUNCTION("""COMPUTED_VALUE"""),43260.3130925463)</f>
        <v>43260.31309</v>
      </c>
      <c r="B860" t="s">
        <v>80</v>
      </c>
    </row>
    <row r="861" hidden="1">
      <c r="A861" s="32">
        <f>IFERROR(__xludf.DUMMYFUNCTION("""COMPUTED_VALUE"""),43260.387457731485)</f>
        <v>43260.38746</v>
      </c>
      <c r="B861" t="s">
        <v>40</v>
      </c>
    </row>
    <row r="862" hidden="1">
      <c r="A862" s="32">
        <f>IFERROR(__xludf.DUMMYFUNCTION("""COMPUTED_VALUE"""),43260.540559409725)</f>
        <v>43260.54056</v>
      </c>
      <c r="B862" t="s">
        <v>124</v>
      </c>
    </row>
    <row r="863" hidden="1">
      <c r="A863" s="32">
        <f>IFERROR(__xludf.DUMMYFUNCTION("""COMPUTED_VALUE"""),43260.540703287035)</f>
        <v>43260.5407</v>
      </c>
      <c r="B863" t="s">
        <v>124</v>
      </c>
    </row>
    <row r="864" hidden="1">
      <c r="A864" s="32">
        <f>IFERROR(__xludf.DUMMYFUNCTION("""COMPUTED_VALUE"""),43260.60321454861)</f>
        <v>43260.60321</v>
      </c>
      <c r="B864" t="s">
        <v>95</v>
      </c>
    </row>
    <row r="865" hidden="1">
      <c r="A865" s="32">
        <f>IFERROR(__xludf.DUMMYFUNCTION("""COMPUTED_VALUE"""),43260.852942812504)</f>
        <v>43260.85294</v>
      </c>
      <c r="B865" t="s">
        <v>80</v>
      </c>
    </row>
    <row r="866" hidden="1">
      <c r="A866" s="32">
        <f>IFERROR(__xludf.DUMMYFUNCTION("""COMPUTED_VALUE"""),43260.89234396991)</f>
        <v>43260.89234</v>
      </c>
      <c r="B866" t="s">
        <v>33</v>
      </c>
    </row>
    <row r="867" hidden="1">
      <c r="A867" s="32">
        <f>IFERROR(__xludf.DUMMYFUNCTION("""COMPUTED_VALUE"""),43261.02805422454)</f>
        <v>43261.02805</v>
      </c>
      <c r="B867" t="s">
        <v>2681</v>
      </c>
    </row>
    <row r="868" hidden="1">
      <c r="A868" s="32">
        <f>IFERROR(__xludf.DUMMYFUNCTION("""COMPUTED_VALUE"""),43261.44673765046)</f>
        <v>43261.44674</v>
      </c>
      <c r="B868" t="s">
        <v>241</v>
      </c>
    </row>
    <row r="869" hidden="1">
      <c r="A869" s="32">
        <f>IFERROR(__xludf.DUMMYFUNCTION("""COMPUTED_VALUE"""),43261.48308290509)</f>
        <v>43261.48308</v>
      </c>
      <c r="B869" t="s">
        <v>80</v>
      </c>
    </row>
    <row r="870" hidden="1">
      <c r="A870" s="32">
        <f>IFERROR(__xludf.DUMMYFUNCTION("""COMPUTED_VALUE"""),43261.81915614584)</f>
        <v>43261.81916</v>
      </c>
      <c r="B870" t="s">
        <v>258</v>
      </c>
    </row>
    <row r="871" hidden="1">
      <c r="A871" s="32">
        <f>IFERROR(__xludf.DUMMYFUNCTION("""COMPUTED_VALUE"""),43261.82837628472)</f>
        <v>43261.82838</v>
      </c>
      <c r="B871" t="s">
        <v>282</v>
      </c>
    </row>
    <row r="872" hidden="1">
      <c r="A872" s="32">
        <f>IFERROR(__xludf.DUMMYFUNCTION("""COMPUTED_VALUE"""),43261.84972960648)</f>
        <v>43261.84973</v>
      </c>
      <c r="B872" t="s">
        <v>33</v>
      </c>
    </row>
    <row r="873" hidden="1">
      <c r="A873" s="32">
        <f>IFERROR(__xludf.DUMMYFUNCTION("""COMPUTED_VALUE"""),43262.01237390046)</f>
        <v>43262.01237</v>
      </c>
      <c r="B873" t="s">
        <v>80</v>
      </c>
    </row>
    <row r="874" hidden="1">
      <c r="A874" s="32">
        <f>IFERROR(__xludf.DUMMYFUNCTION("""COMPUTED_VALUE"""),43262.06666652778)</f>
        <v>43262.06667</v>
      </c>
      <c r="B874" t="s">
        <v>2687</v>
      </c>
    </row>
    <row r="875" hidden="1">
      <c r="A875" s="32">
        <f>IFERROR(__xludf.DUMMYFUNCTION("""COMPUTED_VALUE"""),43262.13555368056)</f>
        <v>43262.13555</v>
      </c>
      <c r="B875" t="s">
        <v>48</v>
      </c>
    </row>
    <row r="876" hidden="1">
      <c r="A876" s="32">
        <f>IFERROR(__xludf.DUMMYFUNCTION("""COMPUTED_VALUE"""),43262.137028495374)</f>
        <v>43262.13703</v>
      </c>
      <c r="B876" t="s">
        <v>768</v>
      </c>
    </row>
    <row r="877" hidden="1">
      <c r="A877" s="32">
        <f>IFERROR(__xludf.DUMMYFUNCTION("""COMPUTED_VALUE"""),43262.13880890046)</f>
        <v>43262.13881</v>
      </c>
      <c r="B877" t="s">
        <v>45</v>
      </c>
    </row>
    <row r="878" hidden="1">
      <c r="A878" s="32">
        <f>IFERROR(__xludf.DUMMYFUNCTION("""COMPUTED_VALUE"""),43262.41336439815)</f>
        <v>43262.41336</v>
      </c>
      <c r="B878" t="s">
        <v>80</v>
      </c>
    </row>
    <row r="879" hidden="1">
      <c r="A879" s="32">
        <f>IFERROR(__xludf.DUMMYFUNCTION("""COMPUTED_VALUE"""),43262.49488753472)</f>
        <v>43262.49489</v>
      </c>
      <c r="B879" t="s">
        <v>40</v>
      </c>
    </row>
    <row r="880" hidden="1">
      <c r="A880" s="32">
        <f>IFERROR(__xludf.DUMMYFUNCTION("""COMPUTED_VALUE"""),43262.504350937495)</f>
        <v>43262.50435</v>
      </c>
      <c r="B880" t="s">
        <v>80</v>
      </c>
    </row>
    <row r="881" hidden="1">
      <c r="A881" s="32">
        <f>IFERROR(__xludf.DUMMYFUNCTION("""COMPUTED_VALUE"""),43262.66685435185)</f>
        <v>43262.66685</v>
      </c>
      <c r="B881" t="s">
        <v>45</v>
      </c>
    </row>
    <row r="882" hidden="1">
      <c r="A882" s="32">
        <f>IFERROR(__xludf.DUMMYFUNCTION("""COMPUTED_VALUE"""),43262.694508761575)</f>
        <v>43262.69451</v>
      </c>
      <c r="B882" t="s">
        <v>2688</v>
      </c>
    </row>
    <row r="883" hidden="1">
      <c r="A883" s="32">
        <f>IFERROR(__xludf.DUMMYFUNCTION("""COMPUTED_VALUE"""),43262.70562527778)</f>
        <v>43262.70563</v>
      </c>
      <c r="B883" t="s">
        <v>263</v>
      </c>
    </row>
    <row r="884" hidden="1">
      <c r="A884" s="32">
        <f>IFERROR(__xludf.DUMMYFUNCTION("""COMPUTED_VALUE"""),43262.71606417824)</f>
        <v>43262.71606</v>
      </c>
      <c r="B884" t="s">
        <v>48</v>
      </c>
    </row>
    <row r="885" hidden="1">
      <c r="A885" s="32">
        <f>IFERROR(__xludf.DUMMYFUNCTION("""COMPUTED_VALUE"""),43262.81072255787)</f>
        <v>43262.81072</v>
      </c>
      <c r="B885" t="s">
        <v>33</v>
      </c>
    </row>
    <row r="886" hidden="1">
      <c r="A886" s="32">
        <f>IFERROR(__xludf.DUMMYFUNCTION("""COMPUTED_VALUE"""),43262.82182269676)</f>
        <v>43262.82182</v>
      </c>
      <c r="B886" t="s">
        <v>40</v>
      </c>
    </row>
    <row r="887" hidden="1">
      <c r="A887" s="32">
        <f>IFERROR(__xludf.DUMMYFUNCTION("""COMPUTED_VALUE"""),43262.84873174768)</f>
        <v>43262.84873</v>
      </c>
      <c r="B887" t="s">
        <v>80</v>
      </c>
    </row>
    <row r="888" hidden="1">
      <c r="A888" s="32">
        <f>IFERROR(__xludf.DUMMYFUNCTION("""COMPUTED_VALUE"""),43262.91581334491)</f>
        <v>43262.91581</v>
      </c>
      <c r="B888" t="s">
        <v>119</v>
      </c>
    </row>
    <row r="889" hidden="1">
      <c r="A889" s="32">
        <f>IFERROR(__xludf.DUMMYFUNCTION("""COMPUTED_VALUE"""),43263.21117998843)</f>
        <v>43263.21118</v>
      </c>
      <c r="B889" t="s">
        <v>473</v>
      </c>
    </row>
    <row r="890" hidden="1">
      <c r="A890" s="32">
        <f>IFERROR(__xludf.DUMMYFUNCTION("""COMPUTED_VALUE"""),43263.32362221065)</f>
        <v>43263.32362</v>
      </c>
      <c r="B890" t="s">
        <v>80</v>
      </c>
    </row>
    <row r="891" hidden="1">
      <c r="A891" s="32">
        <f>IFERROR(__xludf.DUMMYFUNCTION("""COMPUTED_VALUE"""),43263.40325587963)</f>
        <v>43263.40326</v>
      </c>
      <c r="B891" t="s">
        <v>80</v>
      </c>
    </row>
    <row r="892" hidden="1">
      <c r="A892" s="32">
        <f>IFERROR(__xludf.DUMMYFUNCTION("""COMPUTED_VALUE"""),43263.64624079861)</f>
        <v>43263.64624</v>
      </c>
      <c r="B892" t="s">
        <v>45</v>
      </c>
    </row>
    <row r="893" hidden="1">
      <c r="A893" s="32">
        <f>IFERROR(__xludf.DUMMYFUNCTION("""COMPUTED_VALUE"""),43263.694110462966)</f>
        <v>43263.69411</v>
      </c>
      <c r="B893" t="s">
        <v>36</v>
      </c>
    </row>
    <row r="894" hidden="1">
      <c r="A894" s="32">
        <f>IFERROR(__xludf.DUMMYFUNCTION("""COMPUTED_VALUE"""),43263.71558059027)</f>
        <v>43263.71558</v>
      </c>
      <c r="B894" t="s">
        <v>777</v>
      </c>
    </row>
    <row r="895" hidden="1">
      <c r="A895" s="32">
        <f>IFERROR(__xludf.DUMMYFUNCTION("""COMPUTED_VALUE"""),43263.71640039352)</f>
        <v>43263.7164</v>
      </c>
      <c r="B895" t="s">
        <v>452</v>
      </c>
    </row>
    <row r="896" hidden="1">
      <c r="A896" s="32">
        <f>IFERROR(__xludf.DUMMYFUNCTION("""COMPUTED_VALUE"""),43263.73153024305)</f>
        <v>43263.73153</v>
      </c>
      <c r="B896" t="s">
        <v>256</v>
      </c>
    </row>
    <row r="897" hidden="1">
      <c r="A897" s="32">
        <f>IFERROR(__xludf.DUMMYFUNCTION("""COMPUTED_VALUE"""),43263.787178032406)</f>
        <v>43263.78718</v>
      </c>
      <c r="B897" t="s">
        <v>33</v>
      </c>
    </row>
    <row r="898" hidden="1">
      <c r="A898" s="32">
        <f>IFERROR(__xludf.DUMMYFUNCTION("""COMPUTED_VALUE"""),43263.83604840278)</f>
        <v>43263.83605</v>
      </c>
      <c r="B898" t="s">
        <v>783</v>
      </c>
    </row>
    <row r="899" hidden="1">
      <c r="A899" s="32">
        <f>IFERROR(__xludf.DUMMYFUNCTION("""COMPUTED_VALUE"""),43263.84848366898)</f>
        <v>43263.84848</v>
      </c>
      <c r="B899" t="s">
        <v>972</v>
      </c>
    </row>
    <row r="900" hidden="1">
      <c r="A900" s="32">
        <f>IFERROR(__xludf.DUMMYFUNCTION("""COMPUTED_VALUE"""),43263.87089706019)</f>
        <v>43263.8709</v>
      </c>
      <c r="B900" t="s">
        <v>80</v>
      </c>
    </row>
    <row r="901" hidden="1">
      <c r="A901" s="32">
        <f>IFERROR(__xludf.DUMMYFUNCTION("""COMPUTED_VALUE"""),43264.00575111111)</f>
        <v>43264.00575</v>
      </c>
      <c r="B901" t="s">
        <v>658</v>
      </c>
    </row>
    <row r="902" hidden="1">
      <c r="A902" s="32">
        <f>IFERROR(__xludf.DUMMYFUNCTION("""COMPUTED_VALUE"""),43264.50206133102)</f>
        <v>43264.50206</v>
      </c>
      <c r="B902" t="s">
        <v>123</v>
      </c>
    </row>
    <row r="903" hidden="1">
      <c r="A903" s="32">
        <f>IFERROR(__xludf.DUMMYFUNCTION("""COMPUTED_VALUE"""),43264.75394998843)</f>
        <v>43264.75395</v>
      </c>
      <c r="B903" t="s">
        <v>787</v>
      </c>
    </row>
    <row r="904" hidden="1">
      <c r="A904" s="32">
        <f>IFERROR(__xludf.DUMMYFUNCTION("""COMPUTED_VALUE"""),43264.79160303241)</f>
        <v>43264.7916</v>
      </c>
      <c r="B904" t="s">
        <v>33</v>
      </c>
    </row>
    <row r="905" hidden="1">
      <c r="A905" s="32">
        <f>IFERROR(__xludf.DUMMYFUNCTION("""COMPUTED_VALUE"""),43264.89767219908)</f>
        <v>43264.89767</v>
      </c>
      <c r="B905" t="s">
        <v>40</v>
      </c>
    </row>
    <row r="906" hidden="1">
      <c r="A906" s="32">
        <f>IFERROR(__xludf.DUMMYFUNCTION("""COMPUTED_VALUE"""),43264.92622934028)</f>
        <v>43264.92623</v>
      </c>
      <c r="B906" t="s">
        <v>40</v>
      </c>
    </row>
    <row r="907" hidden="1">
      <c r="A907" s="32">
        <f>IFERROR(__xludf.DUMMYFUNCTION("""COMPUTED_VALUE"""),43264.96670099537)</f>
        <v>43264.9667</v>
      </c>
      <c r="B907" t="s">
        <v>538</v>
      </c>
    </row>
    <row r="908" hidden="1">
      <c r="A908" s="32">
        <f>IFERROR(__xludf.DUMMYFUNCTION("""COMPUTED_VALUE"""),43264.98874361111)</f>
        <v>43264.98874</v>
      </c>
      <c r="B908" t="s">
        <v>790</v>
      </c>
    </row>
    <row r="909" hidden="1">
      <c r="A909" s="32">
        <f>IFERROR(__xludf.DUMMYFUNCTION("""COMPUTED_VALUE"""),43265.01029736111)</f>
        <v>43265.0103</v>
      </c>
      <c r="B909" t="s">
        <v>80</v>
      </c>
    </row>
    <row r="910" hidden="1">
      <c r="A910" s="32">
        <f>IFERROR(__xludf.DUMMYFUNCTION("""COMPUTED_VALUE"""),43265.0651815625)</f>
        <v>43265.06518</v>
      </c>
      <c r="B910" t="s">
        <v>538</v>
      </c>
    </row>
    <row r="911" hidden="1">
      <c r="A911" s="32">
        <f>IFERROR(__xludf.DUMMYFUNCTION("""COMPUTED_VALUE"""),43265.170139525464)</f>
        <v>43265.17014</v>
      </c>
      <c r="B911" t="s">
        <v>538</v>
      </c>
    </row>
    <row r="912" hidden="1">
      <c r="A912" s="32">
        <f>IFERROR(__xludf.DUMMYFUNCTION("""COMPUTED_VALUE"""),43265.35532604167)</f>
        <v>43265.35533</v>
      </c>
      <c r="B912" t="s">
        <v>407</v>
      </c>
    </row>
    <row r="913" hidden="1">
      <c r="A913" s="32">
        <f>IFERROR(__xludf.DUMMYFUNCTION("""COMPUTED_VALUE"""),43265.36271417824)</f>
        <v>43265.36271</v>
      </c>
      <c r="B913" t="s">
        <v>33</v>
      </c>
    </row>
    <row r="914" hidden="1">
      <c r="A914" s="32">
        <f>IFERROR(__xludf.DUMMYFUNCTION("""COMPUTED_VALUE"""),43265.367924907405)</f>
        <v>43265.36792</v>
      </c>
      <c r="B914" t="s">
        <v>45</v>
      </c>
    </row>
    <row r="915" hidden="1">
      <c r="A915" s="32">
        <f>IFERROR(__xludf.DUMMYFUNCTION("""COMPUTED_VALUE"""),43265.44362209491)</f>
        <v>43265.44362</v>
      </c>
      <c r="B915" t="s">
        <v>33</v>
      </c>
    </row>
    <row r="916" hidden="1">
      <c r="A916" s="32">
        <f>IFERROR(__xludf.DUMMYFUNCTION("""COMPUTED_VALUE"""),43265.74805459491)</f>
        <v>43265.74805</v>
      </c>
      <c r="B916" t="s">
        <v>33</v>
      </c>
    </row>
    <row r="917" hidden="1">
      <c r="A917" s="32">
        <f>IFERROR(__xludf.DUMMYFUNCTION("""COMPUTED_VALUE"""),43265.78826736111)</f>
        <v>43265.78827</v>
      </c>
      <c r="B917" t="s">
        <v>45</v>
      </c>
    </row>
    <row r="918" hidden="1">
      <c r="A918" s="32">
        <f>IFERROR(__xludf.DUMMYFUNCTION("""COMPUTED_VALUE"""),43265.812089178246)</f>
        <v>43265.81209</v>
      </c>
      <c r="B918" t="s">
        <v>2658</v>
      </c>
    </row>
    <row r="919" hidden="1">
      <c r="A919" s="32">
        <f>IFERROR(__xludf.DUMMYFUNCTION("""COMPUTED_VALUE"""),43265.82094229167)</f>
        <v>43265.82094</v>
      </c>
      <c r="B919" t="s">
        <v>122</v>
      </c>
    </row>
    <row r="920" hidden="1">
      <c r="A920" s="32">
        <f>IFERROR(__xludf.DUMMYFUNCTION("""COMPUTED_VALUE"""),43265.82597133102)</f>
        <v>43265.82597</v>
      </c>
      <c r="B920" t="s">
        <v>538</v>
      </c>
    </row>
    <row r="921" hidden="1">
      <c r="A921" s="32">
        <f>IFERROR(__xludf.DUMMYFUNCTION("""COMPUTED_VALUE"""),43265.8480984375)</f>
        <v>43265.8481</v>
      </c>
      <c r="B921" t="s">
        <v>124</v>
      </c>
    </row>
    <row r="922" hidden="1">
      <c r="A922" s="32">
        <f>IFERROR(__xludf.DUMMYFUNCTION("""COMPUTED_VALUE"""),43265.86711324074)</f>
        <v>43265.86711</v>
      </c>
      <c r="B922" t="s">
        <v>40</v>
      </c>
    </row>
    <row r="923" hidden="1">
      <c r="A923" s="32">
        <f>IFERROR(__xludf.DUMMYFUNCTION("""COMPUTED_VALUE"""),43266.35483615741)</f>
        <v>43266.35484</v>
      </c>
      <c r="B923" t="s">
        <v>48</v>
      </c>
    </row>
    <row r="924" hidden="1">
      <c r="A924" s="32">
        <f>IFERROR(__xludf.DUMMYFUNCTION("""COMPUTED_VALUE"""),43266.563989629634)</f>
        <v>43266.56399</v>
      </c>
      <c r="B924" t="s">
        <v>658</v>
      </c>
    </row>
    <row r="925" hidden="1">
      <c r="A925" s="32">
        <f>IFERROR(__xludf.DUMMYFUNCTION("""COMPUTED_VALUE"""),43266.5640040162)</f>
        <v>43266.564</v>
      </c>
      <c r="B925" t="s">
        <v>658</v>
      </c>
    </row>
    <row r="926" hidden="1">
      <c r="A926" s="32">
        <f>IFERROR(__xludf.DUMMYFUNCTION("""COMPUTED_VALUE"""),43266.61491885417)</f>
        <v>43266.61492</v>
      </c>
      <c r="B926" t="s">
        <v>33</v>
      </c>
    </row>
    <row r="927" hidden="1">
      <c r="A927" s="32">
        <f>IFERROR(__xludf.DUMMYFUNCTION("""COMPUTED_VALUE"""),43266.800009398146)</f>
        <v>43266.80001</v>
      </c>
      <c r="B927" t="s">
        <v>2662</v>
      </c>
    </row>
    <row r="928" hidden="1">
      <c r="A928" s="32">
        <f>IFERROR(__xludf.DUMMYFUNCTION("""COMPUTED_VALUE"""),43266.82524280093)</f>
        <v>43266.82524</v>
      </c>
      <c r="B928" t="s">
        <v>48</v>
      </c>
    </row>
    <row r="929" hidden="1">
      <c r="A929" s="32">
        <f>IFERROR(__xludf.DUMMYFUNCTION("""COMPUTED_VALUE"""),43266.95008480324)</f>
        <v>43266.95008</v>
      </c>
      <c r="B929" t="s">
        <v>33</v>
      </c>
    </row>
    <row r="930" hidden="1">
      <c r="A930" s="32">
        <f>IFERROR(__xludf.DUMMYFUNCTION("""COMPUTED_VALUE"""),43266.9815753125)</f>
        <v>43266.98158</v>
      </c>
      <c r="B930" t="s">
        <v>33</v>
      </c>
    </row>
    <row r="931" hidden="1">
      <c r="A931" s="32">
        <f>IFERROR(__xludf.DUMMYFUNCTION("""COMPUTED_VALUE"""),43267.11359230324)</f>
        <v>43267.11359</v>
      </c>
      <c r="B931" t="s">
        <v>2424</v>
      </c>
    </row>
    <row r="932" hidden="1">
      <c r="A932" s="32">
        <f>IFERROR(__xludf.DUMMYFUNCTION("""COMPUTED_VALUE"""),43267.228954942126)</f>
        <v>43267.22895</v>
      </c>
      <c r="B932" t="s">
        <v>157</v>
      </c>
    </row>
    <row r="933" hidden="1">
      <c r="A933" s="32">
        <f>IFERROR(__xludf.DUMMYFUNCTION("""COMPUTED_VALUE"""),43267.384660868054)</f>
        <v>43267.38466</v>
      </c>
      <c r="B933" t="s">
        <v>25</v>
      </c>
    </row>
    <row r="934" hidden="1">
      <c r="A934" s="32">
        <f>IFERROR(__xludf.DUMMYFUNCTION("""COMPUTED_VALUE"""),43267.41105728009)</f>
        <v>43267.41106</v>
      </c>
      <c r="B934" t="s">
        <v>802</v>
      </c>
    </row>
    <row r="935" hidden="1">
      <c r="A935" s="32">
        <f>IFERROR(__xludf.DUMMYFUNCTION("""COMPUTED_VALUE"""),43267.86128336805)</f>
        <v>43267.86128</v>
      </c>
      <c r="B935" t="s">
        <v>33</v>
      </c>
    </row>
    <row r="936" hidden="1">
      <c r="A936" s="32">
        <f>IFERROR(__xludf.DUMMYFUNCTION("""COMPUTED_VALUE"""),43268.2135774537)</f>
        <v>43268.21358</v>
      </c>
      <c r="B936" t="s">
        <v>538</v>
      </c>
    </row>
    <row r="937" hidden="1">
      <c r="A937" s="32">
        <f>IFERROR(__xludf.DUMMYFUNCTION("""COMPUTED_VALUE"""),43268.48265074074)</f>
        <v>43268.48265</v>
      </c>
      <c r="B937" t="s">
        <v>538</v>
      </c>
    </row>
    <row r="938" hidden="1">
      <c r="A938" s="32">
        <f>IFERROR(__xludf.DUMMYFUNCTION("""COMPUTED_VALUE"""),43268.48585880787)</f>
        <v>43268.48586</v>
      </c>
      <c r="B938" t="s">
        <v>48</v>
      </c>
    </row>
    <row r="939" hidden="1">
      <c r="A939" s="32">
        <f>IFERROR(__xludf.DUMMYFUNCTION("""COMPUTED_VALUE"""),43268.54475055556)</f>
        <v>43268.54475</v>
      </c>
      <c r="B939" t="s">
        <v>705</v>
      </c>
    </row>
    <row r="940" hidden="1">
      <c r="A940" s="32">
        <f>IFERROR(__xludf.DUMMYFUNCTION("""COMPUTED_VALUE"""),43268.65333888889)</f>
        <v>43268.65334</v>
      </c>
      <c r="B940" t="s">
        <v>45</v>
      </c>
    </row>
    <row r="941" hidden="1">
      <c r="A941" s="32">
        <f>IFERROR(__xludf.DUMMYFUNCTION("""COMPUTED_VALUE"""),43268.78263460648)</f>
        <v>43268.78263</v>
      </c>
      <c r="B941" t="s">
        <v>256</v>
      </c>
    </row>
    <row r="942" hidden="1">
      <c r="A942" s="32">
        <f>IFERROR(__xludf.DUMMYFUNCTION("""COMPUTED_VALUE"""),43268.79363994213)</f>
        <v>43268.79364</v>
      </c>
      <c r="B942" t="s">
        <v>33</v>
      </c>
    </row>
    <row r="943" hidden="1">
      <c r="A943" s="32">
        <f>IFERROR(__xludf.DUMMYFUNCTION("""COMPUTED_VALUE"""),43268.86948353009)</f>
        <v>43268.86948</v>
      </c>
      <c r="B943" t="s">
        <v>48</v>
      </c>
    </row>
    <row r="944" hidden="1">
      <c r="A944" s="32">
        <f>IFERROR(__xludf.DUMMYFUNCTION("""COMPUTED_VALUE"""),43268.880067569444)</f>
        <v>43268.88007</v>
      </c>
      <c r="B944" t="s">
        <v>48</v>
      </c>
    </row>
    <row r="945" hidden="1">
      <c r="A945" s="32">
        <f>IFERROR(__xludf.DUMMYFUNCTION("""COMPUTED_VALUE"""),43268.880771550925)</f>
        <v>43268.88077</v>
      </c>
      <c r="B945" t="s">
        <v>48</v>
      </c>
    </row>
    <row r="946" hidden="1">
      <c r="A946" s="32">
        <f>IFERROR(__xludf.DUMMYFUNCTION("""COMPUTED_VALUE"""),43268.97589572916)</f>
        <v>43268.9759</v>
      </c>
      <c r="B946" t="s">
        <v>139</v>
      </c>
    </row>
    <row r="947" hidden="1">
      <c r="A947" s="32">
        <f>IFERROR(__xludf.DUMMYFUNCTION("""COMPUTED_VALUE"""),43269.02097932871)</f>
        <v>43269.02098</v>
      </c>
      <c r="B947" t="s">
        <v>142</v>
      </c>
    </row>
    <row r="948" hidden="1">
      <c r="A948" s="32">
        <f>IFERROR(__xludf.DUMMYFUNCTION("""COMPUTED_VALUE"""),43269.4643344213)</f>
        <v>43269.46433</v>
      </c>
      <c r="B948" t="s">
        <v>40</v>
      </c>
    </row>
    <row r="949" hidden="1">
      <c r="A949" s="32">
        <f>IFERROR(__xludf.DUMMYFUNCTION("""COMPUTED_VALUE"""),43269.76835787037)</f>
        <v>43269.76836</v>
      </c>
      <c r="B949" t="s">
        <v>350</v>
      </c>
    </row>
    <row r="950" hidden="1">
      <c r="A950" s="32">
        <f>IFERROR(__xludf.DUMMYFUNCTION("""COMPUTED_VALUE"""),43269.776637048606)</f>
        <v>43269.77664</v>
      </c>
      <c r="B950" t="s">
        <v>40</v>
      </c>
    </row>
    <row r="951" hidden="1">
      <c r="A951" s="32">
        <f>IFERROR(__xludf.DUMMYFUNCTION("""COMPUTED_VALUE"""),43269.90189163195)</f>
        <v>43269.90189</v>
      </c>
      <c r="B951" t="s">
        <v>40</v>
      </c>
    </row>
    <row r="952" hidden="1">
      <c r="A952" s="32">
        <f>IFERROR(__xludf.DUMMYFUNCTION("""COMPUTED_VALUE"""),43269.931297048606)</f>
        <v>43269.9313</v>
      </c>
      <c r="B952" t="s">
        <v>123</v>
      </c>
    </row>
    <row r="953" hidden="1">
      <c r="A953" s="32">
        <f>IFERROR(__xludf.DUMMYFUNCTION("""COMPUTED_VALUE"""),43270.34658917824)</f>
        <v>43270.34659</v>
      </c>
      <c r="B953" t="s">
        <v>40</v>
      </c>
    </row>
    <row r="954" hidden="1">
      <c r="A954" s="32">
        <f>IFERROR(__xludf.DUMMYFUNCTION("""COMPUTED_VALUE"""),43270.48191753472)</f>
        <v>43270.48192</v>
      </c>
      <c r="B954" t="s">
        <v>80</v>
      </c>
    </row>
    <row r="955" hidden="1">
      <c r="A955" s="32">
        <f>IFERROR(__xludf.DUMMYFUNCTION("""COMPUTED_VALUE"""),43270.53039901621)</f>
        <v>43270.5304</v>
      </c>
      <c r="B955" t="s">
        <v>813</v>
      </c>
    </row>
    <row r="956" hidden="1">
      <c r="A956" s="32">
        <f>IFERROR(__xludf.DUMMYFUNCTION("""COMPUTED_VALUE"""),43270.91999945602)</f>
        <v>43270.92</v>
      </c>
      <c r="B956" t="s">
        <v>33</v>
      </c>
    </row>
    <row r="957" hidden="1">
      <c r="A957" s="32">
        <f>IFERROR(__xludf.DUMMYFUNCTION("""COMPUTED_VALUE"""),43271.033135543985)</f>
        <v>43271.03314</v>
      </c>
      <c r="B957" t="s">
        <v>40</v>
      </c>
    </row>
    <row r="958" hidden="1">
      <c r="A958" s="32">
        <f>IFERROR(__xludf.DUMMYFUNCTION("""COMPUTED_VALUE"""),43271.034154270834)</f>
        <v>43271.03415</v>
      </c>
      <c r="B958" t="s">
        <v>80</v>
      </c>
    </row>
    <row r="959" hidden="1">
      <c r="A959" s="32">
        <f>IFERROR(__xludf.DUMMYFUNCTION("""COMPUTED_VALUE"""),43271.90292403935)</f>
        <v>43271.90292</v>
      </c>
      <c r="B959" t="s">
        <v>170</v>
      </c>
    </row>
    <row r="960" hidden="1">
      <c r="A960" s="32">
        <f>IFERROR(__xludf.DUMMYFUNCTION("""COMPUTED_VALUE"""),43271.92223351852)</f>
        <v>43271.92223</v>
      </c>
      <c r="B960" t="s">
        <v>256</v>
      </c>
    </row>
    <row r="961" hidden="1">
      <c r="A961" s="32">
        <f>IFERROR(__xludf.DUMMYFUNCTION("""COMPUTED_VALUE"""),43272.011455775464)</f>
        <v>43272.01146</v>
      </c>
      <c r="B961" t="s">
        <v>258</v>
      </c>
    </row>
    <row r="962" hidden="1">
      <c r="A962" s="32">
        <f>IFERROR(__xludf.DUMMYFUNCTION("""COMPUTED_VALUE"""),43272.22469993056)</f>
        <v>43272.2247</v>
      </c>
      <c r="B962" t="s">
        <v>40</v>
      </c>
    </row>
    <row r="963" hidden="1">
      <c r="A963" s="32">
        <f>IFERROR(__xludf.DUMMYFUNCTION("""COMPUTED_VALUE"""),43272.39626863426)</f>
        <v>43272.39627</v>
      </c>
      <c r="B963" t="s">
        <v>819</v>
      </c>
    </row>
    <row r="964" hidden="1">
      <c r="A964" s="32">
        <f>IFERROR(__xludf.DUMMYFUNCTION("""COMPUTED_VALUE"""),43272.432453761576)</f>
        <v>43272.43245</v>
      </c>
      <c r="B964" t="s">
        <v>820</v>
      </c>
    </row>
    <row r="965" hidden="1">
      <c r="A965" s="32">
        <f>IFERROR(__xludf.DUMMYFUNCTION("""COMPUTED_VALUE"""),43272.454570636575)</f>
        <v>43272.45457</v>
      </c>
      <c r="B965" t="s">
        <v>95</v>
      </c>
    </row>
    <row r="966" hidden="1">
      <c r="A966" s="32">
        <f>IFERROR(__xludf.DUMMYFUNCTION("""COMPUTED_VALUE"""),43272.66161547454)</f>
        <v>43272.66162</v>
      </c>
      <c r="B966" t="s">
        <v>33</v>
      </c>
    </row>
    <row r="967" hidden="1">
      <c r="A967" s="32">
        <f>IFERROR(__xludf.DUMMYFUNCTION("""COMPUTED_VALUE"""),43272.67645461806)</f>
        <v>43272.67645</v>
      </c>
      <c r="B967" t="s">
        <v>2689</v>
      </c>
    </row>
    <row r="968" hidden="1">
      <c r="A968" s="32">
        <f>IFERROR(__xludf.DUMMYFUNCTION("""COMPUTED_VALUE"""),43272.918180127315)</f>
        <v>43272.91818</v>
      </c>
      <c r="B968" t="s">
        <v>2690</v>
      </c>
    </row>
    <row r="969" hidden="1">
      <c r="A969" s="32">
        <f>IFERROR(__xludf.DUMMYFUNCTION("""COMPUTED_VALUE"""),43272.92461560185)</f>
        <v>43272.92462</v>
      </c>
      <c r="B969" t="s">
        <v>2424</v>
      </c>
    </row>
    <row r="970" hidden="1">
      <c r="A970" s="32">
        <f>IFERROR(__xludf.DUMMYFUNCTION("""COMPUTED_VALUE"""),43272.962819444445)</f>
        <v>43272.96282</v>
      </c>
      <c r="B970" t="s">
        <v>387</v>
      </c>
    </row>
    <row r="971" hidden="1">
      <c r="A971" s="32">
        <f>IFERROR(__xludf.DUMMYFUNCTION("""COMPUTED_VALUE"""),43272.99066251157)</f>
        <v>43272.99066</v>
      </c>
      <c r="B971" t="s">
        <v>119</v>
      </c>
    </row>
    <row r="972" hidden="1">
      <c r="A972" s="32">
        <f>IFERROR(__xludf.DUMMYFUNCTION("""COMPUTED_VALUE"""),43273.346646817125)</f>
        <v>43273.34665</v>
      </c>
      <c r="B972" t="s">
        <v>40</v>
      </c>
    </row>
    <row r="973" hidden="1">
      <c r="A973" s="32">
        <f>IFERROR(__xludf.DUMMYFUNCTION("""COMPUTED_VALUE"""),43273.5213777662)</f>
        <v>43273.52138</v>
      </c>
      <c r="B973" t="s">
        <v>33</v>
      </c>
    </row>
    <row r="974" hidden="1">
      <c r="A974" s="32">
        <f>IFERROR(__xludf.DUMMYFUNCTION("""COMPUTED_VALUE"""),43273.734075625005)</f>
        <v>43273.73408</v>
      </c>
      <c r="B974" t="s">
        <v>204</v>
      </c>
    </row>
    <row r="975" hidden="1">
      <c r="A975" s="32">
        <f>IFERROR(__xludf.DUMMYFUNCTION("""COMPUTED_VALUE"""),43274.39365241898)</f>
        <v>43274.39365</v>
      </c>
      <c r="B975" t="s">
        <v>727</v>
      </c>
    </row>
    <row r="976" hidden="1">
      <c r="A976" s="32">
        <f>IFERROR(__xludf.DUMMYFUNCTION("""COMPUTED_VALUE"""),43274.83149131945)</f>
        <v>43274.83149</v>
      </c>
      <c r="B976" t="s">
        <v>33</v>
      </c>
    </row>
    <row r="977" hidden="1">
      <c r="A977" s="32">
        <f>IFERROR(__xludf.DUMMYFUNCTION("""COMPUTED_VALUE"""),43274.906529768516)</f>
        <v>43274.90653</v>
      </c>
      <c r="B977" t="s">
        <v>123</v>
      </c>
    </row>
    <row r="978" hidden="1">
      <c r="A978" s="32">
        <f>IFERROR(__xludf.DUMMYFUNCTION("""COMPUTED_VALUE"""),43275.03192511574)</f>
        <v>43275.03193</v>
      </c>
      <c r="B978" t="s">
        <v>80</v>
      </c>
    </row>
    <row r="979" hidden="1">
      <c r="A979" s="32">
        <f>IFERROR(__xludf.DUMMYFUNCTION("""COMPUTED_VALUE"""),43275.593293125)</f>
        <v>43275.59329</v>
      </c>
      <c r="B979" t="s">
        <v>123</v>
      </c>
    </row>
    <row r="980" hidden="1">
      <c r="A980" s="32">
        <f>IFERROR(__xludf.DUMMYFUNCTION("""COMPUTED_VALUE"""),43276.36492078703)</f>
        <v>43276.36492</v>
      </c>
      <c r="B980" t="s">
        <v>387</v>
      </c>
    </row>
    <row r="981" hidden="1">
      <c r="A981" s="32">
        <f>IFERROR(__xludf.DUMMYFUNCTION("""COMPUTED_VALUE"""),43276.48760446759)</f>
        <v>43276.4876</v>
      </c>
      <c r="B981" t="s">
        <v>40</v>
      </c>
    </row>
    <row r="982" hidden="1">
      <c r="A982" s="32">
        <f>IFERROR(__xludf.DUMMYFUNCTION("""COMPUTED_VALUE"""),43276.55913527778)</f>
        <v>43276.55914</v>
      </c>
      <c r="B982" t="s">
        <v>139</v>
      </c>
    </row>
    <row r="983" hidden="1">
      <c r="A983" s="32">
        <f>IFERROR(__xludf.DUMMYFUNCTION("""COMPUTED_VALUE"""),43276.56083152778)</f>
        <v>43276.56083</v>
      </c>
      <c r="B983" t="s">
        <v>119</v>
      </c>
    </row>
    <row r="984" hidden="1">
      <c r="A984" s="32">
        <f>IFERROR(__xludf.DUMMYFUNCTION("""COMPUTED_VALUE"""),43276.572966377316)</f>
        <v>43276.57297</v>
      </c>
      <c r="B984" t="s">
        <v>2424</v>
      </c>
    </row>
    <row r="985" hidden="1">
      <c r="A985" s="32">
        <f>IFERROR(__xludf.DUMMYFUNCTION("""COMPUTED_VALUE"""),43276.6977475)</f>
        <v>43276.69775</v>
      </c>
      <c r="B985" t="s">
        <v>45</v>
      </c>
    </row>
    <row r="986" hidden="1">
      <c r="A986" s="32">
        <f>IFERROR(__xludf.DUMMYFUNCTION("""COMPUTED_VALUE"""),43276.72777424769)</f>
        <v>43276.72777</v>
      </c>
      <c r="B986" t="s">
        <v>124</v>
      </c>
    </row>
    <row r="987" hidden="1">
      <c r="A987" s="32">
        <f>IFERROR(__xludf.DUMMYFUNCTION("""COMPUTED_VALUE"""),43276.76558694444)</f>
        <v>43276.76559</v>
      </c>
      <c r="B987" t="s">
        <v>33</v>
      </c>
    </row>
    <row r="988" hidden="1">
      <c r="A988" s="32">
        <f>IFERROR(__xludf.DUMMYFUNCTION("""COMPUTED_VALUE"""),43276.77559664352)</f>
        <v>43276.7756</v>
      </c>
      <c r="B988" t="s">
        <v>40</v>
      </c>
    </row>
    <row r="989" hidden="1">
      <c r="A989" s="32">
        <f>IFERROR(__xludf.DUMMYFUNCTION("""COMPUTED_VALUE"""),43276.83025106481)</f>
        <v>43276.83025</v>
      </c>
      <c r="B989" t="s">
        <v>33</v>
      </c>
    </row>
    <row r="990" hidden="1">
      <c r="A990" s="32">
        <f>IFERROR(__xludf.DUMMYFUNCTION("""COMPUTED_VALUE"""),43277.04855359954)</f>
        <v>43277.04855</v>
      </c>
      <c r="B990" t="s">
        <v>123</v>
      </c>
    </row>
    <row r="991" hidden="1">
      <c r="A991" s="32">
        <f>IFERROR(__xludf.DUMMYFUNCTION("""COMPUTED_VALUE"""),43277.318245057875)</f>
        <v>43277.31825</v>
      </c>
      <c r="B991" t="s">
        <v>832</v>
      </c>
    </row>
    <row r="992" hidden="1">
      <c r="A992" s="32">
        <f>IFERROR(__xludf.DUMMYFUNCTION("""COMPUTED_VALUE"""),43277.332614178245)</f>
        <v>43277.33261</v>
      </c>
      <c r="B992" t="s">
        <v>835</v>
      </c>
    </row>
    <row r="993" hidden="1">
      <c r="A993" s="32">
        <f>IFERROR(__xludf.DUMMYFUNCTION("""COMPUTED_VALUE"""),43277.664709687495)</f>
        <v>43277.66471</v>
      </c>
      <c r="B993" t="s">
        <v>256</v>
      </c>
    </row>
    <row r="994" hidden="1">
      <c r="A994" s="32">
        <f>IFERROR(__xludf.DUMMYFUNCTION("""COMPUTED_VALUE"""),43277.69279725694)</f>
        <v>43277.6928</v>
      </c>
      <c r="B994" t="s">
        <v>2424</v>
      </c>
    </row>
    <row r="995" hidden="1">
      <c r="A995" s="32">
        <f>IFERROR(__xludf.DUMMYFUNCTION("""COMPUTED_VALUE"""),43277.694810810186)</f>
        <v>43277.69481</v>
      </c>
      <c r="B995" t="s">
        <v>350</v>
      </c>
    </row>
    <row r="996" hidden="1">
      <c r="A996" s="32">
        <f>IFERROR(__xludf.DUMMYFUNCTION("""COMPUTED_VALUE"""),43277.7138259375)</f>
        <v>43277.71383</v>
      </c>
      <c r="B996" t="s">
        <v>48</v>
      </c>
    </row>
    <row r="997" hidden="1">
      <c r="A997" s="32">
        <f>IFERROR(__xludf.DUMMYFUNCTION("""COMPUTED_VALUE"""),43277.735162233796)</f>
        <v>43277.73516</v>
      </c>
      <c r="B997" t="s">
        <v>25</v>
      </c>
    </row>
    <row r="998" hidden="1">
      <c r="A998" s="32">
        <f>IFERROR(__xludf.DUMMYFUNCTION("""COMPUTED_VALUE"""),43277.74607392361)</f>
        <v>43277.74607</v>
      </c>
      <c r="B998" t="s">
        <v>80</v>
      </c>
    </row>
    <row r="999" hidden="1">
      <c r="A999" s="32">
        <f>IFERROR(__xludf.DUMMYFUNCTION("""COMPUTED_VALUE"""),43277.747984814814)</f>
        <v>43277.74798</v>
      </c>
      <c r="B999" t="s">
        <v>33</v>
      </c>
    </row>
    <row r="1000" hidden="1">
      <c r="A1000" s="32">
        <f>IFERROR(__xludf.DUMMYFUNCTION("""COMPUTED_VALUE"""),43277.90122509259)</f>
        <v>43277.90123</v>
      </c>
      <c r="B1000" t="s">
        <v>2691</v>
      </c>
    </row>
    <row r="1001" hidden="1">
      <c r="A1001" s="32">
        <f>IFERROR(__xludf.DUMMYFUNCTION("""COMPUTED_VALUE"""),43277.90262828703)</f>
        <v>43277.90263</v>
      </c>
      <c r="B1001" t="s">
        <v>722</v>
      </c>
    </row>
    <row r="1002" hidden="1">
      <c r="A1002" s="32">
        <f>IFERROR(__xludf.DUMMYFUNCTION("""COMPUTED_VALUE"""),43277.997436840276)</f>
        <v>43277.99744</v>
      </c>
      <c r="B1002" t="s">
        <v>25</v>
      </c>
    </row>
    <row r="1003" hidden="1">
      <c r="A1003" s="32">
        <f>IFERROR(__xludf.DUMMYFUNCTION("""COMPUTED_VALUE"""),43278.4993940162)</f>
        <v>43278.49939</v>
      </c>
      <c r="B1003" t="s">
        <v>204</v>
      </c>
    </row>
    <row r="1004" hidden="1">
      <c r="A1004" s="32">
        <f>IFERROR(__xludf.DUMMYFUNCTION("""COMPUTED_VALUE"""),43278.91781738426)</f>
        <v>43278.91782</v>
      </c>
      <c r="B1004" t="s">
        <v>380</v>
      </c>
    </row>
    <row r="1005" hidden="1">
      <c r="A1005" s="32">
        <f>IFERROR(__xludf.DUMMYFUNCTION("""COMPUTED_VALUE"""),43278.97630365741)</f>
        <v>43278.9763</v>
      </c>
      <c r="B1005" t="s">
        <v>40</v>
      </c>
    </row>
    <row r="1006" hidden="1">
      <c r="A1006" s="32">
        <f>IFERROR(__xludf.DUMMYFUNCTION("""COMPUTED_VALUE"""),43279.33142833333)</f>
        <v>43279.33143</v>
      </c>
      <c r="B1006" t="s">
        <v>2692</v>
      </c>
    </row>
    <row r="1007" hidden="1">
      <c r="A1007" s="32">
        <f>IFERROR(__xludf.DUMMYFUNCTION("""COMPUTED_VALUE"""),43279.56123378473)</f>
        <v>43279.56123</v>
      </c>
      <c r="B1007" t="s">
        <v>40</v>
      </c>
    </row>
    <row r="1008" hidden="1">
      <c r="A1008" s="32">
        <f>IFERROR(__xludf.DUMMYFUNCTION("""COMPUTED_VALUE"""),43279.92334517361)</f>
        <v>43279.92335</v>
      </c>
      <c r="B1008" t="s">
        <v>371</v>
      </c>
    </row>
    <row r="1009" hidden="1">
      <c r="A1009" s="32">
        <f>IFERROR(__xludf.DUMMYFUNCTION("""COMPUTED_VALUE"""),43280.02680987268)</f>
        <v>43280.02681</v>
      </c>
      <c r="B1009" t="s">
        <v>845</v>
      </c>
    </row>
    <row r="1010" hidden="1">
      <c r="A1010" s="32">
        <f>IFERROR(__xludf.DUMMYFUNCTION("""COMPUTED_VALUE"""),43280.26847519676)</f>
        <v>43280.26848</v>
      </c>
      <c r="B1010" t="s">
        <v>705</v>
      </c>
    </row>
    <row r="1011" hidden="1">
      <c r="A1011" s="32">
        <f>IFERROR(__xludf.DUMMYFUNCTION("""COMPUTED_VALUE"""),43280.300140775464)</f>
        <v>43280.30014</v>
      </c>
      <c r="B1011" t="s">
        <v>124</v>
      </c>
    </row>
    <row r="1012" hidden="1">
      <c r="A1012" s="32">
        <f>IFERROR(__xludf.DUMMYFUNCTION("""COMPUTED_VALUE"""),43280.37967833334)</f>
        <v>43280.37968</v>
      </c>
      <c r="B1012" t="s">
        <v>33</v>
      </c>
    </row>
    <row r="1013" hidden="1">
      <c r="A1013" s="32">
        <f>IFERROR(__xludf.DUMMYFUNCTION("""COMPUTED_VALUE"""),43280.4210710301)</f>
        <v>43280.42107</v>
      </c>
      <c r="B1013" t="s">
        <v>80</v>
      </c>
    </row>
    <row r="1014" hidden="1">
      <c r="A1014" s="32">
        <f>IFERROR(__xludf.DUMMYFUNCTION("""COMPUTED_VALUE"""),43280.73350096065)</f>
        <v>43280.7335</v>
      </c>
      <c r="B1014" t="s">
        <v>187</v>
      </c>
    </row>
    <row r="1015" hidden="1">
      <c r="A1015" s="32">
        <f>IFERROR(__xludf.DUMMYFUNCTION("""COMPUTED_VALUE"""),43280.82892467592)</f>
        <v>43280.82892</v>
      </c>
      <c r="B1015" t="s">
        <v>852</v>
      </c>
    </row>
    <row r="1016" hidden="1">
      <c r="A1016" s="32">
        <f>IFERROR(__xludf.DUMMYFUNCTION("""COMPUTED_VALUE"""),43281.4181405787)</f>
        <v>43281.41814</v>
      </c>
      <c r="B1016" t="s">
        <v>268</v>
      </c>
    </row>
    <row r="1017" hidden="1">
      <c r="A1017" s="32">
        <f>IFERROR(__xludf.DUMMYFUNCTION("""COMPUTED_VALUE"""),43281.44257359953)</f>
        <v>43281.44257</v>
      </c>
      <c r="B1017" t="s">
        <v>33</v>
      </c>
    </row>
    <row r="1018" hidden="1">
      <c r="A1018" s="32">
        <f>IFERROR(__xludf.DUMMYFUNCTION("""COMPUTED_VALUE"""),43281.5316040162)</f>
        <v>43281.5316</v>
      </c>
      <c r="B1018" t="s">
        <v>33</v>
      </c>
    </row>
    <row r="1019" hidden="1">
      <c r="A1019" s="32">
        <f>IFERROR(__xludf.DUMMYFUNCTION("""COMPUTED_VALUE"""),43281.56843976852)</f>
        <v>43281.56844</v>
      </c>
      <c r="B1019" t="s">
        <v>80</v>
      </c>
    </row>
    <row r="1020" hidden="1">
      <c r="A1020" s="32">
        <f>IFERROR(__xludf.DUMMYFUNCTION("""COMPUTED_VALUE"""),43281.649704930554)</f>
        <v>43281.6497</v>
      </c>
      <c r="B1020" t="s">
        <v>40</v>
      </c>
    </row>
    <row r="1021" hidden="1">
      <c r="A1021" s="32">
        <f>IFERROR(__xludf.DUMMYFUNCTION("""COMPUTED_VALUE"""),43281.824863587965)</f>
        <v>43281.82486</v>
      </c>
      <c r="B1021" t="s">
        <v>119</v>
      </c>
    </row>
    <row r="1022" hidden="1">
      <c r="A1022" s="32">
        <f>IFERROR(__xludf.DUMMYFUNCTION("""COMPUTED_VALUE"""),43281.87345248843)</f>
        <v>43281.87345</v>
      </c>
      <c r="B1022" t="s">
        <v>40</v>
      </c>
    </row>
    <row r="1023" hidden="1">
      <c r="A1023" s="32">
        <f>IFERROR(__xludf.DUMMYFUNCTION("""COMPUTED_VALUE"""),43281.87500298611)</f>
        <v>43281.875</v>
      </c>
      <c r="B1023" t="s">
        <v>40</v>
      </c>
    </row>
    <row r="1024" hidden="1">
      <c r="A1024" s="32">
        <f>IFERROR(__xludf.DUMMYFUNCTION("""COMPUTED_VALUE"""),43281.94198275463)</f>
        <v>43281.94198</v>
      </c>
      <c r="B1024" t="s">
        <v>36</v>
      </c>
    </row>
    <row r="1025" hidden="1">
      <c r="A1025" s="32">
        <f>IFERROR(__xludf.DUMMYFUNCTION("""COMPUTED_VALUE"""),43281.94500157407)</f>
        <v>43281.945</v>
      </c>
      <c r="B1025" t="s">
        <v>80</v>
      </c>
    </row>
    <row r="1026" hidden="1">
      <c r="A1026" s="32">
        <f>IFERROR(__xludf.DUMMYFUNCTION("""COMPUTED_VALUE"""),43281.9800046412)</f>
        <v>43281.98</v>
      </c>
      <c r="B1026" t="s">
        <v>268</v>
      </c>
    </row>
    <row r="1027" hidden="1">
      <c r="A1027" s="32">
        <f>IFERROR(__xludf.DUMMYFUNCTION("""COMPUTED_VALUE"""),43282.02323474537)</f>
        <v>43282.02323</v>
      </c>
      <c r="B1027" t="s">
        <v>170</v>
      </c>
    </row>
    <row r="1028" hidden="1">
      <c r="A1028" s="32">
        <f>IFERROR(__xludf.DUMMYFUNCTION("""COMPUTED_VALUE"""),43282.16441266204)</f>
        <v>43282.16441</v>
      </c>
      <c r="B1028" t="s">
        <v>538</v>
      </c>
    </row>
    <row r="1029" hidden="1">
      <c r="A1029" s="32">
        <f>IFERROR(__xludf.DUMMYFUNCTION("""COMPUTED_VALUE"""),43282.31837988426)</f>
        <v>43282.31838</v>
      </c>
      <c r="B1029" t="s">
        <v>40</v>
      </c>
    </row>
    <row r="1030" hidden="1">
      <c r="A1030" s="32">
        <f>IFERROR(__xludf.DUMMYFUNCTION("""COMPUTED_VALUE"""),43282.384615312505)</f>
        <v>43282.38462</v>
      </c>
      <c r="B1030" t="s">
        <v>80</v>
      </c>
    </row>
    <row r="1031" hidden="1">
      <c r="A1031" s="32">
        <f>IFERROR(__xludf.DUMMYFUNCTION("""COMPUTED_VALUE"""),43282.51284091435)</f>
        <v>43282.51284</v>
      </c>
      <c r="B1031" t="s">
        <v>80</v>
      </c>
    </row>
    <row r="1032" hidden="1">
      <c r="A1032" s="32">
        <f>IFERROR(__xludf.DUMMYFUNCTION("""COMPUTED_VALUE"""),43282.51976894676)</f>
        <v>43282.51977</v>
      </c>
      <c r="B1032" t="s">
        <v>80</v>
      </c>
    </row>
    <row r="1033" hidden="1">
      <c r="A1033" s="32">
        <f>IFERROR(__xludf.DUMMYFUNCTION("""COMPUTED_VALUE"""),43282.54549240741)</f>
        <v>43282.54549</v>
      </c>
      <c r="B1033" t="s">
        <v>80</v>
      </c>
    </row>
    <row r="1034" hidden="1">
      <c r="A1034" s="32">
        <f>IFERROR(__xludf.DUMMYFUNCTION("""COMPUTED_VALUE"""),43282.55864982639)</f>
        <v>43282.55865</v>
      </c>
      <c r="B1034" t="s">
        <v>173</v>
      </c>
    </row>
    <row r="1035" hidden="1">
      <c r="A1035" s="32">
        <f>IFERROR(__xludf.DUMMYFUNCTION("""COMPUTED_VALUE"""),43282.56769394676)</f>
        <v>43282.56769</v>
      </c>
      <c r="B1035" t="s">
        <v>170</v>
      </c>
    </row>
    <row r="1036" hidden="1">
      <c r="A1036" s="32">
        <f>IFERROR(__xludf.DUMMYFUNCTION("""COMPUTED_VALUE"""),43282.724566261575)</f>
        <v>43282.72457</v>
      </c>
      <c r="B1036" t="s">
        <v>33</v>
      </c>
    </row>
    <row r="1037" hidden="1">
      <c r="A1037" s="32">
        <f>IFERROR(__xludf.DUMMYFUNCTION("""COMPUTED_VALUE"""),43282.76424582176)</f>
        <v>43282.76425</v>
      </c>
      <c r="B1037" t="s">
        <v>2673</v>
      </c>
    </row>
    <row r="1038" hidden="1">
      <c r="A1038" s="32">
        <f>IFERROR(__xludf.DUMMYFUNCTION("""COMPUTED_VALUE"""),43282.779571736115)</f>
        <v>43282.77957</v>
      </c>
      <c r="B1038" t="s">
        <v>33</v>
      </c>
    </row>
    <row r="1039" hidden="1">
      <c r="A1039" s="32">
        <f>IFERROR(__xludf.DUMMYFUNCTION("""COMPUTED_VALUE"""),43282.82537633102)</f>
        <v>43282.82538</v>
      </c>
      <c r="B1039" t="s">
        <v>40</v>
      </c>
    </row>
    <row r="1040" hidden="1">
      <c r="A1040" s="32">
        <f>IFERROR(__xludf.DUMMYFUNCTION("""COMPUTED_VALUE"""),43282.85668030093)</f>
        <v>43282.85668</v>
      </c>
      <c r="B1040" t="s">
        <v>80</v>
      </c>
    </row>
    <row r="1041" hidden="1">
      <c r="A1041" s="32">
        <f>IFERROR(__xludf.DUMMYFUNCTION("""COMPUTED_VALUE"""),43283.73338333333)</f>
        <v>43283.73338</v>
      </c>
      <c r="B1041" t="s">
        <v>25</v>
      </c>
    </row>
    <row r="1042" hidden="1">
      <c r="A1042" s="32">
        <f>IFERROR(__xludf.DUMMYFUNCTION("""COMPUTED_VALUE"""),43283.78826256945)</f>
        <v>43283.78826</v>
      </c>
      <c r="B1042" t="s">
        <v>867</v>
      </c>
    </row>
    <row r="1043" hidden="1">
      <c r="A1043" s="32">
        <f>IFERROR(__xludf.DUMMYFUNCTION("""COMPUTED_VALUE"""),43283.966473981476)</f>
        <v>43283.96647</v>
      </c>
      <c r="B1043" t="s">
        <v>40</v>
      </c>
    </row>
    <row r="1044" hidden="1">
      <c r="A1044" s="32">
        <f>IFERROR(__xludf.DUMMYFUNCTION("""COMPUTED_VALUE"""),43284.289395520835)</f>
        <v>43284.2894</v>
      </c>
      <c r="B1044" t="s">
        <v>40</v>
      </c>
    </row>
    <row r="1045" hidden="1">
      <c r="A1045" s="32">
        <f>IFERROR(__xludf.DUMMYFUNCTION("""COMPUTED_VALUE"""),43284.319351701386)</f>
        <v>43284.31935</v>
      </c>
      <c r="B1045" t="s">
        <v>871</v>
      </c>
    </row>
    <row r="1046" hidden="1">
      <c r="A1046" s="32">
        <f>IFERROR(__xludf.DUMMYFUNCTION("""COMPUTED_VALUE"""),43284.488254641205)</f>
        <v>43284.48825</v>
      </c>
      <c r="B1046" t="s">
        <v>40</v>
      </c>
    </row>
    <row r="1047" hidden="1">
      <c r="A1047" s="32">
        <f>IFERROR(__xludf.DUMMYFUNCTION("""COMPUTED_VALUE"""),43284.50688325231)</f>
        <v>43284.50688</v>
      </c>
      <c r="B1047" t="s">
        <v>873</v>
      </c>
    </row>
    <row r="1048" hidden="1">
      <c r="A1048" s="32">
        <f>IFERROR(__xludf.DUMMYFUNCTION("""COMPUTED_VALUE"""),43284.79918552084)</f>
        <v>43284.79919</v>
      </c>
      <c r="B1048" t="s">
        <v>2693</v>
      </c>
    </row>
    <row r="1049" hidden="1">
      <c r="A1049" s="32">
        <f>IFERROR(__xludf.DUMMYFUNCTION("""COMPUTED_VALUE"""),43285.00683773148)</f>
        <v>43285.00684</v>
      </c>
      <c r="B1049" t="s">
        <v>33</v>
      </c>
    </row>
    <row r="1050" hidden="1">
      <c r="A1050" s="32">
        <f>IFERROR(__xludf.DUMMYFUNCTION("""COMPUTED_VALUE"""),43285.4025324074)</f>
        <v>43285.40253</v>
      </c>
      <c r="B1050" t="s">
        <v>80</v>
      </c>
    </row>
    <row r="1051" hidden="1">
      <c r="A1051" s="32">
        <f>IFERROR(__xludf.DUMMYFUNCTION("""COMPUTED_VALUE"""),43285.421309212965)</f>
        <v>43285.42131</v>
      </c>
      <c r="B1051" t="s">
        <v>2694</v>
      </c>
    </row>
    <row r="1052" hidden="1">
      <c r="A1052" s="32">
        <f>IFERROR(__xludf.DUMMYFUNCTION("""COMPUTED_VALUE"""),43285.5653871875)</f>
        <v>43285.56539</v>
      </c>
      <c r="B1052" t="s">
        <v>880</v>
      </c>
    </row>
    <row r="1053" hidden="1">
      <c r="A1053" s="32">
        <f>IFERROR(__xludf.DUMMYFUNCTION("""COMPUTED_VALUE"""),43285.56660994213)</f>
        <v>43285.56661</v>
      </c>
      <c r="B1053" t="s">
        <v>880</v>
      </c>
    </row>
    <row r="1054" hidden="1">
      <c r="A1054" s="32">
        <f>IFERROR(__xludf.DUMMYFUNCTION("""COMPUTED_VALUE"""),43285.567607731486)</f>
        <v>43285.56761</v>
      </c>
      <c r="B1054" t="s">
        <v>880</v>
      </c>
    </row>
    <row r="1055" hidden="1">
      <c r="A1055" s="32">
        <f>IFERROR(__xludf.DUMMYFUNCTION("""COMPUTED_VALUE"""),43285.78627070602)</f>
        <v>43285.78627</v>
      </c>
      <c r="B1055" t="s">
        <v>40</v>
      </c>
    </row>
    <row r="1056" hidden="1">
      <c r="A1056" s="32">
        <f>IFERROR(__xludf.DUMMYFUNCTION("""COMPUTED_VALUE"""),43285.92517011574)</f>
        <v>43285.92517</v>
      </c>
      <c r="B1056" t="s">
        <v>40</v>
      </c>
    </row>
    <row r="1057" hidden="1">
      <c r="A1057" s="32">
        <f>IFERROR(__xludf.DUMMYFUNCTION("""COMPUTED_VALUE"""),43286.55945648148)</f>
        <v>43286.55946</v>
      </c>
      <c r="B1057" t="s">
        <v>2424</v>
      </c>
    </row>
    <row r="1058" hidden="1">
      <c r="A1058" s="32">
        <f>IFERROR(__xludf.DUMMYFUNCTION("""COMPUTED_VALUE"""),43286.57198119213)</f>
        <v>43286.57198</v>
      </c>
      <c r="B1058" t="s">
        <v>48</v>
      </c>
    </row>
    <row r="1059" hidden="1">
      <c r="A1059" s="32">
        <f>IFERROR(__xludf.DUMMYFUNCTION("""COMPUTED_VALUE"""),43286.69829619213)</f>
        <v>43286.6983</v>
      </c>
      <c r="B1059" t="s">
        <v>80</v>
      </c>
    </row>
    <row r="1060" hidden="1">
      <c r="A1060" s="32">
        <f>IFERROR(__xludf.DUMMYFUNCTION("""COMPUTED_VALUE"""),43286.74656078704)</f>
        <v>43286.74656</v>
      </c>
      <c r="B1060" t="s">
        <v>36</v>
      </c>
    </row>
    <row r="1061" hidden="1">
      <c r="A1061" s="32">
        <f>IFERROR(__xludf.DUMMYFUNCTION("""COMPUTED_VALUE"""),43286.851021574075)</f>
        <v>43286.85102</v>
      </c>
      <c r="B1061" t="s">
        <v>123</v>
      </c>
    </row>
    <row r="1062" hidden="1">
      <c r="A1062" s="32">
        <f>IFERROR(__xludf.DUMMYFUNCTION("""COMPUTED_VALUE"""),43287.060793599536)</f>
        <v>43287.06079</v>
      </c>
      <c r="B1062" t="s">
        <v>371</v>
      </c>
    </row>
    <row r="1063" hidden="1">
      <c r="A1063" s="32">
        <f>IFERROR(__xludf.DUMMYFUNCTION("""COMPUTED_VALUE"""),43287.1983140625)</f>
        <v>43287.19831</v>
      </c>
      <c r="B1063" t="s">
        <v>2695</v>
      </c>
    </row>
    <row r="1064" hidden="1">
      <c r="A1064" s="32">
        <f>IFERROR(__xludf.DUMMYFUNCTION("""COMPUTED_VALUE"""),43287.19942614583)</f>
        <v>43287.19943</v>
      </c>
      <c r="B1064" t="s">
        <v>2695</v>
      </c>
    </row>
    <row r="1065" hidden="1">
      <c r="A1065" s="32">
        <f>IFERROR(__xludf.DUMMYFUNCTION("""COMPUTED_VALUE"""),43287.385321828704)</f>
        <v>43287.38532</v>
      </c>
      <c r="B1065" t="s">
        <v>371</v>
      </c>
    </row>
    <row r="1066" hidden="1">
      <c r="A1066" s="32">
        <f>IFERROR(__xludf.DUMMYFUNCTION("""COMPUTED_VALUE"""),43287.397000509256)</f>
        <v>43287.397</v>
      </c>
      <c r="B1066" t="s">
        <v>40</v>
      </c>
    </row>
    <row r="1067" hidden="1">
      <c r="A1067" s="32">
        <f>IFERROR(__xludf.DUMMYFUNCTION("""COMPUTED_VALUE"""),43287.58843456018)</f>
        <v>43287.58843</v>
      </c>
      <c r="B1067" t="s">
        <v>802</v>
      </c>
    </row>
    <row r="1068" hidden="1">
      <c r="A1068" s="32">
        <f>IFERROR(__xludf.DUMMYFUNCTION("""COMPUTED_VALUE"""),43287.610807164354)</f>
        <v>43287.61081</v>
      </c>
      <c r="B1068" t="s">
        <v>350</v>
      </c>
    </row>
    <row r="1069" hidden="1">
      <c r="A1069" s="32">
        <f>IFERROR(__xludf.DUMMYFUNCTION("""COMPUTED_VALUE"""),43287.766436238424)</f>
        <v>43287.76644</v>
      </c>
      <c r="B1069" t="s">
        <v>80</v>
      </c>
    </row>
    <row r="1070" hidden="1">
      <c r="A1070" s="32">
        <f>IFERROR(__xludf.DUMMYFUNCTION("""COMPUTED_VALUE"""),43287.928426087965)</f>
        <v>43287.92843</v>
      </c>
      <c r="B1070" t="s">
        <v>40</v>
      </c>
    </row>
    <row r="1071" hidden="1">
      <c r="A1071" s="32">
        <f>IFERROR(__xludf.DUMMYFUNCTION("""COMPUTED_VALUE"""),43288.04260325231)</f>
        <v>43288.0426</v>
      </c>
      <c r="B1071" t="s">
        <v>45</v>
      </c>
    </row>
    <row r="1072" hidden="1">
      <c r="A1072" s="32">
        <f>IFERROR(__xludf.DUMMYFUNCTION("""COMPUTED_VALUE"""),43288.84859828703)</f>
        <v>43288.8486</v>
      </c>
      <c r="B1072" t="s">
        <v>80</v>
      </c>
    </row>
    <row r="1073" hidden="1">
      <c r="A1073" s="32">
        <f>IFERROR(__xludf.DUMMYFUNCTION("""COMPUTED_VALUE"""),43289.3325503588)</f>
        <v>43289.33255</v>
      </c>
      <c r="B1073" t="s">
        <v>40</v>
      </c>
    </row>
    <row r="1074" hidden="1">
      <c r="A1074" s="32">
        <f>IFERROR(__xludf.DUMMYFUNCTION("""COMPUTED_VALUE"""),43289.37229803241)</f>
        <v>43289.3723</v>
      </c>
      <c r="B1074" t="s">
        <v>40</v>
      </c>
    </row>
    <row r="1075" hidden="1">
      <c r="A1075" s="32">
        <f>IFERROR(__xludf.DUMMYFUNCTION("""COMPUTED_VALUE"""),43289.4073602662)</f>
        <v>43289.40736</v>
      </c>
      <c r="B1075" t="s">
        <v>95</v>
      </c>
    </row>
    <row r="1076" hidden="1">
      <c r="A1076" s="32">
        <f>IFERROR(__xludf.DUMMYFUNCTION("""COMPUTED_VALUE"""),43289.761727916666)</f>
        <v>43289.76173</v>
      </c>
      <c r="B1076" t="s">
        <v>282</v>
      </c>
    </row>
    <row r="1077" hidden="1">
      <c r="A1077" s="32">
        <f>IFERROR(__xludf.DUMMYFUNCTION("""COMPUTED_VALUE"""),43289.802264756945)</f>
        <v>43289.80226</v>
      </c>
      <c r="B1077" t="s">
        <v>80</v>
      </c>
    </row>
    <row r="1078" hidden="1">
      <c r="A1078" s="32">
        <f>IFERROR(__xludf.DUMMYFUNCTION("""COMPUTED_VALUE"""),43289.92668464121)</f>
        <v>43289.92668</v>
      </c>
      <c r="B1078" t="s">
        <v>2424</v>
      </c>
    </row>
    <row r="1079" hidden="1">
      <c r="A1079" s="32">
        <f>IFERROR(__xludf.DUMMYFUNCTION("""COMPUTED_VALUE"""),43290.46062116898)</f>
        <v>43290.46062</v>
      </c>
      <c r="B1079" t="s">
        <v>80</v>
      </c>
    </row>
    <row r="1080" hidden="1">
      <c r="A1080" s="32">
        <f>IFERROR(__xludf.DUMMYFUNCTION("""COMPUTED_VALUE"""),43290.544107037036)</f>
        <v>43290.54411</v>
      </c>
      <c r="B1080" t="s">
        <v>119</v>
      </c>
    </row>
    <row r="1081" hidden="1">
      <c r="A1081" s="32">
        <f>IFERROR(__xludf.DUMMYFUNCTION("""COMPUTED_VALUE"""),43290.894928229165)</f>
        <v>43290.89493</v>
      </c>
      <c r="B1081" t="s">
        <v>45</v>
      </c>
    </row>
    <row r="1082" hidden="1">
      <c r="A1082" s="32">
        <f>IFERROR(__xludf.DUMMYFUNCTION("""COMPUTED_VALUE"""),43291.43067271991)</f>
        <v>43291.43067</v>
      </c>
      <c r="B1082" t="s">
        <v>2672</v>
      </c>
    </row>
    <row r="1083" hidden="1">
      <c r="A1083" s="32">
        <f>IFERROR(__xludf.DUMMYFUNCTION("""COMPUTED_VALUE"""),43291.46869613426)</f>
        <v>43291.4687</v>
      </c>
      <c r="B1083" t="s">
        <v>2665</v>
      </c>
    </row>
    <row r="1084" hidden="1">
      <c r="A1084" s="32">
        <f>IFERROR(__xludf.DUMMYFUNCTION("""COMPUTED_VALUE"""),43291.65325516203)</f>
        <v>43291.65326</v>
      </c>
      <c r="B1084" t="s">
        <v>426</v>
      </c>
    </row>
    <row r="1085" hidden="1">
      <c r="A1085" s="32">
        <f>IFERROR(__xludf.DUMMYFUNCTION("""COMPUTED_VALUE"""),43291.87116625)</f>
        <v>43291.87117</v>
      </c>
      <c r="B1085" t="s">
        <v>33</v>
      </c>
    </row>
    <row r="1086" hidden="1">
      <c r="A1086" s="32">
        <f>IFERROR(__xludf.DUMMYFUNCTION("""COMPUTED_VALUE"""),43291.931676203705)</f>
        <v>43291.93168</v>
      </c>
      <c r="B1086" t="s">
        <v>268</v>
      </c>
    </row>
    <row r="1087" hidden="1">
      <c r="A1087" s="32">
        <f>IFERROR(__xludf.DUMMYFUNCTION("""COMPUTED_VALUE"""),43291.95414282408)</f>
        <v>43291.95414</v>
      </c>
      <c r="B1087" t="s">
        <v>170</v>
      </c>
    </row>
    <row r="1088" hidden="1">
      <c r="A1088" s="32">
        <f>IFERROR(__xludf.DUMMYFUNCTION("""COMPUTED_VALUE"""),43292.28726712963)</f>
        <v>43292.28727</v>
      </c>
      <c r="B1088" t="s">
        <v>48</v>
      </c>
    </row>
    <row r="1089" hidden="1">
      <c r="A1089" s="32">
        <f>IFERROR(__xludf.DUMMYFUNCTION("""COMPUTED_VALUE"""),43292.38521165509)</f>
        <v>43292.38521</v>
      </c>
      <c r="B1089" t="s">
        <v>48</v>
      </c>
    </row>
    <row r="1090" hidden="1">
      <c r="A1090" s="32">
        <f>IFERROR(__xludf.DUMMYFUNCTION("""COMPUTED_VALUE"""),43292.52429731481)</f>
        <v>43292.5243</v>
      </c>
      <c r="B1090" t="s">
        <v>256</v>
      </c>
    </row>
    <row r="1091" hidden="1">
      <c r="A1091" s="32">
        <f>IFERROR(__xludf.DUMMYFUNCTION("""COMPUTED_VALUE"""),43292.54234944444)</f>
        <v>43292.54235</v>
      </c>
      <c r="B1091" t="s">
        <v>80</v>
      </c>
    </row>
    <row r="1092" hidden="1">
      <c r="A1092" s="32">
        <f>IFERROR(__xludf.DUMMYFUNCTION("""COMPUTED_VALUE"""),43292.58084329861)</f>
        <v>43292.58084</v>
      </c>
      <c r="B1092" t="s">
        <v>33</v>
      </c>
    </row>
    <row r="1093" hidden="1">
      <c r="A1093" s="32">
        <f>IFERROR(__xludf.DUMMYFUNCTION("""COMPUTED_VALUE"""),43292.60985704861)</f>
        <v>43292.60986</v>
      </c>
      <c r="B1093" t="s">
        <v>33</v>
      </c>
    </row>
    <row r="1094" hidden="1">
      <c r="A1094" s="32">
        <f>IFERROR(__xludf.DUMMYFUNCTION("""COMPUTED_VALUE"""),43292.80322579861)</f>
        <v>43292.80323</v>
      </c>
      <c r="B1094" t="s">
        <v>33</v>
      </c>
    </row>
    <row r="1095" hidden="1">
      <c r="A1095" s="32">
        <f>IFERROR(__xludf.DUMMYFUNCTION("""COMPUTED_VALUE"""),43292.84151195602)</f>
        <v>43292.84151</v>
      </c>
      <c r="B1095" t="s">
        <v>33</v>
      </c>
    </row>
    <row r="1096" hidden="1">
      <c r="A1096" s="32">
        <f>IFERROR(__xludf.DUMMYFUNCTION("""COMPUTED_VALUE"""),43292.870658078704)</f>
        <v>43292.87066</v>
      </c>
      <c r="B1096" t="s">
        <v>33</v>
      </c>
    </row>
    <row r="1097" hidden="1">
      <c r="A1097" s="32">
        <f>IFERROR(__xludf.DUMMYFUNCTION("""COMPUTED_VALUE"""),43292.90828413195)</f>
        <v>43292.90828</v>
      </c>
      <c r="B1097" t="s">
        <v>664</v>
      </c>
    </row>
    <row r="1098" hidden="1">
      <c r="A1098" s="32">
        <f>IFERROR(__xludf.DUMMYFUNCTION("""COMPUTED_VALUE"""),43292.94105443287)</f>
        <v>43292.94105</v>
      </c>
      <c r="B1098" t="s">
        <v>80</v>
      </c>
    </row>
    <row r="1099" hidden="1">
      <c r="A1099" s="32">
        <f>IFERROR(__xludf.DUMMYFUNCTION("""COMPUTED_VALUE"""),43293.29695174769)</f>
        <v>43293.29695</v>
      </c>
      <c r="B1099" t="s">
        <v>48</v>
      </c>
    </row>
    <row r="1100" hidden="1">
      <c r="A1100" s="32">
        <f>IFERROR(__xludf.DUMMYFUNCTION("""COMPUTED_VALUE"""),43293.415250868056)</f>
        <v>43293.41525</v>
      </c>
      <c r="B1100" t="s">
        <v>256</v>
      </c>
    </row>
    <row r="1101" hidden="1">
      <c r="A1101" s="32">
        <f>IFERROR(__xludf.DUMMYFUNCTION("""COMPUTED_VALUE"""),43293.69342116898)</f>
        <v>43293.69342</v>
      </c>
      <c r="B1101" t="s">
        <v>40</v>
      </c>
    </row>
    <row r="1102" hidden="1">
      <c r="A1102" s="32">
        <f>IFERROR(__xludf.DUMMYFUNCTION("""COMPUTED_VALUE"""),43293.85699177084)</f>
        <v>43293.85699</v>
      </c>
      <c r="B1102" t="s">
        <v>124</v>
      </c>
    </row>
    <row r="1103" hidden="1">
      <c r="A1103" s="32">
        <f>IFERROR(__xludf.DUMMYFUNCTION("""COMPUTED_VALUE"""),43293.8757953125)</f>
        <v>43293.8758</v>
      </c>
      <c r="B1103" t="s">
        <v>256</v>
      </c>
    </row>
    <row r="1104" hidden="1">
      <c r="A1104" s="32">
        <f>IFERROR(__xludf.DUMMYFUNCTION("""COMPUTED_VALUE"""),43293.88265201389)</f>
        <v>43293.88265</v>
      </c>
      <c r="B1104" t="s">
        <v>33</v>
      </c>
    </row>
    <row r="1105" hidden="1">
      <c r="A1105" s="32">
        <f>IFERROR(__xludf.DUMMYFUNCTION("""COMPUTED_VALUE"""),43293.96117487269)</f>
        <v>43293.96117</v>
      </c>
      <c r="B1105" t="s">
        <v>119</v>
      </c>
    </row>
    <row r="1106" hidden="1">
      <c r="A1106" s="32">
        <f>IFERROR(__xludf.DUMMYFUNCTION("""COMPUTED_VALUE"""),43294.43425517361)</f>
        <v>43294.43426</v>
      </c>
      <c r="B1106" t="s">
        <v>80</v>
      </c>
    </row>
    <row r="1107" hidden="1">
      <c r="A1107" s="32">
        <f>IFERROR(__xludf.DUMMYFUNCTION("""COMPUTED_VALUE"""),43294.52739688657)</f>
        <v>43294.5274</v>
      </c>
      <c r="B1107" t="s">
        <v>249</v>
      </c>
    </row>
    <row r="1108" hidden="1">
      <c r="A1108" s="32">
        <f>IFERROR(__xludf.DUMMYFUNCTION("""COMPUTED_VALUE"""),43294.61003708333)</f>
        <v>43294.61004</v>
      </c>
      <c r="B1108" t="s">
        <v>33</v>
      </c>
    </row>
    <row r="1109" hidden="1">
      <c r="A1109" s="32">
        <f>IFERROR(__xludf.DUMMYFUNCTION("""COMPUTED_VALUE"""),43294.62060094907)</f>
        <v>43294.6206</v>
      </c>
      <c r="B1109" t="s">
        <v>911</v>
      </c>
    </row>
    <row r="1110" hidden="1">
      <c r="A1110" s="32">
        <f>IFERROR(__xludf.DUMMYFUNCTION("""COMPUTED_VALUE"""),43294.71227773148)</f>
        <v>43294.71228</v>
      </c>
      <c r="B1110" t="s">
        <v>40</v>
      </c>
    </row>
    <row r="1111" hidden="1">
      <c r="A1111" s="32">
        <f>IFERROR(__xludf.DUMMYFUNCTION("""COMPUTED_VALUE"""),43294.88053434028)</f>
        <v>43294.88053</v>
      </c>
      <c r="B1111" t="s">
        <v>1160</v>
      </c>
    </row>
    <row r="1112" hidden="1">
      <c r="A1112" s="32">
        <f>IFERROR(__xludf.DUMMYFUNCTION("""COMPUTED_VALUE"""),43294.97286292824)</f>
        <v>43294.97286</v>
      </c>
      <c r="B1112" t="s">
        <v>170</v>
      </c>
    </row>
    <row r="1113" hidden="1">
      <c r="A1113" s="32">
        <f>IFERROR(__xludf.DUMMYFUNCTION("""COMPUTED_VALUE"""),43295.398100810184)</f>
        <v>43295.3981</v>
      </c>
      <c r="B1113" t="s">
        <v>919</v>
      </c>
    </row>
    <row r="1114" hidden="1">
      <c r="A1114" s="32">
        <f>IFERROR(__xludf.DUMMYFUNCTION("""COMPUTED_VALUE"""),43295.40346074074)</f>
        <v>43295.40346</v>
      </c>
      <c r="B1114" t="s">
        <v>122</v>
      </c>
    </row>
    <row r="1115" hidden="1">
      <c r="A1115" s="32">
        <f>IFERROR(__xludf.DUMMYFUNCTION("""COMPUTED_VALUE"""),43295.53106390046)</f>
        <v>43295.53106</v>
      </c>
      <c r="B1115" t="s">
        <v>80</v>
      </c>
    </row>
    <row r="1116" hidden="1">
      <c r="A1116" s="32">
        <f>IFERROR(__xludf.DUMMYFUNCTION("""COMPUTED_VALUE"""),43295.54107015046)</f>
        <v>43295.54107</v>
      </c>
      <c r="B1116" t="s">
        <v>45</v>
      </c>
    </row>
    <row r="1117" hidden="1">
      <c r="A1117" s="32">
        <f>IFERROR(__xludf.DUMMYFUNCTION("""COMPUTED_VALUE"""),43295.65609104167)</f>
        <v>43295.65609</v>
      </c>
      <c r="B1117" t="s">
        <v>33</v>
      </c>
    </row>
    <row r="1118" hidden="1">
      <c r="A1118" s="32">
        <f>IFERROR(__xludf.DUMMYFUNCTION("""COMPUTED_VALUE"""),43295.765984537036)</f>
        <v>43295.76598</v>
      </c>
      <c r="B1118" t="s">
        <v>923</v>
      </c>
    </row>
    <row r="1119" hidden="1">
      <c r="A1119" s="32">
        <f>IFERROR(__xludf.DUMMYFUNCTION("""COMPUTED_VALUE"""),43296.01034975694)</f>
        <v>43296.01035</v>
      </c>
      <c r="B1119" t="s">
        <v>33</v>
      </c>
    </row>
    <row r="1120" hidden="1">
      <c r="A1120" s="32">
        <f>IFERROR(__xludf.DUMMYFUNCTION("""COMPUTED_VALUE"""),43296.04183618056)</f>
        <v>43296.04184</v>
      </c>
      <c r="B1120" t="s">
        <v>268</v>
      </c>
    </row>
    <row r="1121" hidden="1">
      <c r="A1121" s="32">
        <f>IFERROR(__xludf.DUMMYFUNCTION("""COMPUTED_VALUE"""),43296.13436423611)</f>
        <v>43296.13436</v>
      </c>
      <c r="B1121" t="s">
        <v>45</v>
      </c>
    </row>
    <row r="1122" hidden="1">
      <c r="A1122" s="32">
        <f>IFERROR(__xludf.DUMMYFUNCTION("""COMPUTED_VALUE"""),43296.38141685185)</f>
        <v>43296.38142</v>
      </c>
      <c r="B1122" t="s">
        <v>548</v>
      </c>
    </row>
    <row r="1123" hidden="1">
      <c r="A1123" s="32">
        <f>IFERROR(__xludf.DUMMYFUNCTION("""COMPUTED_VALUE"""),43296.40434959491)</f>
        <v>43296.40435</v>
      </c>
      <c r="B1123" t="s">
        <v>927</v>
      </c>
    </row>
    <row r="1124" hidden="1">
      <c r="A1124" s="32">
        <f>IFERROR(__xludf.DUMMYFUNCTION("""COMPUTED_VALUE"""),43296.44724028935)</f>
        <v>43296.44724</v>
      </c>
      <c r="B1124" t="s">
        <v>36</v>
      </c>
    </row>
    <row r="1125" hidden="1">
      <c r="A1125" s="32">
        <f>IFERROR(__xludf.DUMMYFUNCTION("""COMPUTED_VALUE"""),43296.49836106482)</f>
        <v>43296.49836</v>
      </c>
      <c r="B1125" t="s">
        <v>268</v>
      </c>
    </row>
    <row r="1126" hidden="1">
      <c r="A1126" s="32">
        <f>IFERROR(__xludf.DUMMYFUNCTION("""COMPUTED_VALUE"""),43296.91236967593)</f>
        <v>43296.91237</v>
      </c>
      <c r="B1126" t="s">
        <v>33</v>
      </c>
    </row>
    <row r="1127" hidden="1">
      <c r="A1127" s="32">
        <f>IFERROR(__xludf.DUMMYFUNCTION("""COMPUTED_VALUE"""),43296.912792303236)</f>
        <v>43296.91279</v>
      </c>
      <c r="B1127" t="s">
        <v>80</v>
      </c>
    </row>
    <row r="1128" hidden="1">
      <c r="A1128" s="32">
        <f>IFERROR(__xludf.DUMMYFUNCTION("""COMPUTED_VALUE"""),43297.3692790625)</f>
        <v>43297.36928</v>
      </c>
      <c r="B1128" t="s">
        <v>2696</v>
      </c>
    </row>
    <row r="1129" hidden="1">
      <c r="A1129" s="32">
        <f>IFERROR(__xludf.DUMMYFUNCTION("""COMPUTED_VALUE"""),43297.385977812504)</f>
        <v>43297.38598</v>
      </c>
      <c r="B1129" t="s">
        <v>40</v>
      </c>
    </row>
    <row r="1130" hidden="1">
      <c r="A1130" s="32">
        <f>IFERROR(__xludf.DUMMYFUNCTION("""COMPUTED_VALUE"""),43297.60582873842)</f>
        <v>43297.60583</v>
      </c>
      <c r="B1130" t="s">
        <v>2665</v>
      </c>
    </row>
    <row r="1131" hidden="1">
      <c r="A1131" s="32">
        <f>IFERROR(__xludf.DUMMYFUNCTION("""COMPUTED_VALUE"""),43297.64805604167)</f>
        <v>43297.64806</v>
      </c>
      <c r="B1131" t="s">
        <v>187</v>
      </c>
    </row>
    <row r="1132" hidden="1">
      <c r="A1132" s="32">
        <f>IFERROR(__xludf.DUMMYFUNCTION("""COMPUTED_VALUE"""),43297.84143959491)</f>
        <v>43297.84144</v>
      </c>
      <c r="B1132" t="s">
        <v>2697</v>
      </c>
    </row>
    <row r="1133" hidden="1">
      <c r="A1133" s="32">
        <f>IFERROR(__xludf.DUMMYFUNCTION("""COMPUTED_VALUE"""),43297.96576042824)</f>
        <v>43297.96576</v>
      </c>
      <c r="B1133" t="s">
        <v>33</v>
      </c>
    </row>
    <row r="1134" hidden="1">
      <c r="A1134" s="32">
        <f>IFERROR(__xludf.DUMMYFUNCTION("""COMPUTED_VALUE"""),43298.310619502314)</f>
        <v>43298.31062</v>
      </c>
      <c r="B1134" t="s">
        <v>40</v>
      </c>
    </row>
    <row r="1135" hidden="1">
      <c r="A1135" s="32">
        <f>IFERROR(__xludf.DUMMYFUNCTION("""COMPUTED_VALUE"""),43298.32339855324)</f>
        <v>43298.3234</v>
      </c>
      <c r="B1135" t="s">
        <v>2698</v>
      </c>
    </row>
    <row r="1136" hidden="1">
      <c r="A1136" s="32">
        <f>IFERROR(__xludf.DUMMYFUNCTION("""COMPUTED_VALUE"""),43298.36460238426)</f>
        <v>43298.3646</v>
      </c>
      <c r="B1136" t="s">
        <v>40</v>
      </c>
    </row>
    <row r="1137" hidden="1">
      <c r="A1137" s="32">
        <f>IFERROR(__xludf.DUMMYFUNCTION("""COMPUTED_VALUE"""),43298.59731216435)</f>
        <v>43298.59731</v>
      </c>
      <c r="B1137" t="s">
        <v>350</v>
      </c>
    </row>
    <row r="1138" hidden="1">
      <c r="A1138" s="32">
        <f>IFERROR(__xludf.DUMMYFUNCTION("""COMPUTED_VALUE"""),43298.6971746412)</f>
        <v>43298.69717</v>
      </c>
      <c r="B1138" t="s">
        <v>33</v>
      </c>
    </row>
    <row r="1139" hidden="1">
      <c r="A1139" s="32">
        <f>IFERROR(__xludf.DUMMYFUNCTION("""COMPUTED_VALUE"""),43298.75971378472)</f>
        <v>43298.75971</v>
      </c>
      <c r="B1139" t="s">
        <v>40</v>
      </c>
    </row>
    <row r="1140" hidden="1">
      <c r="A1140" s="32">
        <f>IFERROR(__xludf.DUMMYFUNCTION("""COMPUTED_VALUE"""),43298.78433091435)</f>
        <v>43298.78433</v>
      </c>
      <c r="B1140" t="s">
        <v>256</v>
      </c>
    </row>
    <row r="1141" hidden="1">
      <c r="A1141" s="32">
        <f>IFERROR(__xludf.DUMMYFUNCTION("""COMPUTED_VALUE"""),43298.97755576389)</f>
        <v>43298.97756</v>
      </c>
      <c r="B1141" t="s">
        <v>33</v>
      </c>
    </row>
    <row r="1142" hidden="1">
      <c r="A1142" s="32">
        <f>IFERROR(__xludf.DUMMYFUNCTION("""COMPUTED_VALUE"""),43299.026344108795)</f>
        <v>43299.02634</v>
      </c>
      <c r="B1142" t="s">
        <v>473</v>
      </c>
    </row>
    <row r="1143" hidden="1">
      <c r="A1143" s="32">
        <f>IFERROR(__xludf.DUMMYFUNCTION("""COMPUTED_VALUE"""),43299.245965243055)</f>
        <v>43299.24597</v>
      </c>
      <c r="B1143" t="s">
        <v>944</v>
      </c>
    </row>
    <row r="1144" hidden="1">
      <c r="A1144" s="32">
        <f>IFERROR(__xludf.DUMMYFUNCTION("""COMPUTED_VALUE"""),43299.376262060185)</f>
        <v>43299.37626</v>
      </c>
      <c r="B1144" t="s">
        <v>40</v>
      </c>
    </row>
    <row r="1145" hidden="1">
      <c r="A1145" s="32">
        <f>IFERROR(__xludf.DUMMYFUNCTION("""COMPUTED_VALUE"""),43299.45804172454)</f>
        <v>43299.45804</v>
      </c>
      <c r="B1145" t="s">
        <v>33</v>
      </c>
    </row>
    <row r="1146" hidden="1">
      <c r="A1146" s="32">
        <f>IFERROR(__xludf.DUMMYFUNCTION("""COMPUTED_VALUE"""),43299.58616331019)</f>
        <v>43299.58616</v>
      </c>
      <c r="B1146" t="s">
        <v>123</v>
      </c>
    </row>
    <row r="1147" hidden="1">
      <c r="A1147" s="32">
        <f>IFERROR(__xludf.DUMMYFUNCTION("""COMPUTED_VALUE"""),43299.61649195602)</f>
        <v>43299.61649</v>
      </c>
      <c r="B1147" t="s">
        <v>270</v>
      </c>
    </row>
    <row r="1148" hidden="1">
      <c r="A1148" s="32">
        <f>IFERROR(__xludf.DUMMYFUNCTION("""COMPUTED_VALUE"""),43299.70273200232)</f>
        <v>43299.70273</v>
      </c>
      <c r="B1148" t="s">
        <v>40</v>
      </c>
    </row>
    <row r="1149" hidden="1">
      <c r="A1149" s="32">
        <f>IFERROR(__xludf.DUMMYFUNCTION("""COMPUTED_VALUE"""),43299.76116334491)</f>
        <v>43299.76116</v>
      </c>
      <c r="B1149" t="s">
        <v>463</v>
      </c>
    </row>
    <row r="1150" hidden="1">
      <c r="A1150" s="32">
        <f>IFERROR(__xludf.DUMMYFUNCTION("""COMPUTED_VALUE"""),43299.78050097222)</f>
        <v>43299.7805</v>
      </c>
      <c r="B1150" t="s">
        <v>77</v>
      </c>
    </row>
    <row r="1151" hidden="1">
      <c r="A1151" s="32">
        <f>IFERROR(__xludf.DUMMYFUNCTION("""COMPUTED_VALUE"""),43299.81774557871)</f>
        <v>43299.81775</v>
      </c>
      <c r="B1151" t="s">
        <v>200</v>
      </c>
    </row>
    <row r="1152" hidden="1">
      <c r="A1152" s="32">
        <f>IFERROR(__xludf.DUMMYFUNCTION("""COMPUTED_VALUE"""),43299.901759768516)</f>
        <v>43299.90176</v>
      </c>
      <c r="B1152" t="s">
        <v>263</v>
      </c>
    </row>
    <row r="1153" hidden="1">
      <c r="A1153" s="32">
        <f>IFERROR(__xludf.DUMMYFUNCTION("""COMPUTED_VALUE"""),43299.9644605787)</f>
        <v>43299.96446</v>
      </c>
      <c r="B1153" t="s">
        <v>950</v>
      </c>
    </row>
    <row r="1154" hidden="1">
      <c r="A1154" s="32">
        <f>IFERROR(__xludf.DUMMYFUNCTION("""COMPUTED_VALUE"""),43299.98331459491)</f>
        <v>43299.98331</v>
      </c>
      <c r="B1154" t="s">
        <v>819</v>
      </c>
    </row>
    <row r="1155" hidden="1">
      <c r="A1155" s="32">
        <f>IFERROR(__xludf.DUMMYFUNCTION("""COMPUTED_VALUE"""),43300.43315773148)</f>
        <v>43300.43316</v>
      </c>
      <c r="B1155" t="s">
        <v>48</v>
      </c>
    </row>
    <row r="1156" hidden="1">
      <c r="A1156" s="32">
        <f>IFERROR(__xludf.DUMMYFUNCTION("""COMPUTED_VALUE"""),43300.44769505787)</f>
        <v>43300.4477</v>
      </c>
      <c r="B1156" t="s">
        <v>123</v>
      </c>
    </row>
    <row r="1157" hidden="1">
      <c r="A1157" s="32">
        <f>IFERROR(__xludf.DUMMYFUNCTION("""COMPUTED_VALUE"""),43300.76515839121)</f>
        <v>43300.76516</v>
      </c>
      <c r="B1157" t="s">
        <v>40</v>
      </c>
    </row>
    <row r="1158" hidden="1">
      <c r="A1158" s="32">
        <f>IFERROR(__xludf.DUMMYFUNCTION("""COMPUTED_VALUE"""),43300.793272118055)</f>
        <v>43300.79327</v>
      </c>
      <c r="B1158" t="s">
        <v>48</v>
      </c>
    </row>
    <row r="1159" hidden="1">
      <c r="A1159" s="32">
        <f>IFERROR(__xludf.DUMMYFUNCTION("""COMPUTED_VALUE"""),43300.807583333335)</f>
        <v>43300.80758</v>
      </c>
      <c r="B1159" t="s">
        <v>119</v>
      </c>
    </row>
    <row r="1160" hidden="1">
      <c r="A1160" s="32">
        <f>IFERROR(__xludf.DUMMYFUNCTION("""COMPUTED_VALUE"""),43300.84280802083)</f>
        <v>43300.84281</v>
      </c>
      <c r="B1160" t="s">
        <v>33</v>
      </c>
    </row>
    <row r="1161" hidden="1">
      <c r="A1161" s="32">
        <f>IFERROR(__xludf.DUMMYFUNCTION("""COMPUTED_VALUE"""),43301.0357146875)</f>
        <v>43301.03571</v>
      </c>
      <c r="B1161" t="s">
        <v>350</v>
      </c>
    </row>
    <row r="1162" hidden="1">
      <c r="A1162" s="32">
        <f>IFERROR(__xludf.DUMMYFUNCTION("""COMPUTED_VALUE"""),43301.06960265046)</f>
        <v>43301.0696</v>
      </c>
      <c r="B1162" t="s">
        <v>48</v>
      </c>
    </row>
    <row r="1163" hidden="1">
      <c r="A1163" s="32">
        <f>IFERROR(__xludf.DUMMYFUNCTION("""COMPUTED_VALUE"""),43301.07085069444)</f>
        <v>43301.07085</v>
      </c>
      <c r="B1163" t="s">
        <v>258</v>
      </c>
    </row>
    <row r="1164" hidden="1">
      <c r="A1164" s="32">
        <f>IFERROR(__xludf.DUMMYFUNCTION("""COMPUTED_VALUE"""),43301.47967289352)</f>
        <v>43301.47967</v>
      </c>
      <c r="B1164" t="s">
        <v>40</v>
      </c>
    </row>
    <row r="1165" hidden="1">
      <c r="A1165" s="32">
        <f>IFERROR(__xludf.DUMMYFUNCTION("""COMPUTED_VALUE"""),43301.50069059028)</f>
        <v>43301.50069</v>
      </c>
      <c r="B1165" t="s">
        <v>371</v>
      </c>
    </row>
    <row r="1166" hidden="1">
      <c r="A1166" s="32">
        <f>IFERROR(__xludf.DUMMYFUNCTION("""COMPUTED_VALUE"""),43301.50285135416)</f>
        <v>43301.50285</v>
      </c>
      <c r="B1166" t="s">
        <v>371</v>
      </c>
    </row>
    <row r="1167" hidden="1">
      <c r="A1167" s="32">
        <f>IFERROR(__xludf.DUMMYFUNCTION("""COMPUTED_VALUE"""),43301.70304112269)</f>
        <v>43301.70304</v>
      </c>
      <c r="B1167" t="s">
        <v>40</v>
      </c>
    </row>
    <row r="1168" hidden="1">
      <c r="A1168" s="32">
        <f>IFERROR(__xludf.DUMMYFUNCTION("""COMPUTED_VALUE"""),43301.85548788194)</f>
        <v>43301.85549</v>
      </c>
      <c r="B1168" t="s">
        <v>33</v>
      </c>
    </row>
    <row r="1169" hidden="1">
      <c r="A1169" s="32">
        <f>IFERROR(__xludf.DUMMYFUNCTION("""COMPUTED_VALUE"""),43302.2612219213)</f>
        <v>43302.26122</v>
      </c>
      <c r="B1169" t="s">
        <v>48</v>
      </c>
    </row>
    <row r="1170" hidden="1">
      <c r="A1170" s="32">
        <f>IFERROR(__xludf.DUMMYFUNCTION("""COMPUTED_VALUE"""),43302.41783960648)</f>
        <v>43302.41784</v>
      </c>
      <c r="B1170" t="s">
        <v>33</v>
      </c>
    </row>
    <row r="1171" hidden="1">
      <c r="A1171" s="32">
        <f>IFERROR(__xludf.DUMMYFUNCTION("""COMPUTED_VALUE"""),43302.421976840276)</f>
        <v>43302.42198</v>
      </c>
      <c r="B1171" t="s">
        <v>204</v>
      </c>
    </row>
    <row r="1172" hidden="1">
      <c r="A1172" s="32">
        <f>IFERROR(__xludf.DUMMYFUNCTION("""COMPUTED_VALUE"""),43302.46942770833)</f>
        <v>43302.46943</v>
      </c>
      <c r="B1172" t="s">
        <v>2658</v>
      </c>
    </row>
    <row r="1173" hidden="1">
      <c r="A1173" s="32">
        <f>IFERROR(__xludf.DUMMYFUNCTION("""COMPUTED_VALUE"""),43302.60987555556)</f>
        <v>43302.60988</v>
      </c>
      <c r="B1173" t="s">
        <v>45</v>
      </c>
    </row>
    <row r="1174" hidden="1">
      <c r="A1174" s="32">
        <f>IFERROR(__xludf.DUMMYFUNCTION("""COMPUTED_VALUE"""),43302.6362771412)</f>
        <v>43302.63628</v>
      </c>
      <c r="B1174" t="s">
        <v>122</v>
      </c>
    </row>
    <row r="1175" hidden="1">
      <c r="A1175" s="32">
        <f>IFERROR(__xludf.DUMMYFUNCTION("""COMPUTED_VALUE"""),43302.72747922454)</f>
        <v>43302.72748</v>
      </c>
      <c r="B1175" t="s">
        <v>2699</v>
      </c>
    </row>
    <row r="1176" hidden="1">
      <c r="A1176" s="32">
        <f>IFERROR(__xludf.DUMMYFUNCTION("""COMPUTED_VALUE"""),43302.77142153935)</f>
        <v>43302.77142</v>
      </c>
      <c r="B1176" t="s">
        <v>964</v>
      </c>
    </row>
    <row r="1177" hidden="1">
      <c r="A1177" s="32">
        <f>IFERROR(__xludf.DUMMYFUNCTION("""COMPUTED_VALUE"""),43302.9687471412)</f>
        <v>43302.96875</v>
      </c>
      <c r="B1177" t="s">
        <v>45</v>
      </c>
    </row>
    <row r="1178" hidden="1">
      <c r="A1178" s="32">
        <f>IFERROR(__xludf.DUMMYFUNCTION("""COMPUTED_VALUE"""),43303.02661778935)</f>
        <v>43303.02662</v>
      </c>
      <c r="B1178" t="s">
        <v>170</v>
      </c>
    </row>
    <row r="1179" hidden="1">
      <c r="A1179" s="32">
        <f>IFERROR(__xludf.DUMMYFUNCTION("""COMPUTED_VALUE"""),43303.14448549769)</f>
        <v>43303.14449</v>
      </c>
      <c r="B1179" t="s">
        <v>40</v>
      </c>
    </row>
    <row r="1180" hidden="1">
      <c r="A1180" s="32">
        <f>IFERROR(__xludf.DUMMYFUNCTION("""COMPUTED_VALUE"""),43303.51936798611)</f>
        <v>43303.51937</v>
      </c>
      <c r="B1180" t="s">
        <v>268</v>
      </c>
    </row>
    <row r="1181" hidden="1">
      <c r="A1181" s="32">
        <f>IFERROR(__xludf.DUMMYFUNCTION("""COMPUTED_VALUE"""),43303.6123556713)</f>
        <v>43303.61236</v>
      </c>
      <c r="B1181" t="s">
        <v>188</v>
      </c>
    </row>
    <row r="1182" hidden="1">
      <c r="A1182" s="32">
        <f>IFERROR(__xludf.DUMMYFUNCTION("""COMPUTED_VALUE"""),43303.92811862269)</f>
        <v>43303.92812</v>
      </c>
      <c r="B1182" t="s">
        <v>426</v>
      </c>
    </row>
    <row r="1183" hidden="1">
      <c r="A1183" s="32">
        <f>IFERROR(__xludf.DUMMYFUNCTION("""COMPUTED_VALUE"""),43303.977811979166)</f>
        <v>43303.97781</v>
      </c>
      <c r="B1183" t="s">
        <v>45</v>
      </c>
    </row>
    <row r="1184" hidden="1">
      <c r="A1184" s="32">
        <f>IFERROR(__xludf.DUMMYFUNCTION("""COMPUTED_VALUE"""),43304.52480050926)</f>
        <v>43304.5248</v>
      </c>
      <c r="B1184" t="s">
        <v>241</v>
      </c>
    </row>
    <row r="1185" hidden="1">
      <c r="A1185" s="32">
        <f>IFERROR(__xludf.DUMMYFUNCTION("""COMPUTED_VALUE"""),43304.87018545139)</f>
        <v>43304.87019</v>
      </c>
      <c r="B1185" t="s">
        <v>33</v>
      </c>
    </row>
    <row r="1186" hidden="1">
      <c r="A1186" s="32">
        <f>IFERROR(__xludf.DUMMYFUNCTION("""COMPUTED_VALUE"""),43304.88495861111)</f>
        <v>43304.88496</v>
      </c>
      <c r="B1186" t="s">
        <v>428</v>
      </c>
    </row>
    <row r="1187" hidden="1">
      <c r="A1187" s="32">
        <f>IFERROR(__xludf.DUMMYFUNCTION("""COMPUTED_VALUE"""),43304.88783204861)</f>
        <v>43304.88783</v>
      </c>
      <c r="B1187" t="s">
        <v>972</v>
      </c>
    </row>
    <row r="1188" hidden="1">
      <c r="A1188" s="32">
        <f>IFERROR(__xludf.DUMMYFUNCTION("""COMPUTED_VALUE"""),43304.921553761575)</f>
        <v>43304.92155</v>
      </c>
      <c r="B1188" t="s">
        <v>45</v>
      </c>
    </row>
    <row r="1189" hidden="1">
      <c r="A1189" s="32">
        <f>IFERROR(__xludf.DUMMYFUNCTION("""COMPUTED_VALUE"""),43305.01262028935)</f>
        <v>43305.01262</v>
      </c>
      <c r="B1189" t="s">
        <v>973</v>
      </c>
    </row>
    <row r="1190" hidden="1">
      <c r="A1190" s="32">
        <f>IFERROR(__xludf.DUMMYFUNCTION("""COMPUTED_VALUE"""),43305.551170763894)</f>
        <v>43305.55117</v>
      </c>
      <c r="B1190" t="s">
        <v>974</v>
      </c>
    </row>
    <row r="1191" hidden="1">
      <c r="A1191" s="32">
        <f>IFERROR(__xludf.DUMMYFUNCTION("""COMPUTED_VALUE"""),43305.59372855324)</f>
        <v>43305.59373</v>
      </c>
      <c r="B1191" t="s">
        <v>48</v>
      </c>
    </row>
    <row r="1192" hidden="1">
      <c r="A1192" s="32">
        <f>IFERROR(__xludf.DUMMYFUNCTION("""COMPUTED_VALUE"""),43305.632339930555)</f>
        <v>43305.63234</v>
      </c>
      <c r="B1192" t="s">
        <v>2700</v>
      </c>
    </row>
    <row r="1193" hidden="1">
      <c r="A1193" s="32">
        <f>IFERROR(__xludf.DUMMYFUNCTION("""COMPUTED_VALUE"""),43305.867892326394)</f>
        <v>43305.86789</v>
      </c>
      <c r="B1193" t="s">
        <v>2701</v>
      </c>
    </row>
    <row r="1194" hidden="1">
      <c r="A1194" s="32">
        <f>IFERROR(__xludf.DUMMYFUNCTION("""COMPUTED_VALUE"""),43305.91694384259)</f>
        <v>43305.91694</v>
      </c>
      <c r="B1194" t="s">
        <v>119</v>
      </c>
    </row>
    <row r="1195" hidden="1">
      <c r="A1195" s="32">
        <f>IFERROR(__xludf.DUMMYFUNCTION("""COMPUTED_VALUE"""),43306.35441914352)</f>
        <v>43306.35442</v>
      </c>
      <c r="B1195" t="s">
        <v>33</v>
      </c>
    </row>
    <row r="1196" hidden="1">
      <c r="A1196" s="32">
        <f>IFERROR(__xludf.DUMMYFUNCTION("""COMPUTED_VALUE"""),43306.41255275463)</f>
        <v>43306.41255</v>
      </c>
      <c r="B1196" t="s">
        <v>33</v>
      </c>
    </row>
    <row r="1197" hidden="1">
      <c r="A1197" s="32">
        <f>IFERROR(__xludf.DUMMYFUNCTION("""COMPUTED_VALUE"""),43306.522635625)</f>
        <v>43306.52264</v>
      </c>
      <c r="B1197" t="s">
        <v>2424</v>
      </c>
    </row>
    <row r="1198" hidden="1">
      <c r="A1198" s="32">
        <f>IFERROR(__xludf.DUMMYFUNCTION("""COMPUTED_VALUE"""),43306.54125491898)</f>
        <v>43306.54125</v>
      </c>
      <c r="B1198" t="s">
        <v>984</v>
      </c>
    </row>
    <row r="1199" hidden="1">
      <c r="A1199" s="32">
        <f>IFERROR(__xludf.DUMMYFUNCTION("""COMPUTED_VALUE"""),43306.80281570602)</f>
        <v>43306.80282</v>
      </c>
      <c r="B1199" t="s">
        <v>77</v>
      </c>
    </row>
    <row r="1200" hidden="1">
      <c r="A1200" s="32">
        <f>IFERROR(__xludf.DUMMYFUNCTION("""COMPUTED_VALUE"""),43306.80425434028)</f>
        <v>43306.80425</v>
      </c>
      <c r="B1200" t="s">
        <v>343</v>
      </c>
    </row>
    <row r="1201" hidden="1">
      <c r="A1201" s="32">
        <f>IFERROR(__xludf.DUMMYFUNCTION("""COMPUTED_VALUE"""),43307.4252965625)</f>
        <v>43307.4253</v>
      </c>
      <c r="B1201" t="s">
        <v>2424</v>
      </c>
    </row>
    <row r="1202" hidden="1">
      <c r="A1202" s="32">
        <f>IFERROR(__xludf.DUMMYFUNCTION("""COMPUTED_VALUE"""),43307.49661277777)</f>
        <v>43307.49661</v>
      </c>
      <c r="B1202" t="s">
        <v>33</v>
      </c>
    </row>
    <row r="1203" hidden="1">
      <c r="A1203" s="32">
        <f>IFERROR(__xludf.DUMMYFUNCTION("""COMPUTED_VALUE"""),43307.5948961574)</f>
        <v>43307.5949</v>
      </c>
      <c r="B1203" t="s">
        <v>170</v>
      </c>
    </row>
    <row r="1204" hidden="1">
      <c r="A1204" s="32">
        <f>IFERROR(__xludf.DUMMYFUNCTION("""COMPUTED_VALUE"""),43307.65978800926)</f>
        <v>43307.65979</v>
      </c>
      <c r="B1204" t="s">
        <v>33</v>
      </c>
    </row>
    <row r="1205" hidden="1">
      <c r="A1205" s="32">
        <f>IFERROR(__xludf.DUMMYFUNCTION("""COMPUTED_VALUE"""),43307.79565155093)</f>
        <v>43307.79565</v>
      </c>
      <c r="B1205" t="s">
        <v>33</v>
      </c>
    </row>
    <row r="1206" hidden="1">
      <c r="A1206" s="32">
        <f>IFERROR(__xludf.DUMMYFUNCTION("""COMPUTED_VALUE"""),43307.8225529051)</f>
        <v>43307.82255</v>
      </c>
      <c r="B1206" t="s">
        <v>40</v>
      </c>
    </row>
    <row r="1207" hidden="1">
      <c r="A1207" s="32">
        <f>IFERROR(__xludf.DUMMYFUNCTION("""COMPUTED_VALUE"""),43308.16619503472)</f>
        <v>43308.1662</v>
      </c>
      <c r="B1207" t="s">
        <v>282</v>
      </c>
    </row>
    <row r="1208" hidden="1">
      <c r="A1208" s="32">
        <f>IFERROR(__xludf.DUMMYFUNCTION("""COMPUTED_VALUE"""),43308.28106224537)</f>
        <v>43308.28106</v>
      </c>
      <c r="B1208" t="s">
        <v>990</v>
      </c>
    </row>
    <row r="1209" hidden="1">
      <c r="A1209" s="32">
        <f>IFERROR(__xludf.DUMMYFUNCTION("""COMPUTED_VALUE"""),43308.36303483797)</f>
        <v>43308.36303</v>
      </c>
      <c r="B1209" t="s">
        <v>157</v>
      </c>
    </row>
    <row r="1210" hidden="1">
      <c r="A1210" s="32">
        <f>IFERROR(__xludf.DUMMYFUNCTION("""COMPUTED_VALUE"""),43308.5034916088)</f>
        <v>43308.50349</v>
      </c>
      <c r="B1210" t="s">
        <v>33</v>
      </c>
    </row>
    <row r="1211" hidden="1">
      <c r="A1211" s="32">
        <f>IFERROR(__xludf.DUMMYFUNCTION("""COMPUTED_VALUE"""),43308.613809710645)</f>
        <v>43308.61381</v>
      </c>
      <c r="B1211" t="s">
        <v>2424</v>
      </c>
    </row>
    <row r="1212" hidden="1">
      <c r="A1212" s="32">
        <f>IFERROR(__xludf.DUMMYFUNCTION("""COMPUTED_VALUE"""),43308.65178114583)</f>
        <v>43308.65178</v>
      </c>
      <c r="B1212" t="s">
        <v>45</v>
      </c>
    </row>
    <row r="1213" hidden="1">
      <c r="A1213" s="32">
        <f>IFERROR(__xludf.DUMMYFUNCTION("""COMPUTED_VALUE"""),43309.008660011576)</f>
        <v>43309.00866</v>
      </c>
      <c r="B1213" t="s">
        <v>80</v>
      </c>
    </row>
    <row r="1214" hidden="1">
      <c r="A1214" s="32">
        <f>IFERROR(__xludf.DUMMYFUNCTION("""COMPUTED_VALUE"""),43309.295712175925)</f>
        <v>43309.29571</v>
      </c>
      <c r="B1214" t="s">
        <v>36</v>
      </c>
    </row>
    <row r="1215" hidden="1">
      <c r="A1215" s="32">
        <f>IFERROR(__xludf.DUMMYFUNCTION("""COMPUTED_VALUE"""),43309.6411937963)</f>
        <v>43309.64119</v>
      </c>
      <c r="B1215" t="s">
        <v>33</v>
      </c>
    </row>
    <row r="1216" hidden="1">
      <c r="A1216" s="32">
        <f>IFERROR(__xludf.DUMMYFUNCTION("""COMPUTED_VALUE"""),43309.6837204051)</f>
        <v>43309.68372</v>
      </c>
      <c r="B1216" t="s">
        <v>2702</v>
      </c>
    </row>
    <row r="1217" hidden="1">
      <c r="A1217" s="32">
        <f>IFERROR(__xludf.DUMMYFUNCTION("""COMPUTED_VALUE"""),43309.933102152776)</f>
        <v>43309.9331</v>
      </c>
      <c r="B1217" t="s">
        <v>109</v>
      </c>
    </row>
    <row r="1218" hidden="1">
      <c r="A1218" s="32">
        <f>IFERROR(__xludf.DUMMYFUNCTION("""COMPUTED_VALUE"""),43310.00277377314)</f>
        <v>43310.00277</v>
      </c>
      <c r="B1218" t="s">
        <v>45</v>
      </c>
    </row>
    <row r="1219" hidden="1">
      <c r="A1219" s="32">
        <f>IFERROR(__xludf.DUMMYFUNCTION("""COMPUTED_VALUE"""),43310.00319230324)</f>
        <v>43310.00319</v>
      </c>
      <c r="B1219" t="s">
        <v>2424</v>
      </c>
    </row>
    <row r="1220" hidden="1">
      <c r="A1220" s="32">
        <f>IFERROR(__xludf.DUMMYFUNCTION("""COMPUTED_VALUE"""),43310.11725734954)</f>
        <v>43310.11726</v>
      </c>
      <c r="B1220" t="s">
        <v>380</v>
      </c>
    </row>
    <row r="1221" hidden="1">
      <c r="A1221" s="32">
        <f>IFERROR(__xludf.DUMMYFUNCTION("""COMPUTED_VALUE"""),43310.41427109954)</f>
        <v>43310.41427</v>
      </c>
      <c r="B1221" t="s">
        <v>40</v>
      </c>
    </row>
    <row r="1222" hidden="1">
      <c r="A1222" s="32">
        <f>IFERROR(__xludf.DUMMYFUNCTION("""COMPUTED_VALUE"""),43310.43243666667)</f>
        <v>43310.43244</v>
      </c>
      <c r="B1222" t="s">
        <v>40</v>
      </c>
    </row>
    <row r="1223" hidden="1">
      <c r="A1223" s="32">
        <f>IFERROR(__xludf.DUMMYFUNCTION("""COMPUTED_VALUE"""),43310.50116638889)</f>
        <v>43310.50117</v>
      </c>
      <c r="B1223" t="s">
        <v>123</v>
      </c>
    </row>
    <row r="1224" hidden="1">
      <c r="A1224" s="32">
        <f>IFERROR(__xludf.DUMMYFUNCTION("""COMPUTED_VALUE"""),43310.59589600694)</f>
        <v>43310.5959</v>
      </c>
      <c r="B1224" t="s">
        <v>40</v>
      </c>
    </row>
    <row r="1225" hidden="1">
      <c r="A1225" s="32">
        <f>IFERROR(__xludf.DUMMYFUNCTION("""COMPUTED_VALUE"""),43310.847276875)</f>
        <v>43310.84728</v>
      </c>
      <c r="B1225" t="s">
        <v>40</v>
      </c>
    </row>
    <row r="1226" hidden="1">
      <c r="A1226" s="32">
        <f>IFERROR(__xludf.DUMMYFUNCTION("""COMPUTED_VALUE"""),43310.90055990741)</f>
        <v>43310.90056</v>
      </c>
      <c r="B1226" t="s">
        <v>802</v>
      </c>
    </row>
    <row r="1227" hidden="1">
      <c r="A1227" s="32">
        <f>IFERROR(__xludf.DUMMYFUNCTION("""COMPUTED_VALUE"""),43310.91674554398)</f>
        <v>43310.91675</v>
      </c>
      <c r="B1227" t="s">
        <v>282</v>
      </c>
    </row>
    <row r="1228" hidden="1">
      <c r="A1228" s="32">
        <f>IFERROR(__xludf.DUMMYFUNCTION("""COMPUTED_VALUE"""),43310.97395989583)</f>
        <v>43310.97396</v>
      </c>
      <c r="B1228" t="s">
        <v>40</v>
      </c>
    </row>
    <row r="1229" hidden="1">
      <c r="A1229" s="32">
        <f>IFERROR(__xludf.DUMMYFUNCTION("""COMPUTED_VALUE"""),43311.40630188657)</f>
        <v>43311.4063</v>
      </c>
      <c r="B1229" t="s">
        <v>40</v>
      </c>
    </row>
    <row r="1230" hidden="1">
      <c r="A1230" s="32">
        <f>IFERROR(__xludf.DUMMYFUNCTION("""COMPUTED_VALUE"""),43311.54578678241)</f>
        <v>43311.54579</v>
      </c>
      <c r="B1230" t="s">
        <v>619</v>
      </c>
    </row>
    <row r="1231" hidden="1">
      <c r="A1231" s="32">
        <f>IFERROR(__xludf.DUMMYFUNCTION("""COMPUTED_VALUE"""),43311.6731065625)</f>
        <v>43311.67311</v>
      </c>
      <c r="B1231" t="s">
        <v>25</v>
      </c>
    </row>
    <row r="1232" hidden="1">
      <c r="A1232" s="32">
        <f>IFERROR(__xludf.DUMMYFUNCTION("""COMPUTED_VALUE"""),43311.74557724537)</f>
        <v>43311.74558</v>
      </c>
      <c r="B1232" t="s">
        <v>80</v>
      </c>
    </row>
    <row r="1233" hidden="1">
      <c r="A1233" s="32">
        <f>IFERROR(__xludf.DUMMYFUNCTION("""COMPUTED_VALUE"""),43311.77447991898)</f>
        <v>43311.77448</v>
      </c>
      <c r="B1233" t="s">
        <v>2703</v>
      </c>
    </row>
    <row r="1234" hidden="1">
      <c r="A1234" s="32">
        <f>IFERROR(__xludf.DUMMYFUNCTION("""COMPUTED_VALUE"""),43311.795333761576)</f>
        <v>43311.79533</v>
      </c>
      <c r="B1234" t="s">
        <v>2686</v>
      </c>
    </row>
    <row r="1235" hidden="1">
      <c r="A1235" s="32">
        <f>IFERROR(__xludf.DUMMYFUNCTION("""COMPUTED_VALUE"""),43311.96964581018)</f>
        <v>43311.96965</v>
      </c>
      <c r="B1235" t="s">
        <v>80</v>
      </c>
    </row>
    <row r="1236" hidden="1">
      <c r="A1236" s="32">
        <f>IFERROR(__xludf.DUMMYFUNCTION("""COMPUTED_VALUE"""),43311.97959474537)</f>
        <v>43311.97959</v>
      </c>
      <c r="B1236" t="s">
        <v>80</v>
      </c>
    </row>
    <row r="1237" hidden="1">
      <c r="A1237" s="32">
        <f>IFERROR(__xludf.DUMMYFUNCTION("""COMPUTED_VALUE"""),43312.0611015625)</f>
        <v>43312.0611</v>
      </c>
      <c r="B1237" t="s">
        <v>33</v>
      </c>
    </row>
    <row r="1238" hidden="1">
      <c r="A1238" s="32">
        <f>IFERROR(__xludf.DUMMYFUNCTION("""COMPUTED_VALUE"""),43312.642471238425)</f>
        <v>43312.64247</v>
      </c>
      <c r="B1238" t="s">
        <v>33</v>
      </c>
    </row>
    <row r="1239" hidden="1">
      <c r="A1239" s="32">
        <f>IFERROR(__xludf.DUMMYFUNCTION("""COMPUTED_VALUE"""),43312.77050827546)</f>
        <v>43312.77051</v>
      </c>
      <c r="B1239" t="s">
        <v>33</v>
      </c>
    </row>
    <row r="1240" hidden="1">
      <c r="A1240" s="32">
        <f>IFERROR(__xludf.DUMMYFUNCTION("""COMPUTED_VALUE"""),43313.05946059027)</f>
        <v>43313.05946</v>
      </c>
      <c r="B1240" t="s">
        <v>80</v>
      </c>
    </row>
    <row r="1241" hidden="1">
      <c r="A1241" s="32">
        <f>IFERROR(__xludf.DUMMYFUNCTION("""COMPUTED_VALUE"""),43313.342801886574)</f>
        <v>43313.3428</v>
      </c>
      <c r="B1241" t="s">
        <v>36</v>
      </c>
    </row>
    <row r="1242" hidden="1">
      <c r="A1242" s="32">
        <f>IFERROR(__xludf.DUMMYFUNCTION("""COMPUTED_VALUE"""),43313.4122175463)</f>
        <v>43313.41222</v>
      </c>
      <c r="B1242" t="s">
        <v>33</v>
      </c>
    </row>
    <row r="1243" hidden="1">
      <c r="A1243" s="32">
        <f>IFERROR(__xludf.DUMMYFUNCTION("""COMPUTED_VALUE"""),43313.494850856485)</f>
        <v>43313.49485</v>
      </c>
      <c r="B1243" t="s">
        <v>40</v>
      </c>
    </row>
    <row r="1244" hidden="1">
      <c r="A1244" s="32">
        <f>IFERROR(__xludf.DUMMYFUNCTION("""COMPUTED_VALUE"""),43313.67738403935)</f>
        <v>43313.67738</v>
      </c>
      <c r="B1244" t="s">
        <v>1012</v>
      </c>
    </row>
    <row r="1245" hidden="1">
      <c r="A1245" s="32">
        <f>IFERROR(__xludf.DUMMYFUNCTION("""COMPUTED_VALUE"""),43313.711659849534)</f>
        <v>43313.71166</v>
      </c>
      <c r="B1245" t="s">
        <v>268</v>
      </c>
    </row>
    <row r="1246" hidden="1">
      <c r="A1246" s="32">
        <f>IFERROR(__xludf.DUMMYFUNCTION("""COMPUTED_VALUE"""),43313.73593351852)</f>
        <v>43313.73593</v>
      </c>
      <c r="B1246" t="s">
        <v>33</v>
      </c>
    </row>
    <row r="1247" hidden="1">
      <c r="A1247" s="32">
        <f>IFERROR(__xludf.DUMMYFUNCTION("""COMPUTED_VALUE"""),43313.816072546295)</f>
        <v>43313.81607</v>
      </c>
      <c r="B1247" t="s">
        <v>80</v>
      </c>
    </row>
    <row r="1248" hidden="1">
      <c r="A1248" s="32">
        <f>IFERROR(__xludf.DUMMYFUNCTION("""COMPUTED_VALUE"""),43314.4738081713)</f>
        <v>43314.47381</v>
      </c>
      <c r="B1248" t="s">
        <v>33</v>
      </c>
    </row>
    <row r="1249" hidden="1">
      <c r="A1249" s="32">
        <f>IFERROR(__xludf.DUMMYFUNCTION("""COMPUTED_VALUE"""),43314.51522728009)</f>
        <v>43314.51523</v>
      </c>
      <c r="B1249" t="s">
        <v>40</v>
      </c>
    </row>
    <row r="1250">
      <c r="A1250" s="32">
        <f>IFERROR(__xludf.DUMMYFUNCTION("""COMPUTED_VALUE"""),43314.532366354164)</f>
        <v>43314.53237</v>
      </c>
      <c r="B1250" t="s">
        <v>40</v>
      </c>
    </row>
    <row r="1251">
      <c r="A1251" s="32">
        <f>IFERROR(__xludf.DUMMYFUNCTION("""COMPUTED_VALUE"""),43314.61028458334)</f>
        <v>43314.61028</v>
      </c>
      <c r="B1251" t="s">
        <v>371</v>
      </c>
    </row>
    <row r="1252">
      <c r="A1252" s="32">
        <f>IFERROR(__xludf.DUMMYFUNCTION("""COMPUTED_VALUE"""),43314.95235157407)</f>
        <v>43314.95235</v>
      </c>
      <c r="B1252" t="s">
        <v>256</v>
      </c>
    </row>
    <row r="1253">
      <c r="A1253" s="32">
        <f>IFERROR(__xludf.DUMMYFUNCTION("""COMPUTED_VALUE"""),43315.01894621528)</f>
        <v>43315.01895</v>
      </c>
      <c r="B1253" t="s">
        <v>33</v>
      </c>
    </row>
    <row r="1254">
      <c r="A1254" s="32">
        <f>IFERROR(__xludf.DUMMYFUNCTION("""COMPUTED_VALUE"""),43315.372570023144)</f>
        <v>43315.37257</v>
      </c>
      <c r="B1254" t="s">
        <v>506</v>
      </c>
    </row>
    <row r="1255">
      <c r="A1255" s="32">
        <f>IFERROR(__xludf.DUMMYFUNCTION("""COMPUTED_VALUE"""),43315.44466971065)</f>
        <v>43315.44467</v>
      </c>
      <c r="B1255" t="s">
        <v>40</v>
      </c>
    </row>
    <row r="1256">
      <c r="A1256" s="32">
        <f>IFERROR(__xludf.DUMMYFUNCTION("""COMPUTED_VALUE"""),43315.644600196756)</f>
        <v>43315.6446</v>
      </c>
      <c r="B1256" t="s">
        <v>371</v>
      </c>
    </row>
    <row r="1257">
      <c r="A1257" s="32">
        <f>IFERROR(__xludf.DUMMYFUNCTION("""COMPUTED_VALUE"""),43315.70185196759)</f>
        <v>43315.70185</v>
      </c>
      <c r="B1257" t="s">
        <v>123</v>
      </c>
    </row>
    <row r="1258">
      <c r="A1258" s="32">
        <f>IFERROR(__xludf.DUMMYFUNCTION("""COMPUTED_VALUE"""),43316.009587824075)</f>
        <v>43316.00959</v>
      </c>
      <c r="B1258" t="s">
        <v>258</v>
      </c>
    </row>
    <row r="1259">
      <c r="A1259" s="32">
        <f>IFERROR(__xludf.DUMMYFUNCTION("""COMPUTED_VALUE"""),43316.03272016204)</f>
        <v>43316.03272</v>
      </c>
      <c r="B1259" t="s">
        <v>40</v>
      </c>
    </row>
    <row r="1260">
      <c r="A1260" s="32">
        <f>IFERROR(__xludf.DUMMYFUNCTION("""COMPUTED_VALUE"""),43316.04197965278)</f>
        <v>43316.04198</v>
      </c>
      <c r="B1260" t="s">
        <v>80</v>
      </c>
    </row>
    <row r="1261">
      <c r="A1261" s="32">
        <f>IFERROR(__xludf.DUMMYFUNCTION("""COMPUTED_VALUE"""),43316.07926778935)</f>
        <v>43316.07927</v>
      </c>
      <c r="B1261" t="s">
        <v>2424</v>
      </c>
    </row>
    <row r="1262">
      <c r="A1262" s="32">
        <f>IFERROR(__xludf.DUMMYFUNCTION("""COMPUTED_VALUE"""),43316.338711550925)</f>
        <v>43316.33871</v>
      </c>
      <c r="B1262" t="s">
        <v>350</v>
      </c>
    </row>
    <row r="1263">
      <c r="A1263" s="32">
        <f>IFERROR(__xludf.DUMMYFUNCTION("""COMPUTED_VALUE"""),43316.49100028935)</f>
        <v>43316.491</v>
      </c>
      <c r="B1263" t="s">
        <v>33</v>
      </c>
    </row>
    <row r="1264">
      <c r="A1264" s="32">
        <f>IFERROR(__xludf.DUMMYFUNCTION("""COMPUTED_VALUE"""),43316.66899276621)</f>
        <v>43316.66899</v>
      </c>
      <c r="B1264" t="s">
        <v>33</v>
      </c>
    </row>
    <row r="1265">
      <c r="A1265" s="32">
        <f>IFERROR(__xludf.DUMMYFUNCTION("""COMPUTED_VALUE"""),43316.708873854164)</f>
        <v>43316.70887</v>
      </c>
      <c r="B1265" t="s">
        <v>45</v>
      </c>
    </row>
    <row r="1266">
      <c r="A1266" s="32">
        <f>IFERROR(__xludf.DUMMYFUNCTION("""COMPUTED_VALUE"""),43316.84860865741)</f>
        <v>43316.84861</v>
      </c>
      <c r="B1266" t="s">
        <v>33</v>
      </c>
    </row>
    <row r="1267">
      <c r="A1267" s="32">
        <f>IFERROR(__xludf.DUMMYFUNCTION("""COMPUTED_VALUE"""),43316.91470013889)</f>
        <v>43316.9147</v>
      </c>
      <c r="B1267" t="s">
        <v>40</v>
      </c>
    </row>
    <row r="1268">
      <c r="A1268" s="32">
        <f>IFERROR(__xludf.DUMMYFUNCTION("""COMPUTED_VALUE"""),43317.05778287037)</f>
        <v>43317.05778</v>
      </c>
      <c r="B1268" t="s">
        <v>123</v>
      </c>
    </row>
    <row r="1269">
      <c r="A1269" s="32">
        <f>IFERROR(__xludf.DUMMYFUNCTION("""COMPUTED_VALUE"""),43317.76731640047)</f>
        <v>43317.76732</v>
      </c>
      <c r="B1269" t="s">
        <v>40</v>
      </c>
    </row>
    <row r="1270">
      <c r="A1270" s="32">
        <f>IFERROR(__xludf.DUMMYFUNCTION("""COMPUTED_VALUE"""),43317.76740297454)</f>
        <v>43317.7674</v>
      </c>
      <c r="B1270" t="s">
        <v>40</v>
      </c>
    </row>
    <row r="1271">
      <c r="A1271" s="32">
        <f>IFERROR(__xludf.DUMMYFUNCTION("""COMPUTED_VALUE"""),43317.83380679398)</f>
        <v>43317.83381</v>
      </c>
      <c r="B1271" t="s">
        <v>80</v>
      </c>
    </row>
    <row r="1272">
      <c r="A1272" s="32">
        <f>IFERROR(__xludf.DUMMYFUNCTION("""COMPUTED_VALUE"""),43317.9473465162)</f>
        <v>43317.94735</v>
      </c>
      <c r="B1272" t="s">
        <v>40</v>
      </c>
    </row>
    <row r="1273">
      <c r="A1273" s="32">
        <f>IFERROR(__xludf.DUMMYFUNCTION("""COMPUTED_VALUE"""),43318.424421331016)</f>
        <v>43318.42442</v>
      </c>
      <c r="B1273" t="s">
        <v>40</v>
      </c>
    </row>
    <row r="1274">
      <c r="A1274" s="32">
        <f>IFERROR(__xludf.DUMMYFUNCTION("""COMPUTED_VALUE"""),43318.42732873843)</f>
        <v>43318.42733</v>
      </c>
      <c r="B1274" t="s">
        <v>40</v>
      </c>
    </row>
    <row r="1275">
      <c r="A1275" s="32">
        <f>IFERROR(__xludf.DUMMYFUNCTION("""COMPUTED_VALUE"""),43318.635366435185)</f>
        <v>43318.63537</v>
      </c>
      <c r="B1275" t="s">
        <v>45</v>
      </c>
    </row>
    <row r="1276">
      <c r="A1276" s="32">
        <f>IFERROR(__xludf.DUMMYFUNCTION("""COMPUTED_VALUE"""),43318.69175240741)</f>
        <v>43318.69175</v>
      </c>
      <c r="B1276" t="s">
        <v>1029</v>
      </c>
    </row>
    <row r="1277">
      <c r="A1277" s="32">
        <f>IFERROR(__xludf.DUMMYFUNCTION("""COMPUTED_VALUE"""),43318.70924114583)</f>
        <v>43318.70924</v>
      </c>
      <c r="B1277" t="s">
        <v>40</v>
      </c>
    </row>
    <row r="1278">
      <c r="A1278" s="32">
        <f>IFERROR(__xludf.DUMMYFUNCTION("""COMPUTED_VALUE"""),43318.77938126157)</f>
        <v>43318.77938</v>
      </c>
      <c r="B1278" t="s">
        <v>286</v>
      </c>
    </row>
    <row r="1279">
      <c r="A1279" s="32">
        <f>IFERROR(__xludf.DUMMYFUNCTION("""COMPUTED_VALUE"""),43318.80283739584)</f>
        <v>43318.80284</v>
      </c>
      <c r="B1279" t="s">
        <v>204</v>
      </c>
    </row>
    <row r="1280">
      <c r="A1280" s="32">
        <f>IFERROR(__xludf.DUMMYFUNCTION("""COMPUTED_VALUE"""),43318.809102349536)</f>
        <v>43318.8091</v>
      </c>
      <c r="B1280" t="s">
        <v>256</v>
      </c>
    </row>
    <row r="1281">
      <c r="A1281" s="32">
        <f>IFERROR(__xludf.DUMMYFUNCTION("""COMPUTED_VALUE"""),43318.99098449074)</f>
        <v>43318.99098</v>
      </c>
      <c r="B1281" t="s">
        <v>1031</v>
      </c>
    </row>
    <row r="1282">
      <c r="A1282" s="32">
        <f>IFERROR(__xludf.DUMMYFUNCTION("""COMPUTED_VALUE"""),43319.251796481476)</f>
        <v>43319.2518</v>
      </c>
      <c r="B1282" t="s">
        <v>36</v>
      </c>
    </row>
    <row r="1283">
      <c r="A1283" s="32">
        <f>IFERROR(__xludf.DUMMYFUNCTION("""COMPUTED_VALUE"""),43319.44630256944)</f>
        <v>43319.4463</v>
      </c>
      <c r="B1283" t="s">
        <v>33</v>
      </c>
    </row>
    <row r="1284">
      <c r="A1284" s="32">
        <f>IFERROR(__xludf.DUMMYFUNCTION("""COMPUTED_VALUE"""),43319.48304167824)</f>
        <v>43319.48304</v>
      </c>
      <c r="B1284" t="s">
        <v>33</v>
      </c>
    </row>
    <row r="1285">
      <c r="A1285" s="32">
        <f>IFERROR(__xludf.DUMMYFUNCTION("""COMPUTED_VALUE"""),43319.552732662036)</f>
        <v>43319.55273</v>
      </c>
      <c r="B1285" t="s">
        <v>2424</v>
      </c>
    </row>
    <row r="1286">
      <c r="A1286" s="32">
        <f>IFERROR(__xludf.DUMMYFUNCTION("""COMPUTED_VALUE"""),43319.61809478009)</f>
        <v>43319.61809</v>
      </c>
      <c r="B1286" t="s">
        <v>33</v>
      </c>
    </row>
    <row r="1287">
      <c r="A1287" s="32">
        <f>IFERROR(__xludf.DUMMYFUNCTION("""COMPUTED_VALUE"""),43319.880186469905)</f>
        <v>43319.88019</v>
      </c>
      <c r="B1287" t="s">
        <v>33</v>
      </c>
    </row>
    <row r="1288">
      <c r="A1288" s="32">
        <f>IFERROR(__xludf.DUMMYFUNCTION("""COMPUTED_VALUE"""),43319.906602337964)</f>
        <v>43319.9066</v>
      </c>
      <c r="B1288" t="s">
        <v>170</v>
      </c>
    </row>
    <row r="1289">
      <c r="A1289" s="32">
        <f>IFERROR(__xludf.DUMMYFUNCTION("""COMPUTED_VALUE"""),43319.9644578588)</f>
        <v>43319.96446</v>
      </c>
      <c r="B1289" t="s">
        <v>950</v>
      </c>
    </row>
    <row r="1290">
      <c r="A1290" s="32">
        <f>IFERROR(__xludf.DUMMYFUNCTION("""COMPUTED_VALUE"""),43320.08531769676)</f>
        <v>43320.08532</v>
      </c>
      <c r="B1290" t="s">
        <v>665</v>
      </c>
    </row>
    <row r="1291">
      <c r="A1291" s="32">
        <f>IFERROR(__xludf.DUMMYFUNCTION("""COMPUTED_VALUE"""),43320.27339778935)</f>
        <v>43320.2734</v>
      </c>
      <c r="B1291" t="s">
        <v>36</v>
      </c>
    </row>
    <row r="1292">
      <c r="A1292" s="32">
        <f>IFERROR(__xludf.DUMMYFUNCTION("""COMPUTED_VALUE"""),43320.29854193287)</f>
        <v>43320.29854</v>
      </c>
      <c r="B1292" t="s">
        <v>40</v>
      </c>
    </row>
    <row r="1293">
      <c r="A1293" s="32">
        <f>IFERROR(__xludf.DUMMYFUNCTION("""COMPUTED_VALUE"""),43320.56992045139)</f>
        <v>43320.56992</v>
      </c>
      <c r="B1293" t="s">
        <v>33</v>
      </c>
    </row>
    <row r="1294">
      <c r="A1294" s="32">
        <f>IFERROR(__xludf.DUMMYFUNCTION("""COMPUTED_VALUE"""),43320.57129306713)</f>
        <v>43320.57129</v>
      </c>
      <c r="B1294" t="s">
        <v>33</v>
      </c>
    </row>
    <row r="1295">
      <c r="A1295" s="32">
        <f>IFERROR(__xludf.DUMMYFUNCTION("""COMPUTED_VALUE"""),43320.57147164352)</f>
        <v>43320.57147</v>
      </c>
      <c r="B1295" t="s">
        <v>33</v>
      </c>
    </row>
    <row r="1296">
      <c r="A1296" s="32">
        <f>IFERROR(__xludf.DUMMYFUNCTION("""COMPUTED_VALUE"""),43320.583074849535)</f>
        <v>43320.58307</v>
      </c>
      <c r="B1296" t="s">
        <v>1037</v>
      </c>
    </row>
    <row r="1297">
      <c r="A1297" s="32">
        <f>IFERROR(__xludf.DUMMYFUNCTION("""COMPUTED_VALUE"""),43320.6339145949)</f>
        <v>43320.63391</v>
      </c>
      <c r="B1297" t="s">
        <v>33</v>
      </c>
    </row>
    <row r="1298">
      <c r="A1298" s="32">
        <f>IFERROR(__xludf.DUMMYFUNCTION("""COMPUTED_VALUE"""),43320.70623784722)</f>
        <v>43320.70624</v>
      </c>
      <c r="B1298" t="s">
        <v>48</v>
      </c>
    </row>
    <row r="1299">
      <c r="A1299" s="32">
        <f>IFERROR(__xludf.DUMMYFUNCTION("""COMPUTED_VALUE"""),43320.70638215278)</f>
        <v>43320.70638</v>
      </c>
      <c r="B1299" t="s">
        <v>25</v>
      </c>
    </row>
    <row r="1300">
      <c r="A1300" s="32">
        <f>IFERROR(__xludf.DUMMYFUNCTION("""COMPUTED_VALUE"""),43320.71380875)</f>
        <v>43320.71381</v>
      </c>
      <c r="B1300" t="s">
        <v>40</v>
      </c>
    </row>
    <row r="1301">
      <c r="A1301" s="32">
        <f>IFERROR(__xludf.DUMMYFUNCTION("""COMPUTED_VALUE"""),43320.71952254629)</f>
        <v>43320.71952</v>
      </c>
      <c r="B1301" t="s">
        <v>282</v>
      </c>
    </row>
    <row r="1302">
      <c r="A1302" s="32">
        <f>IFERROR(__xludf.DUMMYFUNCTION("""COMPUTED_VALUE"""),43320.71991778935)</f>
        <v>43320.71992</v>
      </c>
      <c r="B1302" t="s">
        <v>187</v>
      </c>
    </row>
    <row r="1303">
      <c r="A1303" s="32">
        <f>IFERROR(__xludf.DUMMYFUNCTION("""COMPUTED_VALUE"""),43320.72412895833)</f>
        <v>43320.72413</v>
      </c>
      <c r="B1303" t="s">
        <v>33</v>
      </c>
    </row>
    <row r="1304">
      <c r="A1304" s="32">
        <f>IFERROR(__xludf.DUMMYFUNCTION("""COMPUTED_VALUE"""),43320.76609009259)</f>
        <v>43320.76609</v>
      </c>
      <c r="B1304" t="s">
        <v>506</v>
      </c>
    </row>
    <row r="1305">
      <c r="A1305" s="32">
        <f>IFERROR(__xludf.DUMMYFUNCTION("""COMPUTED_VALUE"""),43320.81725556713)</f>
        <v>43320.81726</v>
      </c>
      <c r="B1305" t="s">
        <v>48</v>
      </c>
    </row>
    <row r="1306">
      <c r="A1306" s="32">
        <f>IFERROR(__xludf.DUMMYFUNCTION("""COMPUTED_VALUE"""),43320.81880966436)</f>
        <v>43320.81881</v>
      </c>
      <c r="B1306" t="s">
        <v>2658</v>
      </c>
    </row>
    <row r="1307">
      <c r="A1307" s="32">
        <f>IFERROR(__xludf.DUMMYFUNCTION("""COMPUTED_VALUE"""),43320.85246363426)</f>
        <v>43320.85246</v>
      </c>
      <c r="B1307" t="s">
        <v>33</v>
      </c>
    </row>
    <row r="1308">
      <c r="A1308" s="32">
        <f>IFERROR(__xludf.DUMMYFUNCTION("""COMPUTED_VALUE"""),43320.882310810186)</f>
        <v>43320.88231</v>
      </c>
      <c r="B1308" t="s">
        <v>40</v>
      </c>
    </row>
    <row r="1309">
      <c r="A1309" s="32">
        <f>IFERROR(__xludf.DUMMYFUNCTION("""COMPUTED_VALUE"""),43320.8851622338)</f>
        <v>43320.88516</v>
      </c>
      <c r="B1309" t="s">
        <v>33</v>
      </c>
    </row>
    <row r="1310">
      <c r="A1310" s="32">
        <f>IFERROR(__xludf.DUMMYFUNCTION("""COMPUTED_VALUE"""),43320.91164047454)</f>
        <v>43320.91164</v>
      </c>
      <c r="B1310" t="s">
        <v>964</v>
      </c>
    </row>
    <row r="1311">
      <c r="A1311" s="32">
        <f>IFERROR(__xludf.DUMMYFUNCTION("""COMPUTED_VALUE"""),43320.93372564815)</f>
        <v>43320.93373</v>
      </c>
      <c r="B1311" t="s">
        <v>80</v>
      </c>
    </row>
    <row r="1312">
      <c r="A1312" s="32">
        <f>IFERROR(__xludf.DUMMYFUNCTION("""COMPUTED_VALUE"""),43320.94771578704)</f>
        <v>43320.94772</v>
      </c>
      <c r="B1312" t="s">
        <v>45</v>
      </c>
    </row>
    <row r="1313">
      <c r="A1313" s="32">
        <f>IFERROR(__xludf.DUMMYFUNCTION("""COMPUTED_VALUE"""),43320.98840693287)</f>
        <v>43320.98841</v>
      </c>
      <c r="B1313" t="s">
        <v>387</v>
      </c>
    </row>
    <row r="1314">
      <c r="A1314" s="32">
        <f>IFERROR(__xludf.DUMMYFUNCTION("""COMPUTED_VALUE"""),43321.2852247338)</f>
        <v>43321.28522</v>
      </c>
      <c r="B1314" t="s">
        <v>119</v>
      </c>
    </row>
    <row r="1315">
      <c r="A1315" s="32">
        <f>IFERROR(__xludf.DUMMYFUNCTION("""COMPUTED_VALUE"""),43321.28827616898)</f>
        <v>43321.28828</v>
      </c>
      <c r="B1315" t="s">
        <v>263</v>
      </c>
    </row>
    <row r="1316">
      <c r="A1316" s="32">
        <f>IFERROR(__xludf.DUMMYFUNCTION("""COMPUTED_VALUE"""),43321.322760069444)</f>
        <v>43321.32276</v>
      </c>
      <c r="B1316" t="s">
        <v>1045</v>
      </c>
    </row>
    <row r="1317">
      <c r="A1317" s="32">
        <f>IFERROR(__xludf.DUMMYFUNCTION("""COMPUTED_VALUE"""),43321.360291793986)</f>
        <v>43321.36029</v>
      </c>
      <c r="B1317" t="s">
        <v>123</v>
      </c>
    </row>
    <row r="1318">
      <c r="A1318" s="32">
        <f>IFERROR(__xludf.DUMMYFUNCTION("""COMPUTED_VALUE"""),43321.37616857639)</f>
        <v>43321.37617</v>
      </c>
      <c r="B1318" t="s">
        <v>196</v>
      </c>
    </row>
    <row r="1319">
      <c r="A1319" s="32">
        <f>IFERROR(__xludf.DUMMYFUNCTION("""COMPUTED_VALUE"""),43321.3969640625)</f>
        <v>43321.39696</v>
      </c>
      <c r="B1319" t="s">
        <v>33</v>
      </c>
    </row>
    <row r="1320">
      <c r="A1320" s="32">
        <f>IFERROR(__xludf.DUMMYFUNCTION("""COMPUTED_VALUE"""),43321.500814363426)</f>
        <v>43321.50081</v>
      </c>
      <c r="B1320" t="s">
        <v>48</v>
      </c>
    </row>
    <row r="1321">
      <c r="A1321" s="32">
        <f>IFERROR(__xludf.DUMMYFUNCTION("""COMPUTED_VALUE"""),43321.53668989583)</f>
        <v>43321.53669</v>
      </c>
      <c r="B1321" t="s">
        <v>33</v>
      </c>
    </row>
    <row r="1322">
      <c r="A1322" s="32">
        <f>IFERROR(__xludf.DUMMYFUNCTION("""COMPUTED_VALUE"""),43321.567630833335)</f>
        <v>43321.56763</v>
      </c>
      <c r="B1322" t="s">
        <v>2704</v>
      </c>
    </row>
    <row r="1323">
      <c r="A1323" s="32">
        <f>IFERROR(__xludf.DUMMYFUNCTION("""COMPUTED_VALUE"""),43321.56888622685)</f>
        <v>43321.56889</v>
      </c>
      <c r="B1323" t="s">
        <v>1054</v>
      </c>
    </row>
    <row r="1324">
      <c r="A1324" s="32">
        <f>IFERROR(__xludf.DUMMYFUNCTION("""COMPUTED_VALUE"""),43321.610721296296)</f>
        <v>43321.61072</v>
      </c>
      <c r="B1324" t="s">
        <v>45</v>
      </c>
    </row>
    <row r="1325">
      <c r="A1325" s="32">
        <f>IFERROR(__xludf.DUMMYFUNCTION("""COMPUTED_VALUE"""),43321.61210292824)</f>
        <v>43321.6121</v>
      </c>
      <c r="B1325" t="s">
        <v>2424</v>
      </c>
    </row>
    <row r="1326">
      <c r="A1326" s="32">
        <f>IFERROR(__xludf.DUMMYFUNCTION("""COMPUTED_VALUE"""),43321.65051763889)</f>
        <v>43321.65052</v>
      </c>
      <c r="B1326" t="s">
        <v>48</v>
      </c>
    </row>
    <row r="1327">
      <c r="A1327" s="32">
        <f>IFERROR(__xludf.DUMMYFUNCTION("""COMPUTED_VALUE"""),43321.68534642361)</f>
        <v>43321.68535</v>
      </c>
      <c r="B1327" t="s">
        <v>33</v>
      </c>
    </row>
    <row r="1328">
      <c r="A1328" s="32">
        <f>IFERROR(__xludf.DUMMYFUNCTION("""COMPUTED_VALUE"""),43321.68576129629)</f>
        <v>43321.68576</v>
      </c>
      <c r="B1328" t="s">
        <v>33</v>
      </c>
    </row>
    <row r="1329">
      <c r="A1329" s="32">
        <f>IFERROR(__xludf.DUMMYFUNCTION("""COMPUTED_VALUE"""),43321.776467777774)</f>
        <v>43321.77647</v>
      </c>
      <c r="B1329" t="s">
        <v>45</v>
      </c>
    </row>
    <row r="1330">
      <c r="A1330" s="32">
        <f>IFERROR(__xludf.DUMMYFUNCTION("""COMPUTED_VALUE"""),43321.79799723379)</f>
        <v>43321.798</v>
      </c>
      <c r="B1330" t="s">
        <v>80</v>
      </c>
    </row>
    <row r="1331">
      <c r="A1331" s="32">
        <f>IFERROR(__xludf.DUMMYFUNCTION("""COMPUTED_VALUE"""),43321.798406180555)</f>
        <v>43321.79841</v>
      </c>
      <c r="B1331" t="s">
        <v>33</v>
      </c>
    </row>
    <row r="1332">
      <c r="A1332" s="32">
        <f>IFERROR(__xludf.DUMMYFUNCTION("""COMPUTED_VALUE"""),43321.804552256945)</f>
        <v>43321.80455</v>
      </c>
      <c r="B1332" t="s">
        <v>2705</v>
      </c>
    </row>
    <row r="1333">
      <c r="A1333" s="32">
        <f>IFERROR(__xludf.DUMMYFUNCTION("""COMPUTED_VALUE"""),43321.86242547454)</f>
        <v>43321.86243</v>
      </c>
      <c r="B1333" t="s">
        <v>33</v>
      </c>
    </row>
    <row r="1334">
      <c r="A1334" s="32">
        <f>IFERROR(__xludf.DUMMYFUNCTION("""COMPUTED_VALUE"""),43321.9872658449)</f>
        <v>43321.98727</v>
      </c>
      <c r="B1334" t="s">
        <v>80</v>
      </c>
    </row>
    <row r="1335">
      <c r="A1335" s="32">
        <f>IFERROR(__xludf.DUMMYFUNCTION("""COMPUTED_VALUE"""),43322.00570450231)</f>
        <v>43322.0057</v>
      </c>
      <c r="B1335" t="s">
        <v>45</v>
      </c>
    </row>
    <row r="1336">
      <c r="A1336" s="32">
        <f>IFERROR(__xludf.DUMMYFUNCTION("""COMPUTED_VALUE"""),43322.01109640046)</f>
        <v>43322.0111</v>
      </c>
      <c r="B1336" t="s">
        <v>268</v>
      </c>
    </row>
    <row r="1337">
      <c r="A1337" s="32">
        <f>IFERROR(__xludf.DUMMYFUNCTION("""COMPUTED_VALUE"""),43322.26873751158)</f>
        <v>43322.26874</v>
      </c>
      <c r="B1337" t="s">
        <v>40</v>
      </c>
    </row>
    <row r="1338">
      <c r="A1338" s="32">
        <f>IFERROR(__xludf.DUMMYFUNCTION("""COMPUTED_VALUE"""),43322.363289050925)</f>
        <v>43322.36329</v>
      </c>
      <c r="B1338" t="s">
        <v>123</v>
      </c>
    </row>
    <row r="1339">
      <c r="A1339" s="32">
        <f>IFERROR(__xludf.DUMMYFUNCTION("""COMPUTED_VALUE"""),43322.36714623842)</f>
        <v>43322.36715</v>
      </c>
      <c r="B1339" t="s">
        <v>124</v>
      </c>
    </row>
    <row r="1340">
      <c r="A1340" s="32">
        <f>IFERROR(__xludf.DUMMYFUNCTION("""COMPUTED_VALUE"""),43322.40322246528)</f>
        <v>43322.40322</v>
      </c>
      <c r="B1340" t="s">
        <v>380</v>
      </c>
    </row>
    <row r="1341">
      <c r="A1341" s="32">
        <f>IFERROR(__xludf.DUMMYFUNCTION("""COMPUTED_VALUE"""),43322.40645030093)</f>
        <v>43322.40645</v>
      </c>
      <c r="B1341" t="s">
        <v>33</v>
      </c>
    </row>
    <row r="1342">
      <c r="A1342" s="32">
        <f>IFERROR(__xludf.DUMMYFUNCTION("""COMPUTED_VALUE"""),43322.41205530093)</f>
        <v>43322.41206</v>
      </c>
      <c r="B1342" t="s">
        <v>119</v>
      </c>
    </row>
    <row r="1343">
      <c r="A1343" s="32">
        <f>IFERROR(__xludf.DUMMYFUNCTION("""COMPUTED_VALUE"""),43322.446514641204)</f>
        <v>43322.44651</v>
      </c>
      <c r="B1343" t="s">
        <v>170</v>
      </c>
    </row>
    <row r="1344">
      <c r="A1344" s="32">
        <f>IFERROR(__xludf.DUMMYFUNCTION("""COMPUTED_VALUE"""),43322.50921754629)</f>
        <v>43322.50922</v>
      </c>
      <c r="B1344" t="s">
        <v>268</v>
      </c>
    </row>
    <row r="1345">
      <c r="A1345" s="32">
        <f>IFERROR(__xludf.DUMMYFUNCTION("""COMPUTED_VALUE"""),43322.53906891204)</f>
        <v>43322.53907</v>
      </c>
      <c r="B1345" t="s">
        <v>1069</v>
      </c>
    </row>
    <row r="1346">
      <c r="A1346" s="32">
        <f>IFERROR(__xludf.DUMMYFUNCTION("""COMPUTED_VALUE"""),43322.6527853588)</f>
        <v>43322.65279</v>
      </c>
      <c r="B1346" t="s">
        <v>241</v>
      </c>
    </row>
    <row r="1347">
      <c r="A1347" s="32">
        <f>IFERROR(__xludf.DUMMYFUNCTION("""COMPUTED_VALUE"""),43322.72304636574)</f>
        <v>43322.72305</v>
      </c>
      <c r="B1347" t="s">
        <v>249</v>
      </c>
    </row>
    <row r="1348">
      <c r="A1348" s="32">
        <f>IFERROR(__xludf.DUMMYFUNCTION("""COMPUTED_VALUE"""),43322.75017958334)</f>
        <v>43322.75018</v>
      </c>
      <c r="B1348" t="s">
        <v>1073</v>
      </c>
    </row>
    <row r="1349">
      <c r="A1349" s="32">
        <f>IFERROR(__xludf.DUMMYFUNCTION("""COMPUTED_VALUE"""),43322.77183168981)</f>
        <v>43322.77183</v>
      </c>
      <c r="B1349" t="s">
        <v>36</v>
      </c>
    </row>
    <row r="1350">
      <c r="A1350" s="32">
        <f>IFERROR(__xludf.DUMMYFUNCTION("""COMPUTED_VALUE"""),43322.82773520834)</f>
        <v>43322.82774</v>
      </c>
      <c r="B1350" t="s">
        <v>350</v>
      </c>
    </row>
    <row r="1351">
      <c r="A1351" s="32">
        <f>IFERROR(__xludf.DUMMYFUNCTION("""COMPUTED_VALUE"""),43322.84241207176)</f>
        <v>43322.84241</v>
      </c>
      <c r="B1351" t="s">
        <v>867</v>
      </c>
    </row>
    <row r="1352">
      <c r="A1352" s="32">
        <f>IFERROR(__xludf.DUMMYFUNCTION("""COMPUTED_VALUE"""),43322.92030814815)</f>
        <v>43322.92031</v>
      </c>
      <c r="B1352" t="s">
        <v>139</v>
      </c>
    </row>
    <row r="1353">
      <c r="A1353" s="32">
        <f>IFERROR(__xludf.DUMMYFUNCTION("""COMPUTED_VALUE"""),43322.95794384259)</f>
        <v>43322.95794</v>
      </c>
      <c r="B1353" t="s">
        <v>80</v>
      </c>
    </row>
    <row r="1354">
      <c r="A1354" s="32">
        <f>IFERROR(__xludf.DUMMYFUNCTION("""COMPUTED_VALUE"""),43322.98639953704)</f>
        <v>43322.9864</v>
      </c>
      <c r="B1354" t="s">
        <v>40</v>
      </c>
    </row>
    <row r="1355">
      <c r="A1355" s="32">
        <f>IFERROR(__xludf.DUMMYFUNCTION("""COMPUTED_VALUE"""),43323.01964375)</f>
        <v>43323.01964</v>
      </c>
      <c r="B1355" t="s">
        <v>33</v>
      </c>
    </row>
    <row r="1356">
      <c r="A1356" s="32">
        <f>IFERROR(__xludf.DUMMYFUNCTION("""COMPUTED_VALUE"""),43323.11643605324)</f>
        <v>43323.11644</v>
      </c>
      <c r="B1356" t="s">
        <v>33</v>
      </c>
    </row>
    <row r="1357">
      <c r="A1357" s="32">
        <f>IFERROR(__xludf.DUMMYFUNCTION("""COMPUTED_VALUE"""),43323.307668622685)</f>
        <v>43323.30767</v>
      </c>
      <c r="B1357" t="s">
        <v>2424</v>
      </c>
    </row>
    <row r="1358">
      <c r="A1358" s="32">
        <f>IFERROR(__xludf.DUMMYFUNCTION("""COMPUTED_VALUE"""),43323.36344165509)</f>
        <v>43323.36344</v>
      </c>
      <c r="B1358" t="s">
        <v>188</v>
      </c>
    </row>
    <row r="1359">
      <c r="A1359" s="32">
        <f>IFERROR(__xludf.DUMMYFUNCTION("""COMPUTED_VALUE"""),43323.47834498843)</f>
        <v>43323.47834</v>
      </c>
      <c r="B1359" t="s">
        <v>33</v>
      </c>
    </row>
    <row r="1360">
      <c r="A1360" s="32">
        <f>IFERROR(__xludf.DUMMYFUNCTION("""COMPUTED_VALUE"""),43323.50521913194)</f>
        <v>43323.50522</v>
      </c>
      <c r="B1360" t="s">
        <v>33</v>
      </c>
    </row>
    <row r="1361">
      <c r="A1361" s="32">
        <f>IFERROR(__xludf.DUMMYFUNCTION("""COMPUTED_VALUE"""),43323.570038252314)</f>
        <v>43323.57004</v>
      </c>
      <c r="B1361" t="s">
        <v>204</v>
      </c>
    </row>
    <row r="1362">
      <c r="A1362" s="32">
        <f>IFERROR(__xludf.DUMMYFUNCTION("""COMPUTED_VALUE"""),43323.76060739583)</f>
        <v>43323.76061</v>
      </c>
      <c r="B1362" t="s">
        <v>1079</v>
      </c>
    </row>
    <row r="1363">
      <c r="A1363" s="32">
        <f>IFERROR(__xludf.DUMMYFUNCTION("""COMPUTED_VALUE"""),43323.89224596065)</f>
        <v>43323.89225</v>
      </c>
      <c r="B1363" t="s">
        <v>2706</v>
      </c>
    </row>
    <row r="1364">
      <c r="A1364" s="32">
        <f>IFERROR(__xludf.DUMMYFUNCTION("""COMPUTED_VALUE"""),43323.895058055554)</f>
        <v>43323.89506</v>
      </c>
      <c r="B1364" t="s">
        <v>40</v>
      </c>
    </row>
    <row r="1365">
      <c r="A1365" s="32">
        <f>IFERROR(__xludf.DUMMYFUNCTION("""COMPUTED_VALUE"""),43323.914856435185)</f>
        <v>43323.91486</v>
      </c>
      <c r="B1365" t="s">
        <v>1082</v>
      </c>
    </row>
    <row r="1366">
      <c r="A1366" s="32">
        <f>IFERROR(__xludf.DUMMYFUNCTION("""COMPUTED_VALUE"""),43323.93314799768)</f>
        <v>43323.93315</v>
      </c>
      <c r="B1366" t="s">
        <v>123</v>
      </c>
    </row>
    <row r="1367">
      <c r="A1367" s="32">
        <f>IFERROR(__xludf.DUMMYFUNCTION("""COMPUTED_VALUE"""),43323.947648437505)</f>
        <v>43323.94765</v>
      </c>
      <c r="B1367" t="s">
        <v>2658</v>
      </c>
    </row>
    <row r="1368">
      <c r="A1368" s="32">
        <f>IFERROR(__xludf.DUMMYFUNCTION("""COMPUTED_VALUE"""),43323.95448104167)</f>
        <v>43323.95448</v>
      </c>
      <c r="B1368" t="s">
        <v>45</v>
      </c>
    </row>
    <row r="1369">
      <c r="A1369" s="32">
        <f>IFERROR(__xludf.DUMMYFUNCTION("""COMPUTED_VALUE"""),43324.071862881945)</f>
        <v>43324.07186</v>
      </c>
      <c r="B1369" t="s">
        <v>2707</v>
      </c>
    </row>
    <row r="1370">
      <c r="A1370" s="32">
        <f>IFERROR(__xludf.DUMMYFUNCTION("""COMPUTED_VALUE"""),43324.56722678241)</f>
        <v>43324.56723</v>
      </c>
      <c r="B1370" t="s">
        <v>170</v>
      </c>
    </row>
    <row r="1371">
      <c r="A1371" s="32">
        <f>IFERROR(__xludf.DUMMYFUNCTION("""COMPUTED_VALUE"""),43324.57584751157)</f>
        <v>43324.57585</v>
      </c>
      <c r="B1371" t="s">
        <v>33</v>
      </c>
    </row>
    <row r="1372">
      <c r="A1372" s="32">
        <f>IFERROR(__xludf.DUMMYFUNCTION("""COMPUTED_VALUE"""),43324.5997619213)</f>
        <v>43324.59976</v>
      </c>
      <c r="B1372" t="s">
        <v>80</v>
      </c>
    </row>
    <row r="1373">
      <c r="A1373" s="32">
        <f>IFERROR(__xludf.DUMMYFUNCTION("""COMPUTED_VALUE"""),43324.60501453704)</f>
        <v>43324.60501</v>
      </c>
      <c r="B1373" t="s">
        <v>33</v>
      </c>
    </row>
    <row r="1374">
      <c r="A1374" s="32">
        <f>IFERROR(__xludf.DUMMYFUNCTION("""COMPUTED_VALUE"""),43324.72757657408)</f>
        <v>43324.72758</v>
      </c>
      <c r="B1374" t="s">
        <v>33</v>
      </c>
    </row>
    <row r="1375">
      <c r="A1375" s="32">
        <f>IFERROR(__xludf.DUMMYFUNCTION("""COMPUTED_VALUE"""),43324.78328053241)</f>
        <v>43324.78328</v>
      </c>
      <c r="B1375" t="s">
        <v>350</v>
      </c>
    </row>
    <row r="1376">
      <c r="A1376" s="32">
        <f>IFERROR(__xludf.DUMMYFUNCTION("""COMPUTED_VALUE"""),43324.79641111111)</f>
        <v>43324.79641</v>
      </c>
      <c r="B1376" t="s">
        <v>2708</v>
      </c>
    </row>
    <row r="1377">
      <c r="A1377" s="32">
        <f>IFERROR(__xludf.DUMMYFUNCTION("""COMPUTED_VALUE"""),43324.97881894676)</f>
        <v>43324.97882</v>
      </c>
      <c r="B1377" t="s">
        <v>45</v>
      </c>
    </row>
    <row r="1378">
      <c r="A1378" s="32">
        <f>IFERROR(__xludf.DUMMYFUNCTION("""COMPUTED_VALUE"""),43325.394404756946)</f>
        <v>43325.3944</v>
      </c>
      <c r="B1378" t="s">
        <v>139</v>
      </c>
    </row>
    <row r="1379">
      <c r="A1379" s="32">
        <f>IFERROR(__xludf.DUMMYFUNCTION("""COMPUTED_VALUE"""),43325.42065814815)</f>
        <v>43325.42066</v>
      </c>
      <c r="B1379" t="s">
        <v>722</v>
      </c>
    </row>
    <row r="1380">
      <c r="A1380" s="32">
        <f>IFERROR(__xludf.DUMMYFUNCTION("""COMPUTED_VALUE"""),43325.44869402778)</f>
        <v>43325.44869</v>
      </c>
      <c r="B1380" t="s">
        <v>1095</v>
      </c>
    </row>
    <row r="1381">
      <c r="A1381" s="32">
        <f>IFERROR(__xludf.DUMMYFUNCTION("""COMPUTED_VALUE"""),43325.49126912037)</f>
        <v>43325.49127</v>
      </c>
      <c r="B1381" t="s">
        <v>25</v>
      </c>
    </row>
    <row r="1382">
      <c r="A1382" s="32">
        <f>IFERROR(__xludf.DUMMYFUNCTION("""COMPUTED_VALUE"""),43325.5774125)</f>
        <v>43325.57741</v>
      </c>
      <c r="B1382" t="s">
        <v>48</v>
      </c>
    </row>
    <row r="1383">
      <c r="A1383" s="32">
        <f>IFERROR(__xludf.DUMMYFUNCTION("""COMPUTED_VALUE"""),43325.64933822917)</f>
        <v>43325.64934</v>
      </c>
      <c r="B1383" t="s">
        <v>48</v>
      </c>
    </row>
    <row r="1384">
      <c r="A1384" s="32">
        <f>IFERROR(__xludf.DUMMYFUNCTION("""COMPUTED_VALUE"""),43325.73462804398)</f>
        <v>43325.73463</v>
      </c>
      <c r="B1384" t="s">
        <v>40</v>
      </c>
    </row>
    <row r="1385">
      <c r="A1385" s="32">
        <f>IFERROR(__xludf.DUMMYFUNCTION("""COMPUTED_VALUE"""),43325.84883486111)</f>
        <v>43325.84883</v>
      </c>
      <c r="B1385" t="s">
        <v>48</v>
      </c>
    </row>
    <row r="1386">
      <c r="A1386" s="32">
        <f>IFERROR(__xludf.DUMMYFUNCTION("""COMPUTED_VALUE"""),43325.98812775463)</f>
        <v>43325.98813</v>
      </c>
      <c r="B1386" t="s">
        <v>45</v>
      </c>
    </row>
    <row r="1387">
      <c r="A1387" s="32">
        <f>IFERROR(__xludf.DUMMYFUNCTION("""COMPUTED_VALUE"""),43326.06151813657)</f>
        <v>43326.06152</v>
      </c>
      <c r="B1387" t="s">
        <v>33</v>
      </c>
    </row>
    <row r="1388">
      <c r="A1388" s="32">
        <f>IFERROR(__xludf.DUMMYFUNCTION("""COMPUTED_VALUE"""),43326.277428773144)</f>
        <v>43326.27743</v>
      </c>
      <c r="B1388" t="s">
        <v>1103</v>
      </c>
    </row>
    <row r="1389">
      <c r="A1389" s="32">
        <f>IFERROR(__xludf.DUMMYFUNCTION("""COMPUTED_VALUE"""),43326.42407451389)</f>
        <v>43326.42407</v>
      </c>
      <c r="B1389" t="s">
        <v>142</v>
      </c>
    </row>
    <row r="1390">
      <c r="A1390" s="32">
        <f>IFERROR(__xludf.DUMMYFUNCTION("""COMPUTED_VALUE"""),43326.46993572917)</f>
        <v>43326.46994</v>
      </c>
      <c r="B1390" t="s">
        <v>40</v>
      </c>
    </row>
    <row r="1391">
      <c r="A1391" s="32">
        <f>IFERROR(__xludf.DUMMYFUNCTION("""COMPUTED_VALUE"""),43326.4998962963)</f>
        <v>43326.4999</v>
      </c>
      <c r="B1391" t="s">
        <v>80</v>
      </c>
    </row>
    <row r="1392">
      <c r="A1392" s="32">
        <f>IFERROR(__xludf.DUMMYFUNCTION("""COMPUTED_VALUE"""),43326.52792112269)</f>
        <v>43326.52792</v>
      </c>
      <c r="B1392" t="s">
        <v>33</v>
      </c>
    </row>
    <row r="1393">
      <c r="A1393" s="32">
        <f>IFERROR(__xludf.DUMMYFUNCTION("""COMPUTED_VALUE"""),43326.53677994213)</f>
        <v>43326.53678</v>
      </c>
      <c r="B1393" t="s">
        <v>33</v>
      </c>
    </row>
    <row r="1394">
      <c r="A1394" s="32">
        <f>IFERROR(__xludf.DUMMYFUNCTION("""COMPUTED_VALUE"""),43326.54812283565)</f>
        <v>43326.54812</v>
      </c>
      <c r="B1394" t="s">
        <v>426</v>
      </c>
    </row>
    <row r="1395">
      <c r="A1395" s="32">
        <f>IFERROR(__xludf.DUMMYFUNCTION("""COMPUTED_VALUE"""),43326.5533459375)</f>
        <v>43326.55335</v>
      </c>
      <c r="B1395" t="s">
        <v>268</v>
      </c>
    </row>
    <row r="1396">
      <c r="A1396" s="32">
        <f>IFERROR(__xludf.DUMMYFUNCTION("""COMPUTED_VALUE"""),43326.55790885417)</f>
        <v>43326.55791</v>
      </c>
      <c r="B1396" t="s">
        <v>196</v>
      </c>
    </row>
    <row r="1397">
      <c r="A1397" s="32">
        <f>IFERROR(__xludf.DUMMYFUNCTION("""COMPUTED_VALUE"""),43326.55837479167)</f>
        <v>43326.55837</v>
      </c>
      <c r="B1397" t="s">
        <v>196</v>
      </c>
    </row>
    <row r="1398">
      <c r="A1398" s="32">
        <f>IFERROR(__xludf.DUMMYFUNCTION("""COMPUTED_VALUE"""),43326.62378065972)</f>
        <v>43326.62378</v>
      </c>
      <c r="B1398" t="s">
        <v>40</v>
      </c>
    </row>
    <row r="1399">
      <c r="A1399" s="32">
        <f>IFERROR(__xludf.DUMMYFUNCTION("""COMPUTED_VALUE"""),43326.646338032406)</f>
        <v>43326.64634</v>
      </c>
      <c r="B1399" t="s">
        <v>48</v>
      </c>
    </row>
    <row r="1400">
      <c r="A1400" s="32">
        <f>IFERROR(__xludf.DUMMYFUNCTION("""COMPUTED_VALUE"""),43326.6527575463)</f>
        <v>43326.65276</v>
      </c>
      <c r="B1400" t="s">
        <v>33</v>
      </c>
    </row>
    <row r="1401">
      <c r="A1401" s="32">
        <f>IFERROR(__xludf.DUMMYFUNCTION("""COMPUTED_VALUE"""),43326.65644549769)</f>
        <v>43326.65645</v>
      </c>
      <c r="B1401" t="s">
        <v>40</v>
      </c>
    </row>
    <row r="1402">
      <c r="A1402" s="32">
        <f>IFERROR(__xludf.DUMMYFUNCTION("""COMPUTED_VALUE"""),43326.71161583334)</f>
        <v>43326.71162</v>
      </c>
      <c r="B1402" t="s">
        <v>40</v>
      </c>
    </row>
    <row r="1403">
      <c r="A1403" s="32">
        <f>IFERROR(__xludf.DUMMYFUNCTION("""COMPUTED_VALUE"""),43326.74186318287)</f>
        <v>43326.74186</v>
      </c>
      <c r="B1403" t="s">
        <v>40</v>
      </c>
    </row>
    <row r="1404">
      <c r="A1404" s="32">
        <f>IFERROR(__xludf.DUMMYFUNCTION("""COMPUTED_VALUE"""),43326.78330013889)</f>
        <v>43326.7833</v>
      </c>
      <c r="B1404" t="s">
        <v>33</v>
      </c>
    </row>
    <row r="1405">
      <c r="A1405" s="32">
        <f>IFERROR(__xludf.DUMMYFUNCTION("""COMPUTED_VALUE"""),43326.80156628472)</f>
        <v>43326.80157</v>
      </c>
      <c r="B1405" t="s">
        <v>350</v>
      </c>
    </row>
    <row r="1406">
      <c r="A1406" s="32">
        <f>IFERROR(__xludf.DUMMYFUNCTION("""COMPUTED_VALUE"""),43326.80987728009)</f>
        <v>43326.80988</v>
      </c>
      <c r="B1406" t="s">
        <v>40</v>
      </c>
    </row>
    <row r="1407">
      <c r="A1407" s="32">
        <f>IFERROR(__xludf.DUMMYFUNCTION("""COMPUTED_VALUE"""),43326.83838806713)</f>
        <v>43326.83839</v>
      </c>
      <c r="B1407" t="s">
        <v>40</v>
      </c>
    </row>
    <row r="1408">
      <c r="A1408" s="32">
        <f>IFERROR(__xludf.DUMMYFUNCTION("""COMPUTED_VALUE"""),43326.85746791666)</f>
        <v>43326.85747</v>
      </c>
      <c r="B1408" t="s">
        <v>48</v>
      </c>
    </row>
    <row r="1409">
      <c r="A1409" s="32">
        <f>IFERROR(__xludf.DUMMYFUNCTION("""COMPUTED_VALUE"""),43326.87293466435)</f>
        <v>43326.87293</v>
      </c>
      <c r="B1409" t="s">
        <v>119</v>
      </c>
    </row>
    <row r="1410">
      <c r="A1410" s="32">
        <f>IFERROR(__xludf.DUMMYFUNCTION("""COMPUTED_VALUE"""),43326.880893194444)</f>
        <v>43326.88089</v>
      </c>
      <c r="B1410" t="s">
        <v>2658</v>
      </c>
    </row>
    <row r="1411">
      <c r="A1411" s="32">
        <f>IFERROR(__xludf.DUMMYFUNCTION("""COMPUTED_VALUE"""),43326.8828603588)</f>
        <v>43326.88286</v>
      </c>
      <c r="B1411" t="s">
        <v>40</v>
      </c>
    </row>
    <row r="1412">
      <c r="A1412" s="32">
        <f>IFERROR(__xludf.DUMMYFUNCTION("""COMPUTED_VALUE"""),43326.91369606482)</f>
        <v>43326.9137</v>
      </c>
      <c r="B1412" t="s">
        <v>40</v>
      </c>
    </row>
    <row r="1413">
      <c r="A1413" s="32">
        <f>IFERROR(__xludf.DUMMYFUNCTION("""COMPUTED_VALUE"""),43326.94819298611)</f>
        <v>43326.94819</v>
      </c>
      <c r="B1413" t="s">
        <v>33</v>
      </c>
    </row>
    <row r="1414">
      <c r="A1414" s="32">
        <f>IFERROR(__xludf.DUMMYFUNCTION("""COMPUTED_VALUE"""),43326.954032905094)</f>
        <v>43326.95403</v>
      </c>
      <c r="B1414" t="s">
        <v>80</v>
      </c>
    </row>
    <row r="1415">
      <c r="A1415" s="32">
        <f>IFERROR(__xludf.DUMMYFUNCTION("""COMPUTED_VALUE"""),43326.975816770835)</f>
        <v>43326.97582</v>
      </c>
      <c r="B1415" t="s">
        <v>40</v>
      </c>
    </row>
    <row r="1416">
      <c r="A1416" s="32">
        <f>IFERROR(__xludf.DUMMYFUNCTION("""COMPUTED_VALUE"""),43327.014848506944)</f>
        <v>43327.01485</v>
      </c>
      <c r="B1416" t="s">
        <v>378</v>
      </c>
    </row>
    <row r="1417">
      <c r="A1417" s="32">
        <f>IFERROR(__xludf.DUMMYFUNCTION("""COMPUTED_VALUE"""),43327.05532008102)</f>
        <v>43327.05532</v>
      </c>
      <c r="B1417" t="s">
        <v>350</v>
      </c>
    </row>
    <row r="1418">
      <c r="A1418" s="32">
        <f>IFERROR(__xludf.DUMMYFUNCTION("""COMPUTED_VALUE"""),43327.2569396412)</f>
        <v>43327.25694</v>
      </c>
      <c r="B1418" t="s">
        <v>33</v>
      </c>
    </row>
    <row r="1419">
      <c r="A1419" s="32">
        <f>IFERROR(__xludf.DUMMYFUNCTION("""COMPUTED_VALUE"""),43327.33377878473)</f>
        <v>43327.33378</v>
      </c>
      <c r="B1419" t="s">
        <v>80</v>
      </c>
    </row>
    <row r="1420">
      <c r="A1420" s="32">
        <f>IFERROR(__xludf.DUMMYFUNCTION("""COMPUTED_VALUE"""),43327.35249635417)</f>
        <v>43327.3525</v>
      </c>
      <c r="B1420" t="s">
        <v>80</v>
      </c>
    </row>
    <row r="1421">
      <c r="A1421" s="32">
        <f>IFERROR(__xludf.DUMMYFUNCTION("""COMPUTED_VALUE"""),43327.41905195602)</f>
        <v>43327.41905</v>
      </c>
      <c r="B1421" t="s">
        <v>170</v>
      </c>
    </row>
    <row r="1422">
      <c r="A1422" s="32">
        <f>IFERROR(__xludf.DUMMYFUNCTION("""COMPUTED_VALUE"""),43327.45777461806)</f>
        <v>43327.45777</v>
      </c>
      <c r="B1422" t="s">
        <v>2</v>
      </c>
    </row>
    <row r="1423">
      <c r="A1423" s="32">
        <f>IFERROR(__xludf.DUMMYFUNCTION("""COMPUTED_VALUE"""),43327.498422847224)</f>
        <v>43327.49842</v>
      </c>
      <c r="B1423" t="s">
        <v>1127</v>
      </c>
    </row>
    <row r="1424">
      <c r="A1424" s="32">
        <f>IFERROR(__xludf.DUMMYFUNCTION("""COMPUTED_VALUE"""),43327.51637283565)</f>
        <v>43327.51637</v>
      </c>
      <c r="B1424" t="s">
        <v>40</v>
      </c>
    </row>
    <row r="1425">
      <c r="A1425" s="32">
        <f>IFERROR(__xludf.DUMMYFUNCTION("""COMPUTED_VALUE"""),43327.550334976855)</f>
        <v>43327.55033</v>
      </c>
      <c r="B1425" t="s">
        <v>407</v>
      </c>
    </row>
    <row r="1426">
      <c r="A1426" s="32">
        <f>IFERROR(__xludf.DUMMYFUNCTION("""COMPUTED_VALUE"""),43327.55740157407)</f>
        <v>43327.5574</v>
      </c>
      <c r="B1426" t="s">
        <v>40</v>
      </c>
    </row>
    <row r="1427">
      <c r="A1427" s="32">
        <f>IFERROR(__xludf.DUMMYFUNCTION("""COMPUTED_VALUE"""),43327.591110787034)</f>
        <v>43327.59111</v>
      </c>
      <c r="B1427" t="s">
        <v>45</v>
      </c>
    </row>
    <row r="1428">
      <c r="A1428" s="32">
        <f>IFERROR(__xludf.DUMMYFUNCTION("""COMPUTED_VALUE"""),43327.629095625)</f>
        <v>43327.6291</v>
      </c>
      <c r="B1428" t="s">
        <v>40</v>
      </c>
    </row>
    <row r="1429">
      <c r="A1429" s="32">
        <f>IFERROR(__xludf.DUMMYFUNCTION("""COMPUTED_VALUE"""),43327.635511817134)</f>
        <v>43327.63551</v>
      </c>
      <c r="B1429" t="s">
        <v>40</v>
      </c>
    </row>
    <row r="1430">
      <c r="A1430" s="32">
        <f>IFERROR(__xludf.DUMMYFUNCTION("""COMPUTED_VALUE"""),43327.637667372685)</f>
        <v>43327.63767</v>
      </c>
      <c r="B1430" t="s">
        <v>40</v>
      </c>
    </row>
    <row r="1431">
      <c r="A1431" s="32">
        <f>IFERROR(__xludf.DUMMYFUNCTION("""COMPUTED_VALUE"""),43327.639958287036)</f>
        <v>43327.63996</v>
      </c>
      <c r="B1431" t="s">
        <v>40</v>
      </c>
    </row>
    <row r="1432">
      <c r="A1432" s="32">
        <f>IFERROR(__xludf.DUMMYFUNCTION("""COMPUTED_VALUE"""),43327.64047216435)</f>
        <v>43327.64047</v>
      </c>
      <c r="B1432" t="s">
        <v>40</v>
      </c>
    </row>
    <row r="1433">
      <c r="A1433" s="32">
        <f>IFERROR(__xludf.DUMMYFUNCTION("""COMPUTED_VALUE"""),43327.64249971065)</f>
        <v>43327.6425</v>
      </c>
      <c r="B1433" t="s">
        <v>40</v>
      </c>
    </row>
    <row r="1434">
      <c r="A1434" s="32">
        <f>IFERROR(__xludf.DUMMYFUNCTION("""COMPUTED_VALUE"""),43327.645542604165)</f>
        <v>43327.64554</v>
      </c>
      <c r="B1434" t="s">
        <v>40</v>
      </c>
    </row>
    <row r="1435">
      <c r="A1435" s="32">
        <f>IFERROR(__xludf.DUMMYFUNCTION("""COMPUTED_VALUE"""),43327.64591251157)</f>
        <v>43327.64591</v>
      </c>
      <c r="B1435" t="s">
        <v>40</v>
      </c>
    </row>
    <row r="1436">
      <c r="A1436" s="32">
        <f>IFERROR(__xludf.DUMMYFUNCTION("""COMPUTED_VALUE"""),43327.64789359954)</f>
        <v>43327.64789</v>
      </c>
      <c r="B1436" t="s">
        <v>40</v>
      </c>
    </row>
    <row r="1437">
      <c r="A1437" s="32">
        <f>IFERROR(__xludf.DUMMYFUNCTION("""COMPUTED_VALUE"""),43327.65141579861)</f>
        <v>43327.65142</v>
      </c>
      <c r="B1437" t="s">
        <v>40</v>
      </c>
    </row>
    <row r="1438">
      <c r="A1438" s="32">
        <f>IFERROR(__xludf.DUMMYFUNCTION("""COMPUTED_VALUE"""),43327.65748800926)</f>
        <v>43327.65749</v>
      </c>
      <c r="B1438" t="s">
        <v>268</v>
      </c>
    </row>
    <row r="1439">
      <c r="A1439" s="32">
        <f>IFERROR(__xludf.DUMMYFUNCTION("""COMPUTED_VALUE"""),43327.658899050926)</f>
        <v>43327.6589</v>
      </c>
      <c r="B1439" t="s">
        <v>40</v>
      </c>
    </row>
    <row r="1440">
      <c r="A1440" s="32">
        <f>IFERROR(__xludf.DUMMYFUNCTION("""COMPUTED_VALUE"""),43327.669236608795)</f>
        <v>43327.66924</v>
      </c>
      <c r="B1440" t="s">
        <v>40</v>
      </c>
    </row>
    <row r="1441">
      <c r="A1441" s="32">
        <f>IFERROR(__xludf.DUMMYFUNCTION("""COMPUTED_VALUE"""),43327.67452479167)</f>
        <v>43327.67452</v>
      </c>
      <c r="B1441" t="s">
        <v>40</v>
      </c>
    </row>
    <row r="1442">
      <c r="A1442" s="32">
        <f>IFERROR(__xludf.DUMMYFUNCTION("""COMPUTED_VALUE"""),43327.67629856482)</f>
        <v>43327.6763</v>
      </c>
      <c r="B1442" t="s">
        <v>40</v>
      </c>
    </row>
    <row r="1443">
      <c r="A1443" s="32">
        <f>IFERROR(__xludf.DUMMYFUNCTION("""COMPUTED_VALUE"""),43327.68969086806)</f>
        <v>43327.68969</v>
      </c>
      <c r="B1443" t="s">
        <v>40</v>
      </c>
    </row>
    <row r="1444">
      <c r="A1444" s="32">
        <f>IFERROR(__xludf.DUMMYFUNCTION("""COMPUTED_VALUE"""),43327.70083412037)</f>
        <v>43327.70083</v>
      </c>
      <c r="B1444" t="s">
        <v>40</v>
      </c>
    </row>
    <row r="1445">
      <c r="A1445" s="32">
        <f>IFERROR(__xludf.DUMMYFUNCTION("""COMPUTED_VALUE"""),43327.702028541666)</f>
        <v>43327.70203</v>
      </c>
      <c r="B1445" t="s">
        <v>40</v>
      </c>
    </row>
    <row r="1446">
      <c r="A1446" s="32">
        <f>IFERROR(__xludf.DUMMYFUNCTION("""COMPUTED_VALUE"""),43327.70250304398)</f>
        <v>43327.7025</v>
      </c>
      <c r="B1446" t="s">
        <v>1135</v>
      </c>
    </row>
    <row r="1447">
      <c r="A1447" s="32">
        <f>IFERROR(__xludf.DUMMYFUNCTION("""COMPUTED_VALUE"""),43327.70675321759)</f>
        <v>43327.70675</v>
      </c>
      <c r="B1447" t="s">
        <v>40</v>
      </c>
    </row>
    <row r="1448">
      <c r="A1448" s="32">
        <f>IFERROR(__xludf.DUMMYFUNCTION("""COMPUTED_VALUE"""),43327.71233408565)</f>
        <v>43327.71233</v>
      </c>
      <c r="B1448" t="s">
        <v>40</v>
      </c>
    </row>
    <row r="1449">
      <c r="A1449" s="32">
        <f>IFERROR(__xludf.DUMMYFUNCTION("""COMPUTED_VALUE"""),43327.71406805556)</f>
        <v>43327.71407</v>
      </c>
      <c r="B1449" t="s">
        <v>40</v>
      </c>
    </row>
    <row r="1450">
      <c r="A1450" s="32">
        <f>IFERROR(__xludf.DUMMYFUNCTION("""COMPUTED_VALUE"""),43327.74336078703)</f>
        <v>43327.74336</v>
      </c>
      <c r="B1450" t="s">
        <v>40</v>
      </c>
    </row>
    <row r="1451">
      <c r="A1451" s="32">
        <f>IFERROR(__xludf.DUMMYFUNCTION("""COMPUTED_VALUE"""),43327.74380646991)</f>
        <v>43327.74381</v>
      </c>
      <c r="B1451" t="s">
        <v>80</v>
      </c>
    </row>
    <row r="1452">
      <c r="A1452" s="32">
        <f>IFERROR(__xludf.DUMMYFUNCTION("""COMPUTED_VALUE"""),43327.75577158565)</f>
        <v>43327.75577</v>
      </c>
      <c r="B1452" t="s">
        <v>40</v>
      </c>
    </row>
    <row r="1453">
      <c r="A1453" s="32">
        <f>IFERROR(__xludf.DUMMYFUNCTION("""COMPUTED_VALUE"""),43327.76274851852)</f>
        <v>43327.76275</v>
      </c>
      <c r="B1453" t="s">
        <v>40</v>
      </c>
    </row>
    <row r="1454">
      <c r="A1454" s="32">
        <f>IFERROR(__xludf.DUMMYFUNCTION("""COMPUTED_VALUE"""),43327.77895998843)</f>
        <v>43327.77896</v>
      </c>
      <c r="B1454" t="s">
        <v>40</v>
      </c>
    </row>
    <row r="1455">
      <c r="A1455" s="32">
        <f>IFERROR(__xludf.DUMMYFUNCTION("""COMPUTED_VALUE"""),43327.784256377316)</f>
        <v>43327.78426</v>
      </c>
      <c r="B1455" t="s">
        <v>802</v>
      </c>
    </row>
    <row r="1456">
      <c r="A1456" s="32">
        <f>IFERROR(__xludf.DUMMYFUNCTION("""COMPUTED_VALUE"""),43327.79479947917)</f>
        <v>43327.7948</v>
      </c>
      <c r="B1456" t="s">
        <v>268</v>
      </c>
    </row>
    <row r="1457">
      <c r="A1457" s="32">
        <f>IFERROR(__xludf.DUMMYFUNCTION("""COMPUTED_VALUE"""),43327.809235532404)</f>
        <v>43327.80924</v>
      </c>
      <c r="B1457" t="s">
        <v>123</v>
      </c>
    </row>
    <row r="1458">
      <c r="A1458" s="32">
        <f>IFERROR(__xludf.DUMMYFUNCTION("""COMPUTED_VALUE"""),43327.81451510417)</f>
        <v>43327.81452</v>
      </c>
      <c r="B1458" t="s">
        <v>40</v>
      </c>
    </row>
    <row r="1459">
      <c r="A1459" s="32">
        <f>IFERROR(__xludf.DUMMYFUNCTION("""COMPUTED_VALUE"""),43327.83138870371)</f>
        <v>43327.83139</v>
      </c>
      <c r="B1459" t="s">
        <v>40</v>
      </c>
    </row>
    <row r="1460">
      <c r="A1460" s="32">
        <f>IFERROR(__xludf.DUMMYFUNCTION("""COMPUTED_VALUE"""),43327.833911932874)</f>
        <v>43327.83391</v>
      </c>
      <c r="B1460" t="s">
        <v>40</v>
      </c>
    </row>
    <row r="1461">
      <c r="A1461" s="32">
        <f>IFERROR(__xludf.DUMMYFUNCTION("""COMPUTED_VALUE"""),43327.84624783565)</f>
        <v>43327.84625</v>
      </c>
      <c r="B1461" t="s">
        <v>80</v>
      </c>
    </row>
    <row r="1462">
      <c r="A1462" s="32">
        <f>IFERROR(__xludf.DUMMYFUNCTION("""COMPUTED_VALUE"""),43327.846478645835)</f>
        <v>43327.84648</v>
      </c>
      <c r="B1462" t="s">
        <v>48</v>
      </c>
    </row>
    <row r="1463">
      <c r="A1463" s="32">
        <f>IFERROR(__xludf.DUMMYFUNCTION("""COMPUTED_VALUE"""),43327.849204432874)</f>
        <v>43327.8492</v>
      </c>
      <c r="B1463" t="s">
        <v>33</v>
      </c>
    </row>
    <row r="1464">
      <c r="A1464" s="32">
        <f>IFERROR(__xludf.DUMMYFUNCTION("""COMPUTED_VALUE"""),43327.851702569445)</f>
        <v>43327.8517</v>
      </c>
      <c r="B1464" t="s">
        <v>80</v>
      </c>
    </row>
    <row r="1465">
      <c r="A1465" s="32">
        <f>IFERROR(__xludf.DUMMYFUNCTION("""COMPUTED_VALUE"""),43327.86014238426)</f>
        <v>43327.86014</v>
      </c>
      <c r="B1465" t="s">
        <v>380</v>
      </c>
    </row>
    <row r="1466">
      <c r="A1466" s="32">
        <f>IFERROR(__xludf.DUMMYFUNCTION("""COMPUTED_VALUE"""),43327.87123584491)</f>
        <v>43327.87124</v>
      </c>
      <c r="B1466" t="s">
        <v>25</v>
      </c>
    </row>
    <row r="1467">
      <c r="A1467" s="32">
        <f>IFERROR(__xludf.DUMMYFUNCTION("""COMPUTED_VALUE"""),43327.87701188657)</f>
        <v>43327.87701</v>
      </c>
      <c r="B1467" t="s">
        <v>40</v>
      </c>
    </row>
    <row r="1468">
      <c r="A1468" s="32">
        <f>IFERROR(__xludf.DUMMYFUNCTION("""COMPUTED_VALUE"""),43327.90999857639)</f>
        <v>43327.91</v>
      </c>
      <c r="B1468" t="s">
        <v>40</v>
      </c>
    </row>
    <row r="1469">
      <c r="A1469" s="32">
        <f>IFERROR(__xludf.DUMMYFUNCTION("""COMPUTED_VALUE"""),43327.93110802083)</f>
        <v>43327.93111</v>
      </c>
      <c r="B1469" t="s">
        <v>40</v>
      </c>
    </row>
    <row r="1470">
      <c r="A1470" s="32">
        <f>IFERROR(__xludf.DUMMYFUNCTION("""COMPUTED_VALUE"""),43327.96506858796)</f>
        <v>43327.96507</v>
      </c>
      <c r="B1470" t="s">
        <v>40</v>
      </c>
    </row>
    <row r="1471">
      <c r="A1471" s="32">
        <f>IFERROR(__xludf.DUMMYFUNCTION("""COMPUTED_VALUE"""),43327.96921982639)</f>
        <v>43327.96922</v>
      </c>
      <c r="B1471" t="s">
        <v>80</v>
      </c>
    </row>
    <row r="1472">
      <c r="A1472" s="32">
        <f>IFERROR(__xludf.DUMMYFUNCTION("""COMPUTED_VALUE"""),43327.97173103009)</f>
        <v>43327.97173</v>
      </c>
      <c r="B1472" t="s">
        <v>40</v>
      </c>
    </row>
    <row r="1473">
      <c r="A1473" s="32">
        <f>IFERROR(__xludf.DUMMYFUNCTION("""COMPUTED_VALUE"""),43327.97813392361)</f>
        <v>43327.97813</v>
      </c>
      <c r="B1473" t="s">
        <v>124</v>
      </c>
    </row>
    <row r="1474">
      <c r="A1474" s="32">
        <f>IFERROR(__xludf.DUMMYFUNCTION("""COMPUTED_VALUE"""),43327.99923716435)</f>
        <v>43327.99924</v>
      </c>
      <c r="B1474" t="s">
        <v>40</v>
      </c>
    </row>
    <row r="1475">
      <c r="A1475" s="32">
        <f>IFERROR(__xludf.DUMMYFUNCTION("""COMPUTED_VALUE"""),43328.006419259254)</f>
        <v>43328.00642</v>
      </c>
      <c r="B1475" t="s">
        <v>40</v>
      </c>
    </row>
    <row r="1476">
      <c r="A1476" s="32">
        <f>IFERROR(__xludf.DUMMYFUNCTION("""COMPUTED_VALUE"""),43328.07440197917)</f>
        <v>43328.0744</v>
      </c>
      <c r="B1476" t="s">
        <v>119</v>
      </c>
    </row>
    <row r="1477">
      <c r="A1477" s="32">
        <f>IFERROR(__xludf.DUMMYFUNCTION("""COMPUTED_VALUE"""),43328.360282222224)</f>
        <v>43328.36028</v>
      </c>
      <c r="B1477" t="s">
        <v>33</v>
      </c>
    </row>
    <row r="1478">
      <c r="A1478" s="32">
        <f>IFERROR(__xludf.DUMMYFUNCTION("""COMPUTED_VALUE"""),43328.36926759259)</f>
        <v>43328.36927</v>
      </c>
      <c r="B1478" t="s">
        <v>282</v>
      </c>
    </row>
    <row r="1479">
      <c r="A1479" s="32">
        <f>IFERROR(__xludf.DUMMYFUNCTION("""COMPUTED_VALUE"""),43328.41639402778)</f>
        <v>43328.41639</v>
      </c>
      <c r="B1479" t="s">
        <v>119</v>
      </c>
    </row>
    <row r="1480">
      <c r="A1480" s="32">
        <f>IFERROR(__xludf.DUMMYFUNCTION("""COMPUTED_VALUE"""),43328.418913194444)</f>
        <v>43328.41891</v>
      </c>
      <c r="B1480" t="s">
        <v>40</v>
      </c>
    </row>
    <row r="1481">
      <c r="A1481" s="32">
        <f>IFERROR(__xludf.DUMMYFUNCTION("""COMPUTED_VALUE"""),43328.47034946759)</f>
        <v>43328.47035</v>
      </c>
      <c r="B1481" t="s">
        <v>40</v>
      </c>
    </row>
    <row r="1482">
      <c r="A1482" s="32">
        <f>IFERROR(__xludf.DUMMYFUNCTION("""COMPUTED_VALUE"""),43328.48371417824)</f>
        <v>43328.48371</v>
      </c>
      <c r="B1482" t="s">
        <v>1154</v>
      </c>
    </row>
    <row r="1483">
      <c r="A1483" s="32">
        <f>IFERROR(__xludf.DUMMYFUNCTION("""COMPUTED_VALUE"""),43328.48543699074)</f>
        <v>43328.48544</v>
      </c>
      <c r="B1483" t="s">
        <v>1156</v>
      </c>
    </row>
    <row r="1484">
      <c r="A1484" s="32">
        <f>IFERROR(__xludf.DUMMYFUNCTION("""COMPUTED_VALUE"""),43328.495530127315)</f>
        <v>43328.49553</v>
      </c>
      <c r="B1484" t="s">
        <v>263</v>
      </c>
    </row>
    <row r="1485">
      <c r="A1485" s="32">
        <f>IFERROR(__xludf.DUMMYFUNCTION("""COMPUTED_VALUE"""),43328.50140026621)</f>
        <v>43328.5014</v>
      </c>
      <c r="B1485" t="s">
        <v>40</v>
      </c>
    </row>
    <row r="1486">
      <c r="A1486" s="32">
        <f>IFERROR(__xludf.DUMMYFUNCTION("""COMPUTED_VALUE"""),43328.51084378472)</f>
        <v>43328.51084</v>
      </c>
      <c r="B1486" t="s">
        <v>40</v>
      </c>
    </row>
    <row r="1487">
      <c r="A1487" s="32">
        <f>IFERROR(__xludf.DUMMYFUNCTION("""COMPUTED_VALUE"""),43328.51330324074)</f>
        <v>43328.5133</v>
      </c>
      <c r="B1487" t="s">
        <v>40</v>
      </c>
    </row>
    <row r="1488">
      <c r="A1488" s="32">
        <f>IFERROR(__xludf.DUMMYFUNCTION("""COMPUTED_VALUE"""),43328.55023396991)</f>
        <v>43328.55023</v>
      </c>
      <c r="B1488" t="s">
        <v>1158</v>
      </c>
    </row>
    <row r="1489">
      <c r="A1489" s="32">
        <f>IFERROR(__xludf.DUMMYFUNCTION("""COMPUTED_VALUE"""),43328.561918125)</f>
        <v>43328.56192</v>
      </c>
      <c r="B1489" t="s">
        <v>40</v>
      </c>
    </row>
    <row r="1490">
      <c r="A1490" s="32">
        <f>IFERROR(__xludf.DUMMYFUNCTION("""COMPUTED_VALUE"""),43328.65168530092)</f>
        <v>43328.65169</v>
      </c>
      <c r="B1490" t="s">
        <v>33</v>
      </c>
    </row>
    <row r="1491">
      <c r="A1491" s="32">
        <f>IFERROR(__xludf.DUMMYFUNCTION("""COMPUTED_VALUE"""),43328.65322094907)</f>
        <v>43328.65322</v>
      </c>
      <c r="B1491" t="s">
        <v>33</v>
      </c>
    </row>
    <row r="1492">
      <c r="A1492" s="32">
        <f>IFERROR(__xludf.DUMMYFUNCTION("""COMPUTED_VALUE"""),43328.66113894676)</f>
        <v>43328.66114</v>
      </c>
      <c r="B1492" t="s">
        <v>33</v>
      </c>
    </row>
    <row r="1493">
      <c r="A1493" s="32">
        <f>IFERROR(__xludf.DUMMYFUNCTION("""COMPUTED_VALUE"""),43328.696271967594)</f>
        <v>43328.69627</v>
      </c>
      <c r="B1493" t="s">
        <v>40</v>
      </c>
    </row>
    <row r="1494">
      <c r="A1494" s="32">
        <f>IFERROR(__xludf.DUMMYFUNCTION("""COMPUTED_VALUE"""),43328.71679871528)</f>
        <v>43328.7168</v>
      </c>
      <c r="B1494" t="s">
        <v>40</v>
      </c>
    </row>
    <row r="1495">
      <c r="A1495" s="32">
        <f>IFERROR(__xludf.DUMMYFUNCTION("""COMPUTED_VALUE"""),43328.728619375004)</f>
        <v>43328.72862</v>
      </c>
      <c r="B1495" t="s">
        <v>40</v>
      </c>
    </row>
    <row r="1496">
      <c r="A1496" s="32">
        <f>IFERROR(__xludf.DUMMYFUNCTION("""COMPUTED_VALUE"""),43328.7359137037)</f>
        <v>43328.73591</v>
      </c>
      <c r="B1496" t="s">
        <v>40</v>
      </c>
    </row>
    <row r="1497">
      <c r="A1497" s="32">
        <f>IFERROR(__xludf.DUMMYFUNCTION("""COMPUTED_VALUE"""),43328.78673446759)</f>
        <v>43328.78673</v>
      </c>
      <c r="B1497" t="s">
        <v>1160</v>
      </c>
    </row>
    <row r="1498">
      <c r="A1498" s="32">
        <f>IFERROR(__xludf.DUMMYFUNCTION("""COMPUTED_VALUE"""),43328.80844255787)</f>
        <v>43328.80844</v>
      </c>
      <c r="B1498" t="s">
        <v>80</v>
      </c>
    </row>
    <row r="1499">
      <c r="A1499" s="32">
        <f>IFERROR(__xludf.DUMMYFUNCTION("""COMPUTED_VALUE"""),43328.82726659722)</f>
        <v>43328.82727</v>
      </c>
      <c r="B1499" t="s">
        <v>40</v>
      </c>
    </row>
    <row r="1500">
      <c r="A1500" s="32">
        <f>IFERROR(__xludf.DUMMYFUNCTION("""COMPUTED_VALUE"""),43328.837442916665)</f>
        <v>43328.83744</v>
      </c>
      <c r="B1500" t="s">
        <v>40</v>
      </c>
    </row>
    <row r="1501">
      <c r="A1501" s="32">
        <f>IFERROR(__xludf.DUMMYFUNCTION("""COMPUTED_VALUE"""),43328.87610592593)</f>
        <v>43328.87611</v>
      </c>
      <c r="B1501" t="s">
        <v>40</v>
      </c>
    </row>
    <row r="1502">
      <c r="A1502" s="32">
        <f>IFERROR(__xludf.DUMMYFUNCTION("""COMPUTED_VALUE"""),43328.91444072917)</f>
        <v>43328.91444</v>
      </c>
      <c r="B1502" t="s">
        <v>40</v>
      </c>
    </row>
    <row r="1503">
      <c r="A1503" s="32">
        <f>IFERROR(__xludf.DUMMYFUNCTION("""COMPUTED_VALUE"""),43328.91946072917)</f>
        <v>43328.91946</v>
      </c>
      <c r="B1503" t="s">
        <v>40</v>
      </c>
    </row>
    <row r="1504">
      <c r="A1504" s="32">
        <f>IFERROR(__xludf.DUMMYFUNCTION("""COMPUTED_VALUE"""),43328.92069009259)</f>
        <v>43328.92069</v>
      </c>
      <c r="B1504" t="s">
        <v>40</v>
      </c>
    </row>
    <row r="1505">
      <c r="A1505" s="32">
        <f>IFERROR(__xludf.DUMMYFUNCTION("""COMPUTED_VALUE"""),43328.939425324075)</f>
        <v>43328.93943</v>
      </c>
      <c r="B1505" t="s">
        <v>40</v>
      </c>
    </row>
    <row r="1506">
      <c r="A1506" s="32">
        <f>IFERROR(__xludf.DUMMYFUNCTION("""COMPUTED_VALUE"""),43329.059608634256)</f>
        <v>43329.05961</v>
      </c>
      <c r="B1506" t="s">
        <v>40</v>
      </c>
    </row>
    <row r="1507">
      <c r="A1507" s="32">
        <f>IFERROR(__xludf.DUMMYFUNCTION("""COMPUTED_VALUE"""),43329.07006453704)</f>
        <v>43329.07006</v>
      </c>
      <c r="B1507" t="s">
        <v>40</v>
      </c>
    </row>
    <row r="1508">
      <c r="A1508" s="32">
        <f>IFERROR(__xludf.DUMMYFUNCTION("""COMPUTED_VALUE"""),43329.13330292824)</f>
        <v>43329.1333</v>
      </c>
      <c r="B1508" t="s">
        <v>538</v>
      </c>
    </row>
    <row r="1509">
      <c r="A1509" s="32">
        <f>IFERROR(__xludf.DUMMYFUNCTION("""COMPUTED_VALUE"""),43329.2466262963)</f>
        <v>43329.24663</v>
      </c>
      <c r="B1509" t="s">
        <v>40</v>
      </c>
    </row>
    <row r="1510">
      <c r="A1510" s="32">
        <f>IFERROR(__xludf.DUMMYFUNCTION("""COMPUTED_VALUE"""),43329.27293215277)</f>
        <v>43329.27293</v>
      </c>
      <c r="B1510" t="s">
        <v>40</v>
      </c>
    </row>
    <row r="1511">
      <c r="A1511" s="32">
        <f>IFERROR(__xludf.DUMMYFUNCTION("""COMPUTED_VALUE"""),43329.41139810185)</f>
        <v>43329.4114</v>
      </c>
      <c r="B1511" t="s">
        <v>33</v>
      </c>
    </row>
    <row r="1512">
      <c r="A1512" s="32">
        <f>IFERROR(__xludf.DUMMYFUNCTION("""COMPUTED_VALUE"""),43329.458520740736)</f>
        <v>43329.45852</v>
      </c>
      <c r="B1512" t="s">
        <v>33</v>
      </c>
    </row>
    <row r="1513">
      <c r="A1513" s="32">
        <f>IFERROR(__xludf.DUMMYFUNCTION("""COMPUTED_VALUE"""),43329.477479560184)</f>
        <v>43329.47748</v>
      </c>
      <c r="B1513" t="s">
        <v>40</v>
      </c>
    </row>
    <row r="1514">
      <c r="A1514" s="32">
        <f>IFERROR(__xludf.DUMMYFUNCTION("""COMPUTED_VALUE"""),43329.4930747801)</f>
        <v>43329.49307</v>
      </c>
      <c r="B1514" t="s">
        <v>80</v>
      </c>
    </row>
    <row r="1515">
      <c r="A1515" s="32">
        <f>IFERROR(__xludf.DUMMYFUNCTION("""COMPUTED_VALUE"""),43329.54792997685)</f>
        <v>43329.54793</v>
      </c>
      <c r="B1515" t="s">
        <v>40</v>
      </c>
    </row>
    <row r="1516">
      <c r="A1516" s="32">
        <f>IFERROR(__xludf.DUMMYFUNCTION("""COMPUTED_VALUE"""),43329.63431375)</f>
        <v>43329.63431</v>
      </c>
      <c r="B1516" t="s">
        <v>40</v>
      </c>
    </row>
    <row r="1517">
      <c r="A1517" s="32">
        <f>IFERROR(__xludf.DUMMYFUNCTION("""COMPUTED_VALUE"""),43329.66365041667)</f>
        <v>43329.66365</v>
      </c>
      <c r="B1517" t="s">
        <v>40</v>
      </c>
    </row>
    <row r="1518">
      <c r="A1518" s="32">
        <f>IFERROR(__xludf.DUMMYFUNCTION("""COMPUTED_VALUE"""),43329.66412901621)</f>
        <v>43329.66413</v>
      </c>
      <c r="B1518" t="s">
        <v>40</v>
      </c>
    </row>
    <row r="1519">
      <c r="A1519" s="32">
        <f>IFERROR(__xludf.DUMMYFUNCTION("""COMPUTED_VALUE"""),43329.71270533565)</f>
        <v>43329.71271</v>
      </c>
      <c r="B1519" t="s">
        <v>154</v>
      </c>
    </row>
    <row r="1520">
      <c r="A1520" s="32">
        <f>IFERROR(__xludf.DUMMYFUNCTION("""COMPUTED_VALUE"""),43329.716426875)</f>
        <v>43329.71643</v>
      </c>
      <c r="B1520" t="s">
        <v>40</v>
      </c>
    </row>
    <row r="1521">
      <c r="A1521" s="32">
        <f>IFERROR(__xludf.DUMMYFUNCTION("""COMPUTED_VALUE"""),43329.71815915509)</f>
        <v>43329.71816</v>
      </c>
      <c r="B1521" t="s">
        <v>40</v>
      </c>
    </row>
    <row r="1522">
      <c r="A1522" s="32">
        <f>IFERROR(__xludf.DUMMYFUNCTION("""COMPUTED_VALUE"""),43329.77917863426)</f>
        <v>43329.77918</v>
      </c>
      <c r="B1522" t="s">
        <v>2709</v>
      </c>
    </row>
    <row r="1523">
      <c r="A1523" s="32">
        <f>IFERROR(__xludf.DUMMYFUNCTION("""COMPUTED_VALUE"""),43329.88923726852)</f>
        <v>43329.88924</v>
      </c>
      <c r="B1523" t="s">
        <v>40</v>
      </c>
    </row>
    <row r="1524">
      <c r="A1524" s="32">
        <f>IFERROR(__xludf.DUMMYFUNCTION("""COMPUTED_VALUE"""),43329.94942885417)</f>
        <v>43329.94943</v>
      </c>
      <c r="B1524" t="s">
        <v>36</v>
      </c>
    </row>
    <row r="1525">
      <c r="A1525" s="32">
        <f>IFERROR(__xludf.DUMMYFUNCTION("""COMPUTED_VALUE"""),43329.957567627316)</f>
        <v>43329.95757</v>
      </c>
      <c r="B1525" t="s">
        <v>80</v>
      </c>
    </row>
    <row r="1526">
      <c r="A1526" s="32">
        <f>IFERROR(__xludf.DUMMYFUNCTION("""COMPUTED_VALUE"""),43329.96776474537)</f>
        <v>43329.96776</v>
      </c>
      <c r="B1526" t="s">
        <v>124</v>
      </c>
    </row>
    <row r="1527">
      <c r="A1527" s="32">
        <f>IFERROR(__xludf.DUMMYFUNCTION("""COMPUTED_VALUE"""),43329.98603537037)</f>
        <v>43329.98604</v>
      </c>
      <c r="B1527" t="s">
        <v>123</v>
      </c>
    </row>
    <row r="1528">
      <c r="A1528" s="32">
        <f>IFERROR(__xludf.DUMMYFUNCTION("""COMPUTED_VALUE"""),43330.00196902778)</f>
        <v>43330.00197</v>
      </c>
      <c r="B1528" t="s">
        <v>258</v>
      </c>
    </row>
    <row r="1529">
      <c r="A1529" s="32">
        <f>IFERROR(__xludf.DUMMYFUNCTION("""COMPUTED_VALUE"""),43330.07022461806)</f>
        <v>43330.07022</v>
      </c>
      <c r="B1529" t="s">
        <v>33</v>
      </c>
    </row>
    <row r="1530">
      <c r="A1530" s="32">
        <f>IFERROR(__xludf.DUMMYFUNCTION("""COMPUTED_VALUE"""),43330.07122699074)</f>
        <v>43330.07123</v>
      </c>
      <c r="B1530" t="s">
        <v>282</v>
      </c>
    </row>
    <row r="1531">
      <c r="A1531" s="32">
        <f>IFERROR(__xludf.DUMMYFUNCTION("""COMPUTED_VALUE"""),43330.42129599537)</f>
        <v>43330.4213</v>
      </c>
      <c r="B1531" t="s">
        <v>204</v>
      </c>
    </row>
    <row r="1532">
      <c r="A1532" s="32">
        <f>IFERROR(__xludf.DUMMYFUNCTION("""COMPUTED_VALUE"""),43330.48411715278)</f>
        <v>43330.48412</v>
      </c>
      <c r="B1532" t="s">
        <v>40</v>
      </c>
    </row>
    <row r="1533">
      <c r="A1533" s="32">
        <f>IFERROR(__xludf.DUMMYFUNCTION("""COMPUTED_VALUE"""),43330.491098819446)</f>
        <v>43330.4911</v>
      </c>
      <c r="B1533" t="s">
        <v>40</v>
      </c>
    </row>
    <row r="1534">
      <c r="A1534" s="32">
        <f>IFERROR(__xludf.DUMMYFUNCTION("""COMPUTED_VALUE"""),43330.514481273145)</f>
        <v>43330.51448</v>
      </c>
      <c r="B1534" t="s">
        <v>33</v>
      </c>
    </row>
    <row r="1535">
      <c r="A1535" s="32">
        <f>IFERROR(__xludf.DUMMYFUNCTION("""COMPUTED_VALUE"""),43330.56548409723)</f>
        <v>43330.56548</v>
      </c>
      <c r="B1535" t="s">
        <v>40</v>
      </c>
    </row>
    <row r="1536">
      <c r="A1536" s="32">
        <f>IFERROR(__xludf.DUMMYFUNCTION("""COMPUTED_VALUE"""),43330.56812059028)</f>
        <v>43330.56812</v>
      </c>
      <c r="B1536" t="s">
        <v>2658</v>
      </c>
    </row>
    <row r="1537">
      <c r="A1537" s="32">
        <f>IFERROR(__xludf.DUMMYFUNCTION("""COMPUTED_VALUE"""),43330.61336658565)</f>
        <v>43330.61337</v>
      </c>
      <c r="B1537" t="s">
        <v>40</v>
      </c>
    </row>
    <row r="1538">
      <c r="A1538" s="32">
        <f>IFERROR(__xludf.DUMMYFUNCTION("""COMPUTED_VALUE"""),43330.695715497684)</f>
        <v>43330.69572</v>
      </c>
      <c r="B1538" t="s">
        <v>268</v>
      </c>
    </row>
    <row r="1539">
      <c r="A1539" s="32">
        <f>IFERROR(__xludf.DUMMYFUNCTION("""COMPUTED_VALUE"""),43330.733510763894)</f>
        <v>43330.73351</v>
      </c>
      <c r="B1539" t="s">
        <v>40</v>
      </c>
    </row>
    <row r="1540">
      <c r="A1540" s="32">
        <f>IFERROR(__xludf.DUMMYFUNCTION("""COMPUTED_VALUE"""),43330.74097481482)</f>
        <v>43330.74097</v>
      </c>
      <c r="B1540" t="s">
        <v>204</v>
      </c>
    </row>
    <row r="1541">
      <c r="A1541" s="32">
        <f>IFERROR(__xludf.DUMMYFUNCTION("""COMPUTED_VALUE"""),43330.77057445602)</f>
        <v>43330.77057</v>
      </c>
      <c r="B1541" t="s">
        <v>36</v>
      </c>
    </row>
    <row r="1542">
      <c r="A1542" s="32">
        <f>IFERROR(__xludf.DUMMYFUNCTION("""COMPUTED_VALUE"""),43330.82991409722)</f>
        <v>43330.82991</v>
      </c>
      <c r="B1542" t="s">
        <v>25</v>
      </c>
    </row>
    <row r="1543">
      <c r="A1543" s="32">
        <f>IFERROR(__xludf.DUMMYFUNCTION("""COMPUTED_VALUE"""),43330.88418407408)</f>
        <v>43330.88418</v>
      </c>
      <c r="B1543" t="s">
        <v>157</v>
      </c>
    </row>
    <row r="1544">
      <c r="A1544" s="32">
        <f>IFERROR(__xludf.DUMMYFUNCTION("""COMPUTED_VALUE"""),43330.91713563657)</f>
        <v>43330.91714</v>
      </c>
      <c r="B1544" t="s">
        <v>407</v>
      </c>
    </row>
    <row r="1545">
      <c r="A1545" s="32">
        <f>IFERROR(__xludf.DUMMYFUNCTION("""COMPUTED_VALUE"""),43330.91865577546)</f>
        <v>43330.91866</v>
      </c>
      <c r="B1545" t="s">
        <v>387</v>
      </c>
    </row>
    <row r="1546">
      <c r="A1546" s="32">
        <f>IFERROR(__xludf.DUMMYFUNCTION("""COMPUTED_VALUE"""),43331.08850355324)</f>
        <v>43331.0885</v>
      </c>
      <c r="B1546" t="s">
        <v>40</v>
      </c>
    </row>
    <row r="1547">
      <c r="A1547" s="32">
        <f>IFERROR(__xludf.DUMMYFUNCTION("""COMPUTED_VALUE"""),43331.14203537037)</f>
        <v>43331.14204</v>
      </c>
      <c r="B1547" t="s">
        <v>33</v>
      </c>
    </row>
    <row r="1548">
      <c r="A1548" s="32">
        <f>IFERROR(__xludf.DUMMYFUNCTION("""COMPUTED_VALUE"""),43331.424044907406)</f>
        <v>43331.42404</v>
      </c>
      <c r="B1548" t="s">
        <v>33</v>
      </c>
    </row>
    <row r="1549">
      <c r="A1549" s="32">
        <f>IFERROR(__xludf.DUMMYFUNCTION("""COMPUTED_VALUE"""),43331.44191774305)</f>
        <v>43331.44192</v>
      </c>
      <c r="B1549" t="s">
        <v>48</v>
      </c>
    </row>
    <row r="1550">
      <c r="A1550" s="32">
        <f>IFERROR(__xludf.DUMMYFUNCTION("""COMPUTED_VALUE"""),43331.453024710645)</f>
        <v>43331.45302</v>
      </c>
      <c r="B1550" t="s">
        <v>170</v>
      </c>
    </row>
    <row r="1551">
      <c r="A1551" s="32">
        <f>IFERROR(__xludf.DUMMYFUNCTION("""COMPUTED_VALUE"""),43331.467858275464)</f>
        <v>43331.46786</v>
      </c>
      <c r="B1551" t="s">
        <v>40</v>
      </c>
    </row>
    <row r="1552">
      <c r="A1552" s="32">
        <f>IFERROR(__xludf.DUMMYFUNCTION("""COMPUTED_VALUE"""),43331.47813575232)</f>
        <v>43331.47814</v>
      </c>
      <c r="B1552" t="s">
        <v>40</v>
      </c>
    </row>
    <row r="1553">
      <c r="A1553" s="32">
        <f>IFERROR(__xludf.DUMMYFUNCTION("""COMPUTED_VALUE"""),43331.62160067129)</f>
        <v>43331.6216</v>
      </c>
      <c r="B1553" t="s">
        <v>40</v>
      </c>
    </row>
    <row r="1554">
      <c r="A1554" s="32">
        <f>IFERROR(__xludf.DUMMYFUNCTION("""COMPUTED_VALUE"""),43331.65771375)</f>
        <v>43331.65771</v>
      </c>
      <c r="B1554" t="s">
        <v>33</v>
      </c>
    </row>
    <row r="1555">
      <c r="A1555" s="32">
        <f>IFERROR(__xludf.DUMMYFUNCTION("""COMPUTED_VALUE"""),43331.66106932871)</f>
        <v>43331.66107</v>
      </c>
      <c r="B1555" t="s">
        <v>33</v>
      </c>
    </row>
    <row r="1556">
      <c r="A1556" s="32">
        <f>IFERROR(__xludf.DUMMYFUNCTION("""COMPUTED_VALUE"""),43331.74311228009)</f>
        <v>43331.74311</v>
      </c>
      <c r="B1556" t="s">
        <v>33</v>
      </c>
    </row>
    <row r="1557">
      <c r="A1557" s="32">
        <f>IFERROR(__xludf.DUMMYFUNCTION("""COMPUTED_VALUE"""),43331.81814928241)</f>
        <v>43331.81815</v>
      </c>
      <c r="B1557" t="s">
        <v>80</v>
      </c>
    </row>
    <row r="1558">
      <c r="A1558" s="32">
        <f>IFERROR(__xludf.DUMMYFUNCTION("""COMPUTED_VALUE"""),43331.82343626158)</f>
        <v>43331.82344</v>
      </c>
      <c r="B1558" t="s">
        <v>48</v>
      </c>
    </row>
    <row r="1559">
      <c r="A1559" s="32">
        <f>IFERROR(__xludf.DUMMYFUNCTION("""COMPUTED_VALUE"""),43331.8552840162)</f>
        <v>43331.85528</v>
      </c>
      <c r="B1559" t="s">
        <v>1188</v>
      </c>
    </row>
    <row r="1560">
      <c r="A1560" s="32">
        <f>IFERROR(__xludf.DUMMYFUNCTION("""COMPUTED_VALUE"""),43331.952089722225)</f>
        <v>43331.95209</v>
      </c>
      <c r="B1560" t="s">
        <v>80</v>
      </c>
    </row>
    <row r="1561">
      <c r="A1561" s="32">
        <f>IFERROR(__xludf.DUMMYFUNCTION("""COMPUTED_VALUE"""),43331.964001388886)</f>
        <v>43331.964</v>
      </c>
      <c r="B1561" t="s">
        <v>139</v>
      </c>
    </row>
    <row r="1562">
      <c r="A1562" s="32">
        <f>IFERROR(__xludf.DUMMYFUNCTION("""COMPUTED_VALUE"""),43331.97883248843)</f>
        <v>43331.97883</v>
      </c>
      <c r="B1562" t="s">
        <v>119</v>
      </c>
    </row>
    <row r="1563">
      <c r="A1563" s="32">
        <f>IFERROR(__xludf.DUMMYFUNCTION("""COMPUTED_VALUE"""),43332.370523819445)</f>
        <v>43332.37052</v>
      </c>
      <c r="B1563" t="s">
        <v>40</v>
      </c>
    </row>
    <row r="1564">
      <c r="A1564" s="32">
        <f>IFERROR(__xludf.DUMMYFUNCTION("""COMPUTED_VALUE"""),43332.39325525463)</f>
        <v>43332.39326</v>
      </c>
      <c r="B1564" t="s">
        <v>40</v>
      </c>
    </row>
    <row r="1565">
      <c r="A1565" s="32">
        <f>IFERROR(__xludf.DUMMYFUNCTION("""COMPUTED_VALUE"""),43332.52276989583)</f>
        <v>43332.52277</v>
      </c>
      <c r="B1565" t="s">
        <v>1193</v>
      </c>
    </row>
    <row r="1566">
      <c r="A1566" s="32">
        <f>IFERROR(__xludf.DUMMYFUNCTION("""COMPUTED_VALUE"""),43332.529585868055)</f>
        <v>43332.52959</v>
      </c>
      <c r="B1566" t="s">
        <v>33</v>
      </c>
    </row>
    <row r="1567">
      <c r="A1567" s="32">
        <f>IFERROR(__xludf.DUMMYFUNCTION("""COMPUTED_VALUE"""),43332.57873237268)</f>
        <v>43332.57873</v>
      </c>
      <c r="B1567" t="s">
        <v>2668</v>
      </c>
    </row>
    <row r="1568">
      <c r="A1568" s="32">
        <f>IFERROR(__xludf.DUMMYFUNCTION("""COMPUTED_VALUE"""),43332.622890555554)</f>
        <v>43332.62289</v>
      </c>
      <c r="B1568" t="s">
        <v>40</v>
      </c>
    </row>
    <row r="1569">
      <c r="A1569" s="32">
        <f>IFERROR(__xludf.DUMMYFUNCTION("""COMPUTED_VALUE"""),43332.661846585645)</f>
        <v>43332.66185</v>
      </c>
      <c r="B1569" t="s">
        <v>1196</v>
      </c>
    </row>
    <row r="1570">
      <c r="A1570" s="32">
        <f>IFERROR(__xludf.DUMMYFUNCTION("""COMPUTED_VALUE"""),43332.793449363424)</f>
        <v>43332.79345</v>
      </c>
      <c r="B1570" t="s">
        <v>33</v>
      </c>
    </row>
    <row r="1571">
      <c r="A1571" s="32">
        <f>IFERROR(__xludf.DUMMYFUNCTION("""COMPUTED_VALUE"""),43332.86141020834)</f>
        <v>43332.86141</v>
      </c>
      <c r="B1571" t="s">
        <v>268</v>
      </c>
    </row>
    <row r="1572">
      <c r="A1572" s="32">
        <f>IFERROR(__xludf.DUMMYFUNCTION("""COMPUTED_VALUE"""),43332.87426805556)</f>
        <v>43332.87427</v>
      </c>
      <c r="B1572" t="s">
        <v>40</v>
      </c>
    </row>
    <row r="1573">
      <c r="A1573" s="32">
        <f>IFERROR(__xludf.DUMMYFUNCTION("""COMPUTED_VALUE"""),43332.8949878125)</f>
        <v>43332.89499</v>
      </c>
      <c r="B1573" t="s">
        <v>40</v>
      </c>
    </row>
    <row r="1574">
      <c r="A1574" s="32">
        <f>IFERROR(__xludf.DUMMYFUNCTION("""COMPUTED_VALUE"""),43332.930109305555)</f>
        <v>43332.93011</v>
      </c>
      <c r="B1574" t="s">
        <v>40</v>
      </c>
    </row>
    <row r="1575">
      <c r="A1575" s="32">
        <f>IFERROR(__xludf.DUMMYFUNCTION("""COMPUTED_VALUE"""),43332.94449954861)</f>
        <v>43332.9445</v>
      </c>
      <c r="B1575" t="s">
        <v>25</v>
      </c>
    </row>
    <row r="1576">
      <c r="A1576" s="32">
        <f>IFERROR(__xludf.DUMMYFUNCTION("""COMPUTED_VALUE"""),43333.224368668976)</f>
        <v>43333.22437</v>
      </c>
      <c r="B1576" t="s">
        <v>48</v>
      </c>
    </row>
    <row r="1577">
      <c r="A1577" s="32">
        <f>IFERROR(__xludf.DUMMYFUNCTION("""COMPUTED_VALUE"""),43333.32056224537)</f>
        <v>43333.32056</v>
      </c>
      <c r="B1577" t="s">
        <v>1199</v>
      </c>
    </row>
    <row r="1578">
      <c r="A1578" s="32">
        <f>IFERROR(__xludf.DUMMYFUNCTION("""COMPUTED_VALUE"""),43333.397150543984)</f>
        <v>43333.39715</v>
      </c>
      <c r="B1578" t="s">
        <v>36</v>
      </c>
    </row>
    <row r="1579">
      <c r="A1579" s="32">
        <f>IFERROR(__xludf.DUMMYFUNCTION("""COMPUTED_VALUE"""),43333.42637197916)</f>
        <v>43333.42637</v>
      </c>
      <c r="B1579" t="s">
        <v>40</v>
      </c>
    </row>
    <row r="1580">
      <c r="A1580" s="32">
        <f>IFERROR(__xludf.DUMMYFUNCTION("""COMPUTED_VALUE"""),43333.428887754635)</f>
        <v>43333.42889</v>
      </c>
      <c r="B1580" t="s">
        <v>282</v>
      </c>
    </row>
    <row r="1581">
      <c r="A1581" s="32">
        <f>IFERROR(__xludf.DUMMYFUNCTION("""COMPUTED_VALUE"""),43333.50326585648)</f>
        <v>43333.50327</v>
      </c>
      <c r="B1581" t="s">
        <v>45</v>
      </c>
    </row>
    <row r="1582">
      <c r="A1582" s="32">
        <f>IFERROR(__xludf.DUMMYFUNCTION("""COMPUTED_VALUE"""),43333.5816221412)</f>
        <v>43333.58162</v>
      </c>
      <c r="B1582" t="s">
        <v>40</v>
      </c>
    </row>
    <row r="1583">
      <c r="A1583" s="32">
        <f>IFERROR(__xludf.DUMMYFUNCTION("""COMPUTED_VALUE"""),43333.89041277778)</f>
        <v>43333.89041</v>
      </c>
      <c r="B1583" t="s">
        <v>119</v>
      </c>
    </row>
    <row r="1584">
      <c r="A1584" s="32">
        <f>IFERROR(__xludf.DUMMYFUNCTION("""COMPUTED_VALUE"""),43333.927679872686)</f>
        <v>43333.92768</v>
      </c>
      <c r="B1584" t="s">
        <v>33</v>
      </c>
    </row>
    <row r="1585">
      <c r="A1585" s="32">
        <f>IFERROR(__xludf.DUMMYFUNCTION("""COMPUTED_VALUE"""),43334.00079097222)</f>
        <v>43334.00079</v>
      </c>
      <c r="B1585" t="s">
        <v>40</v>
      </c>
    </row>
    <row r="1586">
      <c r="A1586" s="32">
        <f>IFERROR(__xludf.DUMMYFUNCTION("""COMPUTED_VALUE"""),43334.00466525463)</f>
        <v>43334.00467</v>
      </c>
      <c r="B1586" t="s">
        <v>2710</v>
      </c>
    </row>
    <row r="1587">
      <c r="A1587" s="32">
        <f>IFERROR(__xludf.DUMMYFUNCTION("""COMPUTED_VALUE"""),43334.00583412037)</f>
        <v>43334.00583</v>
      </c>
      <c r="B1587" t="s">
        <v>48</v>
      </c>
    </row>
    <row r="1588">
      <c r="A1588" s="32">
        <f>IFERROR(__xludf.DUMMYFUNCTION("""COMPUTED_VALUE"""),43334.15112971065)</f>
        <v>43334.15113</v>
      </c>
      <c r="B1588" t="s">
        <v>1196</v>
      </c>
    </row>
    <row r="1589">
      <c r="A1589" s="32">
        <f>IFERROR(__xludf.DUMMYFUNCTION("""COMPUTED_VALUE"""),43334.170303946754)</f>
        <v>43334.1703</v>
      </c>
      <c r="B1589" t="s">
        <v>33</v>
      </c>
    </row>
    <row r="1590">
      <c r="A1590" s="32">
        <f>IFERROR(__xludf.DUMMYFUNCTION("""COMPUTED_VALUE"""),43334.319040347225)</f>
        <v>43334.31904</v>
      </c>
      <c r="B1590" t="s">
        <v>80</v>
      </c>
    </row>
    <row r="1591">
      <c r="A1591" s="32">
        <f>IFERROR(__xludf.DUMMYFUNCTION("""COMPUTED_VALUE"""),43334.42587547454)</f>
        <v>43334.42588</v>
      </c>
      <c r="B1591" t="s">
        <v>80</v>
      </c>
    </row>
    <row r="1592">
      <c r="A1592" s="32">
        <f>IFERROR(__xludf.DUMMYFUNCTION("""COMPUTED_VALUE"""),43334.444758645834)</f>
        <v>43334.44476</v>
      </c>
      <c r="B1592" t="s">
        <v>33</v>
      </c>
    </row>
    <row r="1593">
      <c r="A1593" s="32">
        <f>IFERROR(__xludf.DUMMYFUNCTION("""COMPUTED_VALUE"""),43334.500802939816)</f>
        <v>43334.5008</v>
      </c>
      <c r="B1593" t="s">
        <v>40</v>
      </c>
    </row>
    <row r="1594">
      <c r="A1594" s="32">
        <f>IFERROR(__xludf.DUMMYFUNCTION("""COMPUTED_VALUE"""),43334.51730836806)</f>
        <v>43334.51731</v>
      </c>
      <c r="B1594" t="s">
        <v>40</v>
      </c>
    </row>
    <row r="1595">
      <c r="A1595" s="32">
        <f>IFERROR(__xludf.DUMMYFUNCTION("""COMPUTED_VALUE"""),43334.51945361111)</f>
        <v>43334.51945</v>
      </c>
      <c r="B1595" t="s">
        <v>204</v>
      </c>
    </row>
    <row r="1596">
      <c r="A1596" s="32">
        <f>IFERROR(__xludf.DUMMYFUNCTION("""COMPUTED_VALUE"""),43334.60028434028)</f>
        <v>43334.60028</v>
      </c>
      <c r="B1596" t="s">
        <v>40</v>
      </c>
    </row>
    <row r="1597">
      <c r="A1597" s="32">
        <f>IFERROR(__xludf.DUMMYFUNCTION("""COMPUTED_VALUE"""),43334.60697221065)</f>
        <v>43334.60697</v>
      </c>
      <c r="B1597" t="s">
        <v>45</v>
      </c>
    </row>
    <row r="1598">
      <c r="A1598" s="32">
        <f>IFERROR(__xludf.DUMMYFUNCTION("""COMPUTED_VALUE"""),43334.61439773148)</f>
        <v>43334.6144</v>
      </c>
      <c r="B1598" t="s">
        <v>33</v>
      </c>
    </row>
    <row r="1599">
      <c r="A1599" s="32">
        <f>IFERROR(__xludf.DUMMYFUNCTION("""COMPUTED_VALUE"""),43334.672515185186)</f>
        <v>43334.67252</v>
      </c>
      <c r="B1599" t="s">
        <v>40</v>
      </c>
    </row>
    <row r="1600">
      <c r="A1600" s="32">
        <f>IFERROR(__xludf.DUMMYFUNCTION("""COMPUTED_VALUE"""),43334.691089687505)</f>
        <v>43334.69109</v>
      </c>
      <c r="B1600" t="s">
        <v>40</v>
      </c>
    </row>
    <row r="1601">
      <c r="A1601" s="32">
        <f>IFERROR(__xludf.DUMMYFUNCTION("""COMPUTED_VALUE"""),43334.70120068287)</f>
        <v>43334.7012</v>
      </c>
      <c r="B1601" t="s">
        <v>80</v>
      </c>
    </row>
    <row r="1602">
      <c r="A1602" s="32">
        <f>IFERROR(__xludf.DUMMYFUNCTION("""COMPUTED_VALUE"""),43334.791427916665)</f>
        <v>43334.79143</v>
      </c>
      <c r="B1602" t="s">
        <v>40</v>
      </c>
    </row>
    <row r="1603">
      <c r="A1603" s="32">
        <f>IFERROR(__xludf.DUMMYFUNCTION("""COMPUTED_VALUE"""),43334.80567861111)</f>
        <v>43334.80568</v>
      </c>
      <c r="B1603" t="s">
        <v>1212</v>
      </c>
    </row>
    <row r="1604">
      <c r="A1604" s="32">
        <f>IFERROR(__xludf.DUMMYFUNCTION("""COMPUTED_VALUE"""),43334.84057925926)</f>
        <v>43334.84058</v>
      </c>
      <c r="B1604" t="s">
        <v>119</v>
      </c>
    </row>
    <row r="1605">
      <c r="A1605" s="32">
        <f>IFERROR(__xludf.DUMMYFUNCTION("""COMPUTED_VALUE"""),43334.84096743056)</f>
        <v>43334.84097</v>
      </c>
      <c r="B1605" t="s">
        <v>33</v>
      </c>
    </row>
    <row r="1606">
      <c r="A1606" s="32">
        <f>IFERROR(__xludf.DUMMYFUNCTION("""COMPUTED_VALUE"""),43334.878706076386)</f>
        <v>43334.87871</v>
      </c>
      <c r="B1606" t="s">
        <v>80</v>
      </c>
    </row>
    <row r="1607">
      <c r="A1607" s="32">
        <f>IFERROR(__xludf.DUMMYFUNCTION("""COMPUTED_VALUE"""),43334.95357420139)</f>
        <v>43334.95357</v>
      </c>
      <c r="B1607" t="s">
        <v>40</v>
      </c>
    </row>
    <row r="1608">
      <c r="A1608" s="32">
        <f>IFERROR(__xludf.DUMMYFUNCTION("""COMPUTED_VALUE"""),43335.00768310185)</f>
        <v>43335.00768</v>
      </c>
      <c r="B1608" t="s">
        <v>40</v>
      </c>
    </row>
    <row r="1609">
      <c r="A1609" s="32">
        <f>IFERROR(__xludf.DUMMYFUNCTION("""COMPUTED_VALUE"""),43335.39484878472)</f>
        <v>43335.39485</v>
      </c>
      <c r="B1609" t="s">
        <v>40</v>
      </c>
    </row>
    <row r="1610">
      <c r="A1610" s="32">
        <f>IFERROR(__xludf.DUMMYFUNCTION("""COMPUTED_VALUE"""),43335.400469988424)</f>
        <v>43335.40047</v>
      </c>
      <c r="B1610" t="s">
        <v>371</v>
      </c>
    </row>
    <row r="1611">
      <c r="A1611" s="32">
        <f>IFERROR(__xludf.DUMMYFUNCTION("""COMPUTED_VALUE"""),43335.40136754629)</f>
        <v>43335.40137</v>
      </c>
      <c r="B1611" t="s">
        <v>371</v>
      </c>
    </row>
    <row r="1612">
      <c r="A1612" s="32">
        <f>IFERROR(__xludf.DUMMYFUNCTION("""COMPUTED_VALUE"""),43335.565101932865)</f>
        <v>43335.5651</v>
      </c>
      <c r="B1612" t="s">
        <v>33</v>
      </c>
    </row>
    <row r="1613">
      <c r="A1613" s="32">
        <f>IFERROR(__xludf.DUMMYFUNCTION("""COMPUTED_VALUE"""),43335.56766479167)</f>
        <v>43335.56766</v>
      </c>
      <c r="B1613" t="s">
        <v>33</v>
      </c>
    </row>
    <row r="1614">
      <c r="A1614" s="32">
        <f>IFERROR(__xludf.DUMMYFUNCTION("""COMPUTED_VALUE"""),43335.58663666667)</f>
        <v>43335.58664</v>
      </c>
      <c r="B1614" t="s">
        <v>80</v>
      </c>
    </row>
    <row r="1615">
      <c r="A1615" s="32">
        <f>IFERROR(__xludf.DUMMYFUNCTION("""COMPUTED_VALUE"""),43335.58752390047)</f>
        <v>43335.58752</v>
      </c>
      <c r="B1615" t="s">
        <v>1217</v>
      </c>
    </row>
    <row r="1616">
      <c r="A1616" s="32">
        <f>IFERROR(__xludf.DUMMYFUNCTION("""COMPUTED_VALUE"""),43335.60519451389)</f>
        <v>43335.60519</v>
      </c>
      <c r="B1616" t="s">
        <v>452</v>
      </c>
    </row>
    <row r="1617">
      <c r="A1617" s="32">
        <f>IFERROR(__xludf.DUMMYFUNCTION("""COMPUTED_VALUE"""),43335.62288200231)</f>
        <v>43335.62288</v>
      </c>
      <c r="B1617" t="s">
        <v>80</v>
      </c>
    </row>
    <row r="1618">
      <c r="A1618" s="32">
        <f>IFERROR(__xludf.DUMMYFUNCTION("""COMPUTED_VALUE"""),43335.63594984954)</f>
        <v>43335.63595</v>
      </c>
      <c r="B1618" t="s">
        <v>187</v>
      </c>
    </row>
    <row r="1619">
      <c r="A1619" s="32">
        <f>IFERROR(__xludf.DUMMYFUNCTION("""COMPUTED_VALUE"""),43335.644040370375)</f>
        <v>43335.64404</v>
      </c>
      <c r="B1619" t="s">
        <v>40</v>
      </c>
    </row>
    <row r="1620">
      <c r="A1620" s="32">
        <f>IFERROR(__xludf.DUMMYFUNCTION("""COMPUTED_VALUE"""),43335.65015988426)</f>
        <v>43335.65016</v>
      </c>
      <c r="B1620" t="s">
        <v>40</v>
      </c>
    </row>
    <row r="1621">
      <c r="A1621" s="32">
        <f>IFERROR(__xludf.DUMMYFUNCTION("""COMPUTED_VALUE"""),43335.65138216435)</f>
        <v>43335.65138</v>
      </c>
      <c r="B1621" t="s">
        <v>139</v>
      </c>
    </row>
    <row r="1622">
      <c r="A1622" s="32">
        <f>IFERROR(__xludf.DUMMYFUNCTION("""COMPUTED_VALUE"""),43335.67860663195)</f>
        <v>43335.67861</v>
      </c>
      <c r="B1622" t="s">
        <v>40</v>
      </c>
    </row>
    <row r="1623">
      <c r="A1623" s="32">
        <f>IFERROR(__xludf.DUMMYFUNCTION("""COMPUTED_VALUE"""),43335.69252773148)</f>
        <v>43335.69253</v>
      </c>
      <c r="B1623" t="s">
        <v>119</v>
      </c>
    </row>
    <row r="1624">
      <c r="A1624" s="32">
        <f>IFERROR(__xludf.DUMMYFUNCTION("""COMPUTED_VALUE"""),43335.71891177083)</f>
        <v>43335.71891</v>
      </c>
      <c r="B1624" t="s">
        <v>95</v>
      </c>
    </row>
    <row r="1625">
      <c r="A1625" s="32">
        <f>IFERROR(__xludf.DUMMYFUNCTION("""COMPUTED_VALUE"""),43335.74689944445)</f>
        <v>43335.7469</v>
      </c>
      <c r="B1625" t="s">
        <v>33</v>
      </c>
    </row>
    <row r="1626">
      <c r="A1626" s="32">
        <f>IFERROR(__xludf.DUMMYFUNCTION("""COMPUTED_VALUE"""),43335.77864853009)</f>
        <v>43335.77865</v>
      </c>
      <c r="B1626" t="s">
        <v>1229</v>
      </c>
    </row>
    <row r="1627">
      <c r="A1627" s="32">
        <f>IFERROR(__xludf.DUMMYFUNCTION("""COMPUTED_VALUE"""),43335.786635833334)</f>
        <v>43335.78664</v>
      </c>
      <c r="B1627" t="s">
        <v>80</v>
      </c>
    </row>
    <row r="1628">
      <c r="A1628" s="32">
        <f>IFERROR(__xludf.DUMMYFUNCTION("""COMPUTED_VALUE"""),43335.83702395833)</f>
        <v>43335.83702</v>
      </c>
      <c r="B1628" t="s">
        <v>2665</v>
      </c>
    </row>
    <row r="1629">
      <c r="A1629" s="32">
        <f>IFERROR(__xludf.DUMMYFUNCTION("""COMPUTED_VALUE"""),43335.84078121527)</f>
        <v>43335.84078</v>
      </c>
      <c r="B1629" t="s">
        <v>124</v>
      </c>
    </row>
    <row r="1630">
      <c r="A1630" s="32">
        <f>IFERROR(__xludf.DUMMYFUNCTION("""COMPUTED_VALUE"""),43335.842625150464)</f>
        <v>43335.84263</v>
      </c>
      <c r="B1630" t="s">
        <v>124</v>
      </c>
    </row>
    <row r="1631">
      <c r="A1631" s="32">
        <f>IFERROR(__xludf.DUMMYFUNCTION("""COMPUTED_VALUE"""),43335.89703756945)</f>
        <v>43335.89704</v>
      </c>
      <c r="B1631" t="s">
        <v>48</v>
      </c>
    </row>
    <row r="1632">
      <c r="A1632" s="32">
        <f>IFERROR(__xludf.DUMMYFUNCTION("""COMPUTED_VALUE"""),43335.90745451389)</f>
        <v>43335.90745</v>
      </c>
      <c r="B1632" t="s">
        <v>33</v>
      </c>
    </row>
    <row r="1633">
      <c r="A1633" s="32">
        <f>IFERROR(__xludf.DUMMYFUNCTION("""COMPUTED_VALUE"""),43335.92483550926)</f>
        <v>43335.92484</v>
      </c>
      <c r="B1633" t="s">
        <v>33</v>
      </c>
    </row>
    <row r="1634">
      <c r="A1634" s="32">
        <f>IFERROR(__xludf.DUMMYFUNCTION("""COMPUTED_VALUE"""),43335.935859386576)</f>
        <v>43335.93586</v>
      </c>
      <c r="B1634" t="s">
        <v>428</v>
      </c>
    </row>
    <row r="1635">
      <c r="A1635" s="32">
        <f>IFERROR(__xludf.DUMMYFUNCTION("""COMPUTED_VALUE"""),43335.93679021991)</f>
        <v>43335.93679</v>
      </c>
      <c r="B1635" t="s">
        <v>33</v>
      </c>
    </row>
    <row r="1636">
      <c r="A1636" s="32">
        <f>IFERROR(__xludf.DUMMYFUNCTION("""COMPUTED_VALUE"""),43335.962833391204)</f>
        <v>43335.96283</v>
      </c>
      <c r="B1636" t="s">
        <v>124</v>
      </c>
    </row>
    <row r="1637">
      <c r="A1637" s="32">
        <f>IFERROR(__xludf.DUMMYFUNCTION("""COMPUTED_VALUE"""),43336.049757500004)</f>
        <v>43336.04976</v>
      </c>
      <c r="B1637" t="s">
        <v>33</v>
      </c>
    </row>
    <row r="1638">
      <c r="A1638" s="32">
        <f>IFERROR(__xludf.DUMMYFUNCTION("""COMPUTED_VALUE"""),43336.36414560185)</f>
        <v>43336.36415</v>
      </c>
      <c r="B1638" t="s">
        <v>1235</v>
      </c>
    </row>
    <row r="1639">
      <c r="A1639" s="32">
        <f>IFERROR(__xludf.DUMMYFUNCTION("""COMPUTED_VALUE"""),43336.38167178241)</f>
        <v>43336.38167</v>
      </c>
      <c r="B1639" t="s">
        <v>2711</v>
      </c>
    </row>
    <row r="1640">
      <c r="A1640" s="32">
        <f>IFERROR(__xludf.DUMMYFUNCTION("""COMPUTED_VALUE"""),43336.39148997686)</f>
        <v>43336.39149</v>
      </c>
      <c r="B1640" t="s">
        <v>1240</v>
      </c>
    </row>
    <row r="1641">
      <c r="A1641" s="32">
        <f>IFERROR(__xludf.DUMMYFUNCTION("""COMPUTED_VALUE"""),43336.423438645834)</f>
        <v>43336.42344</v>
      </c>
      <c r="B1641" t="s">
        <v>40</v>
      </c>
    </row>
    <row r="1642">
      <c r="A1642" s="32">
        <f>IFERROR(__xludf.DUMMYFUNCTION("""COMPUTED_VALUE"""),43336.46699538194)</f>
        <v>43336.467</v>
      </c>
      <c r="B1642" t="s">
        <v>40</v>
      </c>
    </row>
    <row r="1643">
      <c r="A1643" s="32">
        <f>IFERROR(__xludf.DUMMYFUNCTION("""COMPUTED_VALUE"""),43336.47118418981)</f>
        <v>43336.47118</v>
      </c>
      <c r="B1643" t="s">
        <v>371</v>
      </c>
    </row>
    <row r="1644">
      <c r="A1644" s="32">
        <f>IFERROR(__xludf.DUMMYFUNCTION("""COMPUTED_VALUE"""),43336.471789884265)</f>
        <v>43336.47179</v>
      </c>
      <c r="B1644" t="s">
        <v>371</v>
      </c>
    </row>
    <row r="1645">
      <c r="A1645" s="32">
        <f>IFERROR(__xludf.DUMMYFUNCTION("""COMPUTED_VALUE"""),43336.47245380787)</f>
        <v>43336.47245</v>
      </c>
      <c r="B1645" t="s">
        <v>371</v>
      </c>
    </row>
    <row r="1646">
      <c r="A1646" s="32">
        <f>IFERROR(__xludf.DUMMYFUNCTION("""COMPUTED_VALUE"""),43336.47310934028)</f>
        <v>43336.47311</v>
      </c>
      <c r="B1646" t="s">
        <v>371</v>
      </c>
    </row>
    <row r="1647">
      <c r="A1647" s="32">
        <f>IFERROR(__xludf.DUMMYFUNCTION("""COMPUTED_VALUE"""),43336.47387782407)</f>
        <v>43336.47388</v>
      </c>
      <c r="B1647" t="s">
        <v>371</v>
      </c>
    </row>
    <row r="1648">
      <c r="A1648" s="32">
        <f>IFERROR(__xludf.DUMMYFUNCTION("""COMPUTED_VALUE"""),43336.47929368056)</f>
        <v>43336.47929</v>
      </c>
      <c r="B1648" t="s">
        <v>371</v>
      </c>
    </row>
    <row r="1649">
      <c r="A1649" s="32">
        <f>IFERROR(__xludf.DUMMYFUNCTION("""COMPUTED_VALUE"""),43336.48013063657)</f>
        <v>43336.48013</v>
      </c>
      <c r="B1649" t="s">
        <v>371</v>
      </c>
    </row>
    <row r="1650">
      <c r="A1650" s="32">
        <f>IFERROR(__xludf.DUMMYFUNCTION("""COMPUTED_VALUE"""),43336.4809303125)</f>
        <v>43336.48093</v>
      </c>
      <c r="B1650" t="s">
        <v>371</v>
      </c>
    </row>
    <row r="1651">
      <c r="A1651" s="32">
        <f>IFERROR(__xludf.DUMMYFUNCTION("""COMPUTED_VALUE"""),43336.49467269676)</f>
        <v>43336.49467</v>
      </c>
      <c r="B1651" t="s">
        <v>40</v>
      </c>
    </row>
    <row r="1652">
      <c r="A1652" s="32">
        <f>IFERROR(__xludf.DUMMYFUNCTION("""COMPUTED_VALUE"""),43336.49472120371)</f>
        <v>43336.49472</v>
      </c>
      <c r="B1652" t="s">
        <v>40</v>
      </c>
    </row>
    <row r="1653">
      <c r="A1653" s="32">
        <f>IFERROR(__xludf.DUMMYFUNCTION("""COMPUTED_VALUE"""),43336.50167760417)</f>
        <v>43336.50168</v>
      </c>
      <c r="B1653" t="s">
        <v>371</v>
      </c>
    </row>
    <row r="1654">
      <c r="A1654" s="32">
        <f>IFERROR(__xludf.DUMMYFUNCTION("""COMPUTED_VALUE"""),43336.505005625004)</f>
        <v>43336.50501</v>
      </c>
      <c r="B1654" t="s">
        <v>33</v>
      </c>
    </row>
    <row r="1655">
      <c r="A1655" s="32">
        <f>IFERROR(__xludf.DUMMYFUNCTION("""COMPUTED_VALUE"""),43336.528520949076)</f>
        <v>43336.52852</v>
      </c>
      <c r="B1655" t="s">
        <v>371</v>
      </c>
    </row>
    <row r="1656">
      <c r="A1656" s="32">
        <f>IFERROR(__xludf.DUMMYFUNCTION("""COMPUTED_VALUE"""),43336.572807523145)</f>
        <v>43336.57281</v>
      </c>
      <c r="B1656" t="s">
        <v>40</v>
      </c>
    </row>
    <row r="1657">
      <c r="A1657" s="32">
        <f>IFERROR(__xludf.DUMMYFUNCTION("""COMPUTED_VALUE"""),43336.79545109953)</f>
        <v>43336.79545</v>
      </c>
      <c r="B1657" t="s">
        <v>123</v>
      </c>
    </row>
    <row r="1658">
      <c r="A1658" s="32">
        <f>IFERROR(__xludf.DUMMYFUNCTION("""COMPUTED_VALUE"""),43336.82175841436)</f>
        <v>43336.82176</v>
      </c>
      <c r="B1658" t="s">
        <v>40</v>
      </c>
    </row>
    <row r="1659">
      <c r="A1659" s="32">
        <f>IFERROR(__xludf.DUMMYFUNCTION("""COMPUTED_VALUE"""),43336.86724736111)</f>
        <v>43336.86725</v>
      </c>
      <c r="B1659" t="s">
        <v>139</v>
      </c>
    </row>
    <row r="1660">
      <c r="A1660" s="32">
        <f>IFERROR(__xludf.DUMMYFUNCTION("""COMPUTED_VALUE"""),43336.89283991898)</f>
        <v>43336.89284</v>
      </c>
      <c r="B1660" t="s">
        <v>1196</v>
      </c>
    </row>
    <row r="1661">
      <c r="A1661" s="32">
        <f>IFERROR(__xludf.DUMMYFUNCTION("""COMPUTED_VALUE"""),43336.89816773148)</f>
        <v>43336.89817</v>
      </c>
      <c r="B1661" t="s">
        <v>80</v>
      </c>
    </row>
    <row r="1662">
      <c r="A1662" s="32">
        <f>IFERROR(__xludf.DUMMYFUNCTION("""COMPUTED_VALUE"""),43336.91897096064)</f>
        <v>43336.91897</v>
      </c>
      <c r="B1662" t="s">
        <v>40</v>
      </c>
    </row>
    <row r="1663">
      <c r="A1663" s="32">
        <f>IFERROR(__xludf.DUMMYFUNCTION("""COMPUTED_VALUE"""),43336.9841967824)</f>
        <v>43336.9842</v>
      </c>
      <c r="B1663" t="s">
        <v>256</v>
      </c>
    </row>
    <row r="1664">
      <c r="A1664" s="32">
        <f>IFERROR(__xludf.DUMMYFUNCTION("""COMPUTED_VALUE"""),43337.05751953703)</f>
        <v>43337.05752</v>
      </c>
      <c r="B1664" t="s">
        <v>40</v>
      </c>
    </row>
    <row r="1665">
      <c r="A1665" s="32">
        <f>IFERROR(__xludf.DUMMYFUNCTION("""COMPUTED_VALUE"""),43337.08219502315)</f>
        <v>43337.0822</v>
      </c>
      <c r="B1665" t="s">
        <v>2424</v>
      </c>
    </row>
    <row r="1666">
      <c r="A1666" s="32">
        <f>IFERROR(__xludf.DUMMYFUNCTION("""COMPUTED_VALUE"""),43337.2925405787)</f>
        <v>43337.29254</v>
      </c>
      <c r="B1666" t="s">
        <v>188</v>
      </c>
    </row>
    <row r="1667">
      <c r="A1667" s="32">
        <f>IFERROR(__xludf.DUMMYFUNCTION("""COMPUTED_VALUE"""),43337.313725266205)</f>
        <v>43337.31373</v>
      </c>
      <c r="B1667" t="s">
        <v>371</v>
      </c>
    </row>
    <row r="1668">
      <c r="A1668" s="32">
        <f>IFERROR(__xludf.DUMMYFUNCTION("""COMPUTED_VALUE"""),43337.34711328703)</f>
        <v>43337.34711</v>
      </c>
      <c r="B1668" t="s">
        <v>40</v>
      </c>
    </row>
    <row r="1669">
      <c r="A1669" s="32">
        <f>IFERROR(__xludf.DUMMYFUNCTION("""COMPUTED_VALUE"""),43337.610360300925)</f>
        <v>43337.61036</v>
      </c>
      <c r="B1669" t="s">
        <v>40</v>
      </c>
    </row>
    <row r="1670">
      <c r="A1670" s="32">
        <f>IFERROR(__xludf.DUMMYFUNCTION("""COMPUTED_VALUE"""),43337.61228716435)</f>
        <v>43337.61229</v>
      </c>
      <c r="B1670" t="s">
        <v>40</v>
      </c>
    </row>
    <row r="1671">
      <c r="A1671" s="32">
        <f>IFERROR(__xludf.DUMMYFUNCTION("""COMPUTED_VALUE"""),43337.62859180555)</f>
        <v>43337.62859</v>
      </c>
      <c r="B1671" t="s">
        <v>371</v>
      </c>
    </row>
    <row r="1672">
      <c r="A1672" s="32">
        <f>IFERROR(__xludf.DUMMYFUNCTION("""COMPUTED_VALUE"""),43337.69217913195)</f>
        <v>43337.69218</v>
      </c>
      <c r="B1672" t="s">
        <v>1255</v>
      </c>
    </row>
    <row r="1673">
      <c r="A1673" s="32">
        <f>IFERROR(__xludf.DUMMYFUNCTION("""COMPUTED_VALUE"""),43337.76001931713)</f>
        <v>43337.76002</v>
      </c>
      <c r="B1673" t="s">
        <v>77</v>
      </c>
    </row>
    <row r="1674">
      <c r="A1674" s="32">
        <f>IFERROR(__xludf.DUMMYFUNCTION("""COMPUTED_VALUE"""),43337.76196355324)</f>
        <v>43337.76196</v>
      </c>
      <c r="B1674" t="s">
        <v>77</v>
      </c>
    </row>
    <row r="1675">
      <c r="A1675" s="32">
        <f>IFERROR(__xludf.DUMMYFUNCTION("""COMPUTED_VALUE"""),43337.781997604165)</f>
        <v>43337.782</v>
      </c>
      <c r="B1675" t="s">
        <v>48</v>
      </c>
    </row>
    <row r="1676">
      <c r="A1676" s="32">
        <f>IFERROR(__xludf.DUMMYFUNCTION("""COMPUTED_VALUE"""),43337.80779600695)</f>
        <v>43337.8078</v>
      </c>
      <c r="B1676" t="s">
        <v>123</v>
      </c>
    </row>
    <row r="1677">
      <c r="A1677" s="32">
        <f>IFERROR(__xludf.DUMMYFUNCTION("""COMPUTED_VALUE"""),43337.84545418981)</f>
        <v>43337.84545</v>
      </c>
      <c r="B1677" t="s">
        <v>1160</v>
      </c>
    </row>
    <row r="1678">
      <c r="A1678" s="32">
        <f>IFERROR(__xludf.DUMMYFUNCTION("""COMPUTED_VALUE"""),43337.84546633102)</f>
        <v>43337.84547</v>
      </c>
      <c r="B1678" t="s">
        <v>45</v>
      </c>
    </row>
    <row r="1679">
      <c r="A1679" s="32">
        <f>IFERROR(__xludf.DUMMYFUNCTION("""COMPUTED_VALUE"""),43337.911969583336)</f>
        <v>43337.91197</v>
      </c>
      <c r="B1679" t="s">
        <v>1259</v>
      </c>
    </row>
    <row r="1680">
      <c r="A1680" s="32">
        <f>IFERROR(__xludf.DUMMYFUNCTION("""COMPUTED_VALUE"""),43337.960770578706)</f>
        <v>43337.96077</v>
      </c>
      <c r="B1680" t="s">
        <v>80</v>
      </c>
    </row>
    <row r="1681">
      <c r="A1681" s="32">
        <f>IFERROR(__xludf.DUMMYFUNCTION("""COMPUTED_VALUE"""),43337.96519362269)</f>
        <v>43337.96519</v>
      </c>
      <c r="B1681" t="s">
        <v>45</v>
      </c>
    </row>
    <row r="1682">
      <c r="A1682" s="32">
        <f>IFERROR(__xludf.DUMMYFUNCTION("""COMPUTED_VALUE"""),43338.00235703704)</f>
        <v>43338.00236</v>
      </c>
      <c r="B1682" t="s">
        <v>258</v>
      </c>
    </row>
    <row r="1683">
      <c r="A1683" s="32">
        <f>IFERROR(__xludf.DUMMYFUNCTION("""COMPUTED_VALUE"""),43338.066583912034)</f>
        <v>43338.06658</v>
      </c>
      <c r="B1683" t="s">
        <v>40</v>
      </c>
    </row>
    <row r="1684">
      <c r="A1684" s="32">
        <f>IFERROR(__xludf.DUMMYFUNCTION("""COMPUTED_VALUE"""),43338.195150983796)</f>
        <v>43338.19515</v>
      </c>
      <c r="B1684" t="s">
        <v>538</v>
      </c>
    </row>
    <row r="1685">
      <c r="A1685" s="32">
        <f>IFERROR(__xludf.DUMMYFUNCTION("""COMPUTED_VALUE"""),43338.408553587964)</f>
        <v>43338.40855</v>
      </c>
      <c r="B1685" t="s">
        <v>40</v>
      </c>
    </row>
    <row r="1686">
      <c r="A1686" s="32">
        <f>IFERROR(__xludf.DUMMYFUNCTION("""COMPUTED_VALUE"""),43338.41660280093)</f>
        <v>43338.4166</v>
      </c>
      <c r="B1686" t="s">
        <v>40</v>
      </c>
    </row>
    <row r="1687">
      <c r="A1687" s="32">
        <f>IFERROR(__xludf.DUMMYFUNCTION("""COMPUTED_VALUE"""),43338.42849106481)</f>
        <v>43338.42849</v>
      </c>
      <c r="B1687" t="s">
        <v>45</v>
      </c>
    </row>
    <row r="1688">
      <c r="A1688" s="32">
        <f>IFERROR(__xludf.DUMMYFUNCTION("""COMPUTED_VALUE"""),43338.42849364583)</f>
        <v>43338.42849</v>
      </c>
      <c r="B1688" t="s">
        <v>45</v>
      </c>
    </row>
    <row r="1689">
      <c r="A1689" s="32">
        <f>IFERROR(__xludf.DUMMYFUNCTION("""COMPUTED_VALUE"""),43338.51192858796)</f>
        <v>43338.51193</v>
      </c>
      <c r="B1689" t="s">
        <v>48</v>
      </c>
    </row>
    <row r="1690">
      <c r="A1690" s="32">
        <f>IFERROR(__xludf.DUMMYFUNCTION("""COMPUTED_VALUE"""),43338.66463179398)</f>
        <v>43338.66463</v>
      </c>
      <c r="B1690" t="s">
        <v>350</v>
      </c>
    </row>
    <row r="1691">
      <c r="A1691" s="32">
        <f>IFERROR(__xludf.DUMMYFUNCTION("""COMPUTED_VALUE"""),43338.671812395834)</f>
        <v>43338.67181</v>
      </c>
      <c r="B1691" t="s">
        <v>1265</v>
      </c>
    </row>
    <row r="1692">
      <c r="A1692" s="32">
        <f>IFERROR(__xludf.DUMMYFUNCTION("""COMPUTED_VALUE"""),43338.84049116899)</f>
        <v>43338.84049</v>
      </c>
      <c r="B1692" t="s">
        <v>33</v>
      </c>
    </row>
    <row r="1693">
      <c r="A1693" s="32">
        <f>IFERROR(__xludf.DUMMYFUNCTION("""COMPUTED_VALUE"""),43338.873609988426)</f>
        <v>43338.87361</v>
      </c>
      <c r="B1693" t="s">
        <v>40</v>
      </c>
    </row>
    <row r="1694">
      <c r="A1694" s="32">
        <f>IFERROR(__xludf.DUMMYFUNCTION("""COMPUTED_VALUE"""),43338.89074805556)</f>
        <v>43338.89075</v>
      </c>
      <c r="B1694" t="s">
        <v>33</v>
      </c>
    </row>
    <row r="1695">
      <c r="A1695" s="32">
        <f>IFERROR(__xludf.DUMMYFUNCTION("""COMPUTED_VALUE"""),43338.997497847224)</f>
        <v>43338.9975</v>
      </c>
      <c r="B1695" t="s">
        <v>45</v>
      </c>
    </row>
    <row r="1696">
      <c r="A1696" s="32">
        <f>IFERROR(__xludf.DUMMYFUNCTION("""COMPUTED_VALUE"""),43339.019672442126)</f>
        <v>43339.01967</v>
      </c>
      <c r="B1696" t="s">
        <v>45</v>
      </c>
    </row>
    <row r="1697">
      <c r="A1697" s="32">
        <f>IFERROR(__xludf.DUMMYFUNCTION("""COMPUTED_VALUE"""),43339.31894695602)</f>
        <v>43339.31895</v>
      </c>
      <c r="B1697" t="s">
        <v>2712</v>
      </c>
    </row>
    <row r="1698">
      <c r="A1698" s="32">
        <f>IFERROR(__xludf.DUMMYFUNCTION("""COMPUTED_VALUE"""),43339.321502719904)</f>
        <v>43339.3215</v>
      </c>
      <c r="B1698" t="s">
        <v>2713</v>
      </c>
    </row>
    <row r="1699">
      <c r="A1699" s="32">
        <f>IFERROR(__xludf.DUMMYFUNCTION("""COMPUTED_VALUE"""),43339.32177248843)</f>
        <v>43339.32177</v>
      </c>
      <c r="B1699" t="s">
        <v>2714</v>
      </c>
    </row>
    <row r="1700">
      <c r="A1700" s="32">
        <f>IFERROR(__xludf.DUMMYFUNCTION("""COMPUTED_VALUE"""),43339.33648269676)</f>
        <v>43339.33648</v>
      </c>
      <c r="B1700" t="s">
        <v>40</v>
      </c>
    </row>
    <row r="1701">
      <c r="A1701" s="32">
        <f>IFERROR(__xludf.DUMMYFUNCTION("""COMPUTED_VALUE"""),43339.39591453703)</f>
        <v>43339.39591</v>
      </c>
      <c r="B1701" t="s">
        <v>371</v>
      </c>
    </row>
    <row r="1702">
      <c r="A1702" s="32">
        <f>IFERROR(__xludf.DUMMYFUNCTION("""COMPUTED_VALUE"""),43339.40864650463)</f>
        <v>43339.40865</v>
      </c>
      <c r="B1702" t="s">
        <v>1273</v>
      </c>
    </row>
    <row r="1703">
      <c r="A1703" s="32">
        <f>IFERROR(__xludf.DUMMYFUNCTION("""COMPUTED_VALUE"""),43339.4656693287)</f>
        <v>43339.46567</v>
      </c>
      <c r="B1703" t="s">
        <v>40</v>
      </c>
    </row>
    <row r="1704">
      <c r="A1704" s="32">
        <f>IFERROR(__xludf.DUMMYFUNCTION("""COMPUTED_VALUE"""),43339.52419621528)</f>
        <v>43339.5242</v>
      </c>
      <c r="B1704" t="s">
        <v>40</v>
      </c>
    </row>
    <row r="1705">
      <c r="A1705" s="32">
        <f>IFERROR(__xludf.DUMMYFUNCTION("""COMPUTED_VALUE"""),43339.56070486111)</f>
        <v>43339.5607</v>
      </c>
      <c r="B1705" t="s">
        <v>1276</v>
      </c>
    </row>
    <row r="1706">
      <c r="A1706" s="32">
        <f>IFERROR(__xludf.DUMMYFUNCTION("""COMPUTED_VALUE"""),43339.66400710648)</f>
        <v>43339.66401</v>
      </c>
      <c r="B1706" t="s">
        <v>1160</v>
      </c>
    </row>
    <row r="1707">
      <c r="A1707" s="32">
        <f>IFERROR(__xludf.DUMMYFUNCTION("""COMPUTED_VALUE"""),43339.67086288195)</f>
        <v>43339.67086</v>
      </c>
      <c r="B1707" t="s">
        <v>80</v>
      </c>
    </row>
    <row r="1708">
      <c r="A1708" s="32">
        <f>IFERROR(__xludf.DUMMYFUNCTION("""COMPUTED_VALUE"""),43339.72246978009)</f>
        <v>43339.72247</v>
      </c>
      <c r="B1708" t="s">
        <v>77</v>
      </c>
    </row>
    <row r="1709">
      <c r="A1709" s="32">
        <f>IFERROR(__xludf.DUMMYFUNCTION("""COMPUTED_VALUE"""),43339.83671123843)</f>
        <v>43339.83671</v>
      </c>
      <c r="B1709" t="s">
        <v>33</v>
      </c>
    </row>
    <row r="1710">
      <c r="A1710" s="32">
        <f>IFERROR(__xludf.DUMMYFUNCTION("""COMPUTED_VALUE"""),43339.8393268287)</f>
        <v>43339.83933</v>
      </c>
      <c r="B1710" t="s">
        <v>40</v>
      </c>
    </row>
    <row r="1711">
      <c r="A1711" s="32">
        <f>IFERROR(__xludf.DUMMYFUNCTION("""COMPUTED_VALUE"""),43339.88538412037)</f>
        <v>43339.88538</v>
      </c>
      <c r="B1711" t="s">
        <v>170</v>
      </c>
    </row>
    <row r="1712">
      <c r="A1712" s="32">
        <f>IFERROR(__xludf.DUMMYFUNCTION("""COMPUTED_VALUE"""),43339.89920554398)</f>
        <v>43339.89921</v>
      </c>
      <c r="B1712" t="s">
        <v>371</v>
      </c>
    </row>
    <row r="1713">
      <c r="A1713" s="32">
        <f>IFERROR(__xludf.DUMMYFUNCTION("""COMPUTED_VALUE"""),43339.92769104167)</f>
        <v>43339.92769</v>
      </c>
      <c r="B1713" t="s">
        <v>1282</v>
      </c>
    </row>
    <row r="1714">
      <c r="A1714" s="32">
        <f>IFERROR(__xludf.DUMMYFUNCTION("""COMPUTED_VALUE"""),43339.97999153935)</f>
        <v>43339.97999</v>
      </c>
      <c r="B1714" t="s">
        <v>40</v>
      </c>
    </row>
    <row r="1715">
      <c r="A1715" s="32">
        <f>IFERROR(__xludf.DUMMYFUNCTION("""COMPUTED_VALUE"""),43340.01793159722)</f>
        <v>43340.01793</v>
      </c>
      <c r="B1715" t="s">
        <v>40</v>
      </c>
    </row>
    <row r="1716">
      <c r="A1716" s="32">
        <f>IFERROR(__xludf.DUMMYFUNCTION("""COMPUTED_VALUE"""),43340.34836532407)</f>
        <v>43340.34837</v>
      </c>
      <c r="B1716" t="s">
        <v>40</v>
      </c>
    </row>
    <row r="1717">
      <c r="A1717" s="32">
        <f>IFERROR(__xludf.DUMMYFUNCTION("""COMPUTED_VALUE"""),43340.36932694445)</f>
        <v>43340.36933</v>
      </c>
      <c r="B1717" t="s">
        <v>33</v>
      </c>
    </row>
    <row r="1718">
      <c r="A1718" s="32">
        <f>IFERROR(__xludf.DUMMYFUNCTION("""COMPUTED_VALUE"""),43340.43990878473)</f>
        <v>43340.43991</v>
      </c>
      <c r="B1718" t="s">
        <v>139</v>
      </c>
    </row>
    <row r="1719">
      <c r="A1719" s="32">
        <f>IFERROR(__xludf.DUMMYFUNCTION("""COMPUTED_VALUE"""),43340.45240983796)</f>
        <v>43340.45241</v>
      </c>
      <c r="B1719" t="s">
        <v>45</v>
      </c>
    </row>
    <row r="1720">
      <c r="A1720" s="32">
        <f>IFERROR(__xludf.DUMMYFUNCTION("""COMPUTED_VALUE"""),43340.490542245374)</f>
        <v>43340.49054</v>
      </c>
      <c r="B1720" t="s">
        <v>48</v>
      </c>
    </row>
    <row r="1721">
      <c r="A1721" s="32">
        <f>IFERROR(__xludf.DUMMYFUNCTION("""COMPUTED_VALUE"""),43340.55038202547)</f>
        <v>43340.55038</v>
      </c>
      <c r="B1721" t="s">
        <v>256</v>
      </c>
    </row>
    <row r="1722">
      <c r="A1722" s="32">
        <f>IFERROR(__xludf.DUMMYFUNCTION("""COMPUTED_VALUE"""),43340.67493479166)</f>
        <v>43340.67493</v>
      </c>
      <c r="B1722" t="s">
        <v>268</v>
      </c>
    </row>
    <row r="1723">
      <c r="A1723" s="32">
        <f>IFERROR(__xludf.DUMMYFUNCTION("""COMPUTED_VALUE"""),43340.67817489583)</f>
        <v>43340.67817</v>
      </c>
      <c r="B1723" t="s">
        <v>1286</v>
      </c>
    </row>
    <row r="1724">
      <c r="A1724" s="32">
        <f>IFERROR(__xludf.DUMMYFUNCTION("""COMPUTED_VALUE"""),43340.67842888889)</f>
        <v>43340.67843</v>
      </c>
      <c r="B1724" t="s">
        <v>268</v>
      </c>
    </row>
    <row r="1725">
      <c r="A1725" s="32">
        <f>IFERROR(__xludf.DUMMYFUNCTION("""COMPUTED_VALUE"""),43340.73381515047)</f>
        <v>43340.73382</v>
      </c>
      <c r="B1725" t="s">
        <v>2715</v>
      </c>
    </row>
    <row r="1726">
      <c r="A1726" s="32">
        <f>IFERROR(__xludf.DUMMYFUNCTION("""COMPUTED_VALUE"""),43340.83413736111)</f>
        <v>43340.83414</v>
      </c>
      <c r="B1726" t="s">
        <v>2665</v>
      </c>
    </row>
    <row r="1727">
      <c r="A1727" s="32">
        <f>IFERROR(__xludf.DUMMYFUNCTION("""COMPUTED_VALUE"""),43340.89562814815)</f>
        <v>43340.89563</v>
      </c>
      <c r="B1727" t="s">
        <v>33</v>
      </c>
    </row>
    <row r="1728">
      <c r="A1728" s="32">
        <f>IFERROR(__xludf.DUMMYFUNCTION("""COMPUTED_VALUE"""),43340.90205708334)</f>
        <v>43340.90206</v>
      </c>
      <c r="B1728" t="s">
        <v>40</v>
      </c>
    </row>
    <row r="1729">
      <c r="A1729" s="32">
        <f>IFERROR(__xludf.DUMMYFUNCTION("""COMPUTED_VALUE"""),43340.93117848379)</f>
        <v>43340.93118</v>
      </c>
      <c r="B1729" t="s">
        <v>1037</v>
      </c>
    </row>
    <row r="1730">
      <c r="A1730" s="32">
        <f>IFERROR(__xludf.DUMMYFUNCTION("""COMPUTED_VALUE"""),43340.93931487268)</f>
        <v>43340.93931</v>
      </c>
      <c r="B1730" t="s">
        <v>45</v>
      </c>
    </row>
    <row r="1731">
      <c r="A1731" s="32">
        <f>IFERROR(__xludf.DUMMYFUNCTION("""COMPUTED_VALUE"""),43340.953845717595)</f>
        <v>43340.95385</v>
      </c>
      <c r="B1731" t="s">
        <v>48</v>
      </c>
    </row>
    <row r="1732">
      <c r="A1732" s="32">
        <f>IFERROR(__xludf.DUMMYFUNCTION("""COMPUTED_VALUE"""),43341.58504041667)</f>
        <v>43341.58504</v>
      </c>
      <c r="B1732" t="s">
        <v>2424</v>
      </c>
    </row>
    <row r="1733">
      <c r="A1733" s="32">
        <f>IFERROR(__xludf.DUMMYFUNCTION("""COMPUTED_VALUE"""),43341.58654060186)</f>
        <v>43341.58654</v>
      </c>
      <c r="B1733" t="s">
        <v>2424</v>
      </c>
    </row>
    <row r="1734">
      <c r="A1734" s="32">
        <f>IFERROR(__xludf.DUMMYFUNCTION("""COMPUTED_VALUE"""),43341.59663809028)</f>
        <v>43341.59664</v>
      </c>
      <c r="B1734" t="s">
        <v>1295</v>
      </c>
    </row>
    <row r="1735">
      <c r="A1735" s="32">
        <f>IFERROR(__xludf.DUMMYFUNCTION("""COMPUTED_VALUE"""),43341.630945185185)</f>
        <v>43341.63095</v>
      </c>
      <c r="B1735" t="s">
        <v>33</v>
      </c>
    </row>
    <row r="1736">
      <c r="A1736" s="32">
        <f>IFERROR(__xludf.DUMMYFUNCTION("""COMPUTED_VALUE"""),43341.8233858912)</f>
        <v>43341.82339</v>
      </c>
      <c r="B1736" t="s">
        <v>2716</v>
      </c>
    </row>
    <row r="1737">
      <c r="A1737" s="32">
        <f>IFERROR(__xludf.DUMMYFUNCTION("""COMPUTED_VALUE"""),43341.841764745375)</f>
        <v>43341.84176</v>
      </c>
      <c r="B1737" t="s">
        <v>540</v>
      </c>
    </row>
    <row r="1738">
      <c r="A1738" s="32">
        <f>IFERROR(__xludf.DUMMYFUNCTION("""COMPUTED_VALUE"""),43341.88741082176)</f>
        <v>43341.88741</v>
      </c>
      <c r="B1738" t="s">
        <v>48</v>
      </c>
    </row>
    <row r="1739">
      <c r="A1739" s="32">
        <f>IFERROR(__xludf.DUMMYFUNCTION("""COMPUTED_VALUE"""),43341.972932766206)</f>
        <v>43341.97293</v>
      </c>
      <c r="B1739" t="s">
        <v>2717</v>
      </c>
    </row>
    <row r="1740">
      <c r="A1740" s="32">
        <f>IFERROR(__xludf.DUMMYFUNCTION("""COMPUTED_VALUE"""),43342.01002030092)</f>
        <v>43342.01002</v>
      </c>
      <c r="B1740" t="s">
        <v>170</v>
      </c>
    </row>
    <row r="1741">
      <c r="A1741" s="32">
        <f>IFERROR(__xludf.DUMMYFUNCTION("""COMPUTED_VALUE"""),43342.12727733796)</f>
        <v>43342.12728</v>
      </c>
      <c r="B1741" t="s">
        <v>40</v>
      </c>
    </row>
    <row r="1742">
      <c r="A1742" s="32">
        <f>IFERROR(__xludf.DUMMYFUNCTION("""COMPUTED_VALUE"""),43342.359936249995)</f>
        <v>43342.35994</v>
      </c>
      <c r="B1742" t="s">
        <v>40</v>
      </c>
    </row>
    <row r="1743">
      <c r="A1743" s="32">
        <f>IFERROR(__xludf.DUMMYFUNCTION("""COMPUTED_VALUE"""),43342.44476003472)</f>
        <v>43342.44476</v>
      </c>
      <c r="B1743" t="s">
        <v>124</v>
      </c>
    </row>
    <row r="1744">
      <c r="A1744" s="32">
        <f>IFERROR(__xludf.DUMMYFUNCTION("""COMPUTED_VALUE"""),43342.49615013889)</f>
        <v>43342.49615</v>
      </c>
      <c r="B1744" t="s">
        <v>658</v>
      </c>
    </row>
    <row r="1745">
      <c r="A1745" s="32">
        <f>IFERROR(__xludf.DUMMYFUNCTION("""COMPUTED_VALUE"""),43342.54033383101)</f>
        <v>43342.54033</v>
      </c>
      <c r="B1745" t="s">
        <v>2718</v>
      </c>
    </row>
    <row r="1746">
      <c r="A1746" s="32">
        <f>IFERROR(__xludf.DUMMYFUNCTION("""COMPUTED_VALUE"""),43342.54174570602)</f>
        <v>43342.54175</v>
      </c>
      <c r="B1746" t="s">
        <v>123</v>
      </c>
    </row>
    <row r="1747">
      <c r="A1747" s="32">
        <f>IFERROR(__xludf.DUMMYFUNCTION("""COMPUTED_VALUE"""),43342.5723928125)</f>
        <v>43342.57239</v>
      </c>
      <c r="B1747" t="s">
        <v>80</v>
      </c>
    </row>
    <row r="1748">
      <c r="A1748" s="32">
        <f>IFERROR(__xludf.DUMMYFUNCTION("""COMPUTED_VALUE"""),43342.66825756944)</f>
        <v>43342.66826</v>
      </c>
      <c r="B1748" t="s">
        <v>122</v>
      </c>
    </row>
    <row r="1749">
      <c r="A1749" s="32">
        <f>IFERROR(__xludf.DUMMYFUNCTION("""COMPUTED_VALUE"""),43342.67418714121)</f>
        <v>43342.67419</v>
      </c>
      <c r="B1749" t="s">
        <v>1313</v>
      </c>
    </row>
    <row r="1750">
      <c r="A1750" s="32">
        <f>IFERROR(__xludf.DUMMYFUNCTION("""COMPUTED_VALUE"""),43342.716890104166)</f>
        <v>43342.71689</v>
      </c>
      <c r="B1750" t="s">
        <v>170</v>
      </c>
    </row>
    <row r="1751">
      <c r="A1751" s="32">
        <f>IFERROR(__xludf.DUMMYFUNCTION("""COMPUTED_VALUE"""),43342.74237003472)</f>
        <v>43342.74237</v>
      </c>
      <c r="B1751" t="s">
        <v>1160</v>
      </c>
    </row>
    <row r="1752">
      <c r="A1752" s="32">
        <f>IFERROR(__xludf.DUMMYFUNCTION("""COMPUTED_VALUE"""),43342.786147743056)</f>
        <v>43342.78615</v>
      </c>
      <c r="B1752" t="s">
        <v>204</v>
      </c>
    </row>
    <row r="1753">
      <c r="A1753" s="32">
        <f>IFERROR(__xludf.DUMMYFUNCTION("""COMPUTED_VALUE"""),43342.80580792824)</f>
        <v>43342.80581</v>
      </c>
      <c r="B1753" t="s">
        <v>139</v>
      </c>
    </row>
    <row r="1754">
      <c r="A1754" s="32">
        <f>IFERROR(__xludf.DUMMYFUNCTION("""COMPUTED_VALUE"""),43342.821046122684)</f>
        <v>43342.82105</v>
      </c>
      <c r="B1754" t="s">
        <v>1160</v>
      </c>
    </row>
    <row r="1755">
      <c r="A1755" s="32">
        <f>IFERROR(__xludf.DUMMYFUNCTION("""COMPUTED_VALUE"""),43342.837405046295)</f>
        <v>43342.83741</v>
      </c>
      <c r="B1755" t="s">
        <v>33</v>
      </c>
    </row>
    <row r="1756">
      <c r="A1756" s="32">
        <f>IFERROR(__xludf.DUMMYFUNCTION("""COMPUTED_VALUE"""),43342.85925202546)</f>
        <v>43342.85925</v>
      </c>
      <c r="B1756" t="s">
        <v>40</v>
      </c>
    </row>
    <row r="1757">
      <c r="A1757" s="32">
        <f>IFERROR(__xludf.DUMMYFUNCTION("""COMPUTED_VALUE"""),43342.88510726852)</f>
        <v>43342.88511</v>
      </c>
      <c r="B1757" t="s">
        <v>263</v>
      </c>
    </row>
    <row r="1758">
      <c r="A1758" s="32">
        <f>IFERROR(__xludf.DUMMYFUNCTION("""COMPUTED_VALUE"""),43342.896871944446)</f>
        <v>43342.89687</v>
      </c>
      <c r="B1758" t="s">
        <v>40</v>
      </c>
    </row>
    <row r="1759">
      <c r="A1759" s="32">
        <f>IFERROR(__xludf.DUMMYFUNCTION("""COMPUTED_VALUE"""),43342.95664575232)</f>
        <v>43342.95665</v>
      </c>
      <c r="B1759" t="s">
        <v>40</v>
      </c>
    </row>
    <row r="1760">
      <c r="A1760" s="32">
        <f>IFERROR(__xludf.DUMMYFUNCTION("""COMPUTED_VALUE"""),43343.015124224534)</f>
        <v>43343.01512</v>
      </c>
      <c r="B1760" t="s">
        <v>33</v>
      </c>
    </row>
    <row r="1761">
      <c r="A1761" s="32">
        <f>IFERROR(__xludf.DUMMYFUNCTION("""COMPUTED_VALUE"""),43343.01768075231)</f>
        <v>43343.01768</v>
      </c>
      <c r="B1761" t="s">
        <v>40</v>
      </c>
    </row>
    <row r="1762">
      <c r="A1762" s="32">
        <f>IFERROR(__xludf.DUMMYFUNCTION("""COMPUTED_VALUE"""),43343.07251290509)</f>
        <v>43343.07251</v>
      </c>
      <c r="B1762" t="s">
        <v>1320</v>
      </c>
    </row>
    <row r="1763">
      <c r="A1763" s="32">
        <f>IFERROR(__xludf.DUMMYFUNCTION("""COMPUTED_VALUE"""),43343.2989766088)</f>
        <v>43343.29898</v>
      </c>
      <c r="B1763" t="s">
        <v>1321</v>
      </c>
    </row>
    <row r="1764">
      <c r="A1764" s="32">
        <f>IFERROR(__xludf.DUMMYFUNCTION("""COMPUTED_VALUE"""),43343.30092148148)</f>
        <v>43343.30092</v>
      </c>
      <c r="B1764" t="s">
        <v>2719</v>
      </c>
    </row>
    <row r="1765">
      <c r="A1765" s="32">
        <f>IFERROR(__xludf.DUMMYFUNCTION("""COMPUTED_VALUE"""),43343.43721181713)</f>
        <v>43343.43721</v>
      </c>
      <c r="B1765" t="s">
        <v>1325</v>
      </c>
    </row>
    <row r="1766">
      <c r="A1766" s="32">
        <f>IFERROR(__xludf.DUMMYFUNCTION("""COMPUTED_VALUE"""),43343.450963043986)</f>
        <v>43343.45096</v>
      </c>
      <c r="B1766" t="s">
        <v>371</v>
      </c>
    </row>
    <row r="1767">
      <c r="A1767" s="32">
        <f>IFERROR(__xludf.DUMMYFUNCTION("""COMPUTED_VALUE"""),43343.5138841088)</f>
        <v>43343.51388</v>
      </c>
      <c r="B1767" t="s">
        <v>170</v>
      </c>
    </row>
    <row r="1768">
      <c r="A1768" s="32">
        <f>IFERROR(__xludf.DUMMYFUNCTION("""COMPUTED_VALUE"""),43343.51444571759)</f>
        <v>43343.51445</v>
      </c>
      <c r="B1768" t="s">
        <v>40</v>
      </c>
    </row>
    <row r="1769">
      <c r="A1769" s="32">
        <f>IFERROR(__xludf.DUMMYFUNCTION("""COMPUTED_VALUE"""),43343.56582554398)</f>
        <v>43343.56583</v>
      </c>
      <c r="B1769" t="s">
        <v>258</v>
      </c>
    </row>
    <row r="1770">
      <c r="A1770" s="32">
        <f>IFERROR(__xludf.DUMMYFUNCTION("""COMPUTED_VALUE"""),43343.63047497685)</f>
        <v>43343.63047</v>
      </c>
      <c r="B1770" t="s">
        <v>40</v>
      </c>
    </row>
    <row r="1771">
      <c r="A1771" s="32">
        <f>IFERROR(__xludf.DUMMYFUNCTION("""COMPUTED_VALUE"""),43343.672865659726)</f>
        <v>43343.67287</v>
      </c>
      <c r="B1771" t="s">
        <v>2720</v>
      </c>
    </row>
    <row r="1772">
      <c r="A1772" s="32">
        <f>IFERROR(__xludf.DUMMYFUNCTION("""COMPUTED_VALUE"""),43343.680299189815)</f>
        <v>43343.6803</v>
      </c>
      <c r="B1772" t="s">
        <v>139</v>
      </c>
    </row>
    <row r="1773">
      <c r="A1773" s="32">
        <f>IFERROR(__xludf.DUMMYFUNCTION("""COMPUTED_VALUE"""),43343.74282076389)</f>
        <v>43343.74282</v>
      </c>
      <c r="B1773" t="s">
        <v>40</v>
      </c>
    </row>
    <row r="1774">
      <c r="A1774" s="32">
        <f>IFERROR(__xludf.DUMMYFUNCTION("""COMPUTED_VALUE"""),43343.847464756946)</f>
        <v>43343.84746</v>
      </c>
      <c r="B1774" t="s">
        <v>80</v>
      </c>
    </row>
    <row r="1775">
      <c r="A1775" s="32">
        <f>IFERROR(__xludf.DUMMYFUNCTION("""COMPUTED_VALUE"""),43343.96926863426)</f>
        <v>43343.96927</v>
      </c>
      <c r="B1775" t="s">
        <v>33</v>
      </c>
    </row>
    <row r="1776">
      <c r="A1776" s="32">
        <f>IFERROR(__xludf.DUMMYFUNCTION("""COMPUTED_VALUE"""),43344.07665033565)</f>
        <v>43344.07665</v>
      </c>
      <c r="B1776" t="s">
        <v>387</v>
      </c>
    </row>
    <row r="1777">
      <c r="A1777" s="32">
        <f>IFERROR(__xludf.DUMMYFUNCTION("""COMPUTED_VALUE"""),43344.441847696755)</f>
        <v>43344.44185</v>
      </c>
      <c r="B1777" t="s">
        <v>40</v>
      </c>
    </row>
    <row r="1778">
      <c r="A1778" s="32">
        <f>IFERROR(__xludf.DUMMYFUNCTION("""COMPUTED_VALUE"""),43344.70973646991)</f>
        <v>43344.70974</v>
      </c>
      <c r="B1778" t="s">
        <v>36</v>
      </c>
    </row>
    <row r="1779">
      <c r="A1779" s="32">
        <f>IFERROR(__xludf.DUMMYFUNCTION("""COMPUTED_VALUE"""),43344.748756608795)</f>
        <v>43344.74876</v>
      </c>
      <c r="B1779" t="s">
        <v>45</v>
      </c>
    </row>
    <row r="1780">
      <c r="A1780" s="32">
        <f>IFERROR(__xludf.DUMMYFUNCTION("""COMPUTED_VALUE"""),43344.798390509255)</f>
        <v>43344.79839</v>
      </c>
      <c r="B1780" t="s">
        <v>371</v>
      </c>
    </row>
    <row r="1781">
      <c r="A1781" s="32">
        <f>IFERROR(__xludf.DUMMYFUNCTION("""COMPUTED_VALUE"""),43344.87640638889)</f>
        <v>43344.87641</v>
      </c>
      <c r="B1781" t="s">
        <v>40</v>
      </c>
    </row>
    <row r="1782">
      <c r="A1782" s="32">
        <f>IFERROR(__xludf.DUMMYFUNCTION("""COMPUTED_VALUE"""),43344.915406493055)</f>
        <v>43344.91541</v>
      </c>
      <c r="B1782" t="s">
        <v>2424</v>
      </c>
    </row>
    <row r="1783">
      <c r="A1783" s="32">
        <f>IFERROR(__xludf.DUMMYFUNCTION("""COMPUTED_VALUE"""),43345.01228753472)</f>
        <v>43345.01229</v>
      </c>
      <c r="B1783" t="s">
        <v>123</v>
      </c>
    </row>
    <row r="1784">
      <c r="A1784" s="32">
        <f>IFERROR(__xludf.DUMMYFUNCTION("""COMPUTED_VALUE"""),43345.11708815972)</f>
        <v>43345.11709</v>
      </c>
      <c r="B1784" t="s">
        <v>48</v>
      </c>
    </row>
    <row r="1785">
      <c r="A1785" s="32">
        <f>IFERROR(__xludf.DUMMYFUNCTION("""COMPUTED_VALUE"""),43345.12526825232)</f>
        <v>43345.12527</v>
      </c>
      <c r="B1785" t="s">
        <v>33</v>
      </c>
    </row>
    <row r="1786">
      <c r="A1786" s="32">
        <f>IFERROR(__xludf.DUMMYFUNCTION("""COMPUTED_VALUE"""),43345.47592917824)</f>
        <v>43345.47593</v>
      </c>
      <c r="B1786" t="s">
        <v>48</v>
      </c>
    </row>
    <row r="1787">
      <c r="A1787" s="32">
        <f>IFERROR(__xludf.DUMMYFUNCTION("""COMPUTED_VALUE"""),43345.80565563658)</f>
        <v>43345.80566</v>
      </c>
      <c r="B1787" t="s">
        <v>40</v>
      </c>
    </row>
    <row r="1788">
      <c r="A1788" s="32">
        <f>IFERROR(__xludf.DUMMYFUNCTION("""COMPUTED_VALUE"""),43345.85626082176)</f>
        <v>43345.85626</v>
      </c>
      <c r="B1788" t="s">
        <v>371</v>
      </c>
    </row>
    <row r="1789">
      <c r="A1789" s="32">
        <f>IFERROR(__xludf.DUMMYFUNCTION("""COMPUTED_VALUE"""),43345.93998841435)</f>
        <v>43345.93999</v>
      </c>
      <c r="B1789" t="s">
        <v>33</v>
      </c>
    </row>
    <row r="1790">
      <c r="A1790" s="32">
        <f>IFERROR(__xludf.DUMMYFUNCTION("""COMPUTED_VALUE"""),43345.95415291667)</f>
        <v>43345.95415</v>
      </c>
      <c r="B1790" t="s">
        <v>48</v>
      </c>
    </row>
    <row r="1791">
      <c r="A1791" s="32">
        <f>IFERROR(__xludf.DUMMYFUNCTION("""COMPUTED_VALUE"""),43346.24518391203)</f>
        <v>43346.24518</v>
      </c>
      <c r="B1791" t="s">
        <v>513</v>
      </c>
    </row>
    <row r="1792">
      <c r="A1792" s="32">
        <f>IFERROR(__xludf.DUMMYFUNCTION("""COMPUTED_VALUE"""),43346.58929640046)</f>
        <v>43346.5893</v>
      </c>
      <c r="B1792" t="s">
        <v>380</v>
      </c>
    </row>
    <row r="1793">
      <c r="A1793" s="32">
        <f>IFERROR(__xludf.DUMMYFUNCTION("""COMPUTED_VALUE"""),43346.63515313657)</f>
        <v>43346.63515</v>
      </c>
      <c r="B1793" t="s">
        <v>80</v>
      </c>
    </row>
    <row r="1794">
      <c r="A1794" s="32">
        <f>IFERROR(__xludf.DUMMYFUNCTION("""COMPUTED_VALUE"""),43346.67433122685)</f>
        <v>43346.67433</v>
      </c>
      <c r="B1794" t="s">
        <v>33</v>
      </c>
    </row>
    <row r="1795">
      <c r="A1795" s="32">
        <f>IFERROR(__xludf.DUMMYFUNCTION("""COMPUTED_VALUE"""),43346.679266527775)</f>
        <v>43346.67927</v>
      </c>
      <c r="B1795" t="s">
        <v>40</v>
      </c>
    </row>
    <row r="1796">
      <c r="A1796" s="32">
        <f>IFERROR(__xludf.DUMMYFUNCTION("""COMPUTED_VALUE"""),43346.775754745366)</f>
        <v>43346.77575</v>
      </c>
      <c r="B1796" t="s">
        <v>40</v>
      </c>
    </row>
    <row r="1797">
      <c r="A1797" s="32">
        <f>IFERROR(__xludf.DUMMYFUNCTION("""COMPUTED_VALUE"""),43346.86785663194)</f>
        <v>43346.86786</v>
      </c>
      <c r="B1797" t="s">
        <v>1160</v>
      </c>
    </row>
    <row r="1798">
      <c r="A1798" s="32">
        <f>IFERROR(__xludf.DUMMYFUNCTION("""COMPUTED_VALUE"""),43346.95764366898)</f>
        <v>43346.95764</v>
      </c>
      <c r="B1798" t="s">
        <v>80</v>
      </c>
    </row>
    <row r="1799">
      <c r="A1799" s="32">
        <f>IFERROR(__xludf.DUMMYFUNCTION("""COMPUTED_VALUE"""),43347.31897460648)</f>
        <v>43347.31897</v>
      </c>
      <c r="B1799" t="s">
        <v>33</v>
      </c>
    </row>
    <row r="1800">
      <c r="A1800" s="32">
        <f>IFERROR(__xludf.DUMMYFUNCTION("""COMPUTED_VALUE"""),43347.379201979165)</f>
        <v>43347.3792</v>
      </c>
      <c r="B1800" t="s">
        <v>80</v>
      </c>
    </row>
    <row r="1801">
      <c r="A1801" s="32">
        <f>IFERROR(__xludf.DUMMYFUNCTION("""COMPUTED_VALUE"""),43347.422487557866)</f>
        <v>43347.42249</v>
      </c>
      <c r="B1801" t="s">
        <v>45</v>
      </c>
    </row>
    <row r="1802">
      <c r="A1802" s="32">
        <f>IFERROR(__xludf.DUMMYFUNCTION("""COMPUTED_VALUE"""),43347.44350366898)</f>
        <v>43347.4435</v>
      </c>
      <c r="B1802" t="s">
        <v>371</v>
      </c>
    </row>
    <row r="1803">
      <c r="A1803" s="32">
        <f>IFERROR(__xludf.DUMMYFUNCTION("""COMPUTED_VALUE"""),43347.48162157407)</f>
        <v>43347.48162</v>
      </c>
      <c r="B1803" t="s">
        <v>33</v>
      </c>
    </row>
    <row r="1804">
      <c r="A1804" s="32">
        <f>IFERROR(__xludf.DUMMYFUNCTION("""COMPUTED_VALUE"""),43347.49028100695)</f>
        <v>43347.49028</v>
      </c>
      <c r="B1804" t="s">
        <v>40</v>
      </c>
    </row>
    <row r="1805">
      <c r="A1805" s="32">
        <f>IFERROR(__xludf.DUMMYFUNCTION("""COMPUTED_VALUE"""),43347.50723908565)</f>
        <v>43347.50724</v>
      </c>
      <c r="B1805" t="s">
        <v>1344</v>
      </c>
    </row>
    <row r="1806">
      <c r="A1806" s="32">
        <f>IFERROR(__xludf.DUMMYFUNCTION("""COMPUTED_VALUE"""),43347.526835972225)</f>
        <v>43347.52684</v>
      </c>
      <c r="B1806" t="s">
        <v>2721</v>
      </c>
    </row>
    <row r="1807">
      <c r="A1807" s="32">
        <f>IFERROR(__xludf.DUMMYFUNCTION("""COMPUTED_VALUE"""),43347.53614149305)</f>
        <v>43347.53614</v>
      </c>
      <c r="B1807" t="s">
        <v>268</v>
      </c>
    </row>
    <row r="1808">
      <c r="A1808" s="32">
        <f>IFERROR(__xludf.DUMMYFUNCTION("""COMPUTED_VALUE"""),43347.559248969905)</f>
        <v>43347.55925</v>
      </c>
      <c r="B1808" t="s">
        <v>40</v>
      </c>
    </row>
    <row r="1809">
      <c r="A1809" s="32">
        <f>IFERROR(__xludf.DUMMYFUNCTION("""COMPUTED_VALUE"""),43347.563530659725)</f>
        <v>43347.56353</v>
      </c>
      <c r="B1809" t="s">
        <v>80</v>
      </c>
    </row>
    <row r="1810">
      <c r="A1810" s="32">
        <f>IFERROR(__xludf.DUMMYFUNCTION("""COMPUTED_VALUE"""),43347.62548469908)</f>
        <v>43347.62548</v>
      </c>
      <c r="B1810" t="s">
        <v>36</v>
      </c>
    </row>
    <row r="1811">
      <c r="A1811" s="32">
        <f>IFERROR(__xludf.DUMMYFUNCTION("""COMPUTED_VALUE"""),43347.6542471875)</f>
        <v>43347.65425</v>
      </c>
      <c r="B1811" t="s">
        <v>2722</v>
      </c>
    </row>
    <row r="1812">
      <c r="A1812" s="32">
        <f>IFERROR(__xludf.DUMMYFUNCTION("""COMPUTED_VALUE"""),43347.67434305555)</f>
        <v>43347.67434</v>
      </c>
      <c r="B1812" t="s">
        <v>33</v>
      </c>
    </row>
    <row r="1813">
      <c r="A1813" s="32">
        <f>IFERROR(__xludf.DUMMYFUNCTION("""COMPUTED_VALUE"""),43347.68912476852)</f>
        <v>43347.68912</v>
      </c>
      <c r="B1813" t="s">
        <v>139</v>
      </c>
    </row>
    <row r="1814">
      <c r="A1814" s="32">
        <f>IFERROR(__xludf.DUMMYFUNCTION("""COMPUTED_VALUE"""),43347.727658414355)</f>
        <v>43347.72766</v>
      </c>
      <c r="B1814" t="s">
        <v>426</v>
      </c>
    </row>
    <row r="1815">
      <c r="A1815" s="32">
        <f>IFERROR(__xludf.DUMMYFUNCTION("""COMPUTED_VALUE"""),43347.79264835648)</f>
        <v>43347.79265</v>
      </c>
      <c r="B1815" t="s">
        <v>33</v>
      </c>
    </row>
    <row r="1816">
      <c r="A1816" s="32">
        <f>IFERROR(__xludf.DUMMYFUNCTION("""COMPUTED_VALUE"""),43347.79921747685)</f>
        <v>43347.79922</v>
      </c>
      <c r="B1816" t="s">
        <v>119</v>
      </c>
    </row>
    <row r="1817">
      <c r="A1817" s="32">
        <f>IFERROR(__xludf.DUMMYFUNCTION("""COMPUTED_VALUE"""),43347.96302685185)</f>
        <v>43347.96303</v>
      </c>
      <c r="B1817" t="s">
        <v>80</v>
      </c>
    </row>
    <row r="1818">
      <c r="A1818" s="32">
        <f>IFERROR(__xludf.DUMMYFUNCTION("""COMPUTED_VALUE"""),43347.99882584491)</f>
        <v>43347.99883</v>
      </c>
      <c r="B1818" t="s">
        <v>80</v>
      </c>
    </row>
    <row r="1819">
      <c r="A1819" s="32">
        <f>IFERROR(__xludf.DUMMYFUNCTION("""COMPUTED_VALUE"""),43348.04688538195)</f>
        <v>43348.04689</v>
      </c>
      <c r="B1819" t="s">
        <v>36</v>
      </c>
    </row>
    <row r="1820">
      <c r="A1820" s="32">
        <f>IFERROR(__xludf.DUMMYFUNCTION("""COMPUTED_VALUE"""),43348.05877981482)</f>
        <v>43348.05878</v>
      </c>
      <c r="B1820" t="s">
        <v>80</v>
      </c>
    </row>
    <row r="1821">
      <c r="A1821" s="32">
        <f>IFERROR(__xludf.DUMMYFUNCTION("""COMPUTED_VALUE"""),43348.11984083333)</f>
        <v>43348.11984</v>
      </c>
      <c r="B1821" t="s">
        <v>2313</v>
      </c>
    </row>
    <row r="1822">
      <c r="A1822" s="32">
        <f>IFERROR(__xludf.DUMMYFUNCTION("""COMPUTED_VALUE"""),43348.17294099537)</f>
        <v>43348.17294</v>
      </c>
      <c r="B1822" t="s">
        <v>170</v>
      </c>
    </row>
    <row r="1823">
      <c r="A1823" s="32">
        <f>IFERROR(__xludf.DUMMYFUNCTION("""COMPUTED_VALUE"""),43348.25214736111)</f>
        <v>43348.25215</v>
      </c>
      <c r="B1823" t="s">
        <v>1135</v>
      </c>
    </row>
    <row r="1824">
      <c r="A1824" s="32">
        <f>IFERROR(__xludf.DUMMYFUNCTION("""COMPUTED_VALUE"""),43348.34740078704)</f>
        <v>43348.3474</v>
      </c>
      <c r="B1824" t="s">
        <v>25</v>
      </c>
    </row>
    <row r="1825">
      <c r="A1825" s="32">
        <f>IFERROR(__xludf.DUMMYFUNCTION("""COMPUTED_VALUE"""),43348.43409304398)</f>
        <v>43348.43409</v>
      </c>
      <c r="B1825" t="s">
        <v>40</v>
      </c>
    </row>
    <row r="1826">
      <c r="A1826" s="32">
        <f>IFERROR(__xludf.DUMMYFUNCTION("""COMPUTED_VALUE"""),43348.46664979166)</f>
        <v>43348.46665</v>
      </c>
      <c r="B1826" t="s">
        <v>2723</v>
      </c>
    </row>
    <row r="1827">
      <c r="A1827" s="32">
        <f>IFERROR(__xludf.DUMMYFUNCTION("""COMPUTED_VALUE"""),43348.50227390046)</f>
        <v>43348.50227</v>
      </c>
      <c r="B1827" t="s">
        <v>36</v>
      </c>
    </row>
    <row r="1828">
      <c r="A1828" s="32">
        <f>IFERROR(__xludf.DUMMYFUNCTION("""COMPUTED_VALUE"""),43348.52616592593)</f>
        <v>43348.52617</v>
      </c>
      <c r="B1828" t="s">
        <v>33</v>
      </c>
    </row>
    <row r="1829">
      <c r="A1829" s="32">
        <f>IFERROR(__xludf.DUMMYFUNCTION("""COMPUTED_VALUE"""),43348.582869641206)</f>
        <v>43348.58287</v>
      </c>
      <c r="B1829" t="s">
        <v>538</v>
      </c>
    </row>
    <row r="1830">
      <c r="A1830" s="32">
        <f>IFERROR(__xludf.DUMMYFUNCTION("""COMPUTED_VALUE"""),43348.601287708334)</f>
        <v>43348.60129</v>
      </c>
      <c r="B1830" t="s">
        <v>80</v>
      </c>
    </row>
    <row r="1831">
      <c r="A1831" s="32">
        <f>IFERROR(__xludf.DUMMYFUNCTION("""COMPUTED_VALUE"""),43348.626976354164)</f>
        <v>43348.62698</v>
      </c>
      <c r="B1831" t="s">
        <v>157</v>
      </c>
    </row>
    <row r="1832">
      <c r="A1832" s="32">
        <f>IFERROR(__xludf.DUMMYFUNCTION("""COMPUTED_VALUE"""),43348.63971120371)</f>
        <v>43348.63971</v>
      </c>
      <c r="B1832" t="s">
        <v>95</v>
      </c>
    </row>
    <row r="1833">
      <c r="A1833" s="32">
        <f>IFERROR(__xludf.DUMMYFUNCTION("""COMPUTED_VALUE"""),43348.66367142361)</f>
        <v>43348.66367</v>
      </c>
      <c r="B1833" t="s">
        <v>2665</v>
      </c>
    </row>
    <row r="1834">
      <c r="A1834" s="32">
        <f>IFERROR(__xludf.DUMMYFUNCTION("""COMPUTED_VALUE"""),43348.693706018516)</f>
        <v>43348.69371</v>
      </c>
      <c r="B1834" t="s">
        <v>1371</v>
      </c>
    </row>
    <row r="1835">
      <c r="A1835" s="32">
        <f>IFERROR(__xludf.DUMMYFUNCTION("""COMPUTED_VALUE"""),43348.73886197917)</f>
        <v>43348.73886</v>
      </c>
      <c r="B1835" t="s">
        <v>80</v>
      </c>
    </row>
    <row r="1836">
      <c r="A1836" s="32">
        <f>IFERROR(__xludf.DUMMYFUNCTION("""COMPUTED_VALUE"""),43348.788610185184)</f>
        <v>43348.78861</v>
      </c>
      <c r="B1836" t="s">
        <v>282</v>
      </c>
    </row>
    <row r="1837">
      <c r="A1837" s="32">
        <f>IFERROR(__xludf.DUMMYFUNCTION("""COMPUTED_VALUE"""),43348.83177030092)</f>
        <v>43348.83177</v>
      </c>
      <c r="B1837" t="s">
        <v>819</v>
      </c>
    </row>
    <row r="1838">
      <c r="A1838" s="32">
        <f>IFERROR(__xludf.DUMMYFUNCTION("""COMPUTED_VALUE"""),43348.88378923611)</f>
        <v>43348.88379</v>
      </c>
      <c r="B1838" t="s">
        <v>1372</v>
      </c>
    </row>
    <row r="1839">
      <c r="A1839" s="32">
        <f>IFERROR(__xludf.DUMMYFUNCTION("""COMPUTED_VALUE"""),43348.95091671296)</f>
        <v>43348.95092</v>
      </c>
      <c r="B1839" t="s">
        <v>268</v>
      </c>
    </row>
    <row r="1840">
      <c r="A1840" s="32">
        <f>IFERROR(__xludf.DUMMYFUNCTION("""COMPUTED_VALUE"""),43348.952373402775)</f>
        <v>43348.95237</v>
      </c>
      <c r="B1840" t="s">
        <v>1373</v>
      </c>
    </row>
    <row r="1841">
      <c r="A1841" s="32">
        <f>IFERROR(__xludf.DUMMYFUNCTION("""COMPUTED_VALUE"""),43348.953436979165)</f>
        <v>43348.95344</v>
      </c>
      <c r="B1841" t="s">
        <v>1373</v>
      </c>
    </row>
    <row r="1842">
      <c r="A1842" s="32">
        <f>IFERROR(__xludf.DUMMYFUNCTION("""COMPUTED_VALUE"""),43348.97788465278)</f>
        <v>43348.97788</v>
      </c>
      <c r="B1842" t="s">
        <v>371</v>
      </c>
    </row>
    <row r="1843">
      <c r="A1843" s="32">
        <f>IFERROR(__xludf.DUMMYFUNCTION("""COMPUTED_VALUE"""),43349.01927815972)</f>
        <v>43349.01928</v>
      </c>
      <c r="B1843" t="s">
        <v>258</v>
      </c>
    </row>
    <row r="1844">
      <c r="A1844" s="32">
        <f>IFERROR(__xludf.DUMMYFUNCTION("""COMPUTED_VALUE"""),43349.03492777778)</f>
        <v>43349.03493</v>
      </c>
      <c r="B1844" t="s">
        <v>48</v>
      </c>
    </row>
    <row r="1845">
      <c r="A1845" s="32">
        <f>IFERROR(__xludf.DUMMYFUNCTION("""COMPUTED_VALUE"""),43349.04387678241)</f>
        <v>43349.04388</v>
      </c>
      <c r="B1845" t="s">
        <v>45</v>
      </c>
    </row>
    <row r="1846">
      <c r="A1846" s="32">
        <f>IFERROR(__xludf.DUMMYFUNCTION("""COMPUTED_VALUE"""),43349.41727795139)</f>
        <v>43349.41728</v>
      </c>
      <c r="B1846" t="s">
        <v>40</v>
      </c>
    </row>
    <row r="1847">
      <c r="A1847" s="32">
        <f>IFERROR(__xludf.DUMMYFUNCTION("""COMPUTED_VALUE"""),43349.42343005787)</f>
        <v>43349.42343</v>
      </c>
      <c r="B1847" t="s">
        <v>33</v>
      </c>
    </row>
    <row r="1848">
      <c r="A1848" s="32">
        <f>IFERROR(__xludf.DUMMYFUNCTION("""COMPUTED_VALUE"""),43349.533833379624)</f>
        <v>43349.53383</v>
      </c>
      <c r="B1848" t="s">
        <v>2724</v>
      </c>
    </row>
    <row r="1849">
      <c r="A1849" s="32">
        <f>IFERROR(__xludf.DUMMYFUNCTION("""COMPUTED_VALUE"""),43349.56653548611)</f>
        <v>43349.56654</v>
      </c>
      <c r="B1849" t="s">
        <v>1379</v>
      </c>
    </row>
    <row r="1850">
      <c r="A1850" s="32">
        <f>IFERROR(__xludf.DUMMYFUNCTION("""COMPUTED_VALUE"""),43349.61319579861)</f>
        <v>43349.6132</v>
      </c>
      <c r="B1850" t="s">
        <v>1382</v>
      </c>
    </row>
    <row r="1851">
      <c r="A1851" s="32">
        <f>IFERROR(__xludf.DUMMYFUNCTION("""COMPUTED_VALUE"""),43349.64906167824)</f>
        <v>43349.64906</v>
      </c>
      <c r="B1851" t="s">
        <v>48</v>
      </c>
    </row>
    <row r="1852">
      <c r="A1852" s="32">
        <f>IFERROR(__xludf.DUMMYFUNCTION("""COMPUTED_VALUE"""),43349.69891196759)</f>
        <v>43349.69891</v>
      </c>
      <c r="B1852" t="s">
        <v>80</v>
      </c>
    </row>
    <row r="1853">
      <c r="A1853" s="32">
        <f>IFERROR(__xludf.DUMMYFUNCTION("""COMPUTED_VALUE"""),43349.70220056713)</f>
        <v>43349.7022</v>
      </c>
      <c r="B1853" t="s">
        <v>1385</v>
      </c>
    </row>
    <row r="1854">
      <c r="A1854" s="32">
        <f>IFERROR(__xludf.DUMMYFUNCTION("""COMPUTED_VALUE"""),43349.73695358796)</f>
        <v>43349.73695</v>
      </c>
      <c r="B1854" t="s">
        <v>40</v>
      </c>
    </row>
    <row r="1855">
      <c r="A1855" s="32">
        <f>IFERROR(__xludf.DUMMYFUNCTION("""COMPUTED_VALUE"""),43349.73764931713)</f>
        <v>43349.73765</v>
      </c>
      <c r="B1855" t="s">
        <v>1385</v>
      </c>
    </row>
    <row r="1856">
      <c r="A1856" s="32">
        <f>IFERROR(__xludf.DUMMYFUNCTION("""COMPUTED_VALUE"""),43349.75613460648)</f>
        <v>43349.75613</v>
      </c>
      <c r="B1856" t="s">
        <v>40</v>
      </c>
    </row>
    <row r="1857">
      <c r="A1857" s="32">
        <f>IFERROR(__xludf.DUMMYFUNCTION("""COMPUTED_VALUE"""),43349.7863168287)</f>
        <v>43349.78632</v>
      </c>
      <c r="B1857" t="s">
        <v>1389</v>
      </c>
    </row>
    <row r="1858">
      <c r="A1858" s="32">
        <f>IFERROR(__xludf.DUMMYFUNCTION("""COMPUTED_VALUE"""),43349.78778201389)</f>
        <v>43349.78778</v>
      </c>
      <c r="B1858" t="s">
        <v>2693</v>
      </c>
    </row>
    <row r="1859">
      <c r="A1859" s="32">
        <f>IFERROR(__xludf.DUMMYFUNCTION("""COMPUTED_VALUE"""),43349.79387675926)</f>
        <v>43349.79388</v>
      </c>
      <c r="B1859" t="s">
        <v>40</v>
      </c>
    </row>
    <row r="1860">
      <c r="A1860" s="32">
        <f>IFERROR(__xludf.DUMMYFUNCTION("""COMPUTED_VALUE"""),43349.80556167824)</f>
        <v>43349.80556</v>
      </c>
      <c r="B1860" t="s">
        <v>80</v>
      </c>
    </row>
    <row r="1861">
      <c r="A1861" s="32">
        <f>IFERROR(__xludf.DUMMYFUNCTION("""COMPUTED_VALUE"""),43349.811509907406)</f>
        <v>43349.81151</v>
      </c>
      <c r="B1861" t="s">
        <v>1392</v>
      </c>
    </row>
    <row r="1862">
      <c r="A1862" s="32">
        <f>IFERROR(__xludf.DUMMYFUNCTION("""COMPUTED_VALUE"""),43349.816410370375)</f>
        <v>43349.81641</v>
      </c>
      <c r="B1862" t="s">
        <v>1394</v>
      </c>
    </row>
    <row r="1863">
      <c r="A1863" s="32">
        <f>IFERROR(__xludf.DUMMYFUNCTION("""COMPUTED_VALUE"""),43349.82502142361)</f>
        <v>43349.82502</v>
      </c>
      <c r="B1863" t="s">
        <v>2721</v>
      </c>
    </row>
    <row r="1864">
      <c r="A1864" s="32">
        <f>IFERROR(__xludf.DUMMYFUNCTION("""COMPUTED_VALUE"""),43349.841774560184)</f>
        <v>43349.84177</v>
      </c>
      <c r="B1864" t="s">
        <v>2725</v>
      </c>
    </row>
    <row r="1865">
      <c r="A1865" s="32">
        <f>IFERROR(__xludf.DUMMYFUNCTION("""COMPUTED_VALUE"""),43349.84314810185)</f>
        <v>43349.84315</v>
      </c>
      <c r="B1865" t="s">
        <v>2726</v>
      </c>
    </row>
    <row r="1866">
      <c r="A1866" s="32">
        <f>IFERROR(__xludf.DUMMYFUNCTION("""COMPUTED_VALUE"""),43349.84520063657)</f>
        <v>43349.8452</v>
      </c>
      <c r="B1866" t="s">
        <v>2727</v>
      </c>
    </row>
    <row r="1867">
      <c r="A1867" s="32">
        <f>IFERROR(__xludf.DUMMYFUNCTION("""COMPUTED_VALUE"""),43349.84838241898)</f>
        <v>43349.84838</v>
      </c>
      <c r="B1867" t="s">
        <v>2728</v>
      </c>
    </row>
    <row r="1868">
      <c r="A1868" s="32">
        <f>IFERROR(__xludf.DUMMYFUNCTION("""COMPUTED_VALUE"""),43349.85189413195)</f>
        <v>43349.85189</v>
      </c>
      <c r="B1868" t="s">
        <v>1385</v>
      </c>
    </row>
    <row r="1869">
      <c r="A1869" s="32">
        <f>IFERROR(__xludf.DUMMYFUNCTION("""COMPUTED_VALUE"""),43349.85656584491)</f>
        <v>43349.85657</v>
      </c>
      <c r="B1869" t="s">
        <v>2729</v>
      </c>
    </row>
    <row r="1870">
      <c r="A1870" s="32">
        <f>IFERROR(__xludf.DUMMYFUNCTION("""COMPUTED_VALUE"""),43349.88029966435)</f>
        <v>43349.8803</v>
      </c>
      <c r="B1870" t="s">
        <v>944</v>
      </c>
    </row>
    <row r="1871">
      <c r="A1871" s="32">
        <f>IFERROR(__xludf.DUMMYFUNCTION("""COMPUTED_VALUE"""),43349.88036576389)</f>
        <v>43349.88037</v>
      </c>
      <c r="B1871" t="s">
        <v>119</v>
      </c>
    </row>
    <row r="1872">
      <c r="A1872" s="32">
        <f>IFERROR(__xludf.DUMMYFUNCTION("""COMPUTED_VALUE"""),43349.88147784722)</f>
        <v>43349.88148</v>
      </c>
      <c r="B1872" t="s">
        <v>123</v>
      </c>
    </row>
    <row r="1873">
      <c r="A1873" s="32">
        <f>IFERROR(__xludf.DUMMYFUNCTION("""COMPUTED_VALUE"""),43349.89214599537)</f>
        <v>43349.89215</v>
      </c>
      <c r="B1873" t="s">
        <v>33</v>
      </c>
    </row>
    <row r="1874">
      <c r="A1874" s="32">
        <f>IFERROR(__xludf.DUMMYFUNCTION("""COMPUTED_VALUE"""),43349.9069875)</f>
        <v>43349.90699</v>
      </c>
      <c r="B1874" t="s">
        <v>1414</v>
      </c>
    </row>
    <row r="1875">
      <c r="A1875" s="32">
        <f>IFERROR(__xludf.DUMMYFUNCTION("""COMPUTED_VALUE"""),43349.92632236111)</f>
        <v>43349.92632</v>
      </c>
      <c r="B1875" t="s">
        <v>268</v>
      </c>
    </row>
    <row r="1876">
      <c r="A1876" s="32">
        <f>IFERROR(__xludf.DUMMYFUNCTION("""COMPUTED_VALUE"""),43349.92686096065)</f>
        <v>43349.92686</v>
      </c>
      <c r="B1876" t="s">
        <v>80</v>
      </c>
    </row>
    <row r="1877">
      <c r="A1877" s="32">
        <f>IFERROR(__xludf.DUMMYFUNCTION("""COMPUTED_VALUE"""),43349.93600327546)</f>
        <v>43349.936</v>
      </c>
      <c r="B1877" t="s">
        <v>1418</v>
      </c>
    </row>
    <row r="1878">
      <c r="A1878" s="32">
        <f>IFERROR(__xludf.DUMMYFUNCTION("""COMPUTED_VALUE"""),43349.950519895836)</f>
        <v>43349.95052</v>
      </c>
      <c r="B1878" t="s">
        <v>2424</v>
      </c>
    </row>
    <row r="1879">
      <c r="A1879" s="32">
        <f>IFERROR(__xludf.DUMMYFUNCTION("""COMPUTED_VALUE"""),43349.95663543981)</f>
        <v>43349.95664</v>
      </c>
      <c r="B1879" t="s">
        <v>1421</v>
      </c>
    </row>
    <row r="1880">
      <c r="A1880" s="32">
        <f>IFERROR(__xludf.DUMMYFUNCTION("""COMPUTED_VALUE"""),43349.96035883102)</f>
        <v>43349.96036</v>
      </c>
      <c r="B1880" t="s">
        <v>40</v>
      </c>
    </row>
    <row r="1881">
      <c r="A1881" s="32">
        <f>IFERROR(__xludf.DUMMYFUNCTION("""COMPUTED_VALUE"""),43349.96562054398)</f>
        <v>43349.96562</v>
      </c>
      <c r="B1881" t="s">
        <v>40</v>
      </c>
    </row>
    <row r="1882">
      <c r="A1882" s="32">
        <f>IFERROR(__xludf.DUMMYFUNCTION("""COMPUTED_VALUE"""),43349.97589328703)</f>
        <v>43349.97589</v>
      </c>
      <c r="B1882" t="s">
        <v>40</v>
      </c>
    </row>
    <row r="1883">
      <c r="A1883" s="32">
        <f>IFERROR(__xludf.DUMMYFUNCTION("""COMPUTED_VALUE"""),43349.98684304398)</f>
        <v>43349.98684</v>
      </c>
      <c r="B1883" t="s">
        <v>40</v>
      </c>
    </row>
    <row r="1884">
      <c r="A1884" s="32">
        <f>IFERROR(__xludf.DUMMYFUNCTION("""COMPUTED_VALUE"""),43350.016377141204)</f>
        <v>43350.01638</v>
      </c>
      <c r="B1884" t="s">
        <v>45</v>
      </c>
    </row>
    <row r="1885">
      <c r="A1885" s="32">
        <f>IFERROR(__xludf.DUMMYFUNCTION("""COMPUTED_VALUE"""),43350.02977289352)</f>
        <v>43350.02977</v>
      </c>
      <c r="B1885" t="s">
        <v>40</v>
      </c>
    </row>
    <row r="1886">
      <c r="A1886" s="32">
        <f>IFERROR(__xludf.DUMMYFUNCTION("""COMPUTED_VALUE"""),43350.03222013889)</f>
        <v>43350.03222</v>
      </c>
      <c r="B1886" t="s">
        <v>1426</v>
      </c>
    </row>
    <row r="1887">
      <c r="A1887" s="32">
        <f>IFERROR(__xludf.DUMMYFUNCTION("""COMPUTED_VALUE"""),43350.078149560184)</f>
        <v>43350.07815</v>
      </c>
      <c r="B1887" t="s">
        <v>40</v>
      </c>
    </row>
    <row r="1888">
      <c r="A1888" s="32">
        <f>IFERROR(__xludf.DUMMYFUNCTION("""COMPUTED_VALUE"""),43350.08538142361)</f>
        <v>43350.08538</v>
      </c>
      <c r="B1888" t="s">
        <v>80</v>
      </c>
    </row>
    <row r="1889">
      <c r="A1889" s="32">
        <f>IFERROR(__xludf.DUMMYFUNCTION("""COMPUTED_VALUE"""),43350.13828267361)</f>
        <v>43350.13828</v>
      </c>
      <c r="B1889" t="s">
        <v>1430</v>
      </c>
    </row>
    <row r="1890">
      <c r="A1890" s="32">
        <f>IFERROR(__xludf.DUMMYFUNCTION("""COMPUTED_VALUE"""),43350.14353622685)</f>
        <v>43350.14354</v>
      </c>
      <c r="B1890" t="s">
        <v>80</v>
      </c>
    </row>
    <row r="1891">
      <c r="A1891" s="32">
        <f>IFERROR(__xludf.DUMMYFUNCTION("""COMPUTED_VALUE"""),43350.174193287035)</f>
        <v>43350.17419</v>
      </c>
      <c r="B1891" t="s">
        <v>33</v>
      </c>
    </row>
    <row r="1892">
      <c r="A1892" s="32">
        <f>IFERROR(__xludf.DUMMYFUNCTION("""COMPUTED_VALUE"""),43350.17933825232)</f>
        <v>43350.17934</v>
      </c>
      <c r="B1892" t="s">
        <v>40</v>
      </c>
    </row>
    <row r="1893">
      <c r="A1893" s="32">
        <f>IFERROR(__xludf.DUMMYFUNCTION("""COMPUTED_VALUE"""),43350.19698260417)</f>
        <v>43350.19698</v>
      </c>
      <c r="B1893" t="s">
        <v>268</v>
      </c>
    </row>
    <row r="1894">
      <c r="A1894" s="32">
        <f>IFERROR(__xludf.DUMMYFUNCTION("""COMPUTED_VALUE"""),43350.22143613426)</f>
        <v>43350.22144</v>
      </c>
      <c r="B1894" t="s">
        <v>1434</v>
      </c>
    </row>
    <row r="1895">
      <c r="A1895" s="32">
        <f>IFERROR(__xludf.DUMMYFUNCTION("""COMPUTED_VALUE"""),43350.237522407406)</f>
        <v>43350.23752</v>
      </c>
      <c r="B1895" t="s">
        <v>2730</v>
      </c>
    </row>
    <row r="1896">
      <c r="A1896" s="32">
        <f>IFERROR(__xludf.DUMMYFUNCTION("""COMPUTED_VALUE"""),43350.23833394676)</f>
        <v>43350.23833</v>
      </c>
      <c r="B1896" t="s">
        <v>2731</v>
      </c>
    </row>
    <row r="1897">
      <c r="A1897" s="32">
        <f>IFERROR(__xludf.DUMMYFUNCTION("""COMPUTED_VALUE"""),43350.244465428244)</f>
        <v>43350.24447</v>
      </c>
      <c r="B1897" t="s">
        <v>1442</v>
      </c>
    </row>
    <row r="1898">
      <c r="A1898" s="32">
        <f>IFERROR(__xludf.DUMMYFUNCTION("""COMPUTED_VALUE"""),43350.244646875)</f>
        <v>43350.24465</v>
      </c>
      <c r="B1898" t="s">
        <v>2732</v>
      </c>
    </row>
    <row r="1899">
      <c r="A1899" s="32">
        <f>IFERROR(__xludf.DUMMYFUNCTION("""COMPUTED_VALUE"""),43350.24840927083)</f>
        <v>43350.24841</v>
      </c>
      <c r="B1899" t="s">
        <v>1446</v>
      </c>
    </row>
    <row r="1900">
      <c r="A1900" s="32">
        <f>IFERROR(__xludf.DUMMYFUNCTION("""COMPUTED_VALUE"""),43350.269871296296)</f>
        <v>43350.26987</v>
      </c>
      <c r="B1900" t="s">
        <v>40</v>
      </c>
    </row>
    <row r="1901">
      <c r="A1901" s="32">
        <f>IFERROR(__xludf.DUMMYFUNCTION("""COMPUTED_VALUE"""),43350.2734971412)</f>
        <v>43350.2735</v>
      </c>
      <c r="B1901" t="s">
        <v>1450</v>
      </c>
    </row>
    <row r="1902">
      <c r="A1902" s="32">
        <f>IFERROR(__xludf.DUMMYFUNCTION("""COMPUTED_VALUE"""),43350.30293668981)</f>
        <v>43350.30294</v>
      </c>
      <c r="B1902" t="s">
        <v>1452</v>
      </c>
    </row>
    <row r="1903">
      <c r="A1903" s="32">
        <f>IFERROR(__xludf.DUMMYFUNCTION("""COMPUTED_VALUE"""),43350.3053775463)</f>
        <v>43350.30538</v>
      </c>
      <c r="B1903" t="s">
        <v>1454</v>
      </c>
    </row>
    <row r="1904">
      <c r="A1904" s="32">
        <f>IFERROR(__xludf.DUMMYFUNCTION("""COMPUTED_VALUE"""),43350.30572208333)</f>
        <v>43350.30572</v>
      </c>
      <c r="B1904" t="s">
        <v>1457</v>
      </c>
    </row>
    <row r="1905">
      <c r="A1905" s="32">
        <f>IFERROR(__xludf.DUMMYFUNCTION("""COMPUTED_VALUE"""),43350.33084909723)</f>
        <v>43350.33085</v>
      </c>
      <c r="B1905" t="s">
        <v>2733</v>
      </c>
    </row>
    <row r="1906">
      <c r="A1906" s="32">
        <f>IFERROR(__xludf.DUMMYFUNCTION("""COMPUTED_VALUE"""),43350.33209739583)</f>
        <v>43350.3321</v>
      </c>
      <c r="B1906" t="s">
        <v>2</v>
      </c>
    </row>
    <row r="1907">
      <c r="A1907" s="32">
        <f>IFERROR(__xludf.DUMMYFUNCTION("""COMPUTED_VALUE"""),43350.362077557875)</f>
        <v>43350.36208</v>
      </c>
      <c r="B1907" t="s">
        <v>2734</v>
      </c>
    </row>
    <row r="1908">
      <c r="A1908" s="32">
        <f>IFERROR(__xludf.DUMMYFUNCTION("""COMPUTED_VALUE"""),43350.366953969904)</f>
        <v>43350.36695</v>
      </c>
      <c r="B1908" t="s">
        <v>1466</v>
      </c>
    </row>
    <row r="1909">
      <c r="A1909" s="32">
        <f>IFERROR(__xludf.DUMMYFUNCTION("""COMPUTED_VALUE"""),43350.380638877316)</f>
        <v>43350.38064</v>
      </c>
      <c r="B1909" t="s">
        <v>80</v>
      </c>
    </row>
    <row r="1910">
      <c r="A1910" s="32">
        <f>IFERROR(__xludf.DUMMYFUNCTION("""COMPUTED_VALUE"""),43350.405216597224)</f>
        <v>43350.40522</v>
      </c>
      <c r="B1910" t="s">
        <v>2735</v>
      </c>
    </row>
    <row r="1911">
      <c r="A1911" s="32">
        <f>IFERROR(__xludf.DUMMYFUNCTION("""COMPUTED_VALUE"""),43350.40565638889)</f>
        <v>43350.40566</v>
      </c>
      <c r="B1911" t="s">
        <v>1470</v>
      </c>
    </row>
    <row r="1912">
      <c r="A1912" s="32">
        <f>IFERROR(__xludf.DUMMYFUNCTION("""COMPUTED_VALUE"""),43350.40696958333)</f>
        <v>43350.40697</v>
      </c>
      <c r="B1912" t="s">
        <v>1473</v>
      </c>
    </row>
    <row r="1913">
      <c r="A1913" s="32">
        <f>IFERROR(__xludf.DUMMYFUNCTION("""COMPUTED_VALUE"""),43350.43302729167)</f>
        <v>43350.43303</v>
      </c>
      <c r="B1913" t="s">
        <v>371</v>
      </c>
    </row>
    <row r="1914">
      <c r="A1914" s="32">
        <f>IFERROR(__xludf.DUMMYFUNCTION("""COMPUTED_VALUE"""),43350.434033391204)</f>
        <v>43350.43403</v>
      </c>
      <c r="B1914" t="s">
        <v>80</v>
      </c>
    </row>
    <row r="1915">
      <c r="A1915" s="32">
        <f>IFERROR(__xludf.DUMMYFUNCTION("""COMPUTED_VALUE"""),43350.43425681713)</f>
        <v>43350.43426</v>
      </c>
      <c r="B1915" t="s">
        <v>371</v>
      </c>
    </row>
    <row r="1916">
      <c r="A1916" s="32">
        <f>IFERROR(__xludf.DUMMYFUNCTION("""COMPUTED_VALUE"""),43350.43512646991)</f>
        <v>43350.43513</v>
      </c>
      <c r="B1916" t="s">
        <v>371</v>
      </c>
    </row>
    <row r="1917">
      <c r="A1917" s="32">
        <f>IFERROR(__xludf.DUMMYFUNCTION("""COMPUTED_VALUE"""),43350.45945822917)</f>
        <v>43350.45946</v>
      </c>
      <c r="B1917" t="s">
        <v>40</v>
      </c>
    </row>
    <row r="1918">
      <c r="A1918" s="32">
        <f>IFERROR(__xludf.DUMMYFUNCTION("""COMPUTED_VALUE"""),43350.50711847222)</f>
        <v>43350.50712</v>
      </c>
      <c r="B1918" t="s">
        <v>1452</v>
      </c>
    </row>
    <row r="1919">
      <c r="A1919" s="32">
        <f>IFERROR(__xludf.DUMMYFUNCTION("""COMPUTED_VALUE"""),43350.51429119213)</f>
        <v>43350.51429</v>
      </c>
      <c r="B1919" t="s">
        <v>2736</v>
      </c>
    </row>
    <row r="1920">
      <c r="A1920" s="32">
        <f>IFERROR(__xludf.DUMMYFUNCTION("""COMPUTED_VALUE"""),43350.53498210648)</f>
        <v>43350.53498</v>
      </c>
      <c r="B1920" t="s">
        <v>40</v>
      </c>
    </row>
    <row r="1921">
      <c r="A1921" s="32">
        <f>IFERROR(__xludf.DUMMYFUNCTION("""COMPUTED_VALUE"""),43350.547553125)</f>
        <v>43350.54755</v>
      </c>
      <c r="B1921" t="s">
        <v>2737</v>
      </c>
    </row>
    <row r="1922">
      <c r="A1922" s="32">
        <f>IFERROR(__xludf.DUMMYFUNCTION("""COMPUTED_VALUE"""),43350.60242326389)</f>
        <v>43350.60242</v>
      </c>
      <c r="B1922" t="s">
        <v>1483</v>
      </c>
    </row>
    <row r="1923">
      <c r="A1923" s="32">
        <f>IFERROR(__xludf.DUMMYFUNCTION("""COMPUTED_VALUE"""),43350.66632289352)</f>
        <v>43350.66632</v>
      </c>
      <c r="B1923" t="s">
        <v>105</v>
      </c>
    </row>
    <row r="1924">
      <c r="A1924" s="32">
        <f>IFERROR(__xludf.DUMMYFUNCTION("""COMPUTED_VALUE"""),43350.67921809028)</f>
        <v>43350.67922</v>
      </c>
      <c r="B1924" t="s">
        <v>1484</v>
      </c>
    </row>
    <row r="1925">
      <c r="A1925" s="32">
        <f>IFERROR(__xludf.DUMMYFUNCTION("""COMPUTED_VALUE"""),43350.6792180787)</f>
        <v>43350.67922</v>
      </c>
      <c r="B1925" t="s">
        <v>1484</v>
      </c>
    </row>
    <row r="1926">
      <c r="A1926" s="32">
        <f>IFERROR(__xludf.DUMMYFUNCTION("""COMPUTED_VALUE"""),43350.69867046297)</f>
        <v>43350.69867</v>
      </c>
      <c r="B1926" t="s">
        <v>33</v>
      </c>
    </row>
    <row r="1927">
      <c r="A1927" s="32">
        <f>IFERROR(__xludf.DUMMYFUNCTION("""COMPUTED_VALUE"""),43350.730194965276)</f>
        <v>43350.73019</v>
      </c>
      <c r="B1927" t="s">
        <v>40</v>
      </c>
    </row>
    <row r="1928">
      <c r="A1928" s="32">
        <f>IFERROR(__xludf.DUMMYFUNCTION("""COMPUTED_VALUE"""),43350.73707094908)</f>
        <v>43350.73707</v>
      </c>
      <c r="B1928" t="s">
        <v>1486</v>
      </c>
    </row>
    <row r="1929">
      <c r="A1929" s="32">
        <f>IFERROR(__xludf.DUMMYFUNCTION("""COMPUTED_VALUE"""),43350.76252015046)</f>
        <v>43350.76252</v>
      </c>
      <c r="B1929" t="s">
        <v>2738</v>
      </c>
    </row>
    <row r="1930">
      <c r="A1930" s="32">
        <f>IFERROR(__xludf.DUMMYFUNCTION("""COMPUTED_VALUE"""),43350.8245809838)</f>
        <v>43350.82458</v>
      </c>
      <c r="B1930" t="s">
        <v>33</v>
      </c>
    </row>
    <row r="1931">
      <c r="A1931" s="32">
        <f>IFERROR(__xludf.DUMMYFUNCTION("""COMPUTED_VALUE"""),43350.919338113425)</f>
        <v>43350.91934</v>
      </c>
      <c r="B1931" t="s">
        <v>36</v>
      </c>
    </row>
    <row r="1932">
      <c r="A1932" s="32">
        <f>IFERROR(__xludf.DUMMYFUNCTION("""COMPUTED_VALUE"""),43350.971341400465)</f>
        <v>43350.97134</v>
      </c>
      <c r="B1932" t="s">
        <v>1491</v>
      </c>
    </row>
    <row r="1933">
      <c r="A1933" s="32">
        <f>IFERROR(__xludf.DUMMYFUNCTION("""COMPUTED_VALUE"""),43350.99526185185)</f>
        <v>43350.99526</v>
      </c>
      <c r="B1933" t="s">
        <v>1492</v>
      </c>
    </row>
    <row r="1934">
      <c r="A1934" s="32">
        <f>IFERROR(__xludf.DUMMYFUNCTION("""COMPUTED_VALUE"""),43351.00077414352)</f>
        <v>43351.00077</v>
      </c>
      <c r="B1934" t="s">
        <v>40</v>
      </c>
    </row>
    <row r="1935">
      <c r="A1935" s="32">
        <f>IFERROR(__xludf.DUMMYFUNCTION("""COMPUTED_VALUE"""),43351.06516106482)</f>
        <v>43351.06516</v>
      </c>
      <c r="B1935" t="s">
        <v>123</v>
      </c>
    </row>
    <row r="1936">
      <c r="A1936" s="32">
        <f>IFERROR(__xludf.DUMMYFUNCTION("""COMPUTED_VALUE"""),43351.09577105324)</f>
        <v>43351.09577</v>
      </c>
      <c r="B1936" t="s">
        <v>40</v>
      </c>
    </row>
    <row r="1937">
      <c r="A1937" s="32">
        <f>IFERROR(__xludf.DUMMYFUNCTION("""COMPUTED_VALUE"""),43351.164856759264)</f>
        <v>43351.16486</v>
      </c>
      <c r="B1937" t="s">
        <v>80</v>
      </c>
    </row>
    <row r="1938">
      <c r="A1938" s="32">
        <f>IFERROR(__xludf.DUMMYFUNCTION("""COMPUTED_VALUE"""),43351.307266840275)</f>
        <v>43351.30727</v>
      </c>
      <c r="B1938" t="s">
        <v>80</v>
      </c>
    </row>
    <row r="1939">
      <c r="A1939" s="32">
        <f>IFERROR(__xludf.DUMMYFUNCTION("""COMPUTED_VALUE"""),43351.39737931713)</f>
        <v>43351.39738</v>
      </c>
      <c r="B1939" t="s">
        <v>40</v>
      </c>
    </row>
    <row r="1940">
      <c r="A1940" s="32">
        <f>IFERROR(__xludf.DUMMYFUNCTION("""COMPUTED_VALUE"""),43351.452425763884)</f>
        <v>43351.45243</v>
      </c>
      <c r="B1940" t="s">
        <v>40</v>
      </c>
    </row>
    <row r="1941">
      <c r="A1941" s="32">
        <f>IFERROR(__xludf.DUMMYFUNCTION("""COMPUTED_VALUE"""),43351.46858821759)</f>
        <v>43351.46859</v>
      </c>
      <c r="B1941" t="s">
        <v>2658</v>
      </c>
    </row>
    <row r="1942">
      <c r="A1942" s="32">
        <f>IFERROR(__xludf.DUMMYFUNCTION("""COMPUTED_VALUE"""),43351.471639456024)</f>
        <v>43351.47164</v>
      </c>
      <c r="B1942" t="s">
        <v>95</v>
      </c>
    </row>
    <row r="1943">
      <c r="A1943" s="32">
        <f>IFERROR(__xludf.DUMMYFUNCTION("""COMPUTED_VALUE"""),43351.58409392361)</f>
        <v>43351.58409</v>
      </c>
      <c r="B1943" t="s">
        <v>282</v>
      </c>
    </row>
    <row r="1944">
      <c r="A1944" s="32">
        <f>IFERROR(__xludf.DUMMYFUNCTION("""COMPUTED_VALUE"""),43351.61402126157)</f>
        <v>43351.61402</v>
      </c>
      <c r="B1944" t="s">
        <v>1497</v>
      </c>
    </row>
    <row r="1945">
      <c r="A1945" s="32">
        <f>IFERROR(__xludf.DUMMYFUNCTION("""COMPUTED_VALUE"""),43351.62479609954)</f>
        <v>43351.6248</v>
      </c>
      <c r="B1945" t="s">
        <v>123</v>
      </c>
    </row>
    <row r="1946">
      <c r="A1946" s="32">
        <f>IFERROR(__xludf.DUMMYFUNCTION("""COMPUTED_VALUE"""),43351.666302604164)</f>
        <v>43351.6663</v>
      </c>
      <c r="B1946" t="s">
        <v>1499</v>
      </c>
    </row>
    <row r="1947">
      <c r="A1947" s="32">
        <f>IFERROR(__xludf.DUMMYFUNCTION("""COMPUTED_VALUE"""),43351.671607118056)</f>
        <v>43351.67161</v>
      </c>
      <c r="B1947" t="s">
        <v>123</v>
      </c>
    </row>
    <row r="1948">
      <c r="A1948" s="32">
        <f>IFERROR(__xludf.DUMMYFUNCTION("""COMPUTED_VALUE"""),43351.68807618055)</f>
        <v>43351.68808</v>
      </c>
      <c r="B1948" t="s">
        <v>1502</v>
      </c>
    </row>
    <row r="1949">
      <c r="A1949" s="32">
        <f>IFERROR(__xludf.DUMMYFUNCTION("""COMPUTED_VALUE"""),43351.78949378472)</f>
        <v>43351.78949</v>
      </c>
      <c r="B1949" t="s">
        <v>1504</v>
      </c>
    </row>
    <row r="1950">
      <c r="A1950" s="32">
        <f>IFERROR(__xludf.DUMMYFUNCTION("""COMPUTED_VALUE"""),43351.959496469906)</f>
        <v>43351.9595</v>
      </c>
      <c r="B1950" t="s">
        <v>122</v>
      </c>
    </row>
    <row r="1951">
      <c r="A1951" s="32">
        <f>IFERROR(__xludf.DUMMYFUNCTION("""COMPUTED_VALUE"""),43351.96062053241)</f>
        <v>43351.96062</v>
      </c>
      <c r="B1951" t="s">
        <v>122</v>
      </c>
    </row>
    <row r="1952">
      <c r="A1952" s="32">
        <f>IFERROR(__xludf.DUMMYFUNCTION("""COMPUTED_VALUE"""),43352.02251940972)</f>
        <v>43352.02252</v>
      </c>
      <c r="B1952" t="s">
        <v>80</v>
      </c>
    </row>
    <row r="1953">
      <c r="A1953" s="32">
        <f>IFERROR(__xludf.DUMMYFUNCTION("""COMPUTED_VALUE"""),43352.12583063658)</f>
        <v>43352.12583</v>
      </c>
      <c r="B1953" t="s">
        <v>506</v>
      </c>
    </row>
    <row r="1954">
      <c r="A1954" s="32">
        <f>IFERROR(__xludf.DUMMYFUNCTION("""COMPUTED_VALUE"""),43352.34552940972)</f>
        <v>43352.34553</v>
      </c>
      <c r="B1954" t="s">
        <v>380</v>
      </c>
    </row>
    <row r="1955">
      <c r="A1955" s="32">
        <f>IFERROR(__xludf.DUMMYFUNCTION("""COMPUTED_VALUE"""),43352.37128961805)</f>
        <v>43352.37129</v>
      </c>
      <c r="B1955" t="s">
        <v>48</v>
      </c>
    </row>
    <row r="1956">
      <c r="A1956" s="32">
        <f>IFERROR(__xludf.DUMMYFUNCTION("""COMPUTED_VALUE"""),43352.43297605324)</f>
        <v>43352.43298</v>
      </c>
      <c r="B1956" t="s">
        <v>40</v>
      </c>
    </row>
    <row r="1957">
      <c r="A1957" s="32">
        <f>IFERROR(__xludf.DUMMYFUNCTION("""COMPUTED_VALUE"""),43352.48897686343)</f>
        <v>43352.48898</v>
      </c>
      <c r="B1957" t="s">
        <v>36</v>
      </c>
    </row>
    <row r="1958">
      <c r="A1958" s="32">
        <f>IFERROR(__xludf.DUMMYFUNCTION("""COMPUTED_VALUE"""),43352.49481524306)</f>
        <v>43352.49482</v>
      </c>
      <c r="B1958" t="s">
        <v>80</v>
      </c>
    </row>
    <row r="1959">
      <c r="A1959" s="32">
        <f>IFERROR(__xludf.DUMMYFUNCTION("""COMPUTED_VALUE"""),43352.50125133102)</f>
        <v>43352.50125</v>
      </c>
      <c r="B1959" t="s">
        <v>268</v>
      </c>
    </row>
    <row r="1960">
      <c r="A1960" s="32">
        <f>IFERROR(__xludf.DUMMYFUNCTION("""COMPUTED_VALUE"""),43352.530441423616)</f>
        <v>43352.53044</v>
      </c>
      <c r="B1960" t="s">
        <v>33</v>
      </c>
    </row>
    <row r="1961">
      <c r="A1961" s="32">
        <f>IFERROR(__xludf.DUMMYFUNCTION("""COMPUTED_VALUE"""),43352.54138538195)</f>
        <v>43352.54139</v>
      </c>
      <c r="B1961" t="s">
        <v>204</v>
      </c>
    </row>
    <row r="1962">
      <c r="A1962" s="32">
        <f>IFERROR(__xludf.DUMMYFUNCTION("""COMPUTED_VALUE"""),43352.585722476855)</f>
        <v>43352.58572</v>
      </c>
      <c r="B1962" t="s">
        <v>123</v>
      </c>
    </row>
    <row r="1963">
      <c r="A1963" s="32">
        <f>IFERROR(__xludf.DUMMYFUNCTION("""COMPUTED_VALUE"""),43352.77813923611)</f>
        <v>43352.77814</v>
      </c>
      <c r="B1963" t="s">
        <v>1160</v>
      </c>
    </row>
    <row r="1964">
      <c r="A1964" s="32">
        <f>IFERROR(__xludf.DUMMYFUNCTION("""COMPUTED_VALUE"""),43352.80086180556)</f>
        <v>43352.80086</v>
      </c>
      <c r="B1964" t="s">
        <v>1509</v>
      </c>
    </row>
    <row r="1965">
      <c r="A1965" s="32">
        <f>IFERROR(__xludf.DUMMYFUNCTION("""COMPUTED_VALUE"""),43352.81637606482)</f>
        <v>43352.81638</v>
      </c>
      <c r="B1965" t="s">
        <v>33</v>
      </c>
    </row>
    <row r="1966">
      <c r="A1966" s="32">
        <f>IFERROR(__xludf.DUMMYFUNCTION("""COMPUTED_VALUE"""),43352.857045185185)</f>
        <v>43352.85705</v>
      </c>
      <c r="B1966" t="s">
        <v>1325</v>
      </c>
    </row>
    <row r="1967">
      <c r="A1967" s="32">
        <f>IFERROR(__xludf.DUMMYFUNCTION("""COMPUTED_VALUE"""),43352.86452386574)</f>
        <v>43352.86452</v>
      </c>
      <c r="B1967" t="s">
        <v>40</v>
      </c>
    </row>
    <row r="1968">
      <c r="A1968" s="32">
        <f>IFERROR(__xludf.DUMMYFUNCTION("""COMPUTED_VALUE"""),43352.99822997685)</f>
        <v>43352.99823</v>
      </c>
      <c r="B1968" t="s">
        <v>139</v>
      </c>
    </row>
    <row r="1969">
      <c r="A1969" s="32">
        <f>IFERROR(__xludf.DUMMYFUNCTION("""COMPUTED_VALUE"""),43353.10658385417)</f>
        <v>43353.10658</v>
      </c>
      <c r="B1969" t="s">
        <v>371</v>
      </c>
    </row>
    <row r="1970">
      <c r="A1970" s="32">
        <f>IFERROR(__xludf.DUMMYFUNCTION("""COMPUTED_VALUE"""),43353.24322048611)</f>
        <v>43353.24322</v>
      </c>
      <c r="B1970" t="s">
        <v>1426</v>
      </c>
    </row>
    <row r="1971">
      <c r="A1971" s="32">
        <f>IFERROR(__xludf.DUMMYFUNCTION("""COMPUTED_VALUE"""),43353.24598752314)</f>
        <v>43353.24599</v>
      </c>
      <c r="B1971" t="s">
        <v>1515</v>
      </c>
    </row>
    <row r="1972">
      <c r="A1972" s="32">
        <f>IFERROR(__xludf.DUMMYFUNCTION("""COMPUTED_VALUE"""),43353.38464887731)</f>
        <v>43353.38465</v>
      </c>
      <c r="B1972" t="s">
        <v>2424</v>
      </c>
    </row>
    <row r="1973">
      <c r="A1973" s="32">
        <f>IFERROR(__xludf.DUMMYFUNCTION("""COMPUTED_VALUE"""),43353.46410618056)</f>
        <v>43353.46411</v>
      </c>
      <c r="B1973" t="s">
        <v>170</v>
      </c>
    </row>
    <row r="1974">
      <c r="A1974" s="32">
        <f>IFERROR(__xludf.DUMMYFUNCTION("""COMPUTED_VALUE"""),43353.47856047454)</f>
        <v>43353.47856</v>
      </c>
      <c r="B1974" t="s">
        <v>80</v>
      </c>
    </row>
    <row r="1975">
      <c r="A1975" s="32">
        <f>IFERROR(__xludf.DUMMYFUNCTION("""COMPUTED_VALUE"""),43353.532772453706)</f>
        <v>43353.53277</v>
      </c>
      <c r="B1975" t="s">
        <v>40</v>
      </c>
    </row>
    <row r="1976">
      <c r="A1976" s="32">
        <f>IFERROR(__xludf.DUMMYFUNCTION("""COMPUTED_VALUE"""),43353.5408649537)</f>
        <v>43353.54086</v>
      </c>
      <c r="B1976" t="s">
        <v>48</v>
      </c>
    </row>
    <row r="1977">
      <c r="A1977" s="32">
        <f>IFERROR(__xludf.DUMMYFUNCTION("""COMPUTED_VALUE"""),43353.77968703704)</f>
        <v>43353.77969</v>
      </c>
      <c r="B1977" t="s">
        <v>1519</v>
      </c>
    </row>
    <row r="1978">
      <c r="A1978" s="32">
        <f>IFERROR(__xludf.DUMMYFUNCTION("""COMPUTED_VALUE"""),43353.81987315972)</f>
        <v>43353.81987</v>
      </c>
      <c r="B1978" t="s">
        <v>1521</v>
      </c>
    </row>
    <row r="1979">
      <c r="A1979" s="32">
        <f>IFERROR(__xludf.DUMMYFUNCTION("""COMPUTED_VALUE"""),43353.831342986115)</f>
        <v>43353.83134</v>
      </c>
      <c r="B1979" t="s">
        <v>523</v>
      </c>
    </row>
    <row r="1980">
      <c r="A1980" s="32">
        <f>IFERROR(__xludf.DUMMYFUNCTION("""COMPUTED_VALUE"""),43353.860031585646)</f>
        <v>43353.86003</v>
      </c>
      <c r="B1980" t="s">
        <v>40</v>
      </c>
    </row>
    <row r="1981">
      <c r="A1981" s="32">
        <f>IFERROR(__xludf.DUMMYFUNCTION("""COMPUTED_VALUE"""),43353.895025439815)</f>
        <v>43353.89503</v>
      </c>
      <c r="B1981" t="s">
        <v>36</v>
      </c>
    </row>
    <row r="1982">
      <c r="A1982" s="32">
        <f>IFERROR(__xludf.DUMMYFUNCTION("""COMPUTED_VALUE"""),43353.95851165509)</f>
        <v>43353.95851</v>
      </c>
      <c r="B1982" t="s">
        <v>1524</v>
      </c>
    </row>
    <row r="1983">
      <c r="A1983" s="32">
        <f>IFERROR(__xludf.DUMMYFUNCTION("""COMPUTED_VALUE"""),43353.96332318287)</f>
        <v>43353.96332</v>
      </c>
      <c r="B1983" t="s">
        <v>1528</v>
      </c>
    </row>
    <row r="1984">
      <c r="A1984" s="32">
        <f>IFERROR(__xludf.DUMMYFUNCTION("""COMPUTED_VALUE"""),43353.995149131944)</f>
        <v>43353.99515</v>
      </c>
      <c r="B1984" t="s">
        <v>40</v>
      </c>
    </row>
    <row r="1985">
      <c r="A1985" s="32">
        <f>IFERROR(__xludf.DUMMYFUNCTION("""COMPUTED_VALUE"""),43354.01541953704)</f>
        <v>43354.01542</v>
      </c>
      <c r="B1985" t="s">
        <v>45</v>
      </c>
    </row>
    <row r="1986">
      <c r="A1986" s="32">
        <f>IFERROR(__xludf.DUMMYFUNCTION("""COMPUTED_VALUE"""),43354.289782175925)</f>
        <v>43354.28978</v>
      </c>
      <c r="B1986" t="s">
        <v>80</v>
      </c>
    </row>
    <row r="1987">
      <c r="A1987" s="32">
        <f>IFERROR(__xludf.DUMMYFUNCTION("""COMPUTED_VALUE"""),43354.31743314815)</f>
        <v>43354.31743</v>
      </c>
      <c r="B1987" t="s">
        <v>371</v>
      </c>
    </row>
    <row r="1988">
      <c r="A1988" s="32">
        <f>IFERROR(__xludf.DUMMYFUNCTION("""COMPUTED_VALUE"""),43354.379145659725)</f>
        <v>43354.37915</v>
      </c>
      <c r="B1988" t="s">
        <v>40</v>
      </c>
    </row>
    <row r="1989">
      <c r="A1989" s="32">
        <f>IFERROR(__xludf.DUMMYFUNCTION("""COMPUTED_VALUE"""),43354.401663055556)</f>
        <v>43354.40166</v>
      </c>
      <c r="B1989" t="s">
        <v>268</v>
      </c>
    </row>
    <row r="1990">
      <c r="A1990" s="32">
        <f>IFERROR(__xludf.DUMMYFUNCTION("""COMPUTED_VALUE"""),43354.44795515046)</f>
        <v>43354.44796</v>
      </c>
      <c r="B1990" t="s">
        <v>33</v>
      </c>
    </row>
    <row r="1991">
      <c r="A1991" s="32">
        <f>IFERROR(__xludf.DUMMYFUNCTION("""COMPUTED_VALUE"""),43354.47118087963)</f>
        <v>43354.47118</v>
      </c>
      <c r="B1991" t="s">
        <v>813</v>
      </c>
    </row>
    <row r="1992">
      <c r="A1992" s="32">
        <f>IFERROR(__xludf.DUMMYFUNCTION("""COMPUTED_VALUE"""),43354.47428293982)</f>
        <v>43354.47428</v>
      </c>
      <c r="B1992" t="s">
        <v>2740</v>
      </c>
    </row>
    <row r="1993">
      <c r="A1993" s="32">
        <f>IFERROR(__xludf.DUMMYFUNCTION("""COMPUTED_VALUE"""),43354.48717079861)</f>
        <v>43354.48717</v>
      </c>
      <c r="B1993" t="s">
        <v>40</v>
      </c>
    </row>
    <row r="1994">
      <c r="A1994" s="32">
        <f>IFERROR(__xludf.DUMMYFUNCTION("""COMPUTED_VALUE"""),43354.49375638889)</f>
        <v>43354.49376</v>
      </c>
      <c r="B1994" t="s">
        <v>119</v>
      </c>
    </row>
    <row r="1995">
      <c r="A1995" s="32">
        <f>IFERROR(__xludf.DUMMYFUNCTION("""COMPUTED_VALUE"""),43354.495545)</f>
        <v>43354.49555</v>
      </c>
      <c r="B1995" t="s">
        <v>40</v>
      </c>
    </row>
    <row r="1996">
      <c r="A1996" s="32">
        <f>IFERROR(__xludf.DUMMYFUNCTION("""COMPUTED_VALUE"""),43354.52077231482)</f>
        <v>43354.52077</v>
      </c>
      <c r="B1996" t="s">
        <v>1160</v>
      </c>
    </row>
    <row r="1997">
      <c r="A1997" s="32">
        <f>IFERROR(__xludf.DUMMYFUNCTION("""COMPUTED_VALUE"""),43354.58075979167)</f>
        <v>43354.58076</v>
      </c>
      <c r="B1997" t="s">
        <v>124</v>
      </c>
    </row>
    <row r="1998">
      <c r="A1998" s="32">
        <f>IFERROR(__xludf.DUMMYFUNCTION("""COMPUTED_VALUE"""),43354.59965599537)</f>
        <v>43354.59966</v>
      </c>
      <c r="B1998" t="s">
        <v>45</v>
      </c>
    </row>
    <row r="1999">
      <c r="A1999" s="32">
        <f>IFERROR(__xludf.DUMMYFUNCTION("""COMPUTED_VALUE"""),43354.6545925463)</f>
        <v>43354.65459</v>
      </c>
      <c r="B1999" t="s">
        <v>80</v>
      </c>
    </row>
    <row r="2000">
      <c r="A2000" s="32">
        <f>IFERROR(__xludf.DUMMYFUNCTION("""COMPUTED_VALUE"""),43354.67482555556)</f>
        <v>43354.67483</v>
      </c>
      <c r="B2000" t="s">
        <v>80</v>
      </c>
    </row>
    <row r="2001">
      <c r="A2001" s="32">
        <f>IFERROR(__xludf.DUMMYFUNCTION("""COMPUTED_VALUE"""),43354.761036111115)</f>
        <v>43354.76104</v>
      </c>
      <c r="B2001" t="s">
        <v>33</v>
      </c>
    </row>
    <row r="2002">
      <c r="A2002" s="32">
        <f>IFERROR(__xludf.DUMMYFUNCTION("""COMPUTED_VALUE"""),43354.83250671296)</f>
        <v>43354.83251</v>
      </c>
      <c r="B2002" t="s">
        <v>48</v>
      </c>
    </row>
    <row r="2003">
      <c r="A2003" s="32">
        <f>IFERROR(__xludf.DUMMYFUNCTION("""COMPUTED_VALUE"""),43354.86738831019)</f>
        <v>43354.86739</v>
      </c>
      <c r="B2003" t="s">
        <v>33</v>
      </c>
    </row>
    <row r="2004">
      <c r="A2004" s="32">
        <f>IFERROR(__xludf.DUMMYFUNCTION("""COMPUTED_VALUE"""),43354.901575509255)</f>
        <v>43354.90158</v>
      </c>
      <c r="B2004" t="s">
        <v>40</v>
      </c>
    </row>
    <row r="2005">
      <c r="A2005" s="32">
        <f>IFERROR(__xludf.DUMMYFUNCTION("""COMPUTED_VALUE"""),43354.92643908565)</f>
        <v>43354.92644</v>
      </c>
      <c r="B2005" t="s">
        <v>2667</v>
      </c>
    </row>
    <row r="2006">
      <c r="A2006" s="32">
        <f>IFERROR(__xludf.DUMMYFUNCTION("""COMPUTED_VALUE"""),43354.946915486114)</f>
        <v>43354.94692</v>
      </c>
      <c r="B2006" t="s">
        <v>80</v>
      </c>
    </row>
    <row r="2007">
      <c r="A2007" s="32">
        <f>IFERROR(__xludf.DUMMYFUNCTION("""COMPUTED_VALUE"""),43354.96600905093)</f>
        <v>43354.96601</v>
      </c>
      <c r="B2007" t="s">
        <v>33</v>
      </c>
    </row>
    <row r="2008">
      <c r="A2008" s="32">
        <f>IFERROR(__xludf.DUMMYFUNCTION("""COMPUTED_VALUE"""),43355.05890137731)</f>
        <v>43355.0589</v>
      </c>
      <c r="B2008" t="s">
        <v>1540</v>
      </c>
    </row>
    <row r="2009">
      <c r="A2009" s="32">
        <f>IFERROR(__xludf.DUMMYFUNCTION("""COMPUTED_VALUE"""),43355.17329719907)</f>
        <v>43355.1733</v>
      </c>
      <c r="B2009" t="s">
        <v>80</v>
      </c>
    </row>
    <row r="2010">
      <c r="A2010" s="32">
        <f>IFERROR(__xludf.DUMMYFUNCTION("""COMPUTED_VALUE"""),43355.3277325)</f>
        <v>43355.32773</v>
      </c>
      <c r="B2010" t="s">
        <v>188</v>
      </c>
    </row>
    <row r="2011">
      <c r="A2011" s="32">
        <f>IFERROR(__xludf.DUMMYFUNCTION("""COMPUTED_VALUE"""),43355.47492353009)</f>
        <v>43355.47492</v>
      </c>
      <c r="B2011" t="s">
        <v>33</v>
      </c>
    </row>
    <row r="2012">
      <c r="A2012" s="32">
        <f>IFERROR(__xludf.DUMMYFUNCTION("""COMPUTED_VALUE"""),43355.62447556713)</f>
        <v>43355.62448</v>
      </c>
      <c r="B2012" t="s">
        <v>25</v>
      </c>
    </row>
    <row r="2013">
      <c r="A2013" s="32">
        <f>IFERROR(__xludf.DUMMYFUNCTION("""COMPUTED_VALUE"""),43355.74976034722)</f>
        <v>43355.74976</v>
      </c>
      <c r="B2013" t="s">
        <v>124</v>
      </c>
    </row>
    <row r="2014">
      <c r="A2014" s="32">
        <f>IFERROR(__xludf.DUMMYFUNCTION("""COMPUTED_VALUE"""),43355.80247113426)</f>
        <v>43355.80247</v>
      </c>
      <c r="B2014" t="s">
        <v>187</v>
      </c>
    </row>
    <row r="2015">
      <c r="A2015" s="32">
        <f>IFERROR(__xludf.DUMMYFUNCTION("""COMPUTED_VALUE"""),43355.86265760417)</f>
        <v>43355.86266</v>
      </c>
      <c r="B2015" t="s">
        <v>387</v>
      </c>
    </row>
    <row r="2016">
      <c r="A2016" s="32">
        <f>IFERROR(__xludf.DUMMYFUNCTION("""COMPUTED_VALUE"""),43355.92140905093)</f>
        <v>43355.92141</v>
      </c>
      <c r="B2016" t="s">
        <v>33</v>
      </c>
    </row>
    <row r="2017">
      <c r="A2017" s="32">
        <f>IFERROR(__xludf.DUMMYFUNCTION("""COMPUTED_VALUE"""),43356.00524334491)</f>
        <v>43356.00524</v>
      </c>
      <c r="B2017" t="s">
        <v>40</v>
      </c>
    </row>
    <row r="2018">
      <c r="A2018" s="32">
        <f>IFERROR(__xludf.DUMMYFUNCTION("""COMPUTED_VALUE"""),43356.03499424769)</f>
        <v>43356.03499</v>
      </c>
      <c r="B2018" t="s">
        <v>33</v>
      </c>
    </row>
    <row r="2019">
      <c r="A2019" s="32">
        <f>IFERROR(__xludf.DUMMYFUNCTION("""COMPUTED_VALUE"""),43356.062619027776)</f>
        <v>43356.06262</v>
      </c>
      <c r="B2019" t="s">
        <v>40</v>
      </c>
    </row>
    <row r="2020">
      <c r="A2020" s="32">
        <f>IFERROR(__xludf.DUMMYFUNCTION("""COMPUTED_VALUE"""),43356.309626284725)</f>
        <v>43356.30963</v>
      </c>
      <c r="B2020" t="s">
        <v>40</v>
      </c>
    </row>
    <row r="2021">
      <c r="A2021" s="32">
        <f>IFERROR(__xludf.DUMMYFUNCTION("""COMPUTED_VALUE"""),43356.3121646875)</f>
        <v>43356.31216</v>
      </c>
      <c r="B2021" t="s">
        <v>40</v>
      </c>
    </row>
    <row r="2022">
      <c r="A2022" s="32">
        <f>IFERROR(__xludf.DUMMYFUNCTION("""COMPUTED_VALUE"""),43356.349671516204)</f>
        <v>43356.34967</v>
      </c>
      <c r="B2022" t="s">
        <v>40</v>
      </c>
    </row>
    <row r="2023">
      <c r="A2023" s="32">
        <f>IFERROR(__xludf.DUMMYFUNCTION("""COMPUTED_VALUE"""),43356.41722545139)</f>
        <v>43356.41723</v>
      </c>
      <c r="B2023" t="s">
        <v>45</v>
      </c>
    </row>
    <row r="2024">
      <c r="A2024" s="32">
        <f>IFERROR(__xludf.DUMMYFUNCTION("""COMPUTED_VALUE"""),43356.42777753472)</f>
        <v>43356.42778</v>
      </c>
      <c r="B2024" t="s">
        <v>45</v>
      </c>
    </row>
    <row r="2025">
      <c r="A2025" s="32">
        <f>IFERROR(__xludf.DUMMYFUNCTION("""COMPUTED_VALUE"""),43356.49759142361)</f>
        <v>43356.49759</v>
      </c>
      <c r="B2025" t="s">
        <v>40</v>
      </c>
    </row>
    <row r="2026">
      <c r="A2026" s="32">
        <f>IFERROR(__xludf.DUMMYFUNCTION("""COMPUTED_VALUE"""),43356.50181003472)</f>
        <v>43356.50181</v>
      </c>
      <c r="B2026" t="s">
        <v>268</v>
      </c>
    </row>
    <row r="2027">
      <c r="A2027" s="32">
        <f>IFERROR(__xludf.DUMMYFUNCTION("""COMPUTED_VALUE"""),43356.52420210648)</f>
        <v>43356.5242</v>
      </c>
      <c r="B2027" t="s">
        <v>2741</v>
      </c>
    </row>
    <row r="2028">
      <c r="A2028" s="32">
        <f>IFERROR(__xludf.DUMMYFUNCTION("""COMPUTED_VALUE"""),43356.53334083333)</f>
        <v>43356.53334</v>
      </c>
      <c r="B2028" t="s">
        <v>123</v>
      </c>
    </row>
    <row r="2029">
      <c r="A2029" s="32">
        <f>IFERROR(__xludf.DUMMYFUNCTION("""COMPUTED_VALUE"""),43356.60832414352)</f>
        <v>43356.60832</v>
      </c>
      <c r="B2029" t="s">
        <v>2742</v>
      </c>
    </row>
    <row r="2030">
      <c r="A2030" s="32">
        <f>IFERROR(__xludf.DUMMYFUNCTION("""COMPUTED_VALUE"""),43356.65091216435)</f>
        <v>43356.65091</v>
      </c>
      <c r="B2030" t="s">
        <v>187</v>
      </c>
    </row>
    <row r="2031">
      <c r="A2031" s="32">
        <f>IFERROR(__xludf.DUMMYFUNCTION("""COMPUTED_VALUE"""),43356.703924155096)</f>
        <v>43356.70392</v>
      </c>
      <c r="B2031" t="s">
        <v>45</v>
      </c>
    </row>
    <row r="2032">
      <c r="A2032" s="32">
        <f>IFERROR(__xludf.DUMMYFUNCTION("""COMPUTED_VALUE"""),43356.75227324074)</f>
        <v>43356.75227</v>
      </c>
      <c r="B2032" t="s">
        <v>36</v>
      </c>
    </row>
    <row r="2033">
      <c r="A2033" s="32">
        <f>IFERROR(__xludf.DUMMYFUNCTION("""COMPUTED_VALUE"""),43356.75227321759)</f>
        <v>43356.75227</v>
      </c>
      <c r="B2033" t="s">
        <v>36</v>
      </c>
    </row>
    <row r="2034">
      <c r="A2034" s="32">
        <f>IFERROR(__xludf.DUMMYFUNCTION("""COMPUTED_VALUE"""),43356.75227324074)</f>
        <v>43356.75227</v>
      </c>
      <c r="B2034" t="s">
        <v>36</v>
      </c>
    </row>
    <row r="2035">
      <c r="A2035" s="32">
        <f>IFERROR(__xludf.DUMMYFUNCTION("""COMPUTED_VALUE"""),43356.80409769676)</f>
        <v>43356.8041</v>
      </c>
      <c r="B2035" t="s">
        <v>241</v>
      </c>
    </row>
    <row r="2036">
      <c r="A2036" s="32">
        <f>IFERROR(__xludf.DUMMYFUNCTION("""COMPUTED_VALUE"""),43356.80512966435)</f>
        <v>43356.80513</v>
      </c>
      <c r="B2036" t="s">
        <v>1553</v>
      </c>
    </row>
    <row r="2037">
      <c r="A2037" s="32">
        <f>IFERROR(__xludf.DUMMYFUNCTION("""COMPUTED_VALUE"""),43356.809273680556)</f>
        <v>43356.80927</v>
      </c>
      <c r="B2037" t="s">
        <v>80</v>
      </c>
    </row>
    <row r="2038">
      <c r="A2038" s="32">
        <f>IFERROR(__xludf.DUMMYFUNCTION("""COMPUTED_VALUE"""),43356.809857314816)</f>
        <v>43356.80986</v>
      </c>
      <c r="B2038" t="s">
        <v>33</v>
      </c>
    </row>
    <row r="2039">
      <c r="A2039" s="32">
        <f>IFERROR(__xludf.DUMMYFUNCTION("""COMPUTED_VALUE"""),43356.823706724535)</f>
        <v>43356.82371</v>
      </c>
      <c r="B2039" t="s">
        <v>40</v>
      </c>
    </row>
    <row r="2040">
      <c r="A2040" s="32">
        <f>IFERROR(__xludf.DUMMYFUNCTION("""COMPUTED_VALUE"""),43356.87409894676)</f>
        <v>43356.8741</v>
      </c>
      <c r="B2040" t="s">
        <v>371</v>
      </c>
    </row>
    <row r="2041">
      <c r="A2041" s="32">
        <f>IFERROR(__xludf.DUMMYFUNCTION("""COMPUTED_VALUE"""),43356.89278895833)</f>
        <v>43356.89279</v>
      </c>
      <c r="B2041" t="s">
        <v>122</v>
      </c>
    </row>
    <row r="2042">
      <c r="A2042" s="32">
        <f>IFERROR(__xludf.DUMMYFUNCTION("""COMPUTED_VALUE"""),43356.94894195602)</f>
        <v>43356.94894</v>
      </c>
      <c r="B2042" t="s">
        <v>40</v>
      </c>
    </row>
    <row r="2043">
      <c r="A2043" s="32">
        <f>IFERROR(__xludf.DUMMYFUNCTION("""COMPUTED_VALUE"""),43356.99761679398)</f>
        <v>43356.99762</v>
      </c>
      <c r="B2043" t="s">
        <v>170</v>
      </c>
    </row>
    <row r="2044">
      <c r="A2044" s="32">
        <f>IFERROR(__xludf.DUMMYFUNCTION("""COMPUTED_VALUE"""),43357.01609311343)</f>
        <v>43357.01609</v>
      </c>
      <c r="B2044" t="s">
        <v>40</v>
      </c>
    </row>
    <row r="2045">
      <c r="A2045" s="32">
        <f>IFERROR(__xludf.DUMMYFUNCTION("""COMPUTED_VALUE"""),43357.020638229165)</f>
        <v>43357.02064</v>
      </c>
      <c r="B2045" t="s">
        <v>80</v>
      </c>
    </row>
    <row r="2046">
      <c r="A2046" s="32">
        <f>IFERROR(__xludf.DUMMYFUNCTION("""COMPUTED_VALUE"""),43357.25734434028)</f>
        <v>43357.25734</v>
      </c>
      <c r="B2046" t="s">
        <v>80</v>
      </c>
    </row>
    <row r="2047">
      <c r="A2047" s="32">
        <f>IFERROR(__xludf.DUMMYFUNCTION("""COMPUTED_VALUE"""),43357.31116945602)</f>
        <v>43357.31117</v>
      </c>
      <c r="B2047" t="s">
        <v>33</v>
      </c>
    </row>
    <row r="2048">
      <c r="A2048" s="32">
        <f>IFERROR(__xludf.DUMMYFUNCTION("""COMPUTED_VALUE"""),43357.48899225694)</f>
        <v>43357.48899</v>
      </c>
      <c r="B2048" t="s">
        <v>40</v>
      </c>
    </row>
    <row r="2049">
      <c r="A2049" s="32">
        <f>IFERROR(__xludf.DUMMYFUNCTION("""COMPUTED_VALUE"""),43357.49941060186)</f>
        <v>43357.49941</v>
      </c>
      <c r="B2049" t="s">
        <v>36</v>
      </c>
    </row>
    <row r="2050">
      <c r="A2050" s="32">
        <f>IFERROR(__xludf.DUMMYFUNCTION("""COMPUTED_VALUE"""),43357.61974234953)</f>
        <v>43357.61974</v>
      </c>
      <c r="B2050" t="s">
        <v>407</v>
      </c>
    </row>
    <row r="2051">
      <c r="A2051" s="32">
        <f>IFERROR(__xludf.DUMMYFUNCTION("""COMPUTED_VALUE"""),43357.65983574074)</f>
        <v>43357.65984</v>
      </c>
      <c r="B2051" t="s">
        <v>1160</v>
      </c>
    </row>
    <row r="2052">
      <c r="A2052" s="32">
        <f>IFERROR(__xludf.DUMMYFUNCTION("""COMPUTED_VALUE"""),43357.780578935184)</f>
        <v>43357.78058</v>
      </c>
      <c r="B2052" t="s">
        <v>1559</v>
      </c>
    </row>
    <row r="2053">
      <c r="A2053" s="32">
        <f>IFERROR(__xludf.DUMMYFUNCTION("""COMPUTED_VALUE"""),43357.80091019676)</f>
        <v>43357.80091</v>
      </c>
      <c r="B2053" t="s">
        <v>371</v>
      </c>
    </row>
    <row r="2054">
      <c r="A2054" s="32">
        <f>IFERROR(__xludf.DUMMYFUNCTION("""COMPUTED_VALUE"""),43357.805432141206)</f>
        <v>43357.80543</v>
      </c>
      <c r="B2054" t="s">
        <v>371</v>
      </c>
    </row>
    <row r="2055">
      <c r="A2055" s="32">
        <f>IFERROR(__xludf.DUMMYFUNCTION("""COMPUTED_VALUE"""),43357.868184907406)</f>
        <v>43357.86818</v>
      </c>
      <c r="B2055" t="s">
        <v>371</v>
      </c>
    </row>
    <row r="2056">
      <c r="A2056" s="32">
        <f>IFERROR(__xludf.DUMMYFUNCTION("""COMPUTED_VALUE"""),43357.922418125)</f>
        <v>43357.92242</v>
      </c>
      <c r="B2056" t="s">
        <v>48</v>
      </c>
    </row>
    <row r="2057">
      <c r="A2057" s="32">
        <f>IFERROR(__xludf.DUMMYFUNCTION("""COMPUTED_VALUE"""),43358.0725516088)</f>
        <v>43358.07255</v>
      </c>
      <c r="B2057" t="s">
        <v>407</v>
      </c>
    </row>
    <row r="2058">
      <c r="A2058" s="32">
        <f>IFERROR(__xludf.DUMMYFUNCTION("""COMPUTED_VALUE"""),43358.47576752315)</f>
        <v>43358.47577</v>
      </c>
      <c r="B2058" t="s">
        <v>95</v>
      </c>
    </row>
    <row r="2059">
      <c r="A2059" s="32">
        <f>IFERROR(__xludf.DUMMYFUNCTION("""COMPUTED_VALUE"""),43358.49307484954)</f>
        <v>43358.49307</v>
      </c>
      <c r="B2059" t="s">
        <v>1562</v>
      </c>
    </row>
    <row r="2060">
      <c r="A2060" s="32">
        <f>IFERROR(__xludf.DUMMYFUNCTION("""COMPUTED_VALUE"""),43358.49406041666)</f>
        <v>43358.49406</v>
      </c>
      <c r="B2060" t="s">
        <v>2711</v>
      </c>
    </row>
    <row r="2061">
      <c r="A2061" s="32">
        <f>IFERROR(__xludf.DUMMYFUNCTION("""COMPUTED_VALUE"""),43358.517693483795)</f>
        <v>43358.51769</v>
      </c>
      <c r="B2061" t="s">
        <v>371</v>
      </c>
    </row>
    <row r="2062">
      <c r="A2062" s="32">
        <f>IFERROR(__xludf.DUMMYFUNCTION("""COMPUTED_VALUE"""),43358.832895162035)</f>
        <v>43358.8329</v>
      </c>
      <c r="B2062" t="s">
        <v>911</v>
      </c>
    </row>
    <row r="2063">
      <c r="A2063" s="32">
        <f>IFERROR(__xludf.DUMMYFUNCTION("""COMPUTED_VALUE"""),43358.89116655092)</f>
        <v>43358.89117</v>
      </c>
      <c r="B2063" t="s">
        <v>119</v>
      </c>
    </row>
    <row r="2064">
      <c r="A2064" s="32">
        <f>IFERROR(__xludf.DUMMYFUNCTION("""COMPUTED_VALUE"""),43358.988467800926)</f>
        <v>43358.98847</v>
      </c>
      <c r="B2064" t="s">
        <v>268</v>
      </c>
    </row>
    <row r="2065">
      <c r="A2065" s="32">
        <f>IFERROR(__xludf.DUMMYFUNCTION("""COMPUTED_VALUE"""),43358.98899333333)</f>
        <v>43358.98899</v>
      </c>
      <c r="B2065" t="s">
        <v>268</v>
      </c>
    </row>
    <row r="2066">
      <c r="A2066" s="32">
        <f>IFERROR(__xludf.DUMMYFUNCTION("""COMPUTED_VALUE"""),43358.990135995366)</f>
        <v>43358.99014</v>
      </c>
      <c r="B2066" t="s">
        <v>170</v>
      </c>
    </row>
    <row r="2067">
      <c r="A2067" s="32">
        <f>IFERROR(__xludf.DUMMYFUNCTION("""COMPUTED_VALUE"""),43359.08230091435)</f>
        <v>43359.0823</v>
      </c>
      <c r="B2067" t="s">
        <v>380</v>
      </c>
    </row>
    <row r="2068">
      <c r="A2068" s="32">
        <f>IFERROR(__xludf.DUMMYFUNCTION("""COMPUTED_VALUE"""),43359.15328400463)</f>
        <v>43359.15328</v>
      </c>
      <c r="B2068" t="s">
        <v>1564</v>
      </c>
    </row>
    <row r="2069">
      <c r="A2069" s="32">
        <f>IFERROR(__xludf.DUMMYFUNCTION("""COMPUTED_VALUE"""),43359.192113067125)</f>
        <v>43359.19211</v>
      </c>
      <c r="B2069" t="s">
        <v>40</v>
      </c>
    </row>
    <row r="2070">
      <c r="A2070" s="32">
        <f>IFERROR(__xludf.DUMMYFUNCTION("""COMPUTED_VALUE"""),43359.320839259264)</f>
        <v>43359.32084</v>
      </c>
      <c r="B2070" t="s">
        <v>40</v>
      </c>
    </row>
    <row r="2071">
      <c r="A2071" s="32">
        <f>IFERROR(__xludf.DUMMYFUNCTION("""COMPUTED_VALUE"""),43359.32497194444)</f>
        <v>43359.32497</v>
      </c>
      <c r="B2071" t="s">
        <v>80</v>
      </c>
    </row>
    <row r="2072">
      <c r="A2072" s="32">
        <f>IFERROR(__xludf.DUMMYFUNCTION("""COMPUTED_VALUE"""),43359.358848055555)</f>
        <v>43359.35885</v>
      </c>
      <c r="B2072" t="s">
        <v>33</v>
      </c>
    </row>
    <row r="2073">
      <c r="A2073" s="32">
        <f>IFERROR(__xludf.DUMMYFUNCTION("""COMPUTED_VALUE"""),43359.401015104166)</f>
        <v>43359.40102</v>
      </c>
      <c r="B2073" t="s">
        <v>36</v>
      </c>
    </row>
    <row r="2074">
      <c r="A2074" s="32">
        <f>IFERROR(__xludf.DUMMYFUNCTION("""COMPUTED_VALUE"""),43359.40993684028)</f>
        <v>43359.40994</v>
      </c>
      <c r="B2074" t="s">
        <v>80</v>
      </c>
    </row>
    <row r="2075">
      <c r="A2075" s="32">
        <f>IFERROR(__xludf.DUMMYFUNCTION("""COMPUTED_VALUE"""),43359.4139475)</f>
        <v>43359.41395</v>
      </c>
      <c r="B2075" t="s">
        <v>33</v>
      </c>
    </row>
    <row r="2076">
      <c r="A2076" s="32">
        <f>IFERROR(__xludf.DUMMYFUNCTION("""COMPUTED_VALUE"""),43359.41799047454)</f>
        <v>43359.41799</v>
      </c>
      <c r="B2076" t="s">
        <v>407</v>
      </c>
    </row>
    <row r="2077">
      <c r="A2077" s="32">
        <f>IFERROR(__xludf.DUMMYFUNCTION("""COMPUTED_VALUE"""),43359.44160939815)</f>
        <v>43359.44161</v>
      </c>
      <c r="B2077" t="s">
        <v>2424</v>
      </c>
    </row>
    <row r="2078">
      <c r="A2078" s="32">
        <f>IFERROR(__xludf.DUMMYFUNCTION("""COMPUTED_VALUE"""),43359.48560383102)</f>
        <v>43359.4856</v>
      </c>
      <c r="B2078" t="s">
        <v>40</v>
      </c>
    </row>
    <row r="2079">
      <c r="A2079" s="32">
        <f>IFERROR(__xludf.DUMMYFUNCTION("""COMPUTED_VALUE"""),43359.500729039355)</f>
        <v>43359.50073</v>
      </c>
      <c r="B2079" t="s">
        <v>33</v>
      </c>
    </row>
    <row r="2080">
      <c r="A2080" s="32">
        <f>IFERROR(__xludf.DUMMYFUNCTION("""COMPUTED_VALUE"""),43359.54708069444)</f>
        <v>43359.54708</v>
      </c>
      <c r="B2080" t="s">
        <v>80</v>
      </c>
    </row>
    <row r="2081">
      <c r="A2081" s="32">
        <f>IFERROR(__xludf.DUMMYFUNCTION("""COMPUTED_VALUE"""),43359.58342601852)</f>
        <v>43359.58343</v>
      </c>
      <c r="B2081" t="s">
        <v>33</v>
      </c>
    </row>
    <row r="2082">
      <c r="A2082" s="32">
        <f>IFERROR(__xludf.DUMMYFUNCTION("""COMPUTED_VALUE"""),43359.620101134264)</f>
        <v>43359.6201</v>
      </c>
      <c r="B2082" t="s">
        <v>33</v>
      </c>
    </row>
    <row r="2083">
      <c r="A2083" s="32">
        <f>IFERROR(__xludf.DUMMYFUNCTION("""COMPUTED_VALUE"""),43359.67402185185)</f>
        <v>43359.67402</v>
      </c>
      <c r="B2083" t="s">
        <v>119</v>
      </c>
    </row>
    <row r="2084">
      <c r="A2084" s="32">
        <f>IFERROR(__xludf.DUMMYFUNCTION("""COMPUTED_VALUE"""),43359.69152783565)</f>
        <v>43359.69153</v>
      </c>
      <c r="B2084" t="s">
        <v>2697</v>
      </c>
    </row>
    <row r="2085">
      <c r="A2085" s="32">
        <f>IFERROR(__xludf.DUMMYFUNCTION("""COMPUTED_VALUE"""),43359.871337731485)</f>
        <v>43359.87134</v>
      </c>
      <c r="B2085" t="s">
        <v>2743</v>
      </c>
    </row>
    <row r="2086">
      <c r="A2086" s="32">
        <f>IFERROR(__xludf.DUMMYFUNCTION("""COMPUTED_VALUE"""),43359.87891586806)</f>
        <v>43359.87892</v>
      </c>
      <c r="B2086" t="s">
        <v>1574</v>
      </c>
    </row>
    <row r="2087">
      <c r="A2087" s="32">
        <f>IFERROR(__xludf.DUMMYFUNCTION("""COMPUTED_VALUE"""),43359.89311225695)</f>
        <v>43359.89311</v>
      </c>
      <c r="B2087" t="s">
        <v>123</v>
      </c>
    </row>
    <row r="2088">
      <c r="A2088" s="32">
        <f>IFERROR(__xludf.DUMMYFUNCTION("""COMPUTED_VALUE"""),43359.909148900464)</f>
        <v>43359.90915</v>
      </c>
      <c r="B2088" t="s">
        <v>33</v>
      </c>
    </row>
    <row r="2089">
      <c r="A2089" s="32">
        <f>IFERROR(__xludf.DUMMYFUNCTION("""COMPUTED_VALUE"""),43359.98091449074)</f>
        <v>43359.98091</v>
      </c>
      <c r="B2089" t="s">
        <v>40</v>
      </c>
    </row>
    <row r="2090">
      <c r="A2090" s="32">
        <f>IFERROR(__xludf.DUMMYFUNCTION("""COMPUTED_VALUE"""),43360.04856848379)</f>
        <v>43360.04857</v>
      </c>
      <c r="B2090" t="s">
        <v>371</v>
      </c>
    </row>
    <row r="2091">
      <c r="A2091" s="32">
        <f>IFERROR(__xludf.DUMMYFUNCTION("""COMPUTED_VALUE"""),43360.105658182874)</f>
        <v>43360.10566</v>
      </c>
      <c r="B2091" t="s">
        <v>80</v>
      </c>
    </row>
    <row r="2092">
      <c r="A2092" s="32">
        <f>IFERROR(__xludf.DUMMYFUNCTION("""COMPUTED_VALUE"""),43360.29773774305)</f>
        <v>43360.29774</v>
      </c>
      <c r="B2092" t="s">
        <v>1434</v>
      </c>
    </row>
    <row r="2093">
      <c r="A2093" s="32">
        <f>IFERROR(__xludf.DUMMYFUNCTION("""COMPUTED_VALUE"""),43360.331478101856)</f>
        <v>43360.33148</v>
      </c>
      <c r="B2093" t="s">
        <v>123</v>
      </c>
    </row>
    <row r="2094">
      <c r="A2094" s="32">
        <f>IFERROR(__xludf.DUMMYFUNCTION("""COMPUTED_VALUE"""),43360.55314393518)</f>
        <v>43360.55314</v>
      </c>
      <c r="B2094" t="s">
        <v>268</v>
      </c>
    </row>
    <row r="2095">
      <c r="A2095" s="32">
        <f>IFERROR(__xludf.DUMMYFUNCTION("""COMPUTED_VALUE"""),43360.61986577546)</f>
        <v>43360.61987</v>
      </c>
      <c r="B2095" t="s">
        <v>154</v>
      </c>
    </row>
    <row r="2096">
      <c r="A2096" s="32">
        <f>IFERROR(__xludf.DUMMYFUNCTION("""COMPUTED_VALUE"""),43360.62353928241)</f>
        <v>43360.62354</v>
      </c>
      <c r="B2096" t="s">
        <v>40</v>
      </c>
    </row>
    <row r="2097">
      <c r="A2097" s="32">
        <f>IFERROR(__xludf.DUMMYFUNCTION("""COMPUTED_VALUE"""),43360.651020590274)</f>
        <v>43360.65102</v>
      </c>
      <c r="B2097" t="s">
        <v>48</v>
      </c>
    </row>
    <row r="2098">
      <c r="A2098" s="32">
        <f>IFERROR(__xludf.DUMMYFUNCTION("""COMPUTED_VALUE"""),43360.68318883102)</f>
        <v>43360.68319</v>
      </c>
      <c r="B2098" t="s">
        <v>2744</v>
      </c>
    </row>
    <row r="2099">
      <c r="A2099" s="32">
        <f>IFERROR(__xludf.DUMMYFUNCTION("""COMPUTED_VALUE"""),43360.69587185185)</f>
        <v>43360.69587</v>
      </c>
      <c r="B2099" t="s">
        <v>36</v>
      </c>
    </row>
    <row r="2100">
      <c r="A2100" s="32">
        <f>IFERROR(__xludf.DUMMYFUNCTION("""COMPUTED_VALUE"""),43360.69656844907)</f>
        <v>43360.69657</v>
      </c>
      <c r="B2100" t="s">
        <v>268</v>
      </c>
    </row>
    <row r="2101">
      <c r="A2101" s="32">
        <f>IFERROR(__xludf.DUMMYFUNCTION("""COMPUTED_VALUE"""),43360.698587465275)</f>
        <v>43360.69859</v>
      </c>
      <c r="B2101" t="s">
        <v>48</v>
      </c>
    </row>
    <row r="2102">
      <c r="A2102" s="32">
        <f>IFERROR(__xludf.DUMMYFUNCTION("""COMPUTED_VALUE"""),43360.704717361106)</f>
        <v>43360.70472</v>
      </c>
      <c r="B2102" t="s">
        <v>33</v>
      </c>
    </row>
    <row r="2103">
      <c r="A2103" s="32">
        <f>IFERROR(__xludf.DUMMYFUNCTION("""COMPUTED_VALUE"""),43360.711360416666)</f>
        <v>43360.71136</v>
      </c>
      <c r="B2103" t="s">
        <v>45</v>
      </c>
    </row>
    <row r="2104">
      <c r="A2104" s="32">
        <f>IFERROR(__xludf.DUMMYFUNCTION("""COMPUTED_VALUE"""),43360.73638333334)</f>
        <v>43360.73638</v>
      </c>
      <c r="B2104" t="s">
        <v>80</v>
      </c>
    </row>
    <row r="2105">
      <c r="A2105" s="32">
        <f>IFERROR(__xludf.DUMMYFUNCTION("""COMPUTED_VALUE"""),43360.787742291664)</f>
        <v>43360.78774</v>
      </c>
      <c r="B2105" t="s">
        <v>40</v>
      </c>
    </row>
    <row r="2106">
      <c r="A2106" s="32">
        <f>IFERROR(__xludf.DUMMYFUNCTION("""COMPUTED_VALUE"""),43360.884268124995)</f>
        <v>43360.88427</v>
      </c>
      <c r="B2106" t="s">
        <v>33</v>
      </c>
    </row>
    <row r="2107">
      <c r="A2107" s="32">
        <f>IFERROR(__xludf.DUMMYFUNCTION("""COMPUTED_VALUE"""),43360.8901931713)</f>
        <v>43360.89019</v>
      </c>
      <c r="B2107" t="s">
        <v>1574</v>
      </c>
    </row>
    <row r="2108">
      <c r="A2108" s="32">
        <f>IFERROR(__xludf.DUMMYFUNCTION("""COMPUTED_VALUE"""),43360.891395706014)</f>
        <v>43360.8914</v>
      </c>
      <c r="B2108" t="s">
        <v>33</v>
      </c>
    </row>
    <row r="2109">
      <c r="A2109" s="32">
        <f>IFERROR(__xludf.DUMMYFUNCTION("""COMPUTED_VALUE"""),43360.925134247685)</f>
        <v>43360.92513</v>
      </c>
      <c r="B2109" t="s">
        <v>33</v>
      </c>
    </row>
    <row r="2110">
      <c r="A2110" s="32">
        <f>IFERROR(__xludf.DUMMYFUNCTION("""COMPUTED_VALUE"""),43360.966477766204)</f>
        <v>43360.96648</v>
      </c>
      <c r="B2110" t="s">
        <v>119</v>
      </c>
    </row>
    <row r="2111">
      <c r="A2111" s="32">
        <f>IFERROR(__xludf.DUMMYFUNCTION("""COMPUTED_VALUE"""),43361.2162947801)</f>
        <v>43361.21629</v>
      </c>
      <c r="B2111" t="s">
        <v>1582</v>
      </c>
    </row>
    <row r="2112">
      <c r="A2112" s="32">
        <f>IFERROR(__xludf.DUMMYFUNCTION("""COMPUTED_VALUE"""),43361.31943265046)</f>
        <v>43361.31943</v>
      </c>
      <c r="B2112" t="s">
        <v>45</v>
      </c>
    </row>
    <row r="2113">
      <c r="A2113" s="32">
        <f>IFERROR(__xludf.DUMMYFUNCTION("""COMPUTED_VALUE"""),43361.40122119213)</f>
        <v>43361.40122</v>
      </c>
      <c r="B2113" t="s">
        <v>48</v>
      </c>
    </row>
    <row r="2114">
      <c r="A2114" s="32">
        <f>IFERROR(__xludf.DUMMYFUNCTION("""COMPUTED_VALUE"""),43361.40377704861)</f>
        <v>43361.40378</v>
      </c>
      <c r="B2114" t="s">
        <v>2658</v>
      </c>
    </row>
    <row r="2115">
      <c r="A2115" s="32">
        <f>IFERROR(__xludf.DUMMYFUNCTION("""COMPUTED_VALUE"""),43361.40648331019)</f>
        <v>43361.40648</v>
      </c>
      <c r="B2115" t="s">
        <v>36</v>
      </c>
    </row>
    <row r="2116">
      <c r="A2116" s="32">
        <f>IFERROR(__xludf.DUMMYFUNCTION("""COMPUTED_VALUE"""),43361.45002023148)</f>
        <v>43361.45002</v>
      </c>
      <c r="B2116" t="s">
        <v>40</v>
      </c>
    </row>
    <row r="2117">
      <c r="A2117" s="32">
        <f>IFERROR(__xludf.DUMMYFUNCTION("""COMPUTED_VALUE"""),43361.46807663194)</f>
        <v>43361.46808</v>
      </c>
      <c r="B2117" t="s">
        <v>1585</v>
      </c>
    </row>
    <row r="2118">
      <c r="A2118" s="32">
        <f>IFERROR(__xludf.DUMMYFUNCTION("""COMPUTED_VALUE"""),43361.48175446759)</f>
        <v>43361.48175</v>
      </c>
      <c r="B2118" t="s">
        <v>270</v>
      </c>
    </row>
    <row r="2119">
      <c r="A2119" s="32">
        <f>IFERROR(__xludf.DUMMYFUNCTION("""COMPUTED_VALUE"""),43361.48443483796)</f>
        <v>43361.48443</v>
      </c>
      <c r="B2119" t="s">
        <v>270</v>
      </c>
    </row>
    <row r="2120">
      <c r="A2120" s="32">
        <f>IFERROR(__xludf.DUMMYFUNCTION("""COMPUTED_VALUE"""),43361.57391190973)</f>
        <v>43361.57391</v>
      </c>
      <c r="B2120" t="s">
        <v>33</v>
      </c>
    </row>
    <row r="2121">
      <c r="A2121" s="32">
        <f>IFERROR(__xludf.DUMMYFUNCTION("""COMPUTED_VALUE"""),43361.67379877315)</f>
        <v>43361.6738</v>
      </c>
      <c r="B2121" t="s">
        <v>1587</v>
      </c>
    </row>
    <row r="2122">
      <c r="A2122" s="32">
        <f>IFERROR(__xludf.DUMMYFUNCTION("""COMPUTED_VALUE"""),43361.74817670139)</f>
        <v>43361.74818</v>
      </c>
      <c r="B2122" t="s">
        <v>123</v>
      </c>
    </row>
    <row r="2123">
      <c r="A2123" s="32">
        <f>IFERROR(__xludf.DUMMYFUNCTION("""COMPUTED_VALUE"""),43361.86047167824)</f>
        <v>43361.86047</v>
      </c>
      <c r="B2123" t="s">
        <v>123</v>
      </c>
    </row>
    <row r="2124">
      <c r="A2124" s="32">
        <f>IFERROR(__xludf.DUMMYFUNCTION("""COMPUTED_VALUE"""),43361.86724530093)</f>
        <v>43361.86725</v>
      </c>
      <c r="B2124" t="s">
        <v>2745</v>
      </c>
    </row>
    <row r="2125">
      <c r="A2125" s="32">
        <f>IFERROR(__xludf.DUMMYFUNCTION("""COMPUTED_VALUE"""),43361.90893372685)</f>
        <v>43361.90893</v>
      </c>
      <c r="B2125" t="s">
        <v>95</v>
      </c>
    </row>
    <row r="2126">
      <c r="A2126" s="32">
        <f>IFERROR(__xludf.DUMMYFUNCTION("""COMPUTED_VALUE"""),43361.947319224535)</f>
        <v>43361.94732</v>
      </c>
      <c r="B2126" t="s">
        <v>40</v>
      </c>
    </row>
    <row r="2127">
      <c r="A2127" s="32">
        <f>IFERROR(__xludf.DUMMYFUNCTION("""COMPUTED_VALUE"""),43362.032726273144)</f>
        <v>43362.03273</v>
      </c>
      <c r="B2127" t="s">
        <v>371</v>
      </c>
    </row>
    <row r="2128">
      <c r="A2128" s="32">
        <f>IFERROR(__xludf.DUMMYFUNCTION("""COMPUTED_VALUE"""),43362.316972141205)</f>
        <v>43362.31697</v>
      </c>
      <c r="B2128" t="s">
        <v>1594</v>
      </c>
    </row>
    <row r="2129">
      <c r="A2129" s="32">
        <f>IFERROR(__xludf.DUMMYFUNCTION("""COMPUTED_VALUE"""),43362.324363506945)</f>
        <v>43362.32436</v>
      </c>
      <c r="B2129" t="s">
        <v>45</v>
      </c>
    </row>
    <row r="2130">
      <c r="A2130" s="32">
        <f>IFERROR(__xludf.DUMMYFUNCTION("""COMPUTED_VALUE"""),43362.60097018519)</f>
        <v>43362.60097</v>
      </c>
      <c r="B2130" t="s">
        <v>33</v>
      </c>
    </row>
    <row r="2131">
      <c r="A2131" s="32">
        <f>IFERROR(__xludf.DUMMYFUNCTION("""COMPUTED_VALUE"""),43362.601505405095)</f>
        <v>43362.60151</v>
      </c>
      <c r="B2131" t="s">
        <v>33</v>
      </c>
    </row>
    <row r="2132">
      <c r="A2132" s="32">
        <f>IFERROR(__xludf.DUMMYFUNCTION("""COMPUTED_VALUE"""),43362.61977263889)</f>
        <v>43362.61977</v>
      </c>
      <c r="B2132" t="s">
        <v>33</v>
      </c>
    </row>
    <row r="2133">
      <c r="A2133" s="32">
        <f>IFERROR(__xludf.DUMMYFUNCTION("""COMPUTED_VALUE"""),43362.71337783565)</f>
        <v>43362.71338</v>
      </c>
      <c r="B2133" t="s">
        <v>2746</v>
      </c>
    </row>
    <row r="2134">
      <c r="A2134" s="32">
        <f>IFERROR(__xludf.DUMMYFUNCTION("""COMPUTED_VALUE"""),43362.717817233795)</f>
        <v>43362.71782</v>
      </c>
      <c r="B2134" t="s">
        <v>95</v>
      </c>
    </row>
    <row r="2135">
      <c r="A2135" s="32">
        <f>IFERROR(__xludf.DUMMYFUNCTION("""COMPUTED_VALUE"""),43362.72983358796)</f>
        <v>43362.72983</v>
      </c>
      <c r="B2135" t="s">
        <v>1603</v>
      </c>
    </row>
    <row r="2136">
      <c r="A2136" s="32">
        <f>IFERROR(__xludf.DUMMYFUNCTION("""COMPUTED_VALUE"""),43362.736589594904)</f>
        <v>43362.73659</v>
      </c>
      <c r="B2136" t="s">
        <v>33</v>
      </c>
    </row>
    <row r="2137">
      <c r="A2137" s="32">
        <f>IFERROR(__xludf.DUMMYFUNCTION("""COMPUTED_VALUE"""),43362.791399849535)</f>
        <v>43362.7914</v>
      </c>
      <c r="B2137" t="s">
        <v>1606</v>
      </c>
    </row>
    <row r="2138">
      <c r="A2138" s="32">
        <f>IFERROR(__xludf.DUMMYFUNCTION("""COMPUTED_VALUE"""),43362.87074532408)</f>
        <v>43362.87075</v>
      </c>
      <c r="B2138" t="s">
        <v>1609</v>
      </c>
    </row>
    <row r="2139">
      <c r="A2139" s="32">
        <f>IFERROR(__xludf.DUMMYFUNCTION("""COMPUTED_VALUE"""),43362.894904375)</f>
        <v>43362.8949</v>
      </c>
      <c r="B2139" t="s">
        <v>1610</v>
      </c>
    </row>
    <row r="2140">
      <c r="A2140" s="32">
        <f>IFERROR(__xludf.DUMMYFUNCTION("""COMPUTED_VALUE"""),43362.895188634255)</f>
        <v>43362.89519</v>
      </c>
      <c r="B2140" t="s">
        <v>80</v>
      </c>
    </row>
    <row r="2141">
      <c r="A2141" s="32">
        <f>IFERROR(__xludf.DUMMYFUNCTION("""COMPUTED_VALUE"""),43362.89680396991)</f>
        <v>43362.8968</v>
      </c>
      <c r="B2141" t="s">
        <v>80</v>
      </c>
    </row>
    <row r="2142">
      <c r="A2142" s="32">
        <f>IFERROR(__xludf.DUMMYFUNCTION("""COMPUTED_VALUE"""),43362.90432778935)</f>
        <v>43362.90433</v>
      </c>
      <c r="B2142" t="s">
        <v>48</v>
      </c>
    </row>
    <row r="2143">
      <c r="A2143" s="32">
        <f>IFERROR(__xludf.DUMMYFUNCTION("""COMPUTED_VALUE"""),43362.96517556713)</f>
        <v>43362.96518</v>
      </c>
      <c r="B2143" t="s">
        <v>45</v>
      </c>
    </row>
    <row r="2144">
      <c r="A2144" s="32">
        <f>IFERROR(__xludf.DUMMYFUNCTION("""COMPUTED_VALUE"""),43363.00135172454)</f>
        <v>43363.00135</v>
      </c>
      <c r="B2144" t="s">
        <v>40</v>
      </c>
    </row>
    <row r="2145">
      <c r="A2145" s="32">
        <f>IFERROR(__xludf.DUMMYFUNCTION("""COMPUTED_VALUE"""),43363.003232187504)</f>
        <v>43363.00323</v>
      </c>
      <c r="B2145" t="s">
        <v>77</v>
      </c>
    </row>
    <row r="2146">
      <c r="A2146" s="32">
        <f>IFERROR(__xludf.DUMMYFUNCTION("""COMPUTED_VALUE"""),43363.010113553246)</f>
        <v>43363.01011</v>
      </c>
      <c r="B2146" t="s">
        <v>204</v>
      </c>
    </row>
    <row r="2147">
      <c r="A2147" s="32">
        <f>IFERROR(__xludf.DUMMYFUNCTION("""COMPUTED_VALUE"""),43363.090361423616)</f>
        <v>43363.09036</v>
      </c>
      <c r="B2147" t="s">
        <v>36</v>
      </c>
    </row>
    <row r="2148">
      <c r="A2148" s="32">
        <f>IFERROR(__xludf.DUMMYFUNCTION("""COMPUTED_VALUE"""),43363.24724864583)</f>
        <v>43363.24725</v>
      </c>
      <c r="B2148" t="s">
        <v>1612</v>
      </c>
    </row>
    <row r="2149">
      <c r="A2149" s="32">
        <f>IFERROR(__xludf.DUMMYFUNCTION("""COMPUTED_VALUE"""),43363.43585913195)</f>
        <v>43363.43586</v>
      </c>
      <c r="B2149" t="s">
        <v>80</v>
      </c>
    </row>
    <row r="2150">
      <c r="A2150" s="32">
        <f>IFERROR(__xludf.DUMMYFUNCTION("""COMPUTED_VALUE"""),43363.44824226852)</f>
        <v>43363.44824</v>
      </c>
      <c r="B2150" t="s">
        <v>48</v>
      </c>
    </row>
    <row r="2151">
      <c r="A2151" s="32">
        <f>IFERROR(__xludf.DUMMYFUNCTION("""COMPUTED_VALUE"""),43363.453775462964)</f>
        <v>43363.45378</v>
      </c>
      <c r="B2151" t="s">
        <v>142</v>
      </c>
    </row>
    <row r="2152">
      <c r="A2152" s="32">
        <f>IFERROR(__xludf.DUMMYFUNCTION("""COMPUTED_VALUE"""),43363.470722314814)</f>
        <v>43363.47072</v>
      </c>
      <c r="B2152" t="s">
        <v>187</v>
      </c>
    </row>
    <row r="2153">
      <c r="A2153" s="32">
        <f>IFERROR(__xludf.DUMMYFUNCTION("""COMPUTED_VALUE"""),43363.55413993055)</f>
        <v>43363.55414</v>
      </c>
      <c r="B2153" t="s">
        <v>33</v>
      </c>
    </row>
    <row r="2154">
      <c r="A2154" s="32">
        <f>IFERROR(__xludf.DUMMYFUNCTION("""COMPUTED_VALUE"""),43363.59912136574)</f>
        <v>43363.59912</v>
      </c>
      <c r="B2154" t="s">
        <v>95</v>
      </c>
    </row>
    <row r="2155">
      <c r="A2155" s="32">
        <f>IFERROR(__xludf.DUMMYFUNCTION("""COMPUTED_VALUE"""),43363.625116967596)</f>
        <v>43363.62512</v>
      </c>
      <c r="B2155" t="s">
        <v>2747</v>
      </c>
    </row>
    <row r="2156">
      <c r="A2156" s="32">
        <f>IFERROR(__xludf.DUMMYFUNCTION("""COMPUTED_VALUE"""),43363.64789502315)</f>
        <v>43363.6479</v>
      </c>
      <c r="B2156" t="s">
        <v>2675</v>
      </c>
    </row>
    <row r="2157">
      <c r="A2157" s="32">
        <f>IFERROR(__xludf.DUMMYFUNCTION("""COMPUTED_VALUE"""),43363.71755325231)</f>
        <v>43363.71755</v>
      </c>
      <c r="B2157" t="s">
        <v>1609</v>
      </c>
    </row>
    <row r="2158">
      <c r="A2158" s="32">
        <f>IFERROR(__xludf.DUMMYFUNCTION("""COMPUTED_VALUE"""),43363.89108480324)</f>
        <v>43363.89108</v>
      </c>
      <c r="B2158" t="s">
        <v>40</v>
      </c>
    </row>
    <row r="2159">
      <c r="A2159" s="32">
        <f>IFERROR(__xludf.DUMMYFUNCTION("""COMPUTED_VALUE"""),43363.90875833333)</f>
        <v>43363.90876</v>
      </c>
      <c r="B2159" t="s">
        <v>1625</v>
      </c>
    </row>
    <row r="2160">
      <c r="A2160" s="32">
        <f>IFERROR(__xludf.DUMMYFUNCTION("""COMPUTED_VALUE"""),43363.927303495366)</f>
        <v>43363.9273</v>
      </c>
      <c r="B2160" t="s">
        <v>123</v>
      </c>
    </row>
    <row r="2161">
      <c r="A2161" s="32">
        <f>IFERROR(__xludf.DUMMYFUNCTION("""COMPUTED_VALUE"""),43363.93290997685)</f>
        <v>43363.93291</v>
      </c>
      <c r="B2161" t="s">
        <v>95</v>
      </c>
    </row>
    <row r="2162">
      <c r="A2162" s="32">
        <f>IFERROR(__xludf.DUMMYFUNCTION("""COMPUTED_VALUE"""),43363.945117766205)</f>
        <v>43363.94512</v>
      </c>
      <c r="B2162" t="s">
        <v>95</v>
      </c>
    </row>
    <row r="2163">
      <c r="A2163" s="32">
        <f>IFERROR(__xludf.DUMMYFUNCTION("""COMPUTED_VALUE"""),43363.97272978009)</f>
        <v>43363.97273</v>
      </c>
      <c r="B2163" t="s">
        <v>80</v>
      </c>
    </row>
    <row r="2164">
      <c r="A2164" s="32">
        <f>IFERROR(__xludf.DUMMYFUNCTION("""COMPUTED_VALUE"""),43364.153100787036)</f>
        <v>43364.1531</v>
      </c>
      <c r="B2164" t="s">
        <v>170</v>
      </c>
    </row>
    <row r="2165">
      <c r="A2165" s="32">
        <f>IFERROR(__xludf.DUMMYFUNCTION("""COMPUTED_VALUE"""),43364.25021827546)</f>
        <v>43364.25022</v>
      </c>
      <c r="B2165" t="s">
        <v>124</v>
      </c>
    </row>
    <row r="2166">
      <c r="A2166" s="32">
        <f>IFERROR(__xludf.DUMMYFUNCTION("""COMPUTED_VALUE"""),43364.29193443287)</f>
        <v>43364.29193</v>
      </c>
      <c r="B2166" t="s">
        <v>80</v>
      </c>
    </row>
    <row r="2167">
      <c r="A2167" s="32">
        <f>IFERROR(__xludf.DUMMYFUNCTION("""COMPUTED_VALUE"""),43364.32735385417)</f>
        <v>43364.32735</v>
      </c>
      <c r="B2167" t="s">
        <v>33</v>
      </c>
    </row>
    <row r="2168">
      <c r="A2168" s="32">
        <f>IFERROR(__xludf.DUMMYFUNCTION("""COMPUTED_VALUE"""),43364.33431199074)</f>
        <v>43364.33431</v>
      </c>
      <c r="B2168" t="s">
        <v>142</v>
      </c>
    </row>
    <row r="2169">
      <c r="A2169" s="32">
        <f>IFERROR(__xludf.DUMMYFUNCTION("""COMPUTED_VALUE"""),43364.33431520833)</f>
        <v>43364.33432</v>
      </c>
      <c r="B2169" t="s">
        <v>142</v>
      </c>
    </row>
    <row r="2170">
      <c r="A2170" s="32">
        <f>IFERROR(__xludf.DUMMYFUNCTION("""COMPUTED_VALUE"""),43364.36967267361)</f>
        <v>43364.36967</v>
      </c>
      <c r="B2170" t="s">
        <v>33</v>
      </c>
    </row>
    <row r="2171">
      <c r="A2171" s="32">
        <f>IFERROR(__xludf.DUMMYFUNCTION("""COMPUTED_VALUE"""),43364.387523067126)</f>
        <v>43364.38752</v>
      </c>
      <c r="B2171" t="s">
        <v>33</v>
      </c>
    </row>
    <row r="2172">
      <c r="A2172" s="32">
        <f>IFERROR(__xludf.DUMMYFUNCTION("""COMPUTED_VALUE"""),43364.39113082176)</f>
        <v>43364.39113</v>
      </c>
      <c r="B2172" t="s">
        <v>371</v>
      </c>
    </row>
    <row r="2173">
      <c r="A2173" s="32">
        <f>IFERROR(__xludf.DUMMYFUNCTION("""COMPUTED_VALUE"""),43364.524372280095)</f>
        <v>43364.52437</v>
      </c>
      <c r="B2173" t="s">
        <v>33</v>
      </c>
    </row>
    <row r="2174">
      <c r="A2174" s="32">
        <f>IFERROR(__xludf.DUMMYFUNCTION("""COMPUTED_VALUE"""),43364.53159491898)</f>
        <v>43364.53159</v>
      </c>
      <c r="B2174" t="s">
        <v>371</v>
      </c>
    </row>
    <row r="2175">
      <c r="A2175" s="32">
        <f>IFERROR(__xludf.DUMMYFUNCTION("""COMPUTED_VALUE"""),43364.73696887732)</f>
        <v>43364.73697</v>
      </c>
      <c r="B2175" t="s">
        <v>463</v>
      </c>
    </row>
    <row r="2176">
      <c r="A2176" s="32">
        <f>IFERROR(__xludf.DUMMYFUNCTION("""COMPUTED_VALUE"""),43364.74862741899)</f>
        <v>43364.74863</v>
      </c>
      <c r="B2176" t="s">
        <v>1636</v>
      </c>
    </row>
    <row r="2177">
      <c r="A2177" s="32">
        <f>IFERROR(__xludf.DUMMYFUNCTION("""COMPUTED_VALUE"""),43364.797324618055)</f>
        <v>43364.79732</v>
      </c>
      <c r="B2177" t="s">
        <v>40</v>
      </c>
    </row>
    <row r="2178">
      <c r="A2178" s="32">
        <f>IFERROR(__xludf.DUMMYFUNCTION("""COMPUTED_VALUE"""),43364.80952888889)</f>
        <v>43364.80953</v>
      </c>
      <c r="B2178" t="s">
        <v>33</v>
      </c>
    </row>
    <row r="2179">
      <c r="A2179" s="32">
        <f>IFERROR(__xludf.DUMMYFUNCTION("""COMPUTED_VALUE"""),43364.83277408565)</f>
        <v>43364.83277</v>
      </c>
      <c r="B2179" t="s">
        <v>36</v>
      </c>
    </row>
    <row r="2180">
      <c r="A2180" s="32">
        <f>IFERROR(__xludf.DUMMYFUNCTION("""COMPUTED_VALUE"""),43364.85070967593)</f>
        <v>43364.85071</v>
      </c>
      <c r="B2180" t="s">
        <v>33</v>
      </c>
    </row>
    <row r="2181">
      <c r="A2181" s="32">
        <f>IFERROR(__xludf.DUMMYFUNCTION("""COMPUTED_VALUE"""),43364.85353582176)</f>
        <v>43364.85354</v>
      </c>
      <c r="B2181" t="s">
        <v>33</v>
      </c>
    </row>
    <row r="2182">
      <c r="A2182" s="32">
        <f>IFERROR(__xludf.DUMMYFUNCTION("""COMPUTED_VALUE"""),43364.942730497685)</f>
        <v>43364.94273</v>
      </c>
      <c r="B2182" t="s">
        <v>1502</v>
      </c>
    </row>
    <row r="2183">
      <c r="A2183" s="32">
        <f>IFERROR(__xludf.DUMMYFUNCTION("""COMPUTED_VALUE"""),43364.96464287037)</f>
        <v>43364.96464</v>
      </c>
      <c r="B2183" t="s">
        <v>45</v>
      </c>
    </row>
    <row r="2184">
      <c r="A2184" s="32">
        <f>IFERROR(__xludf.DUMMYFUNCTION("""COMPUTED_VALUE"""),43364.97247622685)</f>
        <v>43364.97248</v>
      </c>
      <c r="B2184" t="s">
        <v>25</v>
      </c>
    </row>
    <row r="2185">
      <c r="A2185" s="32">
        <f>IFERROR(__xludf.DUMMYFUNCTION("""COMPUTED_VALUE"""),43364.97344266204)</f>
        <v>43364.97344</v>
      </c>
      <c r="B2185" t="s">
        <v>25</v>
      </c>
    </row>
    <row r="2186">
      <c r="A2186" s="32">
        <f>IFERROR(__xludf.DUMMYFUNCTION("""COMPUTED_VALUE"""),43365.017990057866)</f>
        <v>43365.01799</v>
      </c>
      <c r="B2186" t="s">
        <v>1642</v>
      </c>
    </row>
    <row r="2187">
      <c r="A2187" s="32">
        <f>IFERROR(__xludf.DUMMYFUNCTION("""COMPUTED_VALUE"""),43365.02486957176)</f>
        <v>43365.02487</v>
      </c>
      <c r="B2187" t="s">
        <v>2658</v>
      </c>
    </row>
    <row r="2188">
      <c r="A2188" s="32">
        <f>IFERROR(__xludf.DUMMYFUNCTION("""COMPUTED_VALUE"""),43365.02679614583)</f>
        <v>43365.0268</v>
      </c>
      <c r="B2188" t="s">
        <v>40</v>
      </c>
    </row>
    <row r="2189">
      <c r="A2189" s="32">
        <f>IFERROR(__xludf.DUMMYFUNCTION("""COMPUTED_VALUE"""),43365.02774394676)</f>
        <v>43365.02774</v>
      </c>
      <c r="B2189" t="s">
        <v>204</v>
      </c>
    </row>
    <row r="2190">
      <c r="A2190" s="32">
        <f>IFERROR(__xludf.DUMMYFUNCTION("""COMPUTED_VALUE"""),43365.04988222222)</f>
        <v>43365.04988</v>
      </c>
      <c r="B2190" t="s">
        <v>33</v>
      </c>
    </row>
    <row r="2191">
      <c r="A2191" s="32">
        <f>IFERROR(__xludf.DUMMYFUNCTION("""COMPUTED_VALUE"""),43365.067228935186)</f>
        <v>43365.06723</v>
      </c>
      <c r="B2191" t="s">
        <v>33</v>
      </c>
    </row>
    <row r="2192">
      <c r="A2192" s="32">
        <f>IFERROR(__xludf.DUMMYFUNCTION("""COMPUTED_VALUE"""),43365.12528037037)</f>
        <v>43365.12528</v>
      </c>
      <c r="B2192" t="s">
        <v>40</v>
      </c>
    </row>
    <row r="2193">
      <c r="A2193" s="32">
        <f>IFERROR(__xludf.DUMMYFUNCTION("""COMPUTED_VALUE"""),43365.20015480324)</f>
        <v>43365.20015</v>
      </c>
      <c r="B2193" t="s">
        <v>2691</v>
      </c>
    </row>
    <row r="2194">
      <c r="A2194" s="32">
        <f>IFERROR(__xludf.DUMMYFUNCTION("""COMPUTED_VALUE"""),43365.20163513889)</f>
        <v>43365.20164</v>
      </c>
      <c r="B2194" t="s">
        <v>819</v>
      </c>
    </row>
    <row r="2195">
      <c r="A2195" s="32">
        <f>IFERROR(__xludf.DUMMYFUNCTION("""COMPUTED_VALUE"""),43365.28330728009)</f>
        <v>43365.28331</v>
      </c>
      <c r="B2195" t="s">
        <v>33</v>
      </c>
    </row>
    <row r="2196">
      <c r="A2196" s="32">
        <f>IFERROR(__xludf.DUMMYFUNCTION("""COMPUTED_VALUE"""),43365.28487334491)</f>
        <v>43365.28487</v>
      </c>
      <c r="B2196" t="s">
        <v>45</v>
      </c>
    </row>
    <row r="2197">
      <c r="A2197" s="32">
        <f>IFERROR(__xludf.DUMMYFUNCTION("""COMPUTED_VALUE"""),43365.32769571759)</f>
        <v>43365.3277</v>
      </c>
      <c r="B2197" t="s">
        <v>36</v>
      </c>
    </row>
    <row r="2198">
      <c r="A2198" s="32">
        <f>IFERROR(__xludf.DUMMYFUNCTION("""COMPUTED_VALUE"""),43365.43284783565)</f>
        <v>43365.43285</v>
      </c>
      <c r="B2198" t="s">
        <v>48</v>
      </c>
    </row>
    <row r="2199">
      <c r="A2199" s="32">
        <f>IFERROR(__xludf.DUMMYFUNCTION("""COMPUTED_VALUE"""),43365.436022395836)</f>
        <v>43365.43602</v>
      </c>
      <c r="B2199" t="s">
        <v>48</v>
      </c>
    </row>
    <row r="2200">
      <c r="A2200" s="32">
        <f>IFERROR(__xludf.DUMMYFUNCTION("""COMPUTED_VALUE"""),43365.44532621528)</f>
        <v>43365.44533</v>
      </c>
      <c r="B2200" t="s">
        <v>80</v>
      </c>
    </row>
    <row r="2201">
      <c r="A2201" s="32">
        <f>IFERROR(__xludf.DUMMYFUNCTION("""COMPUTED_VALUE"""),43365.44535309028)</f>
        <v>43365.44535</v>
      </c>
      <c r="B2201" t="s">
        <v>80</v>
      </c>
    </row>
    <row r="2202">
      <c r="A2202" s="32">
        <f>IFERROR(__xludf.DUMMYFUNCTION("""COMPUTED_VALUE"""),43365.44673402778)</f>
        <v>43365.44673</v>
      </c>
      <c r="B2202" t="s">
        <v>33</v>
      </c>
    </row>
    <row r="2203">
      <c r="A2203" s="32">
        <f>IFERROR(__xludf.DUMMYFUNCTION("""COMPUTED_VALUE"""),43365.512940243054)</f>
        <v>43365.51294</v>
      </c>
      <c r="B2203" t="s">
        <v>40</v>
      </c>
    </row>
    <row r="2204">
      <c r="A2204" s="32">
        <f>IFERROR(__xludf.DUMMYFUNCTION("""COMPUTED_VALUE"""),43365.51686667824)</f>
        <v>43365.51687</v>
      </c>
      <c r="B2204" t="s">
        <v>1655</v>
      </c>
    </row>
    <row r="2205">
      <c r="A2205" s="32">
        <f>IFERROR(__xludf.DUMMYFUNCTION("""COMPUTED_VALUE"""),43365.64269283565)</f>
        <v>43365.64269</v>
      </c>
      <c r="B2205" t="s">
        <v>80</v>
      </c>
    </row>
    <row r="2206">
      <c r="A2206" s="32">
        <f>IFERROR(__xludf.DUMMYFUNCTION("""COMPUTED_VALUE"""),43365.68308501157)</f>
        <v>43365.68309</v>
      </c>
      <c r="B2206" t="s">
        <v>371</v>
      </c>
    </row>
    <row r="2207">
      <c r="A2207" s="32">
        <f>IFERROR(__xludf.DUMMYFUNCTION("""COMPUTED_VALUE"""),43365.69308660879)</f>
        <v>43365.69309</v>
      </c>
      <c r="B2207" t="s">
        <v>1657</v>
      </c>
    </row>
    <row r="2208">
      <c r="A2208" s="32">
        <f>IFERROR(__xludf.DUMMYFUNCTION("""COMPUTED_VALUE"""),43365.84244680556)</f>
        <v>43365.84245</v>
      </c>
      <c r="B2208" t="s">
        <v>1658</v>
      </c>
    </row>
    <row r="2209">
      <c r="A2209" s="32">
        <f>IFERROR(__xludf.DUMMYFUNCTION("""COMPUTED_VALUE"""),43365.84709163195)</f>
        <v>43365.84709</v>
      </c>
      <c r="B2209" t="s">
        <v>48</v>
      </c>
    </row>
    <row r="2210">
      <c r="A2210" s="32">
        <f>IFERROR(__xludf.DUMMYFUNCTION("""COMPUTED_VALUE"""),43365.91444045139)</f>
        <v>43365.91444</v>
      </c>
      <c r="B2210" t="s">
        <v>80</v>
      </c>
    </row>
    <row r="2211">
      <c r="A2211" s="32">
        <f>IFERROR(__xludf.DUMMYFUNCTION("""COMPUTED_VALUE"""),43365.915809004626)</f>
        <v>43365.91581</v>
      </c>
      <c r="B2211" t="s">
        <v>33</v>
      </c>
    </row>
    <row r="2212">
      <c r="A2212" s="32">
        <f>IFERROR(__xludf.DUMMYFUNCTION("""COMPUTED_VALUE"""),43365.95390079861)</f>
        <v>43365.9539</v>
      </c>
      <c r="B2212" t="s">
        <v>80</v>
      </c>
    </row>
    <row r="2213">
      <c r="A2213" s="32">
        <f>IFERROR(__xludf.DUMMYFUNCTION("""COMPUTED_VALUE"""),43365.99243778935)</f>
        <v>43365.99244</v>
      </c>
      <c r="B2213" t="s">
        <v>33</v>
      </c>
    </row>
    <row r="2214">
      <c r="A2214" s="32">
        <f>IFERROR(__xludf.DUMMYFUNCTION("""COMPUTED_VALUE"""),43365.996935462965)</f>
        <v>43365.99694</v>
      </c>
      <c r="B2214" t="s">
        <v>40</v>
      </c>
    </row>
    <row r="2215">
      <c r="A2215" s="32">
        <f>IFERROR(__xludf.DUMMYFUNCTION("""COMPUTED_VALUE"""),43366.03139920138)</f>
        <v>43366.0314</v>
      </c>
      <c r="B2215" t="s">
        <v>40</v>
      </c>
    </row>
    <row r="2216">
      <c r="A2216" s="32">
        <f>IFERROR(__xludf.DUMMYFUNCTION("""COMPUTED_VALUE"""),43366.0420519676)</f>
        <v>43366.04205</v>
      </c>
      <c r="B2216" t="s">
        <v>45</v>
      </c>
    </row>
    <row r="2217">
      <c r="A2217" s="32">
        <f>IFERROR(__xludf.DUMMYFUNCTION("""COMPUTED_VALUE"""),43366.16231572916)</f>
        <v>43366.16232</v>
      </c>
      <c r="B2217" t="s">
        <v>33</v>
      </c>
    </row>
    <row r="2218">
      <c r="A2218" s="32">
        <f>IFERROR(__xludf.DUMMYFUNCTION("""COMPUTED_VALUE"""),43366.18708059027)</f>
        <v>43366.18708</v>
      </c>
      <c r="B2218" t="s">
        <v>40</v>
      </c>
    </row>
    <row r="2219">
      <c r="A2219" s="32">
        <f>IFERROR(__xludf.DUMMYFUNCTION("""COMPUTED_VALUE"""),43366.347026944444)</f>
        <v>43366.34703</v>
      </c>
      <c r="B2219" t="s">
        <v>33</v>
      </c>
    </row>
    <row r="2220">
      <c r="A2220" s="32">
        <f>IFERROR(__xludf.DUMMYFUNCTION("""COMPUTED_VALUE"""),43366.355467650465)</f>
        <v>43366.35547</v>
      </c>
      <c r="B2220" t="s">
        <v>40</v>
      </c>
    </row>
    <row r="2221">
      <c r="A2221" s="32">
        <f>IFERROR(__xludf.DUMMYFUNCTION("""COMPUTED_VALUE"""),43366.44723979167)</f>
        <v>43366.44724</v>
      </c>
      <c r="B2221" t="s">
        <v>45</v>
      </c>
    </row>
    <row r="2222">
      <c r="A2222" s="32">
        <f>IFERROR(__xludf.DUMMYFUNCTION("""COMPUTED_VALUE"""),43366.507516990736)</f>
        <v>43366.50752</v>
      </c>
      <c r="B2222" t="s">
        <v>77</v>
      </c>
    </row>
    <row r="2223">
      <c r="A2223" s="32">
        <f>IFERROR(__xludf.DUMMYFUNCTION("""COMPUTED_VALUE"""),43366.51754328704)</f>
        <v>43366.51754</v>
      </c>
      <c r="B2223" t="s">
        <v>40</v>
      </c>
    </row>
    <row r="2224">
      <c r="A2224" s="32">
        <f>IFERROR(__xludf.DUMMYFUNCTION("""COMPUTED_VALUE"""),43366.560048541665)</f>
        <v>43366.56005</v>
      </c>
      <c r="B2224" t="s">
        <v>658</v>
      </c>
    </row>
    <row r="2225">
      <c r="A2225" s="32">
        <f>IFERROR(__xludf.DUMMYFUNCTION("""COMPUTED_VALUE"""),43366.59429170139)</f>
        <v>43366.59429</v>
      </c>
      <c r="B2225" t="s">
        <v>40</v>
      </c>
    </row>
    <row r="2226">
      <c r="A2226" s="32">
        <f>IFERROR(__xludf.DUMMYFUNCTION("""COMPUTED_VALUE"""),43366.641473020834)</f>
        <v>43366.64147</v>
      </c>
      <c r="B2226" t="s">
        <v>80</v>
      </c>
    </row>
    <row r="2227">
      <c r="A2227" s="32">
        <f>IFERROR(__xludf.DUMMYFUNCTION("""COMPUTED_VALUE"""),43366.65254751158)</f>
        <v>43366.65255</v>
      </c>
      <c r="B2227" t="s">
        <v>665</v>
      </c>
    </row>
    <row r="2228">
      <c r="A2228" s="32">
        <f>IFERROR(__xludf.DUMMYFUNCTION("""COMPUTED_VALUE"""),43366.65390553241)</f>
        <v>43366.65391</v>
      </c>
      <c r="B2228" t="s">
        <v>80</v>
      </c>
    </row>
    <row r="2229">
      <c r="A2229" s="32">
        <f>IFERROR(__xludf.DUMMYFUNCTION("""COMPUTED_VALUE"""),43366.661954525465)</f>
        <v>43366.66195</v>
      </c>
      <c r="B2229" t="s">
        <v>174</v>
      </c>
    </row>
    <row r="2230">
      <c r="A2230" s="32">
        <f>IFERROR(__xludf.DUMMYFUNCTION("""COMPUTED_VALUE"""),43366.78528211806)</f>
        <v>43366.78528</v>
      </c>
      <c r="B2230" t="s">
        <v>2424</v>
      </c>
    </row>
    <row r="2231">
      <c r="A2231" s="32">
        <f>IFERROR(__xludf.DUMMYFUNCTION("""COMPUTED_VALUE"""),43366.87548275463)</f>
        <v>43366.87548</v>
      </c>
      <c r="B2231" t="s">
        <v>40</v>
      </c>
    </row>
    <row r="2232">
      <c r="A2232" s="32">
        <f>IFERROR(__xludf.DUMMYFUNCTION("""COMPUTED_VALUE"""),43366.876773958335)</f>
        <v>43366.87677</v>
      </c>
      <c r="B2232" t="s">
        <v>40</v>
      </c>
    </row>
    <row r="2233">
      <c r="A2233" s="32">
        <f>IFERROR(__xludf.DUMMYFUNCTION("""COMPUTED_VALUE"""),43366.880075787034)</f>
        <v>43366.88008</v>
      </c>
      <c r="B2233" t="s">
        <v>2687</v>
      </c>
    </row>
    <row r="2234">
      <c r="A2234" s="32">
        <f>IFERROR(__xludf.DUMMYFUNCTION("""COMPUTED_VALUE"""),43366.91012295139)</f>
        <v>43366.91012</v>
      </c>
      <c r="B2234" t="s">
        <v>80</v>
      </c>
    </row>
    <row r="2235">
      <c r="A2235" s="32">
        <f>IFERROR(__xludf.DUMMYFUNCTION("""COMPUTED_VALUE"""),43366.94587954861)</f>
        <v>43366.94588</v>
      </c>
      <c r="B2235" t="s">
        <v>33</v>
      </c>
    </row>
    <row r="2236">
      <c r="A2236" s="32">
        <f>IFERROR(__xludf.DUMMYFUNCTION("""COMPUTED_VALUE"""),43366.97926425926)</f>
        <v>43366.97926</v>
      </c>
      <c r="B2236" t="s">
        <v>25</v>
      </c>
    </row>
    <row r="2237">
      <c r="A2237" s="32">
        <f>IFERROR(__xludf.DUMMYFUNCTION("""COMPUTED_VALUE"""),43367.461575243055)</f>
        <v>43367.46158</v>
      </c>
      <c r="B2237" t="s">
        <v>48</v>
      </c>
    </row>
    <row r="2238">
      <c r="A2238" s="32">
        <f>IFERROR(__xludf.DUMMYFUNCTION("""COMPUTED_VALUE"""),43367.48668179398)</f>
        <v>43367.48668</v>
      </c>
      <c r="B2238" t="s">
        <v>48</v>
      </c>
    </row>
    <row r="2239">
      <c r="A2239" s="32">
        <f>IFERROR(__xludf.DUMMYFUNCTION("""COMPUTED_VALUE"""),43367.52951310185)</f>
        <v>43367.52951</v>
      </c>
      <c r="B2239" t="s">
        <v>33</v>
      </c>
    </row>
    <row r="2240">
      <c r="A2240" s="32">
        <f>IFERROR(__xludf.DUMMYFUNCTION("""COMPUTED_VALUE"""),43367.59946138889)</f>
        <v>43367.59946</v>
      </c>
      <c r="B2240" t="s">
        <v>139</v>
      </c>
    </row>
    <row r="2241">
      <c r="A2241" s="32">
        <f>IFERROR(__xludf.DUMMYFUNCTION("""COMPUTED_VALUE"""),43367.6494925463)</f>
        <v>43367.64949</v>
      </c>
      <c r="B2241" t="s">
        <v>1677</v>
      </c>
    </row>
    <row r="2242">
      <c r="A2242" s="32">
        <f>IFERROR(__xludf.DUMMYFUNCTION("""COMPUTED_VALUE"""),43367.6604497338)</f>
        <v>43367.66045</v>
      </c>
      <c r="B2242" t="s">
        <v>33</v>
      </c>
    </row>
    <row r="2243">
      <c r="A2243" s="32">
        <f>IFERROR(__xludf.DUMMYFUNCTION("""COMPUTED_VALUE"""),43367.667187847226)</f>
        <v>43367.66719</v>
      </c>
      <c r="B2243" t="s">
        <v>523</v>
      </c>
    </row>
    <row r="2244">
      <c r="A2244" s="32">
        <f>IFERROR(__xludf.DUMMYFUNCTION("""COMPUTED_VALUE"""),43367.75373165509)</f>
        <v>43367.75373</v>
      </c>
      <c r="B2244" t="s">
        <v>2687</v>
      </c>
    </row>
    <row r="2245">
      <c r="A2245" s="32">
        <f>IFERROR(__xludf.DUMMYFUNCTION("""COMPUTED_VALUE"""),43367.761735162036)</f>
        <v>43367.76174</v>
      </c>
      <c r="B2245" t="s">
        <v>33</v>
      </c>
    </row>
    <row r="2246">
      <c r="A2246" s="32">
        <f>IFERROR(__xludf.DUMMYFUNCTION("""COMPUTED_VALUE"""),43367.82828008102)</f>
        <v>43367.82828</v>
      </c>
      <c r="B2246" t="s">
        <v>48</v>
      </c>
    </row>
    <row r="2247">
      <c r="A2247" s="32">
        <f>IFERROR(__xludf.DUMMYFUNCTION("""COMPUTED_VALUE"""),43367.843225335644)</f>
        <v>43367.84323</v>
      </c>
      <c r="B2247" t="s">
        <v>33</v>
      </c>
    </row>
    <row r="2248">
      <c r="A2248" s="32">
        <f>IFERROR(__xludf.DUMMYFUNCTION("""COMPUTED_VALUE"""),43367.852229421296)</f>
        <v>43367.85223</v>
      </c>
      <c r="B2248" t="s">
        <v>33</v>
      </c>
    </row>
    <row r="2249">
      <c r="A2249" s="32">
        <f>IFERROR(__xludf.DUMMYFUNCTION("""COMPUTED_VALUE"""),43367.886832777775)</f>
        <v>43367.88683</v>
      </c>
      <c r="B2249" t="s">
        <v>371</v>
      </c>
    </row>
    <row r="2250">
      <c r="A2250" s="32">
        <f>IFERROR(__xludf.DUMMYFUNCTION("""COMPUTED_VALUE"""),43367.94556025463)</f>
        <v>43367.94556</v>
      </c>
      <c r="B2250" t="s">
        <v>268</v>
      </c>
    </row>
    <row r="2251">
      <c r="A2251" s="32">
        <f>IFERROR(__xludf.DUMMYFUNCTION("""COMPUTED_VALUE"""),43368.13876271991)</f>
        <v>43368.13876</v>
      </c>
      <c r="B2251" t="s">
        <v>45</v>
      </c>
    </row>
    <row r="2252">
      <c r="A2252" s="32">
        <f>IFERROR(__xludf.DUMMYFUNCTION("""COMPUTED_VALUE"""),43368.27908256944)</f>
        <v>43368.27908</v>
      </c>
      <c r="B2252" t="s">
        <v>548</v>
      </c>
    </row>
    <row r="2253">
      <c r="A2253" s="32">
        <f>IFERROR(__xludf.DUMMYFUNCTION("""COMPUTED_VALUE"""),43368.333863645836)</f>
        <v>43368.33386</v>
      </c>
      <c r="B2253" t="s">
        <v>873</v>
      </c>
    </row>
    <row r="2254">
      <c r="A2254" s="32">
        <f>IFERROR(__xludf.DUMMYFUNCTION("""COMPUTED_VALUE"""),43368.36933130787)</f>
        <v>43368.36933</v>
      </c>
      <c r="B2254" t="s">
        <v>2424</v>
      </c>
    </row>
    <row r="2255">
      <c r="A2255" s="32">
        <f>IFERROR(__xludf.DUMMYFUNCTION("""COMPUTED_VALUE"""),43368.383513078705)</f>
        <v>43368.38351</v>
      </c>
      <c r="B2255" t="s">
        <v>2748</v>
      </c>
    </row>
    <row r="2256">
      <c r="A2256" s="32">
        <f>IFERROR(__xludf.DUMMYFUNCTION("""COMPUTED_VALUE"""),43368.38379071759)</f>
        <v>43368.38379</v>
      </c>
      <c r="B2256" t="s">
        <v>48</v>
      </c>
    </row>
    <row r="2257">
      <c r="A2257" s="32">
        <f>IFERROR(__xludf.DUMMYFUNCTION("""COMPUTED_VALUE"""),43368.38756930556)</f>
        <v>43368.38757</v>
      </c>
      <c r="B2257" t="s">
        <v>523</v>
      </c>
    </row>
    <row r="2258">
      <c r="A2258" s="32">
        <f>IFERROR(__xludf.DUMMYFUNCTION("""COMPUTED_VALUE"""),43368.40024761574)</f>
        <v>43368.40025</v>
      </c>
      <c r="B2258" t="s">
        <v>1686</v>
      </c>
    </row>
    <row r="2259">
      <c r="A2259" s="32">
        <f>IFERROR(__xludf.DUMMYFUNCTION("""COMPUTED_VALUE"""),43368.45176108796)</f>
        <v>43368.45176</v>
      </c>
      <c r="B2259" t="s">
        <v>48</v>
      </c>
    </row>
    <row r="2260">
      <c r="A2260" s="32">
        <f>IFERROR(__xludf.DUMMYFUNCTION("""COMPUTED_VALUE"""),43368.52476796297)</f>
        <v>43368.52477</v>
      </c>
      <c r="B2260" t="s">
        <v>1691</v>
      </c>
    </row>
    <row r="2261">
      <c r="A2261" s="32">
        <f>IFERROR(__xludf.DUMMYFUNCTION("""COMPUTED_VALUE"""),43368.60519307871)</f>
        <v>43368.60519</v>
      </c>
      <c r="B2261" t="s">
        <v>783</v>
      </c>
    </row>
    <row r="2262">
      <c r="A2262" s="32">
        <f>IFERROR(__xludf.DUMMYFUNCTION("""COMPUTED_VALUE"""),43368.664365543984)</f>
        <v>43368.66437</v>
      </c>
      <c r="B2262" t="s">
        <v>33</v>
      </c>
    </row>
    <row r="2263">
      <c r="A2263" s="32">
        <f>IFERROR(__xludf.DUMMYFUNCTION("""COMPUTED_VALUE"""),43368.69357444445)</f>
        <v>43368.69357</v>
      </c>
      <c r="B2263" t="s">
        <v>187</v>
      </c>
    </row>
    <row r="2264">
      <c r="A2264" s="32">
        <f>IFERROR(__xludf.DUMMYFUNCTION("""COMPUTED_VALUE"""),43368.75489231481)</f>
        <v>43368.75489</v>
      </c>
      <c r="B2264" t="s">
        <v>33</v>
      </c>
    </row>
    <row r="2265">
      <c r="A2265" s="32">
        <f>IFERROR(__xludf.DUMMYFUNCTION("""COMPUTED_VALUE"""),43368.76339773148)</f>
        <v>43368.7634</v>
      </c>
      <c r="B2265" t="s">
        <v>170</v>
      </c>
    </row>
    <row r="2266">
      <c r="A2266" s="32">
        <f>IFERROR(__xludf.DUMMYFUNCTION("""COMPUTED_VALUE"""),43368.85935532408)</f>
        <v>43368.85936</v>
      </c>
      <c r="B2266" t="s">
        <v>139</v>
      </c>
    </row>
    <row r="2267">
      <c r="A2267" s="32">
        <f>IFERROR(__xludf.DUMMYFUNCTION("""COMPUTED_VALUE"""),43368.89213596065)</f>
        <v>43368.89214</v>
      </c>
      <c r="B2267" t="s">
        <v>123</v>
      </c>
    </row>
    <row r="2268">
      <c r="A2268" s="32">
        <f>IFERROR(__xludf.DUMMYFUNCTION("""COMPUTED_VALUE"""),43368.91743083333)</f>
        <v>43368.91743</v>
      </c>
      <c r="B2268" t="s">
        <v>80</v>
      </c>
    </row>
    <row r="2269">
      <c r="A2269" s="32">
        <f>IFERROR(__xludf.DUMMYFUNCTION("""COMPUTED_VALUE"""),43368.93292253472)</f>
        <v>43368.93292</v>
      </c>
      <c r="B2269" t="s">
        <v>45</v>
      </c>
    </row>
    <row r="2270">
      <c r="A2270" s="32">
        <f>IFERROR(__xludf.DUMMYFUNCTION("""COMPUTED_VALUE"""),43369.03625226852)</f>
        <v>43369.03625</v>
      </c>
      <c r="B2270" t="s">
        <v>80</v>
      </c>
    </row>
    <row r="2271">
      <c r="A2271" s="32">
        <f>IFERROR(__xludf.DUMMYFUNCTION("""COMPUTED_VALUE"""),43369.05085402778)</f>
        <v>43369.05085</v>
      </c>
      <c r="B2271" t="s">
        <v>40</v>
      </c>
    </row>
    <row r="2272">
      <c r="A2272" s="32">
        <f>IFERROR(__xludf.DUMMYFUNCTION("""COMPUTED_VALUE"""),43369.18233214121)</f>
        <v>43369.18233</v>
      </c>
      <c r="B2272" t="s">
        <v>1695</v>
      </c>
    </row>
    <row r="2273">
      <c r="A2273" s="32">
        <f>IFERROR(__xludf.DUMMYFUNCTION("""COMPUTED_VALUE"""),43369.242042812504)</f>
        <v>43369.24204</v>
      </c>
      <c r="B2273" t="s">
        <v>944</v>
      </c>
    </row>
    <row r="2274">
      <c r="A2274" s="32">
        <f>IFERROR(__xludf.DUMMYFUNCTION("""COMPUTED_VALUE"""),43369.25162047453)</f>
        <v>43369.25162</v>
      </c>
      <c r="B2274" t="s">
        <v>665</v>
      </c>
    </row>
    <row r="2275">
      <c r="A2275" s="32">
        <f>IFERROR(__xludf.DUMMYFUNCTION("""COMPUTED_VALUE"""),43369.25549173611)</f>
        <v>43369.25549</v>
      </c>
      <c r="B2275" t="s">
        <v>33</v>
      </c>
    </row>
    <row r="2276">
      <c r="A2276" s="32">
        <f>IFERROR(__xludf.DUMMYFUNCTION("""COMPUTED_VALUE"""),43369.3035583912)</f>
        <v>43369.30356</v>
      </c>
      <c r="B2276" t="s">
        <v>268</v>
      </c>
    </row>
    <row r="2277">
      <c r="A2277" s="32">
        <f>IFERROR(__xludf.DUMMYFUNCTION("""COMPUTED_VALUE"""),43369.31811248843)</f>
        <v>43369.31811</v>
      </c>
      <c r="B2277" t="s">
        <v>1677</v>
      </c>
    </row>
    <row r="2278">
      <c r="A2278" s="32">
        <f>IFERROR(__xludf.DUMMYFUNCTION("""COMPUTED_VALUE"""),43369.33207366898)</f>
        <v>43369.33207</v>
      </c>
      <c r="B2278" t="s">
        <v>1698</v>
      </c>
    </row>
    <row r="2279">
      <c r="A2279" s="32">
        <f>IFERROR(__xludf.DUMMYFUNCTION("""COMPUTED_VALUE"""),43369.39871150463)</f>
        <v>43369.39871</v>
      </c>
      <c r="B2279" t="s">
        <v>33</v>
      </c>
    </row>
    <row r="2280">
      <c r="A2280" s="32">
        <f>IFERROR(__xludf.DUMMYFUNCTION("""COMPUTED_VALUE"""),43369.42107581018)</f>
        <v>43369.42108</v>
      </c>
      <c r="B2280" t="s">
        <v>2749</v>
      </c>
    </row>
    <row r="2281">
      <c r="A2281" s="32">
        <f>IFERROR(__xludf.DUMMYFUNCTION("""COMPUTED_VALUE"""),43369.424688796295)</f>
        <v>43369.42469</v>
      </c>
      <c r="B2281" t="s">
        <v>2693</v>
      </c>
    </row>
    <row r="2282">
      <c r="A2282" s="32">
        <f>IFERROR(__xludf.DUMMYFUNCTION("""COMPUTED_VALUE"""),43369.42486944444)</f>
        <v>43369.42487</v>
      </c>
      <c r="B2282" t="s">
        <v>2658</v>
      </c>
    </row>
    <row r="2283">
      <c r="A2283" s="32">
        <f>IFERROR(__xludf.DUMMYFUNCTION("""COMPUTED_VALUE"""),43369.47879804399)</f>
        <v>43369.4788</v>
      </c>
      <c r="B2283" t="s">
        <v>371</v>
      </c>
    </row>
    <row r="2284">
      <c r="A2284" s="32">
        <f>IFERROR(__xludf.DUMMYFUNCTION("""COMPUTED_VALUE"""),43369.47951881944)</f>
        <v>43369.47952</v>
      </c>
      <c r="B2284" t="s">
        <v>371</v>
      </c>
    </row>
    <row r="2285">
      <c r="A2285" s="32">
        <f>IFERROR(__xludf.DUMMYFUNCTION("""COMPUTED_VALUE"""),43369.49702458333)</f>
        <v>43369.49702</v>
      </c>
      <c r="B2285" t="s">
        <v>371</v>
      </c>
    </row>
    <row r="2286">
      <c r="A2286" s="32">
        <f>IFERROR(__xludf.DUMMYFUNCTION("""COMPUTED_VALUE"""),43369.50688184028)</f>
        <v>43369.50688</v>
      </c>
      <c r="B2286" t="s">
        <v>343</v>
      </c>
    </row>
    <row r="2287">
      <c r="A2287" s="32">
        <f>IFERROR(__xludf.DUMMYFUNCTION("""COMPUTED_VALUE"""),43369.50733289352)</f>
        <v>43369.50733</v>
      </c>
      <c r="B2287" t="s">
        <v>343</v>
      </c>
    </row>
    <row r="2288">
      <c r="A2288" s="32">
        <f>IFERROR(__xludf.DUMMYFUNCTION("""COMPUTED_VALUE"""),43369.50777930555)</f>
        <v>43369.50778</v>
      </c>
      <c r="B2288" t="s">
        <v>343</v>
      </c>
    </row>
    <row r="2289">
      <c r="A2289" s="32">
        <f>IFERROR(__xludf.DUMMYFUNCTION("""COMPUTED_VALUE"""),43369.50800503472)</f>
        <v>43369.50801</v>
      </c>
      <c r="B2289" t="s">
        <v>343</v>
      </c>
    </row>
    <row r="2290">
      <c r="A2290" s="32">
        <f>IFERROR(__xludf.DUMMYFUNCTION("""COMPUTED_VALUE"""),43369.51969136574)</f>
        <v>43369.51969</v>
      </c>
      <c r="B2290" t="s">
        <v>506</v>
      </c>
    </row>
    <row r="2291">
      <c r="A2291" s="32">
        <f>IFERROR(__xludf.DUMMYFUNCTION("""COMPUTED_VALUE"""),43369.53949966435)</f>
        <v>43369.5395</v>
      </c>
      <c r="B2291" t="s">
        <v>371</v>
      </c>
    </row>
    <row r="2292">
      <c r="A2292" s="32">
        <f>IFERROR(__xludf.DUMMYFUNCTION("""COMPUTED_VALUE"""),43369.54184690972)</f>
        <v>43369.54185</v>
      </c>
      <c r="B2292" t="s">
        <v>2424</v>
      </c>
    </row>
    <row r="2293">
      <c r="A2293" s="32">
        <f>IFERROR(__xludf.DUMMYFUNCTION("""COMPUTED_VALUE"""),43369.542077129634)</f>
        <v>43369.54208</v>
      </c>
      <c r="B2293" t="s">
        <v>80</v>
      </c>
    </row>
    <row r="2294">
      <c r="A2294" s="32">
        <f>IFERROR(__xludf.DUMMYFUNCTION("""COMPUTED_VALUE"""),43369.57655309028)</f>
        <v>43369.57655</v>
      </c>
      <c r="B2294" t="s">
        <v>2750</v>
      </c>
    </row>
    <row r="2295">
      <c r="A2295" s="32">
        <f>IFERROR(__xludf.DUMMYFUNCTION("""COMPUTED_VALUE"""),43369.59848954861)</f>
        <v>43369.59849</v>
      </c>
      <c r="B2295" t="s">
        <v>1709</v>
      </c>
    </row>
    <row r="2296">
      <c r="A2296" s="32">
        <f>IFERROR(__xludf.DUMMYFUNCTION("""COMPUTED_VALUE"""),43369.62303445602)</f>
        <v>43369.62303</v>
      </c>
      <c r="B2296" t="s">
        <v>33</v>
      </c>
    </row>
    <row r="2297">
      <c r="A2297" s="32">
        <f>IFERROR(__xludf.DUMMYFUNCTION("""COMPUTED_VALUE"""),43369.655493495375)</f>
        <v>43369.65549</v>
      </c>
      <c r="B2297" t="s">
        <v>256</v>
      </c>
    </row>
    <row r="2298">
      <c r="A2298" s="32">
        <f>IFERROR(__xludf.DUMMYFUNCTION("""COMPUTED_VALUE"""),43369.76173913194)</f>
        <v>43369.76174</v>
      </c>
      <c r="B2298" t="s">
        <v>80</v>
      </c>
    </row>
    <row r="2299">
      <c r="A2299" s="32">
        <f>IFERROR(__xludf.DUMMYFUNCTION("""COMPUTED_VALUE"""),43369.77121641204)</f>
        <v>43369.77122</v>
      </c>
      <c r="B2299" t="s">
        <v>2424</v>
      </c>
    </row>
    <row r="2300">
      <c r="A2300" s="32">
        <f>IFERROR(__xludf.DUMMYFUNCTION("""COMPUTED_VALUE"""),43369.80585729166)</f>
        <v>43369.80586</v>
      </c>
      <c r="B2300" t="s">
        <v>33</v>
      </c>
    </row>
    <row r="2301">
      <c r="A2301" s="32">
        <f>IFERROR(__xludf.DUMMYFUNCTION("""COMPUTED_VALUE"""),43369.806311747685)</f>
        <v>43369.80631</v>
      </c>
      <c r="B2301" t="s">
        <v>40</v>
      </c>
    </row>
    <row r="2302">
      <c r="A2302" s="32">
        <f>IFERROR(__xludf.DUMMYFUNCTION("""COMPUTED_VALUE"""),43369.807581064815)</f>
        <v>43369.80758</v>
      </c>
      <c r="B2302" t="s">
        <v>2751</v>
      </c>
    </row>
    <row r="2303">
      <c r="A2303" s="32">
        <f>IFERROR(__xludf.DUMMYFUNCTION("""COMPUTED_VALUE"""),43369.8083561574)</f>
        <v>43369.80836</v>
      </c>
      <c r="B2303" t="s">
        <v>33</v>
      </c>
    </row>
    <row r="2304">
      <c r="A2304" s="32">
        <f>IFERROR(__xludf.DUMMYFUNCTION("""COMPUTED_VALUE"""),43369.83590818287)</f>
        <v>43369.83591</v>
      </c>
      <c r="B2304" t="s">
        <v>270</v>
      </c>
    </row>
    <row r="2305">
      <c r="A2305" s="32">
        <f>IFERROR(__xludf.DUMMYFUNCTION("""COMPUTED_VALUE"""),43369.83682420139)</f>
        <v>43369.83682</v>
      </c>
      <c r="B2305" t="s">
        <v>33</v>
      </c>
    </row>
    <row r="2306">
      <c r="A2306" s="32">
        <f>IFERROR(__xludf.DUMMYFUNCTION("""COMPUTED_VALUE"""),43369.83914939815)</f>
        <v>43369.83915</v>
      </c>
      <c r="B2306" t="s">
        <v>33</v>
      </c>
    </row>
    <row r="2307">
      <c r="A2307" s="32">
        <f>IFERROR(__xludf.DUMMYFUNCTION("""COMPUTED_VALUE"""),43369.84587747685)</f>
        <v>43369.84588</v>
      </c>
      <c r="B2307" t="s">
        <v>36</v>
      </c>
    </row>
    <row r="2308">
      <c r="A2308" s="32">
        <f>IFERROR(__xludf.DUMMYFUNCTION("""COMPUTED_VALUE"""),43369.86614005787)</f>
        <v>43369.86614</v>
      </c>
      <c r="B2308" t="s">
        <v>40</v>
      </c>
    </row>
    <row r="2309">
      <c r="A2309" s="32">
        <f>IFERROR(__xludf.DUMMYFUNCTION("""COMPUTED_VALUE"""),43369.89967456018)</f>
        <v>43369.89967</v>
      </c>
      <c r="B2309" t="s">
        <v>95</v>
      </c>
    </row>
    <row r="2310">
      <c r="A2310" s="32">
        <f>IFERROR(__xludf.DUMMYFUNCTION("""COMPUTED_VALUE"""),43369.926715740745)</f>
        <v>43369.92672</v>
      </c>
      <c r="B2310" t="s">
        <v>80</v>
      </c>
    </row>
    <row r="2311">
      <c r="A2311" s="32">
        <f>IFERROR(__xludf.DUMMYFUNCTION("""COMPUTED_VALUE"""),43369.92749770833)</f>
        <v>43369.9275</v>
      </c>
      <c r="B2311" t="s">
        <v>80</v>
      </c>
    </row>
    <row r="2312">
      <c r="A2312" s="32">
        <f>IFERROR(__xludf.DUMMYFUNCTION("""COMPUTED_VALUE"""),43369.963224374995)</f>
        <v>43369.96322</v>
      </c>
      <c r="B2312" t="s">
        <v>170</v>
      </c>
    </row>
    <row r="2313">
      <c r="A2313" s="32">
        <f>IFERROR(__xludf.DUMMYFUNCTION("""COMPUTED_VALUE"""),43369.96343263889)</f>
        <v>43369.96343</v>
      </c>
      <c r="B2313" t="s">
        <v>123</v>
      </c>
    </row>
    <row r="2314">
      <c r="A2314" s="32">
        <f>IFERROR(__xludf.DUMMYFUNCTION("""COMPUTED_VALUE"""),43369.98528810185)</f>
        <v>43369.98529</v>
      </c>
      <c r="B2314" t="s">
        <v>40</v>
      </c>
    </row>
    <row r="2315">
      <c r="A2315" s="32">
        <f>IFERROR(__xludf.DUMMYFUNCTION("""COMPUTED_VALUE"""),43370.0100349537)</f>
        <v>43370.01003</v>
      </c>
      <c r="B2315" t="s">
        <v>40</v>
      </c>
    </row>
    <row r="2316">
      <c r="A2316" s="32">
        <f>IFERROR(__xludf.DUMMYFUNCTION("""COMPUTED_VALUE"""),43370.01136966435)</f>
        <v>43370.01137</v>
      </c>
      <c r="B2316" t="s">
        <v>45</v>
      </c>
    </row>
    <row r="2317">
      <c r="A2317" s="32">
        <f>IFERROR(__xludf.DUMMYFUNCTION("""COMPUTED_VALUE"""),43370.10095384259)</f>
        <v>43370.10095</v>
      </c>
      <c r="B2317" t="s">
        <v>45</v>
      </c>
    </row>
    <row r="2318">
      <c r="A2318" s="32">
        <f>IFERROR(__xludf.DUMMYFUNCTION("""COMPUTED_VALUE"""),43370.1073693287)</f>
        <v>43370.10737</v>
      </c>
      <c r="B2318" t="s">
        <v>33</v>
      </c>
    </row>
    <row r="2319">
      <c r="A2319" s="32">
        <f>IFERROR(__xludf.DUMMYFUNCTION("""COMPUTED_VALUE"""),43370.11115994213)</f>
        <v>43370.11116</v>
      </c>
      <c r="B2319" t="s">
        <v>45</v>
      </c>
    </row>
    <row r="2320">
      <c r="A2320" s="32">
        <f>IFERROR(__xludf.DUMMYFUNCTION("""COMPUTED_VALUE"""),43370.11685665509)</f>
        <v>43370.11686</v>
      </c>
      <c r="B2320" t="s">
        <v>33</v>
      </c>
    </row>
    <row r="2321">
      <c r="A2321" s="32">
        <f>IFERROR(__xludf.DUMMYFUNCTION("""COMPUTED_VALUE"""),43370.12410943287)</f>
        <v>43370.12411</v>
      </c>
      <c r="B2321" t="s">
        <v>33</v>
      </c>
    </row>
    <row r="2322">
      <c r="A2322" s="32">
        <f>IFERROR(__xludf.DUMMYFUNCTION("""COMPUTED_VALUE"""),43370.12414854167)</f>
        <v>43370.12415</v>
      </c>
      <c r="B2322" t="s">
        <v>33</v>
      </c>
    </row>
    <row r="2323">
      <c r="A2323" s="32">
        <f>IFERROR(__xludf.DUMMYFUNCTION("""COMPUTED_VALUE"""),43370.131237546295)</f>
        <v>43370.13124</v>
      </c>
      <c r="B2323" t="s">
        <v>2658</v>
      </c>
    </row>
    <row r="2324">
      <c r="A2324" s="32">
        <f>IFERROR(__xludf.DUMMYFUNCTION("""COMPUTED_VALUE"""),43370.140346527776)</f>
        <v>43370.14035</v>
      </c>
      <c r="B2324" t="s">
        <v>123</v>
      </c>
    </row>
    <row r="2325">
      <c r="A2325" s="32">
        <f>IFERROR(__xludf.DUMMYFUNCTION("""COMPUTED_VALUE"""),43370.1448353125)</f>
        <v>43370.14484</v>
      </c>
      <c r="B2325" t="s">
        <v>819</v>
      </c>
    </row>
    <row r="2326">
      <c r="A2326" s="32">
        <f>IFERROR(__xludf.DUMMYFUNCTION("""COMPUTED_VALUE"""),43370.203588564815)</f>
        <v>43370.20359</v>
      </c>
      <c r="B2326" t="s">
        <v>48</v>
      </c>
    </row>
    <row r="2327">
      <c r="A2327" s="32">
        <f>IFERROR(__xludf.DUMMYFUNCTION("""COMPUTED_VALUE"""),43370.213820902776)</f>
        <v>43370.21382</v>
      </c>
      <c r="B2327" t="s">
        <v>258</v>
      </c>
    </row>
    <row r="2328">
      <c r="A2328" s="32">
        <f>IFERROR(__xludf.DUMMYFUNCTION("""COMPUTED_VALUE"""),43370.21885103009)</f>
        <v>43370.21885</v>
      </c>
      <c r="B2328" t="s">
        <v>105</v>
      </c>
    </row>
    <row r="2329">
      <c r="A2329" s="32">
        <f>IFERROR(__xludf.DUMMYFUNCTION("""COMPUTED_VALUE"""),43370.27222341435)</f>
        <v>43370.27222</v>
      </c>
      <c r="B2329" t="s">
        <v>33</v>
      </c>
    </row>
    <row r="2330">
      <c r="A2330" s="32">
        <f>IFERROR(__xludf.DUMMYFUNCTION("""COMPUTED_VALUE"""),43370.29801496528)</f>
        <v>43370.29801</v>
      </c>
      <c r="B2330" t="s">
        <v>36</v>
      </c>
    </row>
    <row r="2331">
      <c r="A2331" s="32">
        <f>IFERROR(__xludf.DUMMYFUNCTION("""COMPUTED_VALUE"""),43370.29883636574)</f>
        <v>43370.29884</v>
      </c>
      <c r="B2331" t="s">
        <v>45</v>
      </c>
    </row>
    <row r="2332">
      <c r="A2332" s="32">
        <f>IFERROR(__xludf.DUMMYFUNCTION("""COMPUTED_VALUE"""),43370.311742986116)</f>
        <v>43370.31174</v>
      </c>
      <c r="B2332" t="s">
        <v>45</v>
      </c>
    </row>
    <row r="2333">
      <c r="A2333" s="32">
        <f>IFERROR(__xludf.DUMMYFUNCTION("""COMPUTED_VALUE"""),43370.313996111116)</f>
        <v>43370.314</v>
      </c>
      <c r="B2333" t="s">
        <v>282</v>
      </c>
    </row>
    <row r="2334">
      <c r="A2334" s="32">
        <f>IFERROR(__xludf.DUMMYFUNCTION("""COMPUTED_VALUE"""),43370.331800740736)</f>
        <v>43370.3318</v>
      </c>
      <c r="B2334" t="s">
        <v>33</v>
      </c>
    </row>
    <row r="2335">
      <c r="A2335" s="32">
        <f>IFERROR(__xludf.DUMMYFUNCTION("""COMPUTED_VALUE"""),43370.35251336805)</f>
        <v>43370.35251</v>
      </c>
      <c r="B2335" t="s">
        <v>282</v>
      </c>
    </row>
    <row r="2336">
      <c r="A2336" s="32">
        <f>IFERROR(__xludf.DUMMYFUNCTION("""COMPUTED_VALUE"""),43370.35415223379)</f>
        <v>43370.35415</v>
      </c>
      <c r="B2336" t="s">
        <v>123</v>
      </c>
    </row>
    <row r="2337">
      <c r="A2337" s="32">
        <f>IFERROR(__xludf.DUMMYFUNCTION("""COMPUTED_VALUE"""),43370.43575446759)</f>
        <v>43370.43575</v>
      </c>
      <c r="B2337" t="s">
        <v>123</v>
      </c>
    </row>
    <row r="2338">
      <c r="A2338" s="32">
        <f>IFERROR(__xludf.DUMMYFUNCTION("""COMPUTED_VALUE"""),43370.44159122685)</f>
        <v>43370.44159</v>
      </c>
      <c r="B2338" t="s">
        <v>1726</v>
      </c>
    </row>
    <row r="2339">
      <c r="A2339" s="32">
        <f>IFERROR(__xludf.DUMMYFUNCTION("""COMPUTED_VALUE"""),43370.457855636574)</f>
        <v>43370.45786</v>
      </c>
      <c r="B2339" t="s">
        <v>1727</v>
      </c>
    </row>
    <row r="2340">
      <c r="A2340" s="32">
        <f>IFERROR(__xludf.DUMMYFUNCTION("""COMPUTED_VALUE"""),43370.463407083334)</f>
        <v>43370.46341</v>
      </c>
      <c r="B2340" t="s">
        <v>77</v>
      </c>
    </row>
    <row r="2341">
      <c r="A2341" s="32">
        <f>IFERROR(__xludf.DUMMYFUNCTION("""COMPUTED_VALUE"""),43370.4740681713)</f>
        <v>43370.47407</v>
      </c>
      <c r="B2341" t="s">
        <v>45</v>
      </c>
    </row>
    <row r="2342">
      <c r="A2342" s="32">
        <f>IFERROR(__xludf.DUMMYFUNCTION("""COMPUTED_VALUE"""),43370.48918774306)</f>
        <v>43370.48919</v>
      </c>
      <c r="B2342" t="s">
        <v>33</v>
      </c>
    </row>
    <row r="2343">
      <c r="A2343" s="32">
        <f>IFERROR(__xludf.DUMMYFUNCTION("""COMPUTED_VALUE"""),43370.49971708334)</f>
        <v>43370.49972</v>
      </c>
      <c r="B2343" t="s">
        <v>1731</v>
      </c>
    </row>
    <row r="2344">
      <c r="A2344" s="32">
        <f>IFERROR(__xludf.DUMMYFUNCTION("""COMPUTED_VALUE"""),43370.501318483795)</f>
        <v>43370.50132</v>
      </c>
      <c r="B2344" t="s">
        <v>200</v>
      </c>
    </row>
    <row r="2345">
      <c r="A2345" s="32">
        <f>IFERROR(__xludf.DUMMYFUNCTION("""COMPUTED_VALUE"""),43370.52500988426)</f>
        <v>43370.52501</v>
      </c>
      <c r="B2345" t="s">
        <v>371</v>
      </c>
    </row>
    <row r="2346">
      <c r="A2346" s="32">
        <f>IFERROR(__xludf.DUMMYFUNCTION("""COMPUTED_VALUE"""),43370.54331685185)</f>
        <v>43370.54332</v>
      </c>
      <c r="B2346" t="s">
        <v>45</v>
      </c>
    </row>
    <row r="2347">
      <c r="A2347" s="32">
        <f>IFERROR(__xludf.DUMMYFUNCTION("""COMPUTED_VALUE"""),43370.56448851852)</f>
        <v>43370.56449</v>
      </c>
      <c r="B2347" t="s">
        <v>170</v>
      </c>
    </row>
    <row r="2348">
      <c r="A2348" s="32">
        <f>IFERROR(__xludf.DUMMYFUNCTION("""COMPUTED_VALUE"""),43370.58623872686)</f>
        <v>43370.58624</v>
      </c>
      <c r="B2348" t="s">
        <v>80</v>
      </c>
    </row>
    <row r="2349">
      <c r="A2349" s="32">
        <f>IFERROR(__xludf.DUMMYFUNCTION("""COMPUTED_VALUE"""),43370.59694216435)</f>
        <v>43370.59694</v>
      </c>
      <c r="B2349" t="s">
        <v>123</v>
      </c>
    </row>
    <row r="2350">
      <c r="A2350" s="32">
        <f>IFERROR(__xludf.DUMMYFUNCTION("""COMPUTED_VALUE"""),43370.600625127314)</f>
        <v>43370.60063</v>
      </c>
      <c r="B2350" t="s">
        <v>45</v>
      </c>
    </row>
    <row r="2351">
      <c r="A2351" s="32">
        <f>IFERROR(__xludf.DUMMYFUNCTION("""COMPUTED_VALUE"""),43370.60478692129)</f>
        <v>43370.60479</v>
      </c>
      <c r="B2351" t="s">
        <v>33</v>
      </c>
    </row>
    <row r="2352">
      <c r="A2352" s="32">
        <f>IFERROR(__xludf.DUMMYFUNCTION("""COMPUTED_VALUE"""),43370.61813859954)</f>
        <v>43370.61814</v>
      </c>
      <c r="B2352" t="s">
        <v>36</v>
      </c>
    </row>
    <row r="2353">
      <c r="A2353" s="32">
        <f>IFERROR(__xludf.DUMMYFUNCTION("""COMPUTED_VALUE"""),43370.61966427084)</f>
        <v>43370.61966</v>
      </c>
      <c r="B2353" t="s">
        <v>204</v>
      </c>
    </row>
    <row r="2354">
      <c r="A2354" s="32">
        <f>IFERROR(__xludf.DUMMYFUNCTION("""COMPUTED_VALUE"""),43370.62186864583)</f>
        <v>43370.62187</v>
      </c>
      <c r="B2354" t="s">
        <v>33</v>
      </c>
    </row>
    <row r="2355">
      <c r="A2355" s="32">
        <f>IFERROR(__xludf.DUMMYFUNCTION("""COMPUTED_VALUE"""),43370.621920034726)</f>
        <v>43370.62192</v>
      </c>
      <c r="B2355" t="s">
        <v>123</v>
      </c>
    </row>
    <row r="2356">
      <c r="A2356" s="32">
        <f>IFERROR(__xludf.DUMMYFUNCTION("""COMPUTED_VALUE"""),43370.628814270836)</f>
        <v>43370.62881</v>
      </c>
      <c r="B2356" t="s">
        <v>48</v>
      </c>
    </row>
    <row r="2357">
      <c r="A2357" s="32">
        <f>IFERROR(__xludf.DUMMYFUNCTION("""COMPUTED_VALUE"""),43370.63127666667)</f>
        <v>43370.63128</v>
      </c>
      <c r="B2357" t="s">
        <v>187</v>
      </c>
    </row>
    <row r="2358">
      <c r="A2358" s="32">
        <f>IFERROR(__xludf.DUMMYFUNCTION("""COMPUTED_VALUE"""),43370.63586375)</f>
        <v>43370.63586</v>
      </c>
      <c r="B2358" t="s">
        <v>187</v>
      </c>
    </row>
    <row r="2359">
      <c r="A2359" s="32">
        <f>IFERROR(__xludf.DUMMYFUNCTION("""COMPUTED_VALUE"""),43370.63937013889)</f>
        <v>43370.63937</v>
      </c>
      <c r="B2359" t="s">
        <v>187</v>
      </c>
    </row>
    <row r="2360">
      <c r="A2360" s="32">
        <f>IFERROR(__xludf.DUMMYFUNCTION("""COMPUTED_VALUE"""),43370.63956549768)</f>
        <v>43370.63957</v>
      </c>
      <c r="B2360" t="s">
        <v>36</v>
      </c>
    </row>
    <row r="2361">
      <c r="A2361" s="32">
        <f>IFERROR(__xludf.DUMMYFUNCTION("""COMPUTED_VALUE"""),43370.64252309028)</f>
        <v>43370.64252</v>
      </c>
      <c r="B2361" t="s">
        <v>33</v>
      </c>
    </row>
    <row r="2362">
      <c r="A2362" s="32">
        <f>IFERROR(__xludf.DUMMYFUNCTION("""COMPUTED_VALUE"""),43370.64666103009)</f>
        <v>43370.64666</v>
      </c>
      <c r="B2362" t="s">
        <v>40</v>
      </c>
    </row>
    <row r="2363">
      <c r="A2363" s="32">
        <f>IFERROR(__xludf.DUMMYFUNCTION("""COMPUTED_VALUE"""),43370.66429383102)</f>
        <v>43370.66429</v>
      </c>
      <c r="B2363" t="s">
        <v>80</v>
      </c>
    </row>
    <row r="2364">
      <c r="A2364" s="32">
        <f>IFERROR(__xludf.DUMMYFUNCTION("""COMPUTED_VALUE"""),43370.66445880787)</f>
        <v>43370.66446</v>
      </c>
      <c r="B2364" t="s">
        <v>819</v>
      </c>
    </row>
    <row r="2365">
      <c r="A2365" s="32">
        <f>IFERROR(__xludf.DUMMYFUNCTION("""COMPUTED_VALUE"""),43370.6769746875)</f>
        <v>43370.67697</v>
      </c>
      <c r="B2365" t="s">
        <v>33</v>
      </c>
    </row>
    <row r="2366">
      <c r="A2366" s="32">
        <f>IFERROR(__xludf.DUMMYFUNCTION("""COMPUTED_VALUE"""),43370.686218622686)</f>
        <v>43370.68622</v>
      </c>
      <c r="B2366" t="s">
        <v>187</v>
      </c>
    </row>
    <row r="2367">
      <c r="A2367" s="32">
        <f>IFERROR(__xludf.DUMMYFUNCTION("""COMPUTED_VALUE"""),43370.70594755787)</f>
        <v>43370.70595</v>
      </c>
      <c r="B2367" t="s">
        <v>45</v>
      </c>
    </row>
    <row r="2368">
      <c r="A2368" s="32">
        <f>IFERROR(__xludf.DUMMYFUNCTION("""COMPUTED_VALUE"""),43370.7088893287)</f>
        <v>43370.70889</v>
      </c>
      <c r="B2368" t="s">
        <v>139</v>
      </c>
    </row>
    <row r="2369">
      <c r="A2369" s="32">
        <f>IFERROR(__xludf.DUMMYFUNCTION("""COMPUTED_VALUE"""),43370.730594085646)</f>
        <v>43370.73059</v>
      </c>
      <c r="B2369" t="s">
        <v>371</v>
      </c>
    </row>
    <row r="2370">
      <c r="A2370" s="32">
        <f>IFERROR(__xludf.DUMMYFUNCTION("""COMPUTED_VALUE"""),43370.73096864583)</f>
        <v>43370.73097</v>
      </c>
      <c r="B2370" t="s">
        <v>256</v>
      </c>
    </row>
    <row r="2371">
      <c r="A2371" s="32">
        <f>IFERROR(__xludf.DUMMYFUNCTION("""COMPUTED_VALUE"""),43370.731333414355)</f>
        <v>43370.73133</v>
      </c>
      <c r="B2371" t="s">
        <v>371</v>
      </c>
    </row>
    <row r="2372">
      <c r="A2372" s="32">
        <f>IFERROR(__xludf.DUMMYFUNCTION("""COMPUTED_VALUE"""),43370.735029166666)</f>
        <v>43370.73503</v>
      </c>
      <c r="B2372" t="s">
        <v>119</v>
      </c>
    </row>
    <row r="2373">
      <c r="A2373" s="32">
        <f>IFERROR(__xludf.DUMMYFUNCTION("""COMPUTED_VALUE"""),43370.7687408912)</f>
        <v>43370.76874</v>
      </c>
      <c r="B2373" t="s">
        <v>1740</v>
      </c>
    </row>
    <row r="2374">
      <c r="A2374" s="32">
        <f>IFERROR(__xludf.DUMMYFUNCTION("""COMPUTED_VALUE"""),43370.781246886574)</f>
        <v>43370.78125</v>
      </c>
      <c r="B2374" t="s">
        <v>119</v>
      </c>
    </row>
    <row r="2375">
      <c r="A2375" s="32">
        <f>IFERROR(__xludf.DUMMYFUNCTION("""COMPUTED_VALUE"""),43370.795262141204)</f>
        <v>43370.79526</v>
      </c>
      <c r="B2375" t="s">
        <v>1744</v>
      </c>
    </row>
    <row r="2376">
      <c r="A2376" s="32">
        <f>IFERROR(__xludf.DUMMYFUNCTION("""COMPUTED_VALUE"""),43370.809353449076)</f>
        <v>43370.80935</v>
      </c>
      <c r="B2376" t="s">
        <v>40</v>
      </c>
    </row>
    <row r="2377">
      <c r="A2377" s="32">
        <f>IFERROR(__xludf.DUMMYFUNCTION("""COMPUTED_VALUE"""),43370.82626619213)</f>
        <v>43370.82627</v>
      </c>
      <c r="B2377" t="s">
        <v>48</v>
      </c>
    </row>
    <row r="2378">
      <c r="A2378" s="32">
        <f>IFERROR(__xludf.DUMMYFUNCTION("""COMPUTED_VALUE"""),43370.82794944444)</f>
        <v>43370.82795</v>
      </c>
      <c r="B2378" t="s">
        <v>40</v>
      </c>
    </row>
    <row r="2379">
      <c r="A2379" s="32">
        <f>IFERROR(__xludf.DUMMYFUNCTION("""COMPUTED_VALUE"""),43370.83717810185)</f>
        <v>43370.83718</v>
      </c>
      <c r="B2379" t="s">
        <v>33</v>
      </c>
    </row>
    <row r="2380">
      <c r="A2380" s="32">
        <f>IFERROR(__xludf.DUMMYFUNCTION("""COMPUTED_VALUE"""),43370.85577534723)</f>
        <v>43370.85578</v>
      </c>
      <c r="B2380" t="s">
        <v>48</v>
      </c>
    </row>
    <row r="2381">
      <c r="A2381" s="32">
        <f>IFERROR(__xludf.DUMMYFUNCTION("""COMPUTED_VALUE"""),43370.857703518515)</f>
        <v>43370.8577</v>
      </c>
      <c r="B2381" t="s">
        <v>48</v>
      </c>
    </row>
    <row r="2382">
      <c r="A2382" s="32">
        <f>IFERROR(__xludf.DUMMYFUNCTION("""COMPUTED_VALUE"""),43370.858747025464)</f>
        <v>43370.85875</v>
      </c>
      <c r="B2382" t="s">
        <v>204</v>
      </c>
    </row>
    <row r="2383">
      <c r="A2383" s="32">
        <f>IFERROR(__xludf.DUMMYFUNCTION("""COMPUTED_VALUE"""),43370.91778017361)</f>
        <v>43370.91778</v>
      </c>
      <c r="B2383" t="s">
        <v>80</v>
      </c>
    </row>
    <row r="2384">
      <c r="A2384" s="32">
        <f>IFERROR(__xludf.DUMMYFUNCTION("""COMPUTED_VALUE"""),43370.92446001158)</f>
        <v>43370.92446</v>
      </c>
      <c r="B2384" t="s">
        <v>119</v>
      </c>
    </row>
    <row r="2385">
      <c r="A2385" s="32">
        <f>IFERROR(__xludf.DUMMYFUNCTION("""COMPUTED_VALUE"""),43370.95735427084)</f>
        <v>43370.95735</v>
      </c>
      <c r="B2385" t="s">
        <v>123</v>
      </c>
    </row>
    <row r="2386">
      <c r="A2386" s="32">
        <f>IFERROR(__xludf.DUMMYFUNCTION("""COMPUTED_VALUE"""),43370.998364224535)</f>
        <v>43370.99836</v>
      </c>
      <c r="B2386" t="s">
        <v>36</v>
      </c>
    </row>
    <row r="2387">
      <c r="A2387" s="32">
        <f>IFERROR(__xludf.DUMMYFUNCTION("""COMPUTED_VALUE"""),43371.00751552083)</f>
        <v>43371.00752</v>
      </c>
      <c r="B2387" t="s">
        <v>80</v>
      </c>
    </row>
    <row r="2388">
      <c r="A2388" s="32">
        <f>IFERROR(__xludf.DUMMYFUNCTION("""COMPUTED_VALUE"""),43371.01047486111)</f>
        <v>43371.01047</v>
      </c>
      <c r="B2388" t="s">
        <v>45</v>
      </c>
    </row>
    <row r="2389">
      <c r="A2389" s="32">
        <f>IFERROR(__xludf.DUMMYFUNCTION("""COMPUTED_VALUE"""),43371.04045479167)</f>
        <v>43371.04045</v>
      </c>
      <c r="B2389" t="s">
        <v>45</v>
      </c>
    </row>
    <row r="2390">
      <c r="A2390" s="32">
        <f>IFERROR(__xludf.DUMMYFUNCTION("""COMPUTED_VALUE"""),43371.05869637731)</f>
        <v>43371.0587</v>
      </c>
      <c r="B2390" t="s">
        <v>45</v>
      </c>
    </row>
    <row r="2391">
      <c r="A2391" s="32">
        <f>IFERROR(__xludf.DUMMYFUNCTION("""COMPUTED_VALUE"""),43371.09364846065)</f>
        <v>43371.09365</v>
      </c>
      <c r="B2391" t="s">
        <v>119</v>
      </c>
    </row>
    <row r="2392">
      <c r="A2392" s="32">
        <f>IFERROR(__xludf.DUMMYFUNCTION("""COMPUTED_VALUE"""),43371.23251289352)</f>
        <v>43371.23251</v>
      </c>
      <c r="B2392" t="s">
        <v>33</v>
      </c>
    </row>
    <row r="2393">
      <c r="A2393" s="32">
        <f>IFERROR(__xludf.DUMMYFUNCTION("""COMPUTED_VALUE"""),43371.291873333335)</f>
        <v>43371.29187</v>
      </c>
      <c r="B2393" t="s">
        <v>80</v>
      </c>
    </row>
    <row r="2394">
      <c r="A2394" s="32">
        <f>IFERROR(__xludf.DUMMYFUNCTION("""COMPUTED_VALUE"""),43371.29914137731)</f>
        <v>43371.29914</v>
      </c>
      <c r="B2394" t="s">
        <v>33</v>
      </c>
    </row>
    <row r="2395">
      <c r="A2395" s="32">
        <f>IFERROR(__xludf.DUMMYFUNCTION("""COMPUTED_VALUE"""),43371.300263784724)</f>
        <v>43371.30026</v>
      </c>
      <c r="B2395" t="s">
        <v>282</v>
      </c>
    </row>
    <row r="2396">
      <c r="A2396" s="32">
        <f>IFERROR(__xludf.DUMMYFUNCTION("""COMPUTED_VALUE"""),43371.315648414355)</f>
        <v>43371.31565</v>
      </c>
      <c r="B2396" t="s">
        <v>48</v>
      </c>
    </row>
    <row r="2397">
      <c r="A2397" s="32">
        <f>IFERROR(__xludf.DUMMYFUNCTION("""COMPUTED_VALUE"""),43371.34706585648)</f>
        <v>43371.34707</v>
      </c>
      <c r="B2397" t="s">
        <v>33</v>
      </c>
    </row>
    <row r="2398">
      <c r="A2398" s="32">
        <f>IFERROR(__xludf.DUMMYFUNCTION("""COMPUTED_VALUE"""),43371.35071950231)</f>
        <v>43371.35072</v>
      </c>
      <c r="B2398" t="s">
        <v>282</v>
      </c>
    </row>
    <row r="2399">
      <c r="A2399" s="32">
        <f>IFERROR(__xludf.DUMMYFUNCTION("""COMPUTED_VALUE"""),43371.35693729167)</f>
        <v>43371.35694</v>
      </c>
      <c r="B2399" t="s">
        <v>45</v>
      </c>
    </row>
    <row r="2400">
      <c r="A2400" s="32">
        <f>IFERROR(__xludf.DUMMYFUNCTION("""COMPUTED_VALUE"""),43371.40360711806)</f>
        <v>43371.40361</v>
      </c>
      <c r="B2400" t="s">
        <v>25</v>
      </c>
    </row>
    <row r="2401">
      <c r="A2401" s="32">
        <f>IFERROR(__xludf.DUMMYFUNCTION("""COMPUTED_VALUE"""),43371.41566435185)</f>
        <v>43371.41566</v>
      </c>
      <c r="B2401" t="s">
        <v>123</v>
      </c>
    </row>
    <row r="2402">
      <c r="A2402" s="32">
        <f>IFERROR(__xludf.DUMMYFUNCTION("""COMPUTED_VALUE"""),43371.41742572917)</f>
        <v>43371.41743</v>
      </c>
      <c r="B2402" t="s">
        <v>40</v>
      </c>
    </row>
    <row r="2403">
      <c r="A2403" s="32">
        <f>IFERROR(__xludf.DUMMYFUNCTION("""COMPUTED_VALUE"""),43371.42606254629)</f>
        <v>43371.42606</v>
      </c>
      <c r="B2403" t="s">
        <v>45</v>
      </c>
    </row>
    <row r="2404">
      <c r="A2404" s="32">
        <f>IFERROR(__xludf.DUMMYFUNCTION("""COMPUTED_VALUE"""),43371.476335671294)</f>
        <v>43371.47634</v>
      </c>
      <c r="B2404" t="s">
        <v>40</v>
      </c>
    </row>
    <row r="2405">
      <c r="A2405" s="32">
        <f>IFERROR(__xludf.DUMMYFUNCTION("""COMPUTED_VALUE"""),43371.484870636574)</f>
        <v>43371.48487</v>
      </c>
      <c r="B2405" t="s">
        <v>426</v>
      </c>
    </row>
    <row r="2406">
      <c r="A2406" s="32">
        <f>IFERROR(__xludf.DUMMYFUNCTION("""COMPUTED_VALUE"""),43371.49112759259)</f>
        <v>43371.49113</v>
      </c>
      <c r="B2406" t="s">
        <v>122</v>
      </c>
    </row>
    <row r="2407">
      <c r="A2407" s="32">
        <f>IFERROR(__xludf.DUMMYFUNCTION("""COMPUTED_VALUE"""),43371.492002349536)</f>
        <v>43371.492</v>
      </c>
      <c r="B2407" t="s">
        <v>80</v>
      </c>
    </row>
    <row r="2408">
      <c r="A2408" s="32">
        <f>IFERROR(__xludf.DUMMYFUNCTION("""COMPUTED_VALUE"""),43371.50360940972)</f>
        <v>43371.50361</v>
      </c>
      <c r="B2408" t="s">
        <v>2424</v>
      </c>
    </row>
    <row r="2409">
      <c r="A2409" s="32">
        <f>IFERROR(__xludf.DUMMYFUNCTION("""COMPUTED_VALUE"""),43371.504500787036)</f>
        <v>43371.5045</v>
      </c>
      <c r="B2409" t="s">
        <v>2424</v>
      </c>
    </row>
    <row r="2410">
      <c r="A2410" s="32">
        <f>IFERROR(__xludf.DUMMYFUNCTION("""COMPUTED_VALUE"""),43371.52293357639)</f>
        <v>43371.52293</v>
      </c>
      <c r="B2410" t="s">
        <v>36</v>
      </c>
    </row>
    <row r="2411">
      <c r="A2411" s="32">
        <f>IFERROR(__xludf.DUMMYFUNCTION("""COMPUTED_VALUE"""),43371.538681805556)</f>
        <v>43371.53868</v>
      </c>
      <c r="B2411" t="s">
        <v>2752</v>
      </c>
    </row>
    <row r="2412">
      <c r="A2412" s="32">
        <f>IFERROR(__xludf.DUMMYFUNCTION("""COMPUTED_VALUE"""),43371.54707355324)</f>
        <v>43371.54707</v>
      </c>
      <c r="B2412" t="s">
        <v>45</v>
      </c>
    </row>
    <row r="2413">
      <c r="A2413" s="32">
        <f>IFERROR(__xludf.DUMMYFUNCTION("""COMPUTED_VALUE"""),43371.591232743056)</f>
        <v>43371.59123</v>
      </c>
      <c r="B2413" t="s">
        <v>40</v>
      </c>
    </row>
    <row r="2414">
      <c r="A2414" s="32">
        <f>IFERROR(__xludf.DUMMYFUNCTION("""COMPUTED_VALUE"""),43371.606939652775)</f>
        <v>43371.60694</v>
      </c>
      <c r="B2414" t="s">
        <v>48</v>
      </c>
    </row>
    <row r="2415">
      <c r="A2415" s="32">
        <f>IFERROR(__xludf.DUMMYFUNCTION("""COMPUTED_VALUE"""),43371.62021342592)</f>
        <v>43371.62021</v>
      </c>
      <c r="B2415" t="s">
        <v>119</v>
      </c>
    </row>
    <row r="2416">
      <c r="A2416" s="32">
        <f>IFERROR(__xludf.DUMMYFUNCTION("""COMPUTED_VALUE"""),43371.627568275464)</f>
        <v>43371.62757</v>
      </c>
      <c r="B2416" t="s">
        <v>36</v>
      </c>
    </row>
    <row r="2417">
      <c r="A2417" s="32">
        <f>IFERROR(__xludf.DUMMYFUNCTION("""COMPUTED_VALUE"""),43371.6363583912)</f>
        <v>43371.63636</v>
      </c>
      <c r="B2417" t="s">
        <v>45</v>
      </c>
    </row>
    <row r="2418">
      <c r="A2418" s="32">
        <f>IFERROR(__xludf.DUMMYFUNCTION("""COMPUTED_VALUE"""),43371.63659783565)</f>
        <v>43371.6366</v>
      </c>
      <c r="B2418" t="s">
        <v>36</v>
      </c>
    </row>
    <row r="2419">
      <c r="A2419" s="32">
        <f>IFERROR(__xludf.DUMMYFUNCTION("""COMPUTED_VALUE"""),43371.636747199074)</f>
        <v>43371.63675</v>
      </c>
      <c r="B2419" t="s">
        <v>48</v>
      </c>
    </row>
    <row r="2420">
      <c r="A2420" s="32">
        <f>IFERROR(__xludf.DUMMYFUNCTION("""COMPUTED_VALUE"""),43371.639680092594)</f>
        <v>43371.63968</v>
      </c>
      <c r="B2420" t="s">
        <v>48</v>
      </c>
    </row>
    <row r="2421">
      <c r="A2421" s="32">
        <f>IFERROR(__xludf.DUMMYFUNCTION("""COMPUTED_VALUE"""),43371.646743958336)</f>
        <v>43371.64674</v>
      </c>
      <c r="B2421" t="s">
        <v>371</v>
      </c>
    </row>
    <row r="2422">
      <c r="A2422" s="32">
        <f>IFERROR(__xludf.DUMMYFUNCTION("""COMPUTED_VALUE"""),43371.662856979165)</f>
        <v>43371.66286</v>
      </c>
      <c r="B2422" t="s">
        <v>33</v>
      </c>
    </row>
    <row r="2423">
      <c r="A2423" s="32">
        <f>IFERROR(__xludf.DUMMYFUNCTION("""COMPUTED_VALUE"""),43371.665708217595)</f>
        <v>43371.66571</v>
      </c>
      <c r="B2423" t="s">
        <v>33</v>
      </c>
    </row>
    <row r="2424">
      <c r="A2424" s="32">
        <f>IFERROR(__xludf.DUMMYFUNCTION("""COMPUTED_VALUE"""),43371.67009636574)</f>
        <v>43371.6701</v>
      </c>
      <c r="B2424" t="s">
        <v>119</v>
      </c>
    </row>
    <row r="2425">
      <c r="A2425" s="32">
        <f>IFERROR(__xludf.DUMMYFUNCTION("""COMPUTED_VALUE"""),43371.672564988425)</f>
        <v>43371.67256</v>
      </c>
      <c r="B2425" t="s">
        <v>33</v>
      </c>
    </row>
    <row r="2426">
      <c r="A2426" s="32">
        <f>IFERROR(__xludf.DUMMYFUNCTION("""COMPUTED_VALUE"""),43371.67443266204)</f>
        <v>43371.67443</v>
      </c>
      <c r="B2426" t="s">
        <v>123</v>
      </c>
    </row>
    <row r="2427">
      <c r="A2427" s="32">
        <f>IFERROR(__xludf.DUMMYFUNCTION("""COMPUTED_VALUE"""),43371.69120248842)</f>
        <v>43371.6912</v>
      </c>
      <c r="B2427" t="s">
        <v>80</v>
      </c>
    </row>
    <row r="2428">
      <c r="A2428" s="32">
        <f>IFERROR(__xludf.DUMMYFUNCTION("""COMPUTED_VALUE"""),43371.691325775464)</f>
        <v>43371.69133</v>
      </c>
      <c r="B2428" t="s">
        <v>33</v>
      </c>
    </row>
    <row r="2429">
      <c r="A2429" s="32">
        <f>IFERROR(__xludf.DUMMYFUNCTION("""COMPUTED_VALUE"""),43371.69390387731)</f>
        <v>43371.6939</v>
      </c>
      <c r="B2429" t="s">
        <v>123</v>
      </c>
    </row>
    <row r="2430">
      <c r="A2430" s="32">
        <f>IFERROR(__xludf.DUMMYFUNCTION("""COMPUTED_VALUE"""),43371.69778171297)</f>
        <v>43371.69778</v>
      </c>
      <c r="B2430" t="s">
        <v>33</v>
      </c>
    </row>
    <row r="2431">
      <c r="A2431" s="32">
        <f>IFERROR(__xludf.DUMMYFUNCTION("""COMPUTED_VALUE"""),43371.704236053236)</f>
        <v>43371.70424</v>
      </c>
      <c r="B2431" t="s">
        <v>170</v>
      </c>
    </row>
    <row r="2432">
      <c r="A2432" s="32">
        <f>IFERROR(__xludf.DUMMYFUNCTION("""COMPUTED_VALUE"""),43371.71125716435)</f>
        <v>43371.71126</v>
      </c>
      <c r="B2432" t="s">
        <v>2658</v>
      </c>
    </row>
    <row r="2433">
      <c r="A2433" s="32">
        <f>IFERROR(__xludf.DUMMYFUNCTION("""COMPUTED_VALUE"""),43371.711728368056)</f>
        <v>43371.71173</v>
      </c>
      <c r="B2433" t="s">
        <v>80</v>
      </c>
    </row>
    <row r="2434">
      <c r="A2434" s="32">
        <f>IFERROR(__xludf.DUMMYFUNCTION("""COMPUTED_VALUE"""),43371.72107368056)</f>
        <v>43371.72107</v>
      </c>
      <c r="B2434" t="s">
        <v>33</v>
      </c>
    </row>
    <row r="2435">
      <c r="A2435" s="32">
        <f>IFERROR(__xludf.DUMMYFUNCTION("""COMPUTED_VALUE"""),43371.731295474536)</f>
        <v>43371.7313</v>
      </c>
      <c r="B2435" t="s">
        <v>40</v>
      </c>
    </row>
    <row r="2436">
      <c r="A2436" s="32">
        <f>IFERROR(__xludf.DUMMYFUNCTION("""COMPUTED_VALUE"""),43371.74576803241)</f>
        <v>43371.74577</v>
      </c>
      <c r="B2436" t="s">
        <v>33</v>
      </c>
    </row>
    <row r="2437">
      <c r="A2437" s="32">
        <f>IFERROR(__xludf.DUMMYFUNCTION("""COMPUTED_VALUE"""),43371.787429918986)</f>
        <v>43371.78743</v>
      </c>
      <c r="B2437" t="s">
        <v>40</v>
      </c>
    </row>
    <row r="2438">
      <c r="A2438" s="32">
        <f>IFERROR(__xludf.DUMMYFUNCTION("""COMPUTED_VALUE"""),43371.79245821759)</f>
        <v>43371.79246</v>
      </c>
      <c r="B2438" t="s">
        <v>33</v>
      </c>
    </row>
    <row r="2439">
      <c r="A2439" s="32">
        <f>IFERROR(__xludf.DUMMYFUNCTION("""COMPUTED_VALUE"""),43371.83181157407)</f>
        <v>43371.83181</v>
      </c>
      <c r="B2439" t="s">
        <v>40</v>
      </c>
    </row>
    <row r="2440">
      <c r="A2440" s="32">
        <f>IFERROR(__xludf.DUMMYFUNCTION("""COMPUTED_VALUE"""),43371.8463290162)</f>
        <v>43371.84633</v>
      </c>
      <c r="B2440" t="s">
        <v>33</v>
      </c>
    </row>
    <row r="2441">
      <c r="A2441" s="32">
        <f>IFERROR(__xludf.DUMMYFUNCTION("""COMPUTED_VALUE"""),43371.850763263894)</f>
        <v>43371.85076</v>
      </c>
      <c r="B2441" t="s">
        <v>119</v>
      </c>
    </row>
    <row r="2442">
      <c r="A2442" s="32">
        <f>IFERROR(__xludf.DUMMYFUNCTION("""COMPUTED_VALUE"""),43371.85461244213)</f>
        <v>43371.85461</v>
      </c>
      <c r="B2442" t="s">
        <v>119</v>
      </c>
    </row>
    <row r="2443">
      <c r="A2443" s="32">
        <f>IFERROR(__xludf.DUMMYFUNCTION("""COMPUTED_VALUE"""),43371.87587726852)</f>
        <v>43371.87588</v>
      </c>
      <c r="B2443" t="s">
        <v>33</v>
      </c>
    </row>
    <row r="2444">
      <c r="A2444" s="32">
        <f>IFERROR(__xludf.DUMMYFUNCTION("""COMPUTED_VALUE"""),43371.879199421295)</f>
        <v>43371.8792</v>
      </c>
      <c r="B2444" t="s">
        <v>33</v>
      </c>
    </row>
    <row r="2445">
      <c r="A2445" s="32">
        <f>IFERROR(__xludf.DUMMYFUNCTION("""COMPUTED_VALUE"""),43371.89717327546)</f>
        <v>43371.89717</v>
      </c>
      <c r="B2445" t="s">
        <v>124</v>
      </c>
    </row>
    <row r="2446">
      <c r="A2446" s="32">
        <f>IFERROR(__xludf.DUMMYFUNCTION("""COMPUTED_VALUE"""),43371.91524556713)</f>
        <v>43371.91525</v>
      </c>
      <c r="B2446" t="s">
        <v>36</v>
      </c>
    </row>
    <row r="2447">
      <c r="A2447" s="32">
        <f>IFERROR(__xludf.DUMMYFUNCTION("""COMPUTED_VALUE"""),43371.91584548611)</f>
        <v>43371.91585</v>
      </c>
      <c r="B2447" t="s">
        <v>45</v>
      </c>
    </row>
    <row r="2448">
      <c r="A2448" s="32">
        <f>IFERROR(__xludf.DUMMYFUNCTION("""COMPUTED_VALUE"""),43371.91606587963)</f>
        <v>43371.91607</v>
      </c>
      <c r="B2448" t="s">
        <v>80</v>
      </c>
    </row>
    <row r="2449">
      <c r="A2449" s="32">
        <f>IFERROR(__xludf.DUMMYFUNCTION("""COMPUTED_VALUE"""),43371.92062668981)</f>
        <v>43371.92063</v>
      </c>
      <c r="B2449" t="s">
        <v>119</v>
      </c>
    </row>
    <row r="2450">
      <c r="A2450" s="32">
        <f>IFERROR(__xludf.DUMMYFUNCTION("""COMPUTED_VALUE"""),43371.92207732639)</f>
        <v>43371.92208</v>
      </c>
      <c r="B2450" t="s">
        <v>48</v>
      </c>
    </row>
    <row r="2451">
      <c r="A2451" s="32">
        <f>IFERROR(__xludf.DUMMYFUNCTION("""COMPUTED_VALUE"""),43371.93060381945)</f>
        <v>43371.9306</v>
      </c>
      <c r="B2451" t="s">
        <v>1769</v>
      </c>
    </row>
    <row r="2452">
      <c r="A2452" s="32">
        <f>IFERROR(__xludf.DUMMYFUNCTION("""COMPUTED_VALUE"""),43371.984040509255)</f>
        <v>43371.98404</v>
      </c>
      <c r="B2452" t="s">
        <v>119</v>
      </c>
    </row>
    <row r="2453">
      <c r="A2453" s="32">
        <f>IFERROR(__xludf.DUMMYFUNCTION("""COMPUTED_VALUE"""),43371.98775585648)</f>
        <v>43371.98776</v>
      </c>
      <c r="B2453" t="s">
        <v>40</v>
      </c>
    </row>
    <row r="2454">
      <c r="A2454" s="32">
        <f>IFERROR(__xludf.DUMMYFUNCTION("""COMPUTED_VALUE"""),43371.99050248842)</f>
        <v>43371.9905</v>
      </c>
      <c r="B2454" t="s">
        <v>33</v>
      </c>
    </row>
    <row r="2455">
      <c r="A2455" s="32">
        <f>IFERROR(__xludf.DUMMYFUNCTION("""COMPUTED_VALUE"""),43371.993055231476)</f>
        <v>43371.99306</v>
      </c>
      <c r="B2455" t="s">
        <v>123</v>
      </c>
    </row>
    <row r="2456">
      <c r="A2456" s="32">
        <f>IFERROR(__xludf.DUMMYFUNCTION("""COMPUTED_VALUE"""),43372.00251171296)</f>
        <v>43372.00251</v>
      </c>
      <c r="B2456" t="s">
        <v>45</v>
      </c>
    </row>
    <row r="2457">
      <c r="A2457" s="32">
        <f>IFERROR(__xludf.DUMMYFUNCTION("""COMPUTED_VALUE"""),43372.03061207176)</f>
        <v>43372.03061</v>
      </c>
      <c r="B2457" t="s">
        <v>819</v>
      </c>
    </row>
    <row r="2458">
      <c r="A2458" s="32">
        <f>IFERROR(__xludf.DUMMYFUNCTION("""COMPUTED_VALUE"""),43372.04885900463)</f>
        <v>43372.04886</v>
      </c>
      <c r="B2458" t="s">
        <v>33</v>
      </c>
    </row>
    <row r="2459">
      <c r="A2459" s="32">
        <f>IFERROR(__xludf.DUMMYFUNCTION("""COMPUTED_VALUE"""),43372.06260780092)</f>
        <v>43372.06261</v>
      </c>
      <c r="B2459" t="s">
        <v>80</v>
      </c>
    </row>
    <row r="2460">
      <c r="A2460" s="32">
        <f>IFERROR(__xludf.DUMMYFUNCTION("""COMPUTED_VALUE"""),43372.10447607639)</f>
        <v>43372.10448</v>
      </c>
      <c r="B2460" t="s">
        <v>119</v>
      </c>
    </row>
    <row r="2461">
      <c r="A2461" s="32">
        <f>IFERROR(__xludf.DUMMYFUNCTION("""COMPUTED_VALUE"""),43372.10607026621)</f>
        <v>43372.10607</v>
      </c>
      <c r="B2461" t="s">
        <v>48</v>
      </c>
    </row>
    <row r="2462">
      <c r="A2462" s="32">
        <f>IFERROR(__xludf.DUMMYFUNCTION("""COMPUTED_VALUE"""),43372.119559224535)</f>
        <v>43372.11956</v>
      </c>
      <c r="B2462" t="s">
        <v>33</v>
      </c>
    </row>
    <row r="2463">
      <c r="A2463" s="32">
        <f>IFERROR(__xludf.DUMMYFUNCTION("""COMPUTED_VALUE"""),43372.125934780095)</f>
        <v>43372.12593</v>
      </c>
      <c r="B2463" t="s">
        <v>45</v>
      </c>
    </row>
    <row r="2464">
      <c r="A2464" s="32">
        <f>IFERROR(__xludf.DUMMYFUNCTION("""COMPUTED_VALUE"""),43372.14782439815)</f>
        <v>43372.14782</v>
      </c>
      <c r="B2464" t="s">
        <v>282</v>
      </c>
    </row>
    <row r="2465">
      <c r="A2465" s="32">
        <f>IFERROR(__xludf.DUMMYFUNCTION("""COMPUTED_VALUE"""),43372.242048831016)</f>
        <v>43372.24205</v>
      </c>
      <c r="B2465" t="s">
        <v>45</v>
      </c>
    </row>
    <row r="2466">
      <c r="A2466" s="32">
        <f>IFERROR(__xludf.DUMMYFUNCTION("""COMPUTED_VALUE"""),43372.245784583334)</f>
        <v>43372.24578</v>
      </c>
      <c r="B2466" t="s">
        <v>282</v>
      </c>
    </row>
    <row r="2467">
      <c r="A2467" s="32">
        <f>IFERROR(__xludf.DUMMYFUNCTION("""COMPUTED_VALUE"""),43372.24786390046)</f>
        <v>43372.24786</v>
      </c>
      <c r="B2467" t="s">
        <v>80</v>
      </c>
    </row>
    <row r="2468">
      <c r="A2468" s="32">
        <f>IFERROR(__xludf.DUMMYFUNCTION("""COMPUTED_VALUE"""),43372.2520965625)</f>
        <v>43372.2521</v>
      </c>
      <c r="B2468" t="s">
        <v>819</v>
      </c>
    </row>
    <row r="2469">
      <c r="A2469" s="32">
        <f>IFERROR(__xludf.DUMMYFUNCTION("""COMPUTED_VALUE"""),43372.25411381944)</f>
        <v>43372.25411</v>
      </c>
      <c r="B2469" t="s">
        <v>45</v>
      </c>
    </row>
    <row r="2470">
      <c r="A2470" s="32">
        <f>IFERROR(__xludf.DUMMYFUNCTION("""COMPUTED_VALUE"""),43372.25679371528)</f>
        <v>43372.25679</v>
      </c>
      <c r="B2470" t="s">
        <v>33</v>
      </c>
    </row>
    <row r="2471">
      <c r="A2471" s="32">
        <f>IFERROR(__xludf.DUMMYFUNCTION("""COMPUTED_VALUE"""),43372.26056825231)</f>
        <v>43372.26057</v>
      </c>
      <c r="B2471" t="s">
        <v>119</v>
      </c>
    </row>
    <row r="2472">
      <c r="A2472" s="32">
        <f>IFERROR(__xludf.DUMMYFUNCTION("""COMPUTED_VALUE"""),43372.266973125)</f>
        <v>43372.26697</v>
      </c>
      <c r="B2472" t="s">
        <v>80</v>
      </c>
    </row>
    <row r="2473">
      <c r="A2473" s="32">
        <f>IFERROR(__xludf.DUMMYFUNCTION("""COMPUTED_VALUE"""),43372.26852612269)</f>
        <v>43372.26853</v>
      </c>
      <c r="B2473" t="s">
        <v>40</v>
      </c>
    </row>
    <row r="2474">
      <c r="A2474" s="32">
        <f>IFERROR(__xludf.DUMMYFUNCTION("""COMPUTED_VALUE"""),43372.2871952662)</f>
        <v>43372.2872</v>
      </c>
      <c r="B2474" t="s">
        <v>33</v>
      </c>
    </row>
    <row r="2475">
      <c r="A2475" s="32">
        <f>IFERROR(__xludf.DUMMYFUNCTION("""COMPUTED_VALUE"""),43372.29982987269)</f>
        <v>43372.29983</v>
      </c>
      <c r="B2475" t="s">
        <v>1371</v>
      </c>
    </row>
    <row r="2476">
      <c r="A2476" s="32">
        <f>IFERROR(__xludf.DUMMYFUNCTION("""COMPUTED_VALUE"""),43372.306807256944)</f>
        <v>43372.30681</v>
      </c>
      <c r="B2476" t="s">
        <v>123</v>
      </c>
    </row>
    <row r="2477">
      <c r="A2477" s="32">
        <f>IFERROR(__xludf.DUMMYFUNCTION("""COMPUTED_VALUE"""),43372.310718506946)</f>
        <v>43372.31072</v>
      </c>
      <c r="B2477" t="s">
        <v>45</v>
      </c>
    </row>
    <row r="2478">
      <c r="A2478" s="32">
        <f>IFERROR(__xludf.DUMMYFUNCTION("""COMPUTED_VALUE"""),43372.316191770835)</f>
        <v>43372.31619</v>
      </c>
      <c r="B2478" t="s">
        <v>548</v>
      </c>
    </row>
    <row r="2479">
      <c r="A2479" s="32">
        <f>IFERROR(__xludf.DUMMYFUNCTION("""COMPUTED_VALUE"""),43372.318650127316)</f>
        <v>43372.31865</v>
      </c>
      <c r="B2479" t="s">
        <v>282</v>
      </c>
    </row>
    <row r="2480">
      <c r="A2480" s="32">
        <f>IFERROR(__xludf.DUMMYFUNCTION("""COMPUTED_VALUE"""),43372.34350452546)</f>
        <v>43372.3435</v>
      </c>
      <c r="B2480" t="s">
        <v>80</v>
      </c>
    </row>
    <row r="2481">
      <c r="A2481" s="32">
        <f>IFERROR(__xludf.DUMMYFUNCTION("""COMPUTED_VALUE"""),43372.3440703125)</f>
        <v>43372.34407</v>
      </c>
      <c r="B2481" t="s">
        <v>33</v>
      </c>
    </row>
    <row r="2482">
      <c r="A2482" s="32">
        <f>IFERROR(__xludf.DUMMYFUNCTION("""COMPUTED_VALUE"""),43372.37304121528)</f>
        <v>43372.37304</v>
      </c>
      <c r="B2482" t="s">
        <v>36</v>
      </c>
    </row>
    <row r="2483">
      <c r="A2483" s="32">
        <f>IFERROR(__xludf.DUMMYFUNCTION("""COMPUTED_VALUE"""),43372.37495384259)</f>
        <v>43372.37495</v>
      </c>
      <c r="B2483" t="s">
        <v>187</v>
      </c>
    </row>
    <row r="2484">
      <c r="A2484" s="32">
        <f>IFERROR(__xludf.DUMMYFUNCTION("""COMPUTED_VALUE"""),43372.38016556713)</f>
        <v>43372.38017</v>
      </c>
      <c r="B2484" t="s">
        <v>873</v>
      </c>
    </row>
    <row r="2485">
      <c r="A2485" s="32">
        <f>IFERROR(__xludf.DUMMYFUNCTION("""COMPUTED_VALUE"""),43372.39004888889)</f>
        <v>43372.39005</v>
      </c>
      <c r="B2485" t="s">
        <v>48</v>
      </c>
    </row>
    <row r="2486">
      <c r="A2486" s="32">
        <f>IFERROR(__xludf.DUMMYFUNCTION("""COMPUTED_VALUE"""),43372.417408368055)</f>
        <v>43372.41741</v>
      </c>
      <c r="B2486" t="s">
        <v>187</v>
      </c>
    </row>
    <row r="2487">
      <c r="A2487" s="32">
        <f>IFERROR(__xludf.DUMMYFUNCTION("""COMPUTED_VALUE"""),43372.44422849537)</f>
        <v>43372.44423</v>
      </c>
      <c r="B2487" t="s">
        <v>80</v>
      </c>
    </row>
    <row r="2488">
      <c r="A2488" s="32">
        <f>IFERROR(__xludf.DUMMYFUNCTION("""COMPUTED_VALUE"""),43372.45120552083)</f>
        <v>43372.45121</v>
      </c>
      <c r="B2488" t="s">
        <v>33</v>
      </c>
    </row>
    <row r="2489">
      <c r="A2489" s="32">
        <f>IFERROR(__xludf.DUMMYFUNCTION("""COMPUTED_VALUE"""),43372.46580643518)</f>
        <v>43372.46581</v>
      </c>
      <c r="B2489" t="s">
        <v>2662</v>
      </c>
    </row>
    <row r="2490">
      <c r="A2490" s="32">
        <f>IFERROR(__xludf.DUMMYFUNCTION("""COMPUTED_VALUE"""),43372.469677650464)</f>
        <v>43372.46968</v>
      </c>
      <c r="B2490" t="s">
        <v>187</v>
      </c>
    </row>
    <row r="2491">
      <c r="A2491" s="32">
        <f>IFERROR(__xludf.DUMMYFUNCTION("""COMPUTED_VALUE"""),43372.473794351856)</f>
        <v>43372.47379</v>
      </c>
      <c r="B2491" t="s">
        <v>33</v>
      </c>
    </row>
    <row r="2492">
      <c r="A2492" s="32">
        <f>IFERROR(__xludf.DUMMYFUNCTION("""COMPUTED_VALUE"""),43372.507602881946)</f>
        <v>43372.5076</v>
      </c>
      <c r="B2492" t="s">
        <v>80</v>
      </c>
    </row>
    <row r="2493">
      <c r="A2493" s="32">
        <f>IFERROR(__xludf.DUMMYFUNCTION("""COMPUTED_VALUE"""),43372.51922429398)</f>
        <v>43372.51922</v>
      </c>
      <c r="B2493" t="s">
        <v>33</v>
      </c>
    </row>
    <row r="2494">
      <c r="A2494" s="32">
        <f>IFERROR(__xludf.DUMMYFUNCTION("""COMPUTED_VALUE"""),43372.52285721065)</f>
        <v>43372.52286</v>
      </c>
      <c r="B2494" t="s">
        <v>119</v>
      </c>
    </row>
    <row r="2495">
      <c r="A2495" s="32">
        <f>IFERROR(__xludf.DUMMYFUNCTION("""COMPUTED_VALUE"""),43372.523116805554)</f>
        <v>43372.52312</v>
      </c>
      <c r="B2495" t="s">
        <v>119</v>
      </c>
    </row>
    <row r="2496">
      <c r="A2496" s="32">
        <f>IFERROR(__xludf.DUMMYFUNCTION("""COMPUTED_VALUE"""),43372.52523159722)</f>
        <v>43372.52523</v>
      </c>
      <c r="B2496" t="s">
        <v>119</v>
      </c>
    </row>
    <row r="2497">
      <c r="A2497" s="32">
        <f>IFERROR(__xludf.DUMMYFUNCTION("""COMPUTED_VALUE"""),43372.52803739584)</f>
        <v>43372.52804</v>
      </c>
      <c r="B2497" t="s">
        <v>119</v>
      </c>
    </row>
    <row r="2498">
      <c r="A2498" s="32">
        <f>IFERROR(__xludf.DUMMYFUNCTION("""COMPUTED_VALUE"""),43372.54435751158)</f>
        <v>43372.54436</v>
      </c>
      <c r="B2498" t="s">
        <v>119</v>
      </c>
    </row>
    <row r="2499">
      <c r="A2499" s="32">
        <f>IFERROR(__xludf.DUMMYFUNCTION("""COMPUTED_VALUE"""),43372.54445414351)</f>
        <v>43372.54445</v>
      </c>
      <c r="B2499" t="s">
        <v>119</v>
      </c>
    </row>
    <row r="2500">
      <c r="A2500" s="32">
        <f>IFERROR(__xludf.DUMMYFUNCTION("""COMPUTED_VALUE"""),43372.54568292824)</f>
        <v>43372.54568</v>
      </c>
      <c r="B2500" t="s">
        <v>119</v>
      </c>
    </row>
    <row r="2501">
      <c r="A2501" s="32">
        <f>IFERROR(__xludf.DUMMYFUNCTION("""COMPUTED_VALUE"""),43372.54928068287)</f>
        <v>43372.54928</v>
      </c>
      <c r="B2501" t="s">
        <v>407</v>
      </c>
    </row>
    <row r="2502">
      <c r="A2502" s="32">
        <f>IFERROR(__xludf.DUMMYFUNCTION("""COMPUTED_VALUE"""),43372.55397645834)</f>
        <v>43372.55398</v>
      </c>
      <c r="B2502" t="s">
        <v>387</v>
      </c>
    </row>
    <row r="2503">
      <c r="A2503" s="32">
        <f>IFERROR(__xludf.DUMMYFUNCTION("""COMPUTED_VALUE"""),43372.55466844907)</f>
        <v>43372.55467</v>
      </c>
      <c r="B2503" t="s">
        <v>119</v>
      </c>
    </row>
    <row r="2504">
      <c r="A2504" s="32">
        <f>IFERROR(__xludf.DUMMYFUNCTION("""COMPUTED_VALUE"""),43372.555642673615)</f>
        <v>43372.55564</v>
      </c>
      <c r="B2504" t="s">
        <v>33</v>
      </c>
    </row>
    <row r="2505">
      <c r="A2505" s="32">
        <f>IFERROR(__xludf.DUMMYFUNCTION("""COMPUTED_VALUE"""),43372.5587471412)</f>
        <v>43372.55875</v>
      </c>
      <c r="B2505" t="s">
        <v>119</v>
      </c>
    </row>
    <row r="2506">
      <c r="A2506" s="32">
        <f>IFERROR(__xludf.DUMMYFUNCTION("""COMPUTED_VALUE"""),43372.566408831015)</f>
        <v>43372.56641</v>
      </c>
      <c r="B2506" t="s">
        <v>119</v>
      </c>
    </row>
    <row r="2507">
      <c r="A2507" s="32">
        <f>IFERROR(__xludf.DUMMYFUNCTION("""COMPUTED_VALUE"""),43372.56788675926)</f>
        <v>43372.56789</v>
      </c>
      <c r="B2507" t="s">
        <v>119</v>
      </c>
    </row>
    <row r="2508">
      <c r="A2508" s="32">
        <f>IFERROR(__xludf.DUMMYFUNCTION("""COMPUTED_VALUE"""),43372.571638865746)</f>
        <v>43372.57164</v>
      </c>
      <c r="B2508" t="s">
        <v>119</v>
      </c>
    </row>
    <row r="2509">
      <c r="A2509" s="32">
        <f>IFERROR(__xludf.DUMMYFUNCTION("""COMPUTED_VALUE"""),43372.57179232639)</f>
        <v>43372.57179</v>
      </c>
      <c r="B2509" t="s">
        <v>40</v>
      </c>
    </row>
    <row r="2510">
      <c r="A2510" s="32">
        <f>IFERROR(__xludf.DUMMYFUNCTION("""COMPUTED_VALUE"""),43372.57373069444)</f>
        <v>43372.57373</v>
      </c>
      <c r="B2510" t="s">
        <v>282</v>
      </c>
    </row>
    <row r="2511">
      <c r="A2511" s="32">
        <f>IFERROR(__xludf.DUMMYFUNCTION("""COMPUTED_VALUE"""),43372.580772939815)</f>
        <v>43372.58077</v>
      </c>
      <c r="B2511" t="s">
        <v>105</v>
      </c>
    </row>
    <row r="2512">
      <c r="A2512" s="32">
        <f>IFERROR(__xludf.DUMMYFUNCTION("""COMPUTED_VALUE"""),43372.58347054398)</f>
        <v>43372.58347</v>
      </c>
      <c r="B2512" t="s">
        <v>33</v>
      </c>
    </row>
    <row r="2513">
      <c r="A2513" s="32">
        <f>IFERROR(__xludf.DUMMYFUNCTION("""COMPUTED_VALUE"""),43372.584298553236)</f>
        <v>43372.5843</v>
      </c>
      <c r="B2513" t="s">
        <v>40</v>
      </c>
    </row>
    <row r="2514">
      <c r="A2514" s="32">
        <f>IFERROR(__xludf.DUMMYFUNCTION("""COMPUTED_VALUE"""),43372.60475479167)</f>
        <v>43372.60475</v>
      </c>
      <c r="B2514" t="s">
        <v>119</v>
      </c>
    </row>
    <row r="2515">
      <c r="A2515" s="32">
        <f>IFERROR(__xludf.DUMMYFUNCTION("""COMPUTED_VALUE"""),43372.61326229166)</f>
        <v>43372.61326</v>
      </c>
      <c r="B2515" t="s">
        <v>80</v>
      </c>
    </row>
    <row r="2516">
      <c r="A2516" s="32">
        <f>IFERROR(__xludf.DUMMYFUNCTION("""COMPUTED_VALUE"""),43372.6203828588)</f>
        <v>43372.62038</v>
      </c>
      <c r="B2516" t="s">
        <v>80</v>
      </c>
    </row>
    <row r="2517">
      <c r="A2517" s="32">
        <f>IFERROR(__xludf.DUMMYFUNCTION("""COMPUTED_VALUE"""),43372.62500005787)</f>
        <v>43372.625</v>
      </c>
      <c r="B2517" t="s">
        <v>80</v>
      </c>
    </row>
    <row r="2518">
      <c r="A2518" s="32">
        <f>IFERROR(__xludf.DUMMYFUNCTION("""COMPUTED_VALUE"""),43372.638278611106)</f>
        <v>43372.63828</v>
      </c>
      <c r="B2518" t="s">
        <v>258</v>
      </c>
    </row>
    <row r="2519">
      <c r="A2519" s="32">
        <f>IFERROR(__xludf.DUMMYFUNCTION("""COMPUTED_VALUE"""),43372.649694155094)</f>
        <v>43372.64969</v>
      </c>
      <c r="B2519" t="s">
        <v>33</v>
      </c>
    </row>
    <row r="2520">
      <c r="A2520" s="32">
        <f>IFERROR(__xludf.DUMMYFUNCTION("""COMPUTED_VALUE"""),43372.6703596875)</f>
        <v>43372.67036</v>
      </c>
      <c r="B2520" t="s">
        <v>80</v>
      </c>
    </row>
    <row r="2521">
      <c r="A2521" s="32">
        <f>IFERROR(__xludf.DUMMYFUNCTION("""COMPUTED_VALUE"""),43372.68102293981)</f>
        <v>43372.68102</v>
      </c>
      <c r="B2521" t="s">
        <v>119</v>
      </c>
    </row>
    <row r="2522">
      <c r="A2522" s="32">
        <f>IFERROR(__xludf.DUMMYFUNCTION("""COMPUTED_VALUE"""),43372.69673768518)</f>
        <v>43372.69674</v>
      </c>
      <c r="B2522" t="s">
        <v>119</v>
      </c>
    </row>
    <row r="2523">
      <c r="A2523" s="32">
        <f>IFERROR(__xludf.DUMMYFUNCTION("""COMPUTED_VALUE"""),43372.70071040509)</f>
        <v>43372.70071</v>
      </c>
      <c r="B2523" t="s">
        <v>119</v>
      </c>
    </row>
    <row r="2524">
      <c r="A2524" s="32">
        <f>IFERROR(__xludf.DUMMYFUNCTION("""COMPUTED_VALUE"""),43372.71668164352)</f>
        <v>43372.71668</v>
      </c>
      <c r="B2524" t="s">
        <v>119</v>
      </c>
    </row>
    <row r="2525">
      <c r="A2525" s="32">
        <f>IFERROR(__xludf.DUMMYFUNCTION("""COMPUTED_VALUE"""),43372.77247765046)</f>
        <v>43372.77248</v>
      </c>
      <c r="B2525" t="s">
        <v>119</v>
      </c>
    </row>
    <row r="2526">
      <c r="A2526" s="32">
        <f>IFERROR(__xludf.DUMMYFUNCTION("""COMPUTED_VALUE"""),43372.772620868054)</f>
        <v>43372.77262</v>
      </c>
      <c r="B2526" t="s">
        <v>119</v>
      </c>
    </row>
    <row r="2527">
      <c r="A2527" s="32">
        <f>IFERROR(__xludf.DUMMYFUNCTION("""COMPUTED_VALUE"""),43372.78945085648)</f>
        <v>43372.78945</v>
      </c>
      <c r="B2527" t="s">
        <v>1788</v>
      </c>
    </row>
    <row r="2528">
      <c r="A2528" s="32">
        <f>IFERROR(__xludf.DUMMYFUNCTION("""COMPUTED_VALUE"""),43372.81420965277)</f>
        <v>43372.81421</v>
      </c>
      <c r="B2528" t="s">
        <v>426</v>
      </c>
    </row>
    <row r="2529">
      <c r="A2529" s="32">
        <f>IFERROR(__xludf.DUMMYFUNCTION("""COMPUTED_VALUE"""),43372.85627059027)</f>
        <v>43372.85627</v>
      </c>
      <c r="B2529" t="s">
        <v>33</v>
      </c>
    </row>
    <row r="2530">
      <c r="A2530" s="32">
        <f>IFERROR(__xludf.DUMMYFUNCTION("""COMPUTED_VALUE"""),43372.892314467594)</f>
        <v>43372.89231</v>
      </c>
      <c r="B2530" t="s">
        <v>40</v>
      </c>
    </row>
    <row r="2531">
      <c r="A2531" s="32">
        <f>IFERROR(__xludf.DUMMYFUNCTION("""COMPUTED_VALUE"""),43373.01257791667)</f>
        <v>43373.01258</v>
      </c>
      <c r="B2531" t="s">
        <v>33</v>
      </c>
    </row>
    <row r="2532">
      <c r="A2532" s="32">
        <f>IFERROR(__xludf.DUMMYFUNCTION("""COMPUTED_VALUE"""),43373.07012145834)</f>
        <v>43373.07012</v>
      </c>
      <c r="B2532" t="s">
        <v>119</v>
      </c>
    </row>
    <row r="2533">
      <c r="A2533" s="32">
        <f>IFERROR(__xludf.DUMMYFUNCTION("""COMPUTED_VALUE"""),43373.161218587964)</f>
        <v>43373.16122</v>
      </c>
      <c r="B2533" t="s">
        <v>119</v>
      </c>
    </row>
    <row r="2534">
      <c r="A2534" s="32">
        <f>IFERROR(__xludf.DUMMYFUNCTION("""COMPUTED_VALUE"""),43373.406378784726)</f>
        <v>43373.40638</v>
      </c>
      <c r="B2534" t="s">
        <v>119</v>
      </c>
    </row>
    <row r="2535">
      <c r="A2535" s="32">
        <f>IFERROR(__xludf.DUMMYFUNCTION("""COMPUTED_VALUE"""),43373.40910736111)</f>
        <v>43373.40911</v>
      </c>
      <c r="B2535" t="s">
        <v>33</v>
      </c>
    </row>
    <row r="2536">
      <c r="A2536" s="32">
        <f>IFERROR(__xludf.DUMMYFUNCTION("""COMPUTED_VALUE"""),43373.53505122685)</f>
        <v>43373.53505</v>
      </c>
      <c r="B2536" t="s">
        <v>40</v>
      </c>
    </row>
    <row r="2537">
      <c r="A2537" s="32">
        <f>IFERROR(__xludf.DUMMYFUNCTION("""COMPUTED_VALUE"""),43373.56884511574)</f>
        <v>43373.56885</v>
      </c>
      <c r="B2537" t="s">
        <v>80</v>
      </c>
    </row>
    <row r="2538">
      <c r="A2538" s="32">
        <f>IFERROR(__xludf.DUMMYFUNCTION("""COMPUTED_VALUE"""),43373.57188369213)</f>
        <v>43373.57188</v>
      </c>
      <c r="B2538" t="s">
        <v>45</v>
      </c>
    </row>
    <row r="2539">
      <c r="A2539" s="32">
        <f>IFERROR(__xludf.DUMMYFUNCTION("""COMPUTED_VALUE"""),43373.57251297454)</f>
        <v>43373.57251</v>
      </c>
      <c r="B2539" t="s">
        <v>45</v>
      </c>
    </row>
    <row r="2540">
      <c r="A2540" s="32">
        <f>IFERROR(__xludf.DUMMYFUNCTION("""COMPUTED_VALUE"""),43373.58106098379)</f>
        <v>43373.58106</v>
      </c>
      <c r="B2540" t="s">
        <v>2658</v>
      </c>
    </row>
    <row r="2541">
      <c r="A2541" s="32">
        <f>IFERROR(__xludf.DUMMYFUNCTION("""COMPUTED_VALUE"""),43373.634965289355)</f>
        <v>43373.63497</v>
      </c>
      <c r="B2541" t="s">
        <v>33</v>
      </c>
    </row>
    <row r="2542">
      <c r="A2542" s="32">
        <f>IFERROR(__xludf.DUMMYFUNCTION("""COMPUTED_VALUE"""),43373.63606453704)</f>
        <v>43373.63606</v>
      </c>
      <c r="B2542" t="s">
        <v>139</v>
      </c>
    </row>
    <row r="2543">
      <c r="A2543" s="32">
        <f>IFERROR(__xludf.DUMMYFUNCTION("""COMPUTED_VALUE"""),43373.65408721065)</f>
        <v>43373.65409</v>
      </c>
      <c r="B2543" t="s">
        <v>123</v>
      </c>
    </row>
    <row r="2544">
      <c r="A2544" s="32">
        <f>IFERROR(__xludf.DUMMYFUNCTION("""COMPUTED_VALUE"""),43373.6655024537)</f>
        <v>43373.6655</v>
      </c>
      <c r="B2544" t="s">
        <v>119</v>
      </c>
    </row>
    <row r="2545">
      <c r="A2545" s="32">
        <f>IFERROR(__xludf.DUMMYFUNCTION("""COMPUTED_VALUE"""),43373.71183019676)</f>
        <v>43373.71183</v>
      </c>
      <c r="B2545" t="s">
        <v>45</v>
      </c>
    </row>
    <row r="2546">
      <c r="A2546" s="32">
        <f>IFERROR(__xludf.DUMMYFUNCTION("""COMPUTED_VALUE"""),43373.72464085648)</f>
        <v>43373.72464</v>
      </c>
      <c r="B2546" t="s">
        <v>268</v>
      </c>
    </row>
    <row r="2547">
      <c r="A2547" s="32">
        <f>IFERROR(__xludf.DUMMYFUNCTION("""COMPUTED_VALUE"""),43373.74233731482)</f>
        <v>43373.74234</v>
      </c>
      <c r="B2547" t="s">
        <v>119</v>
      </c>
    </row>
    <row r="2548">
      <c r="A2548" s="32">
        <f>IFERROR(__xludf.DUMMYFUNCTION("""COMPUTED_VALUE"""),43373.76294994213)</f>
        <v>43373.76295</v>
      </c>
      <c r="B2548" t="s">
        <v>119</v>
      </c>
    </row>
    <row r="2549">
      <c r="A2549" s="32">
        <f>IFERROR(__xludf.DUMMYFUNCTION("""COMPUTED_VALUE"""),43373.7668924537)</f>
        <v>43373.76689</v>
      </c>
      <c r="B2549" t="s">
        <v>80</v>
      </c>
    </row>
    <row r="2550">
      <c r="A2550" s="32">
        <f>IFERROR(__xludf.DUMMYFUNCTION("""COMPUTED_VALUE"""),43373.77443321759)</f>
        <v>43373.77443</v>
      </c>
      <c r="B2550" t="s">
        <v>2424</v>
      </c>
    </row>
    <row r="2551">
      <c r="A2551" s="32">
        <f>IFERROR(__xludf.DUMMYFUNCTION("""COMPUTED_VALUE"""),43373.80693439815)</f>
        <v>43373.80693</v>
      </c>
      <c r="B2551" t="s">
        <v>48</v>
      </c>
    </row>
    <row r="2552">
      <c r="A2552" s="32">
        <f>IFERROR(__xludf.DUMMYFUNCTION("""COMPUTED_VALUE"""),43373.837607291665)</f>
        <v>43373.83761</v>
      </c>
      <c r="B2552" t="s">
        <v>45</v>
      </c>
    </row>
    <row r="2553">
      <c r="A2553" s="32">
        <f>IFERROR(__xludf.DUMMYFUNCTION("""COMPUTED_VALUE"""),43373.85184668981)</f>
        <v>43373.85185</v>
      </c>
      <c r="B2553" t="s">
        <v>1805</v>
      </c>
    </row>
    <row r="2554">
      <c r="A2554" s="32">
        <f>IFERROR(__xludf.DUMMYFUNCTION("""COMPUTED_VALUE"""),43373.85761535879)</f>
        <v>43373.85762</v>
      </c>
      <c r="B2554" t="s">
        <v>380</v>
      </c>
    </row>
    <row r="2555">
      <c r="A2555" s="32">
        <f>IFERROR(__xludf.DUMMYFUNCTION("""COMPUTED_VALUE"""),43373.88103680556)</f>
        <v>43373.88104</v>
      </c>
      <c r="B2555" t="s">
        <v>80</v>
      </c>
    </row>
    <row r="2556">
      <c r="A2556" s="32">
        <f>IFERROR(__xludf.DUMMYFUNCTION("""COMPUTED_VALUE"""),43373.93987199074)</f>
        <v>43373.93987</v>
      </c>
      <c r="B2556" t="s">
        <v>80</v>
      </c>
    </row>
    <row r="2557">
      <c r="A2557" s="32">
        <f>IFERROR(__xludf.DUMMYFUNCTION("""COMPUTED_VALUE"""),43373.953295162035)</f>
        <v>43373.9533</v>
      </c>
      <c r="B2557" t="s">
        <v>45</v>
      </c>
    </row>
    <row r="2558">
      <c r="A2558" s="32">
        <f>IFERROR(__xludf.DUMMYFUNCTION("""COMPUTED_VALUE"""),43373.98487782407)</f>
        <v>43373.98488</v>
      </c>
      <c r="B2558" t="s">
        <v>45</v>
      </c>
    </row>
    <row r="2559">
      <c r="A2559" s="32">
        <f>IFERROR(__xludf.DUMMYFUNCTION("""COMPUTED_VALUE"""),43374.1453796875)</f>
        <v>43374.14538</v>
      </c>
      <c r="B2559" t="s">
        <v>33</v>
      </c>
    </row>
    <row r="2560">
      <c r="A2560" s="32">
        <f>IFERROR(__xludf.DUMMYFUNCTION("""COMPUTED_VALUE"""),43374.237624560184)</f>
        <v>43374.23762</v>
      </c>
      <c r="B2560" t="s">
        <v>1808</v>
      </c>
    </row>
    <row r="2561">
      <c r="A2561" s="32">
        <f>IFERROR(__xludf.DUMMYFUNCTION("""COMPUTED_VALUE"""),43374.35175155093)</f>
        <v>43374.35175</v>
      </c>
      <c r="B2561" t="s">
        <v>123</v>
      </c>
    </row>
    <row r="2562">
      <c r="A2562" s="32">
        <f>IFERROR(__xludf.DUMMYFUNCTION("""COMPUTED_VALUE"""),43374.37530893518)</f>
        <v>43374.37531</v>
      </c>
      <c r="B2562" t="s">
        <v>170</v>
      </c>
    </row>
    <row r="2563">
      <c r="A2563" s="32">
        <f>IFERROR(__xludf.DUMMYFUNCTION("""COMPUTED_VALUE"""),43374.37545759259)</f>
        <v>43374.37546</v>
      </c>
      <c r="B2563" t="s">
        <v>119</v>
      </c>
    </row>
    <row r="2564">
      <c r="A2564" s="32">
        <f>IFERROR(__xludf.DUMMYFUNCTION("""COMPUTED_VALUE"""),43374.426625486114)</f>
        <v>43374.42663</v>
      </c>
      <c r="B2564" t="s">
        <v>282</v>
      </c>
    </row>
    <row r="2565">
      <c r="A2565" s="32">
        <f>IFERROR(__xludf.DUMMYFUNCTION("""COMPUTED_VALUE"""),43374.50000703704)</f>
        <v>43374.50001</v>
      </c>
      <c r="B2565" t="s">
        <v>36</v>
      </c>
    </row>
    <row r="2566">
      <c r="A2566" s="32">
        <f>IFERROR(__xludf.DUMMYFUNCTION("""COMPUTED_VALUE"""),43374.53558821759)</f>
        <v>43374.53559</v>
      </c>
      <c r="B2566" t="s">
        <v>33</v>
      </c>
    </row>
    <row r="2567">
      <c r="A2567" s="32">
        <f>IFERROR(__xludf.DUMMYFUNCTION("""COMPUTED_VALUE"""),43374.59330978009)</f>
        <v>43374.59331</v>
      </c>
      <c r="B2567" t="s">
        <v>170</v>
      </c>
    </row>
    <row r="2568">
      <c r="A2568" s="32">
        <f>IFERROR(__xludf.DUMMYFUNCTION("""COMPUTED_VALUE"""),43374.59477834491)</f>
        <v>43374.59478</v>
      </c>
      <c r="B2568" t="s">
        <v>170</v>
      </c>
    </row>
    <row r="2569">
      <c r="A2569" s="32">
        <f>IFERROR(__xludf.DUMMYFUNCTION("""COMPUTED_VALUE"""),43374.59659717593)</f>
        <v>43374.5966</v>
      </c>
      <c r="B2569" t="s">
        <v>48</v>
      </c>
    </row>
    <row r="2570">
      <c r="A2570" s="32">
        <f>IFERROR(__xludf.DUMMYFUNCTION("""COMPUTED_VALUE"""),43374.60627351852)</f>
        <v>43374.60627</v>
      </c>
      <c r="B2570" t="s">
        <v>105</v>
      </c>
    </row>
    <row r="2571">
      <c r="A2571" s="32">
        <f>IFERROR(__xludf.DUMMYFUNCTION("""COMPUTED_VALUE"""),43374.625154270834)</f>
        <v>43374.62515</v>
      </c>
      <c r="B2571" t="s">
        <v>119</v>
      </c>
    </row>
    <row r="2572">
      <c r="A2572" s="32">
        <f>IFERROR(__xludf.DUMMYFUNCTION("""COMPUTED_VALUE"""),43374.65523616898)</f>
        <v>43374.65524</v>
      </c>
      <c r="B2572" t="s">
        <v>40</v>
      </c>
    </row>
    <row r="2573">
      <c r="A2573" s="32">
        <f>IFERROR(__xludf.DUMMYFUNCTION("""COMPUTED_VALUE"""),43374.716753726854)</f>
        <v>43374.71675</v>
      </c>
      <c r="B2573" t="s">
        <v>119</v>
      </c>
    </row>
    <row r="2574">
      <c r="A2574" s="32">
        <f>IFERROR(__xludf.DUMMYFUNCTION("""COMPUTED_VALUE"""),43374.72887585648)</f>
        <v>43374.72888</v>
      </c>
      <c r="B2574" t="s">
        <v>119</v>
      </c>
    </row>
    <row r="2575">
      <c r="A2575" s="32">
        <f>IFERROR(__xludf.DUMMYFUNCTION("""COMPUTED_VALUE"""),43374.77785270833)</f>
        <v>43374.77785</v>
      </c>
      <c r="B2575" t="s">
        <v>371</v>
      </c>
    </row>
    <row r="2576">
      <c r="A2576" s="32">
        <f>IFERROR(__xludf.DUMMYFUNCTION("""COMPUTED_VALUE"""),43374.77849898148)</f>
        <v>43374.7785</v>
      </c>
      <c r="B2576" t="s">
        <v>371</v>
      </c>
    </row>
    <row r="2577">
      <c r="A2577" s="32">
        <f>IFERROR(__xludf.DUMMYFUNCTION("""COMPUTED_VALUE"""),43374.82281165509)</f>
        <v>43374.82281</v>
      </c>
      <c r="B2577" t="s">
        <v>80</v>
      </c>
    </row>
    <row r="2578">
      <c r="A2578" s="32">
        <f>IFERROR(__xludf.DUMMYFUNCTION("""COMPUTED_VALUE"""),43374.83075824074)</f>
        <v>43374.83076</v>
      </c>
      <c r="B2578" t="s">
        <v>263</v>
      </c>
    </row>
    <row r="2579">
      <c r="A2579" s="32">
        <f>IFERROR(__xludf.DUMMYFUNCTION("""COMPUTED_VALUE"""),43374.83963956019)</f>
        <v>43374.83964</v>
      </c>
      <c r="B2579" t="s">
        <v>40</v>
      </c>
    </row>
    <row r="2580">
      <c r="A2580" s="32">
        <f>IFERROR(__xludf.DUMMYFUNCTION("""COMPUTED_VALUE"""),43374.86095903935)</f>
        <v>43374.86096</v>
      </c>
      <c r="B2580" t="s">
        <v>40</v>
      </c>
    </row>
    <row r="2581">
      <c r="A2581" s="32">
        <f>IFERROR(__xludf.DUMMYFUNCTION("""COMPUTED_VALUE"""),43374.944204768515)</f>
        <v>43374.9442</v>
      </c>
      <c r="B2581" t="s">
        <v>1821</v>
      </c>
    </row>
    <row r="2582">
      <c r="A2582" s="32">
        <f>IFERROR(__xludf.DUMMYFUNCTION("""COMPUTED_VALUE"""),43374.96079923611)</f>
        <v>43374.9608</v>
      </c>
      <c r="B2582" t="s">
        <v>119</v>
      </c>
    </row>
    <row r="2583">
      <c r="A2583" s="32">
        <f>IFERROR(__xludf.DUMMYFUNCTION("""COMPUTED_VALUE"""),43374.99079866898)</f>
        <v>43374.9908</v>
      </c>
      <c r="B2583" t="s">
        <v>33</v>
      </c>
    </row>
    <row r="2584">
      <c r="A2584" s="32">
        <f>IFERROR(__xludf.DUMMYFUNCTION("""COMPUTED_VALUE"""),43374.994018067126)</f>
        <v>43374.99402</v>
      </c>
      <c r="B2584" t="s">
        <v>80</v>
      </c>
    </row>
    <row r="2585">
      <c r="A2585" s="32">
        <f>IFERROR(__xludf.DUMMYFUNCTION("""COMPUTED_VALUE"""),43375.00404695602)</f>
        <v>43375.00405</v>
      </c>
      <c r="B2585" t="s">
        <v>40</v>
      </c>
    </row>
    <row r="2586">
      <c r="A2586" s="32">
        <f>IFERROR(__xludf.DUMMYFUNCTION("""COMPUTED_VALUE"""),43375.40158550926)</f>
        <v>43375.40159</v>
      </c>
      <c r="B2586" t="s">
        <v>40</v>
      </c>
    </row>
    <row r="2587">
      <c r="A2587" s="32">
        <f>IFERROR(__xludf.DUMMYFUNCTION("""COMPUTED_VALUE"""),43375.40446116898)</f>
        <v>43375.40446</v>
      </c>
      <c r="B2587" t="s">
        <v>282</v>
      </c>
    </row>
    <row r="2588">
      <c r="A2588" s="32">
        <f>IFERROR(__xludf.DUMMYFUNCTION("""COMPUTED_VALUE"""),43375.43212840278)</f>
        <v>43375.43213</v>
      </c>
      <c r="B2588" t="s">
        <v>48</v>
      </c>
    </row>
    <row r="2589">
      <c r="A2589" s="32">
        <f>IFERROR(__xludf.DUMMYFUNCTION("""COMPUTED_VALUE"""),43375.438217372684)</f>
        <v>43375.43822</v>
      </c>
      <c r="B2589" t="s">
        <v>40</v>
      </c>
    </row>
    <row r="2590">
      <c r="A2590" s="32">
        <f>IFERROR(__xludf.DUMMYFUNCTION("""COMPUTED_VALUE"""),43375.46083548611)</f>
        <v>43375.46084</v>
      </c>
      <c r="B2590" t="s">
        <v>119</v>
      </c>
    </row>
    <row r="2591">
      <c r="A2591" s="32">
        <f>IFERROR(__xludf.DUMMYFUNCTION("""COMPUTED_VALUE"""),43375.47174641203)</f>
        <v>43375.47175</v>
      </c>
      <c r="B2591" t="s">
        <v>40</v>
      </c>
    </row>
    <row r="2592">
      <c r="A2592" s="32">
        <f>IFERROR(__xludf.DUMMYFUNCTION("""COMPUTED_VALUE"""),43375.51977452546)</f>
        <v>43375.51977</v>
      </c>
      <c r="B2592" t="s">
        <v>33</v>
      </c>
    </row>
    <row r="2593">
      <c r="A2593" s="32">
        <f>IFERROR(__xludf.DUMMYFUNCTION("""COMPUTED_VALUE"""),43375.5501475)</f>
        <v>43375.55015</v>
      </c>
      <c r="B2593" t="s">
        <v>48</v>
      </c>
    </row>
    <row r="2594">
      <c r="A2594" s="32">
        <f>IFERROR(__xludf.DUMMYFUNCTION("""COMPUTED_VALUE"""),43375.565024675925)</f>
        <v>43375.56502</v>
      </c>
      <c r="B2594" t="s">
        <v>33</v>
      </c>
    </row>
    <row r="2595">
      <c r="A2595" s="32">
        <f>IFERROR(__xludf.DUMMYFUNCTION("""COMPUTED_VALUE"""),43375.60662628472)</f>
        <v>43375.60663</v>
      </c>
      <c r="B2595" t="s">
        <v>119</v>
      </c>
    </row>
    <row r="2596">
      <c r="A2596" s="32">
        <f>IFERROR(__xludf.DUMMYFUNCTION("""COMPUTED_VALUE"""),43375.61639921296)</f>
        <v>43375.6164</v>
      </c>
      <c r="B2596" t="s">
        <v>80</v>
      </c>
    </row>
    <row r="2597">
      <c r="A2597" s="32">
        <f>IFERROR(__xludf.DUMMYFUNCTION("""COMPUTED_VALUE"""),43375.637934756945)</f>
        <v>43375.63793</v>
      </c>
      <c r="B2597" t="s">
        <v>1825</v>
      </c>
    </row>
    <row r="2598">
      <c r="A2598" s="32">
        <f>IFERROR(__xludf.DUMMYFUNCTION("""COMPUTED_VALUE"""),43375.654367361116)</f>
        <v>43375.65437</v>
      </c>
      <c r="B2598" t="s">
        <v>1828</v>
      </c>
    </row>
    <row r="2599">
      <c r="A2599" s="32">
        <f>IFERROR(__xludf.DUMMYFUNCTION("""COMPUTED_VALUE"""),43375.688759745375)</f>
        <v>43375.68876</v>
      </c>
      <c r="B2599" t="s">
        <v>48</v>
      </c>
    </row>
    <row r="2600">
      <c r="A2600" s="32">
        <f>IFERROR(__xludf.DUMMYFUNCTION("""COMPUTED_VALUE"""),43375.707676446764)</f>
        <v>43375.70768</v>
      </c>
      <c r="B2600" t="s">
        <v>170</v>
      </c>
    </row>
    <row r="2601">
      <c r="A2601" s="32">
        <f>IFERROR(__xludf.DUMMYFUNCTION("""COMPUTED_VALUE"""),43375.73803777777)</f>
        <v>43375.73804</v>
      </c>
      <c r="B2601" t="s">
        <v>80</v>
      </c>
    </row>
    <row r="2602">
      <c r="A2602" s="32">
        <f>IFERROR(__xludf.DUMMYFUNCTION("""COMPUTED_VALUE"""),43375.82672711805)</f>
        <v>43375.82673</v>
      </c>
      <c r="B2602" t="s">
        <v>40</v>
      </c>
    </row>
    <row r="2603">
      <c r="A2603" s="32">
        <f>IFERROR(__xludf.DUMMYFUNCTION("""COMPUTED_VALUE"""),43375.84169079861)</f>
        <v>43375.84169</v>
      </c>
      <c r="B2603" t="s">
        <v>658</v>
      </c>
    </row>
    <row r="2604">
      <c r="A2604" s="32">
        <f>IFERROR(__xludf.DUMMYFUNCTION("""COMPUTED_VALUE"""),43375.8496528588)</f>
        <v>43375.84965</v>
      </c>
      <c r="B2604" t="s">
        <v>80</v>
      </c>
    </row>
    <row r="2605">
      <c r="A2605" s="32">
        <f>IFERROR(__xludf.DUMMYFUNCTION("""COMPUTED_VALUE"""),43375.85178266204)</f>
        <v>43375.85178</v>
      </c>
      <c r="B2605" t="s">
        <v>45</v>
      </c>
    </row>
    <row r="2606">
      <c r="A2606" s="32">
        <f>IFERROR(__xludf.DUMMYFUNCTION("""COMPUTED_VALUE"""),43375.87478054398)</f>
        <v>43375.87478</v>
      </c>
      <c r="B2606" t="s">
        <v>282</v>
      </c>
    </row>
    <row r="2607">
      <c r="A2607" s="32">
        <f>IFERROR(__xludf.DUMMYFUNCTION("""COMPUTED_VALUE"""),43375.904541689815)</f>
        <v>43375.90454</v>
      </c>
      <c r="B2607" t="s">
        <v>268</v>
      </c>
    </row>
    <row r="2608">
      <c r="A2608" s="32">
        <f>IFERROR(__xludf.DUMMYFUNCTION("""COMPUTED_VALUE"""),43375.91203263889)</f>
        <v>43375.91203</v>
      </c>
      <c r="B2608" t="s">
        <v>45</v>
      </c>
    </row>
    <row r="2609">
      <c r="A2609" s="32">
        <f>IFERROR(__xludf.DUMMYFUNCTION("""COMPUTED_VALUE"""),43375.95046501157)</f>
        <v>43375.95047</v>
      </c>
      <c r="B2609" t="s">
        <v>350</v>
      </c>
    </row>
    <row r="2610">
      <c r="A2610" s="32">
        <f>IFERROR(__xludf.DUMMYFUNCTION("""COMPUTED_VALUE"""),43375.979019618055)</f>
        <v>43375.97902</v>
      </c>
      <c r="B2610" t="s">
        <v>2658</v>
      </c>
    </row>
    <row r="2611">
      <c r="A2611" s="32">
        <f>IFERROR(__xludf.DUMMYFUNCTION("""COMPUTED_VALUE"""),43376.03372153935)</f>
        <v>43376.03372</v>
      </c>
      <c r="B2611" t="s">
        <v>119</v>
      </c>
    </row>
    <row r="2612">
      <c r="A2612" s="32">
        <f>IFERROR(__xludf.DUMMYFUNCTION("""COMPUTED_VALUE"""),43376.044055289356)</f>
        <v>43376.04406</v>
      </c>
      <c r="B2612" t="s">
        <v>119</v>
      </c>
    </row>
    <row r="2613">
      <c r="A2613" s="32">
        <f>IFERROR(__xludf.DUMMYFUNCTION("""COMPUTED_VALUE"""),43376.08389862269)</f>
        <v>43376.0839</v>
      </c>
      <c r="B2613" t="s">
        <v>1744</v>
      </c>
    </row>
    <row r="2614">
      <c r="A2614" s="32">
        <f>IFERROR(__xludf.DUMMYFUNCTION("""COMPUTED_VALUE"""),43376.28703104166)</f>
        <v>43376.28703</v>
      </c>
      <c r="B2614" t="s">
        <v>119</v>
      </c>
    </row>
    <row r="2615">
      <c r="A2615" s="32">
        <f>IFERROR(__xludf.DUMMYFUNCTION("""COMPUTED_VALUE"""),43376.39548633102)</f>
        <v>43376.39549</v>
      </c>
      <c r="B2615" t="s">
        <v>40</v>
      </c>
    </row>
    <row r="2616">
      <c r="A2616" s="32">
        <f>IFERROR(__xludf.DUMMYFUNCTION("""COMPUTED_VALUE"""),43376.41605909722)</f>
        <v>43376.41606</v>
      </c>
      <c r="B2616" t="s">
        <v>119</v>
      </c>
    </row>
    <row r="2617">
      <c r="A2617" s="32">
        <f>IFERROR(__xludf.DUMMYFUNCTION("""COMPUTED_VALUE"""),43376.49829671296)</f>
        <v>43376.4983</v>
      </c>
      <c r="B2617" t="s">
        <v>139</v>
      </c>
    </row>
    <row r="2618">
      <c r="A2618" s="32">
        <f>IFERROR(__xludf.DUMMYFUNCTION("""COMPUTED_VALUE"""),43376.52289298611)</f>
        <v>43376.52289</v>
      </c>
      <c r="B2618" t="s">
        <v>40</v>
      </c>
    </row>
    <row r="2619">
      <c r="A2619" s="32">
        <f>IFERROR(__xludf.DUMMYFUNCTION("""COMPUTED_VALUE"""),43376.53172834491)</f>
        <v>43376.53173</v>
      </c>
      <c r="B2619" t="s">
        <v>1836</v>
      </c>
    </row>
    <row r="2620">
      <c r="A2620" s="32">
        <f>IFERROR(__xludf.DUMMYFUNCTION("""COMPUTED_VALUE"""),43376.53750170139)</f>
        <v>43376.5375</v>
      </c>
      <c r="B2620" t="s">
        <v>80</v>
      </c>
    </row>
    <row r="2621">
      <c r="A2621" s="32">
        <f>IFERROR(__xludf.DUMMYFUNCTION("""COMPUTED_VALUE"""),43376.53923837963)</f>
        <v>43376.53924</v>
      </c>
      <c r="B2621" t="s">
        <v>80</v>
      </c>
    </row>
    <row r="2622">
      <c r="A2622" s="32">
        <f>IFERROR(__xludf.DUMMYFUNCTION("""COMPUTED_VALUE"""),43376.54626112268)</f>
        <v>43376.54626</v>
      </c>
      <c r="B2622" t="s">
        <v>33</v>
      </c>
    </row>
    <row r="2623">
      <c r="A2623" s="32">
        <f>IFERROR(__xludf.DUMMYFUNCTION("""COMPUTED_VALUE"""),43376.59020327547)</f>
        <v>43376.5902</v>
      </c>
      <c r="B2623" t="s">
        <v>40</v>
      </c>
    </row>
    <row r="2624">
      <c r="A2624" s="32">
        <f>IFERROR(__xludf.DUMMYFUNCTION("""COMPUTED_VALUE"""),43376.61619917824)</f>
        <v>43376.6162</v>
      </c>
      <c r="B2624" t="s">
        <v>45</v>
      </c>
    </row>
    <row r="2625">
      <c r="A2625" s="32">
        <f>IFERROR(__xludf.DUMMYFUNCTION("""COMPUTED_VALUE"""),43376.69462189815)</f>
        <v>43376.69462</v>
      </c>
      <c r="B2625" t="s">
        <v>80</v>
      </c>
    </row>
    <row r="2626">
      <c r="A2626" s="32">
        <f>IFERROR(__xludf.DUMMYFUNCTION("""COMPUTED_VALUE"""),43376.76029849537)</f>
        <v>43376.7603</v>
      </c>
      <c r="B2626" t="s">
        <v>119</v>
      </c>
    </row>
    <row r="2627">
      <c r="A2627" s="32">
        <f>IFERROR(__xludf.DUMMYFUNCTION("""COMPUTED_VALUE"""),43376.78254172453)</f>
        <v>43376.78254</v>
      </c>
      <c r="B2627" t="s">
        <v>124</v>
      </c>
    </row>
    <row r="2628">
      <c r="A2628" s="32">
        <f>IFERROR(__xludf.DUMMYFUNCTION("""COMPUTED_VALUE"""),43376.81020085648)</f>
        <v>43376.8102</v>
      </c>
      <c r="B2628" t="s">
        <v>268</v>
      </c>
    </row>
    <row r="2629">
      <c r="A2629" s="32">
        <f>IFERROR(__xludf.DUMMYFUNCTION("""COMPUTED_VALUE"""),43376.83040048611)</f>
        <v>43376.8304</v>
      </c>
      <c r="B2629" t="s">
        <v>40</v>
      </c>
    </row>
    <row r="2630">
      <c r="A2630" s="32">
        <f>IFERROR(__xludf.DUMMYFUNCTION("""COMPUTED_VALUE"""),43376.857346122684)</f>
        <v>43376.85735</v>
      </c>
      <c r="B2630" t="s">
        <v>119</v>
      </c>
    </row>
    <row r="2631">
      <c r="A2631" s="32">
        <f>IFERROR(__xludf.DUMMYFUNCTION("""COMPUTED_VALUE"""),43376.871906851855)</f>
        <v>43376.87191</v>
      </c>
      <c r="B2631" t="s">
        <v>40</v>
      </c>
    </row>
    <row r="2632">
      <c r="A2632" s="32">
        <f>IFERROR(__xludf.DUMMYFUNCTION("""COMPUTED_VALUE"""),43376.88955876157)</f>
        <v>43376.88956</v>
      </c>
      <c r="B2632" t="s">
        <v>33</v>
      </c>
    </row>
    <row r="2633">
      <c r="A2633" s="32">
        <f>IFERROR(__xludf.DUMMYFUNCTION("""COMPUTED_VALUE"""),43376.90191100695)</f>
        <v>43376.90191</v>
      </c>
      <c r="B2633" t="s">
        <v>33</v>
      </c>
    </row>
    <row r="2634">
      <c r="A2634" s="32">
        <f>IFERROR(__xludf.DUMMYFUNCTION("""COMPUTED_VALUE"""),43376.97633542824)</f>
        <v>43376.97634</v>
      </c>
      <c r="B2634" t="s">
        <v>1160</v>
      </c>
    </row>
    <row r="2635">
      <c r="A2635" s="32">
        <f>IFERROR(__xludf.DUMMYFUNCTION("""COMPUTED_VALUE"""),43376.98068300926)</f>
        <v>43376.98068</v>
      </c>
      <c r="B2635" t="s">
        <v>33</v>
      </c>
    </row>
    <row r="2636">
      <c r="A2636" s="32">
        <f>IFERROR(__xludf.DUMMYFUNCTION("""COMPUTED_VALUE"""),43377.0054294213)</f>
        <v>43377.00543</v>
      </c>
      <c r="B2636" t="s">
        <v>40</v>
      </c>
    </row>
    <row r="2637">
      <c r="A2637" s="32">
        <f>IFERROR(__xludf.DUMMYFUNCTION("""COMPUTED_VALUE"""),43377.03200506944)</f>
        <v>43377.03201</v>
      </c>
      <c r="B2637" t="s">
        <v>204</v>
      </c>
    </row>
    <row r="2638">
      <c r="A2638" s="32">
        <f>IFERROR(__xludf.DUMMYFUNCTION("""COMPUTED_VALUE"""),43377.03228484954)</f>
        <v>43377.03228</v>
      </c>
      <c r="B2638" t="s">
        <v>119</v>
      </c>
    </row>
    <row r="2639">
      <c r="A2639" s="32">
        <f>IFERROR(__xludf.DUMMYFUNCTION("""COMPUTED_VALUE"""),43377.033505810185)</f>
        <v>43377.03351</v>
      </c>
      <c r="B2639" t="s">
        <v>204</v>
      </c>
    </row>
    <row r="2640">
      <c r="A2640" s="32">
        <f>IFERROR(__xludf.DUMMYFUNCTION("""COMPUTED_VALUE"""),43377.04725819445)</f>
        <v>43377.04726</v>
      </c>
      <c r="B2640" t="s">
        <v>1636</v>
      </c>
    </row>
    <row r="2641">
      <c r="A2641" s="32">
        <f>IFERROR(__xludf.DUMMYFUNCTION("""COMPUTED_VALUE"""),43377.047657268515)</f>
        <v>43377.04766</v>
      </c>
      <c r="B2641" t="s">
        <v>380</v>
      </c>
    </row>
    <row r="2642">
      <c r="A2642" s="32">
        <f>IFERROR(__xludf.DUMMYFUNCTION("""COMPUTED_VALUE"""),43377.17346653935)</f>
        <v>43377.17347</v>
      </c>
      <c r="B2642" t="s">
        <v>170</v>
      </c>
    </row>
    <row r="2643">
      <c r="A2643" s="32">
        <f>IFERROR(__xludf.DUMMYFUNCTION("""COMPUTED_VALUE"""),43377.17587072917)</f>
        <v>43377.17587</v>
      </c>
      <c r="B2643" t="s">
        <v>2658</v>
      </c>
    </row>
    <row r="2644">
      <c r="A2644" s="32">
        <f>IFERROR(__xludf.DUMMYFUNCTION("""COMPUTED_VALUE"""),43377.34517577547)</f>
        <v>43377.34518</v>
      </c>
      <c r="B2644" t="s">
        <v>119</v>
      </c>
    </row>
    <row r="2645">
      <c r="A2645" s="32">
        <f>IFERROR(__xludf.DUMMYFUNCTION("""COMPUTED_VALUE"""),43377.35707628472)</f>
        <v>43377.35708</v>
      </c>
      <c r="B2645" t="s">
        <v>45</v>
      </c>
    </row>
    <row r="2646">
      <c r="A2646" s="32">
        <f>IFERROR(__xludf.DUMMYFUNCTION("""COMPUTED_VALUE"""),43377.42132486111)</f>
        <v>43377.42132</v>
      </c>
      <c r="B2646" t="s">
        <v>170</v>
      </c>
    </row>
    <row r="2647">
      <c r="A2647" s="32">
        <f>IFERROR(__xludf.DUMMYFUNCTION("""COMPUTED_VALUE"""),43377.441634456016)</f>
        <v>43377.44163</v>
      </c>
      <c r="B2647" t="s">
        <v>40</v>
      </c>
    </row>
    <row r="2648">
      <c r="A2648" s="32">
        <f>IFERROR(__xludf.DUMMYFUNCTION("""COMPUTED_VALUE"""),43377.51213289352)</f>
        <v>43377.51213</v>
      </c>
      <c r="B2648" t="s">
        <v>119</v>
      </c>
    </row>
    <row r="2649">
      <c r="A2649" s="32">
        <f>IFERROR(__xludf.DUMMYFUNCTION("""COMPUTED_VALUE"""),43377.54906696759)</f>
        <v>43377.54907</v>
      </c>
      <c r="B2649" t="s">
        <v>40</v>
      </c>
    </row>
    <row r="2650">
      <c r="A2650" s="32">
        <f>IFERROR(__xludf.DUMMYFUNCTION("""COMPUTED_VALUE"""),43377.568415173606)</f>
        <v>43377.56842</v>
      </c>
      <c r="B2650" t="s">
        <v>371</v>
      </c>
    </row>
    <row r="2651">
      <c r="A2651" s="32">
        <f>IFERROR(__xludf.DUMMYFUNCTION("""COMPUTED_VALUE"""),43377.580035694446)</f>
        <v>43377.58004</v>
      </c>
      <c r="B2651" t="s">
        <v>170</v>
      </c>
    </row>
    <row r="2652">
      <c r="A2652" s="32">
        <f>IFERROR(__xludf.DUMMYFUNCTION("""COMPUTED_VALUE"""),43377.59807962963)</f>
        <v>43377.59808</v>
      </c>
      <c r="B2652" t="s">
        <v>371</v>
      </c>
    </row>
    <row r="2653">
      <c r="A2653" s="32">
        <f>IFERROR(__xludf.DUMMYFUNCTION("""COMPUTED_VALUE"""),43377.635298333335)</f>
        <v>43377.6353</v>
      </c>
      <c r="B2653" t="s">
        <v>40</v>
      </c>
    </row>
    <row r="2654">
      <c r="A2654" s="32">
        <f>IFERROR(__xludf.DUMMYFUNCTION("""COMPUTED_VALUE"""),43377.63984834491)</f>
        <v>43377.63985</v>
      </c>
      <c r="B2654" t="s">
        <v>371</v>
      </c>
    </row>
    <row r="2655">
      <c r="A2655" s="32">
        <f>IFERROR(__xludf.DUMMYFUNCTION("""COMPUTED_VALUE"""),43377.702648182865)</f>
        <v>43377.70265</v>
      </c>
      <c r="B2655" t="s">
        <v>157</v>
      </c>
    </row>
    <row r="2656">
      <c r="A2656" s="32">
        <f>IFERROR(__xludf.DUMMYFUNCTION("""COMPUTED_VALUE"""),43377.70485090278)</f>
        <v>43377.70485</v>
      </c>
      <c r="B2656" t="s">
        <v>1851</v>
      </c>
    </row>
    <row r="2657">
      <c r="A2657" s="32">
        <f>IFERROR(__xludf.DUMMYFUNCTION("""COMPUTED_VALUE"""),43377.73045137731)</f>
        <v>43377.73045</v>
      </c>
      <c r="B2657" t="s">
        <v>40</v>
      </c>
    </row>
    <row r="2658">
      <c r="A2658" s="32">
        <f>IFERROR(__xludf.DUMMYFUNCTION("""COMPUTED_VALUE"""),43377.75948732639)</f>
        <v>43377.75949</v>
      </c>
      <c r="B2658" t="s">
        <v>48</v>
      </c>
    </row>
    <row r="2659">
      <c r="A2659" s="32">
        <f>IFERROR(__xludf.DUMMYFUNCTION("""COMPUTED_VALUE"""),43377.79605616898)</f>
        <v>43377.79606</v>
      </c>
      <c r="B2659" t="s">
        <v>819</v>
      </c>
    </row>
    <row r="2660">
      <c r="A2660" s="32">
        <f>IFERROR(__xludf.DUMMYFUNCTION("""COMPUTED_VALUE"""),43377.79727469907)</f>
        <v>43377.79727</v>
      </c>
      <c r="B2660" t="s">
        <v>33</v>
      </c>
    </row>
    <row r="2661">
      <c r="A2661" s="32">
        <f>IFERROR(__xludf.DUMMYFUNCTION("""COMPUTED_VALUE"""),43377.84072422454)</f>
        <v>43377.84072</v>
      </c>
      <c r="B2661" t="s">
        <v>371</v>
      </c>
    </row>
    <row r="2662">
      <c r="A2662" s="32">
        <f>IFERROR(__xludf.DUMMYFUNCTION("""COMPUTED_VALUE"""),43377.846219513885)</f>
        <v>43377.84622</v>
      </c>
      <c r="B2662" t="s">
        <v>33</v>
      </c>
    </row>
    <row r="2663">
      <c r="A2663" s="32">
        <f>IFERROR(__xludf.DUMMYFUNCTION("""COMPUTED_VALUE"""),43377.9717959838)</f>
        <v>43377.9718</v>
      </c>
      <c r="B2663" t="s">
        <v>33</v>
      </c>
    </row>
    <row r="2664">
      <c r="A2664" s="32">
        <f>IFERROR(__xludf.DUMMYFUNCTION("""COMPUTED_VALUE"""),43377.9787087963)</f>
        <v>43377.97871</v>
      </c>
      <c r="B2664" t="s">
        <v>36</v>
      </c>
    </row>
    <row r="2665">
      <c r="A2665" s="32">
        <f>IFERROR(__xludf.DUMMYFUNCTION("""COMPUTED_VALUE"""),43377.98726895833)</f>
        <v>43377.98727</v>
      </c>
      <c r="B2665" t="s">
        <v>45</v>
      </c>
    </row>
    <row r="2666">
      <c r="A2666" s="32">
        <f>IFERROR(__xludf.DUMMYFUNCTION("""COMPUTED_VALUE"""),43377.99914796297)</f>
        <v>43377.99915</v>
      </c>
      <c r="B2666" t="s">
        <v>40</v>
      </c>
    </row>
    <row r="2667">
      <c r="A2667" s="32">
        <f>IFERROR(__xludf.DUMMYFUNCTION("""COMPUTED_VALUE"""),43378.0574491088)</f>
        <v>43378.05745</v>
      </c>
      <c r="B2667" t="s">
        <v>45</v>
      </c>
    </row>
    <row r="2668">
      <c r="A2668" s="32">
        <f>IFERROR(__xludf.DUMMYFUNCTION("""COMPUTED_VALUE"""),43378.071323703705)</f>
        <v>43378.07132</v>
      </c>
      <c r="B2668" t="s">
        <v>48</v>
      </c>
    </row>
    <row r="2669">
      <c r="A2669" s="32">
        <f>IFERROR(__xludf.DUMMYFUNCTION("""COMPUTED_VALUE"""),43378.10663149305)</f>
        <v>43378.10663</v>
      </c>
      <c r="B2669" t="s">
        <v>119</v>
      </c>
    </row>
    <row r="2670">
      <c r="A2670" s="32">
        <f>IFERROR(__xludf.DUMMYFUNCTION("""COMPUTED_VALUE"""),43378.29202616899)</f>
        <v>43378.29203</v>
      </c>
      <c r="B2670" t="s">
        <v>819</v>
      </c>
    </row>
    <row r="2671">
      <c r="A2671" s="32">
        <f>IFERROR(__xludf.DUMMYFUNCTION("""COMPUTED_VALUE"""),43378.434560486116)</f>
        <v>43378.43456</v>
      </c>
      <c r="B2671" t="s">
        <v>2753</v>
      </c>
    </row>
    <row r="2672">
      <c r="A2672" s="32">
        <f>IFERROR(__xludf.DUMMYFUNCTION("""COMPUTED_VALUE"""),43378.47904196759)</f>
        <v>43378.47904</v>
      </c>
      <c r="B2672" t="s">
        <v>188</v>
      </c>
    </row>
    <row r="2673">
      <c r="A2673" s="32">
        <f>IFERROR(__xludf.DUMMYFUNCTION("""COMPUTED_VALUE"""),43378.48073171296)</f>
        <v>43378.48073</v>
      </c>
      <c r="B2673" t="s">
        <v>188</v>
      </c>
    </row>
    <row r="2674">
      <c r="A2674" s="32">
        <f>IFERROR(__xludf.DUMMYFUNCTION("""COMPUTED_VALUE"""),43378.61294420139)</f>
        <v>43378.61294</v>
      </c>
      <c r="B2674" t="s">
        <v>25</v>
      </c>
    </row>
    <row r="2675">
      <c r="A2675" s="32">
        <f>IFERROR(__xludf.DUMMYFUNCTION("""COMPUTED_VALUE"""),43378.63636700231)</f>
        <v>43378.63637</v>
      </c>
      <c r="B2675" t="s">
        <v>1857</v>
      </c>
    </row>
    <row r="2676">
      <c r="A2676" s="32">
        <f>IFERROR(__xludf.DUMMYFUNCTION("""COMPUTED_VALUE"""),43378.662543136576)</f>
        <v>43378.66254</v>
      </c>
      <c r="B2676" t="s">
        <v>119</v>
      </c>
    </row>
    <row r="2677">
      <c r="A2677" s="32">
        <f>IFERROR(__xludf.DUMMYFUNCTION("""COMPUTED_VALUE"""),43378.66255328704)</f>
        <v>43378.66255</v>
      </c>
      <c r="B2677" t="s">
        <v>119</v>
      </c>
    </row>
    <row r="2678">
      <c r="A2678" s="32">
        <f>IFERROR(__xludf.DUMMYFUNCTION("""COMPUTED_VALUE"""),43378.67086377315)</f>
        <v>43378.67086</v>
      </c>
      <c r="B2678" t="s">
        <v>40</v>
      </c>
    </row>
    <row r="2679">
      <c r="A2679" s="32">
        <f>IFERROR(__xludf.DUMMYFUNCTION("""COMPUTED_VALUE"""),43378.681265844905)</f>
        <v>43378.68127</v>
      </c>
      <c r="B2679" t="s">
        <v>119</v>
      </c>
    </row>
    <row r="2680">
      <c r="A2680" s="32">
        <f>IFERROR(__xludf.DUMMYFUNCTION("""COMPUTED_VALUE"""),43378.80928934028)</f>
        <v>43378.80929</v>
      </c>
      <c r="B2680" t="s">
        <v>33</v>
      </c>
    </row>
    <row r="2681">
      <c r="A2681" s="32">
        <f>IFERROR(__xludf.DUMMYFUNCTION("""COMPUTED_VALUE"""),43378.80979907408)</f>
        <v>43378.8098</v>
      </c>
      <c r="B2681" t="s">
        <v>119</v>
      </c>
    </row>
    <row r="2682">
      <c r="A2682" s="32">
        <f>IFERROR(__xludf.DUMMYFUNCTION("""COMPUTED_VALUE"""),43378.86870273148)</f>
        <v>43378.8687</v>
      </c>
      <c r="B2682" t="s">
        <v>40</v>
      </c>
    </row>
    <row r="2683">
      <c r="A2683" s="32">
        <f>IFERROR(__xludf.DUMMYFUNCTION("""COMPUTED_VALUE"""),43378.88846130787)</f>
        <v>43378.88846</v>
      </c>
      <c r="B2683" t="s">
        <v>139</v>
      </c>
    </row>
    <row r="2684">
      <c r="A2684" s="32">
        <f>IFERROR(__xludf.DUMMYFUNCTION("""COMPUTED_VALUE"""),43378.89399305556)</f>
        <v>43378.89399</v>
      </c>
      <c r="B2684" t="s">
        <v>2754</v>
      </c>
    </row>
    <row r="2685">
      <c r="A2685" s="32">
        <f>IFERROR(__xludf.DUMMYFUNCTION("""COMPUTED_VALUE"""),43378.90950734954)</f>
        <v>43378.90951</v>
      </c>
      <c r="B2685" t="s">
        <v>25</v>
      </c>
    </row>
    <row r="2686">
      <c r="A2686" s="32">
        <f>IFERROR(__xludf.DUMMYFUNCTION("""COMPUTED_VALUE"""),43378.909742476855)</f>
        <v>43378.90974</v>
      </c>
      <c r="B2686" t="s">
        <v>80</v>
      </c>
    </row>
    <row r="2687">
      <c r="A2687" s="32">
        <f>IFERROR(__xludf.DUMMYFUNCTION("""COMPUTED_VALUE"""),43379.00106642361)</f>
        <v>43379.00107</v>
      </c>
      <c r="B2687" t="s">
        <v>790</v>
      </c>
    </row>
    <row r="2688">
      <c r="A2688" s="32">
        <f>IFERROR(__xludf.DUMMYFUNCTION("""COMPUTED_VALUE"""),43379.30607315972)</f>
        <v>43379.30607</v>
      </c>
      <c r="B2688" t="s">
        <v>187</v>
      </c>
    </row>
    <row r="2689">
      <c r="A2689" s="32">
        <f>IFERROR(__xludf.DUMMYFUNCTION("""COMPUTED_VALUE"""),43379.389607199075)</f>
        <v>43379.38961</v>
      </c>
      <c r="B2689" t="s">
        <v>2697</v>
      </c>
    </row>
    <row r="2690">
      <c r="A2690" s="32">
        <f>IFERROR(__xludf.DUMMYFUNCTION("""COMPUTED_VALUE"""),43379.39466842593)</f>
        <v>43379.39467</v>
      </c>
      <c r="B2690" t="s">
        <v>1867</v>
      </c>
    </row>
    <row r="2691">
      <c r="A2691" s="32">
        <f>IFERROR(__xludf.DUMMYFUNCTION("""COMPUTED_VALUE"""),43379.39609917824)</f>
        <v>43379.3961</v>
      </c>
      <c r="B2691" t="s">
        <v>1867</v>
      </c>
    </row>
    <row r="2692">
      <c r="A2692" s="32">
        <f>IFERROR(__xludf.DUMMYFUNCTION("""COMPUTED_VALUE"""),43379.39806680556)</f>
        <v>43379.39807</v>
      </c>
      <c r="B2692" t="s">
        <v>142</v>
      </c>
    </row>
    <row r="2693">
      <c r="A2693" s="32">
        <f>IFERROR(__xludf.DUMMYFUNCTION("""COMPUTED_VALUE"""),43379.44445649306)</f>
        <v>43379.44446</v>
      </c>
      <c r="B2693" t="s">
        <v>36</v>
      </c>
    </row>
    <row r="2694">
      <c r="A2694" s="32">
        <f>IFERROR(__xludf.DUMMYFUNCTION("""COMPUTED_VALUE"""),43379.47565953704)</f>
        <v>43379.47566</v>
      </c>
      <c r="B2694" t="s">
        <v>33</v>
      </c>
    </row>
    <row r="2695">
      <c r="A2695" s="32">
        <f>IFERROR(__xludf.DUMMYFUNCTION("""COMPUTED_VALUE"""),43379.49227835648)</f>
        <v>43379.49228</v>
      </c>
      <c r="B2695" t="s">
        <v>48</v>
      </c>
    </row>
    <row r="2696">
      <c r="A2696" s="32">
        <f>IFERROR(__xludf.DUMMYFUNCTION("""COMPUTED_VALUE"""),43379.50026958333)</f>
        <v>43379.50027</v>
      </c>
      <c r="B2696" t="s">
        <v>40</v>
      </c>
    </row>
    <row r="2697">
      <c r="A2697" s="32">
        <f>IFERROR(__xludf.DUMMYFUNCTION("""COMPUTED_VALUE"""),43379.57704340278)</f>
        <v>43379.57704</v>
      </c>
      <c r="B2697" t="s">
        <v>371</v>
      </c>
    </row>
    <row r="2698">
      <c r="A2698" s="32">
        <f>IFERROR(__xludf.DUMMYFUNCTION("""COMPUTED_VALUE"""),43379.65618380787)</f>
        <v>43379.65618</v>
      </c>
      <c r="B2698" t="s">
        <v>123</v>
      </c>
    </row>
    <row r="2699">
      <c r="A2699" s="32">
        <f>IFERROR(__xludf.DUMMYFUNCTION("""COMPUTED_VALUE"""),43379.72836768518)</f>
        <v>43379.72837</v>
      </c>
      <c r="B2699" t="s">
        <v>45</v>
      </c>
    </row>
    <row r="2700">
      <c r="A2700" s="32">
        <f>IFERROR(__xludf.DUMMYFUNCTION("""COMPUTED_VALUE"""),43379.75588784722)</f>
        <v>43379.75589</v>
      </c>
      <c r="B2700" t="s">
        <v>40</v>
      </c>
    </row>
    <row r="2701">
      <c r="A2701" s="32">
        <f>IFERROR(__xludf.DUMMYFUNCTION("""COMPUTED_VALUE"""),43379.76802509259)</f>
        <v>43379.76803</v>
      </c>
      <c r="B2701" t="s">
        <v>48</v>
      </c>
    </row>
    <row r="2702">
      <c r="A2702" s="32">
        <f>IFERROR(__xludf.DUMMYFUNCTION("""COMPUTED_VALUE"""),43379.89311819444)</f>
        <v>43379.89312</v>
      </c>
      <c r="B2702" t="s">
        <v>48</v>
      </c>
    </row>
    <row r="2703">
      <c r="A2703" s="32">
        <f>IFERROR(__xludf.DUMMYFUNCTION("""COMPUTED_VALUE"""),43379.96678915509)</f>
        <v>43379.96679</v>
      </c>
      <c r="B2703" t="s">
        <v>80</v>
      </c>
    </row>
    <row r="2704">
      <c r="A2704" s="32">
        <f>IFERROR(__xludf.DUMMYFUNCTION("""COMPUTED_VALUE"""),43379.97371039352)</f>
        <v>43379.97371</v>
      </c>
      <c r="B2704" t="s">
        <v>48</v>
      </c>
    </row>
    <row r="2705">
      <c r="A2705" s="32">
        <f>IFERROR(__xludf.DUMMYFUNCTION("""COMPUTED_VALUE"""),43379.97567053241)</f>
        <v>43379.97567</v>
      </c>
      <c r="B2705" t="s">
        <v>33</v>
      </c>
    </row>
    <row r="2706">
      <c r="A2706" s="32">
        <f>IFERROR(__xludf.DUMMYFUNCTION("""COMPUTED_VALUE"""),43380.0032709838)</f>
        <v>43380.00327</v>
      </c>
      <c r="B2706" t="s">
        <v>204</v>
      </c>
    </row>
    <row r="2707">
      <c r="A2707" s="32">
        <f>IFERROR(__xludf.DUMMYFUNCTION("""COMPUTED_VALUE"""),43380.00517611111)</f>
        <v>43380.00518</v>
      </c>
      <c r="B2707" t="s">
        <v>790</v>
      </c>
    </row>
    <row r="2708">
      <c r="A2708" s="32">
        <f>IFERROR(__xludf.DUMMYFUNCTION("""COMPUTED_VALUE"""),43380.31521594907)</f>
        <v>43380.31522</v>
      </c>
      <c r="B2708" t="s">
        <v>36</v>
      </c>
    </row>
    <row r="2709">
      <c r="A2709" s="32">
        <f>IFERROR(__xludf.DUMMYFUNCTION("""COMPUTED_VALUE"""),43380.361971562495)</f>
        <v>43380.36197</v>
      </c>
      <c r="B2709" t="s">
        <v>428</v>
      </c>
    </row>
    <row r="2710">
      <c r="A2710" s="32">
        <f>IFERROR(__xludf.DUMMYFUNCTION("""COMPUTED_VALUE"""),43380.36283445602)</f>
        <v>43380.36283</v>
      </c>
      <c r="B2710" t="s">
        <v>36</v>
      </c>
    </row>
    <row r="2711">
      <c r="A2711" s="32">
        <f>IFERROR(__xludf.DUMMYFUNCTION("""COMPUTED_VALUE"""),43380.47668699074)</f>
        <v>43380.47669</v>
      </c>
      <c r="B2711" t="s">
        <v>2755</v>
      </c>
    </row>
    <row r="2712">
      <c r="A2712" s="32">
        <f>IFERROR(__xludf.DUMMYFUNCTION("""COMPUTED_VALUE"""),43380.53345236111)</f>
        <v>43380.53345</v>
      </c>
      <c r="B2712" t="s">
        <v>45</v>
      </c>
    </row>
    <row r="2713">
      <c r="A2713" s="32">
        <f>IFERROR(__xludf.DUMMYFUNCTION("""COMPUTED_VALUE"""),43380.567665752314)</f>
        <v>43380.56767</v>
      </c>
      <c r="B2713" t="s">
        <v>40</v>
      </c>
    </row>
    <row r="2714">
      <c r="A2714" s="32">
        <f>IFERROR(__xludf.DUMMYFUNCTION("""COMPUTED_VALUE"""),43380.58611230324)</f>
        <v>43380.58611</v>
      </c>
      <c r="B2714" t="s">
        <v>45</v>
      </c>
    </row>
    <row r="2715">
      <c r="A2715" s="32">
        <f>IFERROR(__xludf.DUMMYFUNCTION("""COMPUTED_VALUE"""),43380.60641032408)</f>
        <v>43380.60641</v>
      </c>
      <c r="B2715" t="s">
        <v>268</v>
      </c>
    </row>
    <row r="2716">
      <c r="A2716" s="32">
        <f>IFERROR(__xludf.DUMMYFUNCTION("""COMPUTED_VALUE"""),43380.756096655095)</f>
        <v>43380.7561</v>
      </c>
      <c r="B2716" t="s">
        <v>187</v>
      </c>
    </row>
    <row r="2717">
      <c r="A2717" s="32">
        <f>IFERROR(__xludf.DUMMYFUNCTION("""COMPUTED_VALUE"""),43380.76591216435)</f>
        <v>43380.76591</v>
      </c>
      <c r="B2717" t="s">
        <v>371</v>
      </c>
    </row>
    <row r="2718">
      <c r="A2718" s="32">
        <f>IFERROR(__xludf.DUMMYFUNCTION("""COMPUTED_VALUE"""),43380.854264062495)</f>
        <v>43380.85426</v>
      </c>
      <c r="B2718" t="s">
        <v>371</v>
      </c>
    </row>
    <row r="2719">
      <c r="A2719" s="32">
        <f>IFERROR(__xludf.DUMMYFUNCTION("""COMPUTED_VALUE"""),43380.85649648149)</f>
        <v>43380.8565</v>
      </c>
      <c r="B2719" t="s">
        <v>80</v>
      </c>
    </row>
    <row r="2720">
      <c r="A2720" s="32">
        <f>IFERROR(__xludf.DUMMYFUNCTION("""COMPUTED_VALUE"""),43380.85818435185)</f>
        <v>43380.85818</v>
      </c>
      <c r="B2720" t="s">
        <v>80</v>
      </c>
    </row>
    <row r="2721">
      <c r="A2721" s="32">
        <f>IFERROR(__xludf.DUMMYFUNCTION("""COMPUTED_VALUE"""),43380.88503055555)</f>
        <v>43380.88503</v>
      </c>
      <c r="B2721" t="s">
        <v>154</v>
      </c>
    </row>
    <row r="2722">
      <c r="A2722" s="32">
        <f>IFERROR(__xludf.DUMMYFUNCTION("""COMPUTED_VALUE"""),43380.885824791665)</f>
        <v>43380.88582</v>
      </c>
      <c r="B2722" t="s">
        <v>154</v>
      </c>
    </row>
    <row r="2723">
      <c r="A2723" s="32">
        <f>IFERROR(__xludf.DUMMYFUNCTION("""COMPUTED_VALUE"""),43380.88877100694)</f>
        <v>43380.88877</v>
      </c>
      <c r="B2723" t="s">
        <v>371</v>
      </c>
    </row>
    <row r="2724">
      <c r="A2724" s="32">
        <f>IFERROR(__xludf.DUMMYFUNCTION("""COMPUTED_VALUE"""),43380.89119365741)</f>
        <v>43380.89119</v>
      </c>
      <c r="B2724" t="s">
        <v>119</v>
      </c>
    </row>
    <row r="2725">
      <c r="A2725" s="32">
        <f>IFERROR(__xludf.DUMMYFUNCTION("""COMPUTED_VALUE"""),43380.94400217592)</f>
        <v>43380.944</v>
      </c>
      <c r="B2725" t="s">
        <v>249</v>
      </c>
    </row>
    <row r="2726">
      <c r="A2726" s="32">
        <f>IFERROR(__xludf.DUMMYFUNCTION("""COMPUTED_VALUE"""),43380.95336079861)</f>
        <v>43380.95336</v>
      </c>
      <c r="B2726" t="s">
        <v>119</v>
      </c>
    </row>
    <row r="2727">
      <c r="A2727" s="32">
        <f>IFERROR(__xludf.DUMMYFUNCTION("""COMPUTED_VALUE"""),43380.965927604164)</f>
        <v>43380.96593</v>
      </c>
      <c r="B2727" t="s">
        <v>1884</v>
      </c>
    </row>
    <row r="2728">
      <c r="A2728" s="32">
        <f>IFERROR(__xludf.DUMMYFUNCTION("""COMPUTED_VALUE"""),43380.975156712964)</f>
        <v>43380.97516</v>
      </c>
      <c r="B2728" t="s">
        <v>45</v>
      </c>
    </row>
    <row r="2729">
      <c r="A2729" s="32">
        <f>IFERROR(__xludf.DUMMYFUNCTION("""COMPUTED_VALUE"""),43380.984622488424)</f>
        <v>43380.98462</v>
      </c>
      <c r="B2729" t="s">
        <v>2681</v>
      </c>
    </row>
    <row r="2730">
      <c r="A2730" s="32">
        <f>IFERROR(__xludf.DUMMYFUNCTION("""COMPUTED_VALUE"""),43381.01552282408)</f>
        <v>43381.01552</v>
      </c>
      <c r="B2730" t="s">
        <v>33</v>
      </c>
    </row>
    <row r="2731">
      <c r="A2731" s="32">
        <f>IFERROR(__xludf.DUMMYFUNCTION("""COMPUTED_VALUE"""),43381.020451539356)</f>
        <v>43381.02045</v>
      </c>
      <c r="B2731" t="s">
        <v>40</v>
      </c>
    </row>
    <row r="2732">
      <c r="A2732" s="32">
        <f>IFERROR(__xludf.DUMMYFUNCTION("""COMPUTED_VALUE"""),43381.12382076389)</f>
        <v>43381.12382</v>
      </c>
      <c r="B2732" t="s">
        <v>1887</v>
      </c>
    </row>
    <row r="2733">
      <c r="A2733" s="32">
        <f>IFERROR(__xludf.DUMMYFUNCTION("""COMPUTED_VALUE"""),43381.14629291667)</f>
        <v>43381.14629</v>
      </c>
      <c r="B2733" t="s">
        <v>944</v>
      </c>
    </row>
    <row r="2734">
      <c r="A2734" s="32">
        <f>IFERROR(__xludf.DUMMYFUNCTION("""COMPUTED_VALUE"""),43381.24594782408)</f>
        <v>43381.24595</v>
      </c>
      <c r="B2734" t="s">
        <v>343</v>
      </c>
    </row>
    <row r="2735">
      <c r="A2735" s="32">
        <f>IFERROR(__xludf.DUMMYFUNCTION("""COMPUTED_VALUE"""),43381.26777082176)</f>
        <v>43381.26777</v>
      </c>
      <c r="B2735" t="s">
        <v>45</v>
      </c>
    </row>
    <row r="2736">
      <c r="A2736" s="32">
        <f>IFERROR(__xludf.DUMMYFUNCTION("""COMPUTED_VALUE"""),43381.26991495371)</f>
        <v>43381.26991</v>
      </c>
      <c r="B2736" t="s">
        <v>426</v>
      </c>
    </row>
    <row r="2737">
      <c r="A2737" s="32">
        <f>IFERROR(__xludf.DUMMYFUNCTION("""COMPUTED_VALUE"""),43381.27235049769)</f>
        <v>43381.27235</v>
      </c>
      <c r="B2737" t="s">
        <v>48</v>
      </c>
    </row>
    <row r="2738">
      <c r="A2738" s="32">
        <f>IFERROR(__xludf.DUMMYFUNCTION("""COMPUTED_VALUE"""),43381.30313151621)</f>
        <v>43381.30313</v>
      </c>
      <c r="B2738" t="s">
        <v>2681</v>
      </c>
    </row>
    <row r="2739">
      <c r="A2739" s="32">
        <f>IFERROR(__xludf.DUMMYFUNCTION("""COMPUTED_VALUE"""),43381.33859299769)</f>
        <v>43381.33859</v>
      </c>
      <c r="B2739" t="s">
        <v>36</v>
      </c>
    </row>
    <row r="2740">
      <c r="A2740" s="32">
        <f>IFERROR(__xludf.DUMMYFUNCTION("""COMPUTED_VALUE"""),43381.406537939816)</f>
        <v>43381.40654</v>
      </c>
      <c r="B2740" t="s">
        <v>119</v>
      </c>
    </row>
    <row r="2741">
      <c r="A2741" s="32">
        <f>IFERROR(__xludf.DUMMYFUNCTION("""COMPUTED_VALUE"""),43381.41354883102)</f>
        <v>43381.41355</v>
      </c>
      <c r="B2741" t="s">
        <v>1889</v>
      </c>
    </row>
    <row r="2742">
      <c r="A2742" s="32">
        <f>IFERROR(__xludf.DUMMYFUNCTION("""COMPUTED_VALUE"""),43381.42729922454)</f>
        <v>43381.4273</v>
      </c>
      <c r="B2742" t="s">
        <v>48</v>
      </c>
    </row>
    <row r="2743">
      <c r="A2743" s="32">
        <f>IFERROR(__xludf.DUMMYFUNCTION("""COMPUTED_VALUE"""),43381.46715521991)</f>
        <v>43381.46716</v>
      </c>
      <c r="B2743" t="s">
        <v>371</v>
      </c>
    </row>
    <row r="2744">
      <c r="A2744" s="32">
        <f>IFERROR(__xludf.DUMMYFUNCTION("""COMPUTED_VALUE"""),43381.47289625)</f>
        <v>43381.4729</v>
      </c>
      <c r="B2744" t="s">
        <v>371</v>
      </c>
    </row>
    <row r="2745">
      <c r="A2745" s="32">
        <f>IFERROR(__xludf.DUMMYFUNCTION("""COMPUTED_VALUE"""),43381.47384265046)</f>
        <v>43381.47384</v>
      </c>
      <c r="B2745" t="s">
        <v>371</v>
      </c>
    </row>
    <row r="2746">
      <c r="A2746" s="32">
        <f>IFERROR(__xludf.DUMMYFUNCTION("""COMPUTED_VALUE"""),43381.47451413194)</f>
        <v>43381.47451</v>
      </c>
      <c r="B2746" t="s">
        <v>371</v>
      </c>
    </row>
    <row r="2747">
      <c r="A2747" s="32">
        <f>IFERROR(__xludf.DUMMYFUNCTION("""COMPUTED_VALUE"""),43381.48128638889)</f>
        <v>43381.48129</v>
      </c>
      <c r="B2747" t="s">
        <v>380</v>
      </c>
    </row>
    <row r="2748">
      <c r="A2748" s="32">
        <f>IFERROR(__xludf.DUMMYFUNCTION("""COMPUTED_VALUE"""),43381.518998113424)</f>
        <v>43381.519</v>
      </c>
      <c r="B2748" t="s">
        <v>1891</v>
      </c>
    </row>
    <row r="2749">
      <c r="A2749" s="32">
        <f>IFERROR(__xludf.DUMMYFUNCTION("""COMPUTED_VALUE"""),43381.51907631944)</f>
        <v>43381.51908</v>
      </c>
      <c r="B2749" t="s">
        <v>1893</v>
      </c>
    </row>
    <row r="2750">
      <c r="A2750" s="32">
        <f>IFERROR(__xludf.DUMMYFUNCTION("""COMPUTED_VALUE"""),43381.5876524537)</f>
        <v>43381.58765</v>
      </c>
      <c r="B2750" t="s">
        <v>40</v>
      </c>
    </row>
    <row r="2751">
      <c r="A2751" s="32">
        <f>IFERROR(__xludf.DUMMYFUNCTION("""COMPUTED_VALUE"""),43381.69478571759)</f>
        <v>43381.69479</v>
      </c>
      <c r="B2751" t="s">
        <v>33</v>
      </c>
    </row>
    <row r="2752">
      <c r="A2752" s="32">
        <f>IFERROR(__xludf.DUMMYFUNCTION("""COMPUTED_VALUE"""),43381.70954012731)</f>
        <v>43381.70954</v>
      </c>
      <c r="B2752" t="s">
        <v>1894</v>
      </c>
    </row>
    <row r="2753">
      <c r="A2753" s="32">
        <f>IFERROR(__xludf.DUMMYFUNCTION("""COMPUTED_VALUE"""),43381.76573546296)</f>
        <v>43381.76574</v>
      </c>
      <c r="B2753" t="s">
        <v>33</v>
      </c>
    </row>
    <row r="2754">
      <c r="A2754" s="32">
        <f>IFERROR(__xludf.DUMMYFUNCTION("""COMPUTED_VALUE"""),43381.78314663195)</f>
        <v>43381.78315</v>
      </c>
      <c r="B2754" t="s">
        <v>119</v>
      </c>
    </row>
    <row r="2755">
      <c r="A2755" s="32">
        <f>IFERROR(__xludf.DUMMYFUNCTION("""COMPUTED_VALUE"""),43381.78580247685)</f>
        <v>43381.7858</v>
      </c>
      <c r="B2755" t="s">
        <v>45</v>
      </c>
    </row>
    <row r="2756">
      <c r="A2756" s="32">
        <f>IFERROR(__xludf.DUMMYFUNCTION("""COMPUTED_VALUE"""),43381.80690498842)</f>
        <v>43381.8069</v>
      </c>
      <c r="B2756" t="s">
        <v>33</v>
      </c>
    </row>
    <row r="2757">
      <c r="A2757" s="32">
        <f>IFERROR(__xludf.DUMMYFUNCTION("""COMPUTED_VALUE"""),43381.842780798615)</f>
        <v>43381.84278</v>
      </c>
      <c r="B2757" t="s">
        <v>2756</v>
      </c>
    </row>
    <row r="2758">
      <c r="A2758" s="32">
        <f>IFERROR(__xludf.DUMMYFUNCTION("""COMPUTED_VALUE"""),43381.84651545139)</f>
        <v>43381.84652</v>
      </c>
      <c r="B2758" t="s">
        <v>1240</v>
      </c>
    </row>
    <row r="2759">
      <c r="A2759" s="32">
        <f>IFERROR(__xludf.DUMMYFUNCTION("""COMPUTED_VALUE"""),43381.87124555555)</f>
        <v>43381.87125</v>
      </c>
      <c r="B2759" t="s">
        <v>452</v>
      </c>
    </row>
    <row r="2760">
      <c r="A2760" s="32">
        <f>IFERROR(__xludf.DUMMYFUNCTION("""COMPUTED_VALUE"""),43381.90379751158)</f>
        <v>43381.9038</v>
      </c>
      <c r="B2760" t="s">
        <v>40</v>
      </c>
    </row>
    <row r="2761">
      <c r="A2761" s="32">
        <f>IFERROR(__xludf.DUMMYFUNCTION("""COMPUTED_VALUE"""),43381.91169037037)</f>
        <v>43381.91169</v>
      </c>
      <c r="B2761" t="s">
        <v>119</v>
      </c>
    </row>
    <row r="2762">
      <c r="A2762" s="32">
        <f>IFERROR(__xludf.DUMMYFUNCTION("""COMPUTED_VALUE"""),43381.947801076385)</f>
        <v>43381.9478</v>
      </c>
      <c r="B2762" t="s">
        <v>33</v>
      </c>
    </row>
    <row r="2763">
      <c r="A2763" s="32">
        <f>IFERROR(__xludf.DUMMYFUNCTION("""COMPUTED_VALUE"""),43381.954288865745)</f>
        <v>43381.95429</v>
      </c>
      <c r="B2763" t="s">
        <v>119</v>
      </c>
    </row>
    <row r="2764">
      <c r="A2764" s="32">
        <f>IFERROR(__xludf.DUMMYFUNCTION("""COMPUTED_VALUE"""),43381.95548809027)</f>
        <v>43381.95549</v>
      </c>
      <c r="B2764" t="s">
        <v>33</v>
      </c>
    </row>
    <row r="2765">
      <c r="A2765" s="32">
        <f>IFERROR(__xludf.DUMMYFUNCTION("""COMPUTED_VALUE"""),43381.97354041667)</f>
        <v>43381.97354</v>
      </c>
      <c r="B2765" t="s">
        <v>33</v>
      </c>
    </row>
    <row r="2766">
      <c r="A2766" s="32">
        <f>IFERROR(__xludf.DUMMYFUNCTION("""COMPUTED_VALUE"""),43381.98511451389)</f>
        <v>43381.98511</v>
      </c>
      <c r="B2766" t="s">
        <v>671</v>
      </c>
    </row>
    <row r="2767">
      <c r="A2767" s="32">
        <f>IFERROR(__xludf.DUMMYFUNCTION("""COMPUTED_VALUE"""),43382.088116956016)</f>
        <v>43382.08812</v>
      </c>
      <c r="B2767" t="s">
        <v>36</v>
      </c>
    </row>
    <row r="2768">
      <c r="A2768" s="32">
        <f>IFERROR(__xludf.DUMMYFUNCTION("""COMPUTED_VALUE"""),43382.27199811343)</f>
        <v>43382.272</v>
      </c>
      <c r="B2768" t="s">
        <v>2658</v>
      </c>
    </row>
    <row r="2769">
      <c r="A2769" s="32">
        <f>IFERROR(__xludf.DUMMYFUNCTION("""COMPUTED_VALUE"""),43382.27580751157)</f>
        <v>43382.27581</v>
      </c>
      <c r="B2769" t="s">
        <v>2757</v>
      </c>
    </row>
    <row r="2770">
      <c r="A2770" s="32">
        <f>IFERROR(__xludf.DUMMYFUNCTION("""COMPUTED_VALUE"""),43382.30321599537)</f>
        <v>43382.30322</v>
      </c>
      <c r="B2770" t="s">
        <v>80</v>
      </c>
    </row>
    <row r="2771">
      <c r="A2771" s="32">
        <f>IFERROR(__xludf.DUMMYFUNCTION("""COMPUTED_VALUE"""),43382.36738041667)</f>
        <v>43382.36738</v>
      </c>
      <c r="B2771" t="s">
        <v>2758</v>
      </c>
    </row>
    <row r="2772">
      <c r="A2772" s="32">
        <f>IFERROR(__xludf.DUMMYFUNCTION("""COMPUTED_VALUE"""),43382.394427962965)</f>
        <v>43382.39443</v>
      </c>
      <c r="B2772" t="s">
        <v>119</v>
      </c>
    </row>
    <row r="2773">
      <c r="A2773" s="32">
        <f>IFERROR(__xludf.DUMMYFUNCTION("""COMPUTED_VALUE"""),43382.406874050925)</f>
        <v>43382.40687</v>
      </c>
      <c r="B2773" t="s">
        <v>40</v>
      </c>
    </row>
    <row r="2774">
      <c r="A2774" s="32">
        <f>IFERROR(__xludf.DUMMYFUNCTION("""COMPUTED_VALUE"""),43382.42219295139)</f>
        <v>43382.42219</v>
      </c>
      <c r="B2774" t="s">
        <v>95</v>
      </c>
    </row>
    <row r="2775">
      <c r="A2775" s="32">
        <f>IFERROR(__xludf.DUMMYFUNCTION("""COMPUTED_VALUE"""),43382.46575349537)</f>
        <v>43382.46575</v>
      </c>
      <c r="B2775" t="s">
        <v>25</v>
      </c>
    </row>
    <row r="2776">
      <c r="A2776" s="32">
        <f>IFERROR(__xludf.DUMMYFUNCTION("""COMPUTED_VALUE"""),43382.53283523148)</f>
        <v>43382.53284</v>
      </c>
      <c r="B2776" t="s">
        <v>1910</v>
      </c>
    </row>
    <row r="2777">
      <c r="A2777" s="32">
        <f>IFERROR(__xludf.DUMMYFUNCTION("""COMPUTED_VALUE"""),43382.54080625)</f>
        <v>43382.54081</v>
      </c>
      <c r="B2777" t="s">
        <v>40</v>
      </c>
    </row>
    <row r="2778">
      <c r="A2778" s="32">
        <f>IFERROR(__xludf.DUMMYFUNCTION("""COMPUTED_VALUE"""),43382.59775266204)</f>
        <v>43382.59775</v>
      </c>
      <c r="B2778" t="s">
        <v>124</v>
      </c>
    </row>
    <row r="2779">
      <c r="A2779" s="32">
        <f>IFERROR(__xludf.DUMMYFUNCTION("""COMPUTED_VALUE"""),43382.67145362269)</f>
        <v>43382.67145</v>
      </c>
      <c r="B2779" t="s">
        <v>33</v>
      </c>
    </row>
    <row r="2780">
      <c r="A2780" s="32">
        <f>IFERROR(__xludf.DUMMYFUNCTION("""COMPUTED_VALUE"""),43382.68944174769)</f>
        <v>43382.68944</v>
      </c>
      <c r="B2780" t="s">
        <v>2424</v>
      </c>
    </row>
    <row r="2781">
      <c r="A2781" s="32">
        <f>IFERROR(__xludf.DUMMYFUNCTION("""COMPUTED_VALUE"""),43382.760242812496)</f>
        <v>43382.76024</v>
      </c>
      <c r="B2781" t="s">
        <v>33</v>
      </c>
    </row>
    <row r="2782">
      <c r="A2782" s="32">
        <f>IFERROR(__xludf.DUMMYFUNCTION("""COMPUTED_VALUE"""),43382.77741487269)</f>
        <v>43382.77741</v>
      </c>
      <c r="B2782" t="s">
        <v>1913</v>
      </c>
    </row>
    <row r="2783">
      <c r="A2783" s="32">
        <f>IFERROR(__xludf.DUMMYFUNCTION("""COMPUTED_VALUE"""),43382.78689596065)</f>
        <v>43382.7869</v>
      </c>
      <c r="B2783" t="s">
        <v>33</v>
      </c>
    </row>
    <row r="2784">
      <c r="A2784" s="32">
        <f>IFERROR(__xludf.DUMMYFUNCTION("""COMPUTED_VALUE"""),43382.81344537037)</f>
        <v>43382.81345</v>
      </c>
      <c r="B2784" t="s">
        <v>33</v>
      </c>
    </row>
    <row r="2785">
      <c r="A2785" s="32">
        <f>IFERROR(__xludf.DUMMYFUNCTION("""COMPUTED_VALUE"""),43382.84891741898)</f>
        <v>43382.84892</v>
      </c>
      <c r="B2785" t="s">
        <v>40</v>
      </c>
    </row>
    <row r="2786">
      <c r="A2786" s="32">
        <f>IFERROR(__xludf.DUMMYFUNCTION("""COMPUTED_VALUE"""),43382.87284091435)</f>
        <v>43382.87284</v>
      </c>
      <c r="B2786" t="s">
        <v>36</v>
      </c>
    </row>
    <row r="2787">
      <c r="A2787" s="32">
        <f>IFERROR(__xludf.DUMMYFUNCTION("""COMPUTED_VALUE"""),43382.881758738426)</f>
        <v>43382.88176</v>
      </c>
      <c r="B2787" t="s">
        <v>33</v>
      </c>
    </row>
    <row r="2788">
      <c r="A2788" s="32">
        <f>IFERROR(__xludf.DUMMYFUNCTION("""COMPUTED_VALUE"""),43382.90730467593)</f>
        <v>43382.9073</v>
      </c>
      <c r="B2788" t="s">
        <v>1916</v>
      </c>
    </row>
    <row r="2789">
      <c r="A2789" s="32">
        <f>IFERROR(__xludf.DUMMYFUNCTION("""COMPUTED_VALUE"""),43382.95496752315)</f>
        <v>43382.95497</v>
      </c>
      <c r="B2789" t="s">
        <v>80</v>
      </c>
    </row>
    <row r="2790">
      <c r="A2790" s="32">
        <f>IFERROR(__xludf.DUMMYFUNCTION("""COMPUTED_VALUE"""),43383.06306112268)</f>
        <v>43383.06306</v>
      </c>
      <c r="B2790" t="s">
        <v>45</v>
      </c>
    </row>
    <row r="2791">
      <c r="A2791" s="32">
        <f>IFERROR(__xludf.DUMMYFUNCTION("""COMPUTED_VALUE"""),43383.14556359954)</f>
        <v>43383.14556</v>
      </c>
      <c r="B2791" t="s">
        <v>40</v>
      </c>
    </row>
    <row r="2792">
      <c r="A2792" s="32">
        <f>IFERROR(__xludf.DUMMYFUNCTION("""COMPUTED_VALUE"""),43383.30182864583)</f>
        <v>43383.30183</v>
      </c>
      <c r="B2792" t="s">
        <v>80</v>
      </c>
    </row>
    <row r="2793">
      <c r="A2793" s="32">
        <f>IFERROR(__xludf.DUMMYFUNCTION("""COMPUTED_VALUE"""),43383.30336792824)</f>
        <v>43383.30337</v>
      </c>
      <c r="B2793" t="s">
        <v>40</v>
      </c>
    </row>
    <row r="2794">
      <c r="A2794" s="32">
        <f>IFERROR(__xludf.DUMMYFUNCTION("""COMPUTED_VALUE"""),43383.31542263889)</f>
        <v>43383.31542</v>
      </c>
      <c r="B2794" t="s">
        <v>1918</v>
      </c>
    </row>
    <row r="2795">
      <c r="A2795" s="32">
        <f>IFERROR(__xludf.DUMMYFUNCTION("""COMPUTED_VALUE"""),43383.373825069444)</f>
        <v>43383.37383</v>
      </c>
      <c r="B2795" t="s">
        <v>1920</v>
      </c>
    </row>
    <row r="2796">
      <c r="A2796" s="32">
        <f>IFERROR(__xludf.DUMMYFUNCTION("""COMPUTED_VALUE"""),43383.38909143519)</f>
        <v>43383.38909</v>
      </c>
      <c r="B2796" t="s">
        <v>1920</v>
      </c>
    </row>
    <row r="2797">
      <c r="A2797" s="32">
        <f>IFERROR(__xludf.DUMMYFUNCTION("""COMPUTED_VALUE"""),43383.41673157408)</f>
        <v>43383.41673</v>
      </c>
      <c r="B2797" t="s">
        <v>33</v>
      </c>
    </row>
    <row r="2798">
      <c r="A2798" s="32">
        <f>IFERROR(__xludf.DUMMYFUNCTION("""COMPUTED_VALUE"""),43383.431941030096)</f>
        <v>43383.43194</v>
      </c>
      <c r="B2798" t="s">
        <v>40</v>
      </c>
    </row>
    <row r="2799">
      <c r="A2799" s="32">
        <f>IFERROR(__xludf.DUMMYFUNCTION("""COMPUTED_VALUE"""),43383.44864304399)</f>
        <v>43383.44864</v>
      </c>
      <c r="B2799" t="s">
        <v>45</v>
      </c>
    </row>
    <row r="2800">
      <c r="A2800" s="32">
        <f>IFERROR(__xludf.DUMMYFUNCTION("""COMPUTED_VALUE"""),43383.485786296296)</f>
        <v>43383.48579</v>
      </c>
      <c r="B2800" t="s">
        <v>1929</v>
      </c>
    </row>
    <row r="2801">
      <c r="A2801" s="32">
        <f>IFERROR(__xludf.DUMMYFUNCTION("""COMPUTED_VALUE"""),43383.488874131945)</f>
        <v>43383.48887</v>
      </c>
      <c r="B2801" t="s">
        <v>40</v>
      </c>
    </row>
    <row r="2802">
      <c r="A2802" s="32">
        <f>IFERROR(__xludf.DUMMYFUNCTION("""COMPUTED_VALUE"""),43383.55550832176)</f>
        <v>43383.55551</v>
      </c>
      <c r="B2802" t="s">
        <v>2681</v>
      </c>
    </row>
    <row r="2803">
      <c r="A2803" s="32">
        <f>IFERROR(__xludf.DUMMYFUNCTION("""COMPUTED_VALUE"""),43383.597874178246)</f>
        <v>43383.59787</v>
      </c>
      <c r="B2803" t="s">
        <v>48</v>
      </c>
    </row>
    <row r="2804">
      <c r="A2804" s="32">
        <f>IFERROR(__xludf.DUMMYFUNCTION("""COMPUTED_VALUE"""),43383.646131030095)</f>
        <v>43383.64613</v>
      </c>
      <c r="B2804" t="s">
        <v>268</v>
      </c>
    </row>
    <row r="2805">
      <c r="A2805" s="32">
        <f>IFERROR(__xludf.DUMMYFUNCTION("""COMPUTED_VALUE"""),43383.647309259264)</f>
        <v>43383.64731</v>
      </c>
      <c r="B2805" t="s">
        <v>2658</v>
      </c>
    </row>
    <row r="2806">
      <c r="A2806" s="32">
        <f>IFERROR(__xludf.DUMMYFUNCTION("""COMPUTED_VALUE"""),43383.70288673611)</f>
        <v>43383.70289</v>
      </c>
      <c r="B2806" t="s">
        <v>33</v>
      </c>
    </row>
    <row r="2807">
      <c r="A2807" s="32">
        <f>IFERROR(__xludf.DUMMYFUNCTION("""COMPUTED_VALUE"""),43383.71328527778)</f>
        <v>43383.71329</v>
      </c>
      <c r="B2807" t="s">
        <v>33</v>
      </c>
    </row>
    <row r="2808">
      <c r="A2808" s="32">
        <f>IFERROR(__xludf.DUMMYFUNCTION("""COMPUTED_VALUE"""),43383.73138932871)</f>
        <v>43383.73139</v>
      </c>
      <c r="B2808" t="s">
        <v>1935</v>
      </c>
    </row>
    <row r="2809">
      <c r="A2809" s="32">
        <f>IFERROR(__xludf.DUMMYFUNCTION("""COMPUTED_VALUE"""),43383.77285954861)</f>
        <v>43383.77286</v>
      </c>
      <c r="B2809" t="s">
        <v>2759</v>
      </c>
    </row>
    <row r="2810">
      <c r="A2810" s="32">
        <f>IFERROR(__xludf.DUMMYFUNCTION("""COMPUTED_VALUE"""),43383.88559791667)</f>
        <v>43383.8856</v>
      </c>
      <c r="B2810" t="s">
        <v>80</v>
      </c>
    </row>
    <row r="2811">
      <c r="A2811" s="32">
        <f>IFERROR(__xludf.DUMMYFUNCTION("""COMPUTED_VALUE"""),43383.911199305556)</f>
        <v>43383.9112</v>
      </c>
      <c r="B2811" t="s">
        <v>33</v>
      </c>
    </row>
    <row r="2812">
      <c r="A2812" s="32">
        <f>IFERROR(__xludf.DUMMYFUNCTION("""COMPUTED_VALUE"""),43383.93789763888)</f>
        <v>43383.9379</v>
      </c>
      <c r="B2812" t="s">
        <v>40</v>
      </c>
    </row>
    <row r="2813">
      <c r="A2813" s="32">
        <f>IFERROR(__xludf.DUMMYFUNCTION("""COMPUTED_VALUE"""),43383.96082931713)</f>
        <v>43383.96083</v>
      </c>
      <c r="B2813" t="s">
        <v>263</v>
      </c>
    </row>
    <row r="2814">
      <c r="A2814" s="32">
        <f>IFERROR(__xludf.DUMMYFUNCTION("""COMPUTED_VALUE"""),43384.25890114583)</f>
        <v>43384.2589</v>
      </c>
      <c r="B2814" t="s">
        <v>119</v>
      </c>
    </row>
    <row r="2815">
      <c r="A2815" s="32">
        <f>IFERROR(__xludf.DUMMYFUNCTION("""COMPUTED_VALUE"""),43384.32230605324)</f>
        <v>43384.32231</v>
      </c>
      <c r="B2815" t="s">
        <v>80</v>
      </c>
    </row>
    <row r="2816">
      <c r="A2816" s="32">
        <f>IFERROR(__xludf.DUMMYFUNCTION("""COMPUTED_VALUE"""),43384.375115636576)</f>
        <v>43384.37512</v>
      </c>
      <c r="B2816" t="s">
        <v>1939</v>
      </c>
    </row>
    <row r="2817">
      <c r="A2817" s="32">
        <f>IFERROR(__xludf.DUMMYFUNCTION("""COMPUTED_VALUE"""),43384.40640715278)</f>
        <v>43384.40641</v>
      </c>
      <c r="B2817" t="s">
        <v>170</v>
      </c>
    </row>
    <row r="2818">
      <c r="A2818" s="32">
        <f>IFERROR(__xludf.DUMMYFUNCTION("""COMPUTED_VALUE"""),43384.41291925926)</f>
        <v>43384.41292</v>
      </c>
      <c r="B2818" t="s">
        <v>1920</v>
      </c>
    </row>
    <row r="2819">
      <c r="A2819" s="32">
        <f>IFERROR(__xludf.DUMMYFUNCTION("""COMPUTED_VALUE"""),43384.42959484954)</f>
        <v>43384.42959</v>
      </c>
      <c r="B2819" t="s">
        <v>80</v>
      </c>
    </row>
    <row r="2820">
      <c r="A2820" s="32">
        <f>IFERROR(__xludf.DUMMYFUNCTION("""COMPUTED_VALUE"""),43384.514099293985)</f>
        <v>43384.5141</v>
      </c>
      <c r="B2820" t="s">
        <v>45</v>
      </c>
    </row>
    <row r="2821">
      <c r="A2821" s="32">
        <f>IFERROR(__xludf.DUMMYFUNCTION("""COMPUTED_VALUE"""),43384.526242210646)</f>
        <v>43384.52624</v>
      </c>
      <c r="B2821" t="s">
        <v>105</v>
      </c>
    </row>
    <row r="2822">
      <c r="A2822" s="32">
        <f>IFERROR(__xludf.DUMMYFUNCTION("""COMPUTED_VALUE"""),43384.53007893519)</f>
        <v>43384.53008</v>
      </c>
      <c r="B2822" t="s">
        <v>2424</v>
      </c>
    </row>
    <row r="2823">
      <c r="A2823" s="32">
        <f>IFERROR(__xludf.DUMMYFUNCTION("""COMPUTED_VALUE"""),43384.54874200231)</f>
        <v>43384.54874</v>
      </c>
      <c r="B2823" t="s">
        <v>124</v>
      </c>
    </row>
    <row r="2824">
      <c r="A2824" s="32">
        <f>IFERROR(__xludf.DUMMYFUNCTION("""COMPUTED_VALUE"""),43384.62179635417)</f>
        <v>43384.6218</v>
      </c>
      <c r="B2824" t="s">
        <v>2760</v>
      </c>
    </row>
    <row r="2825">
      <c r="A2825" s="32">
        <f>IFERROR(__xludf.DUMMYFUNCTION("""COMPUTED_VALUE"""),43384.64341366898)</f>
        <v>43384.64341</v>
      </c>
      <c r="B2825" t="s">
        <v>2681</v>
      </c>
    </row>
    <row r="2826">
      <c r="A2826" s="32">
        <f>IFERROR(__xludf.DUMMYFUNCTION("""COMPUTED_VALUE"""),43384.64876469907)</f>
        <v>43384.64876</v>
      </c>
      <c r="B2826" t="s">
        <v>80</v>
      </c>
    </row>
    <row r="2827">
      <c r="A2827" s="32">
        <f>IFERROR(__xludf.DUMMYFUNCTION("""COMPUTED_VALUE"""),43384.65196072917)</f>
        <v>43384.65196</v>
      </c>
      <c r="B2827" t="s">
        <v>282</v>
      </c>
    </row>
    <row r="2828">
      <c r="A2828" s="32">
        <f>IFERROR(__xludf.DUMMYFUNCTION("""COMPUTED_VALUE"""),43384.65780885417)</f>
        <v>43384.65781</v>
      </c>
      <c r="B2828" t="s">
        <v>25</v>
      </c>
    </row>
    <row r="2829">
      <c r="A2829" s="32">
        <f>IFERROR(__xludf.DUMMYFUNCTION("""COMPUTED_VALUE"""),43384.664848541666)</f>
        <v>43384.66485</v>
      </c>
      <c r="B2829" t="s">
        <v>1196</v>
      </c>
    </row>
    <row r="2830">
      <c r="A2830" s="32">
        <f>IFERROR(__xludf.DUMMYFUNCTION("""COMPUTED_VALUE"""),43384.67896777778)</f>
        <v>43384.67897</v>
      </c>
      <c r="B2830" t="s">
        <v>270</v>
      </c>
    </row>
    <row r="2831">
      <c r="A2831" s="32">
        <f>IFERROR(__xludf.DUMMYFUNCTION("""COMPUTED_VALUE"""),43384.7000128588)</f>
        <v>43384.70001</v>
      </c>
      <c r="B2831" t="s">
        <v>40</v>
      </c>
    </row>
    <row r="2832">
      <c r="A2832" s="32">
        <f>IFERROR(__xludf.DUMMYFUNCTION("""COMPUTED_VALUE"""),43384.71011813657)</f>
        <v>43384.71012</v>
      </c>
      <c r="B2832" t="s">
        <v>40</v>
      </c>
    </row>
    <row r="2833">
      <c r="A2833" s="32">
        <f>IFERROR(__xludf.DUMMYFUNCTION("""COMPUTED_VALUE"""),43384.72243866898)</f>
        <v>43384.72244</v>
      </c>
      <c r="B2833" t="s">
        <v>80</v>
      </c>
    </row>
    <row r="2834">
      <c r="A2834" s="32">
        <f>IFERROR(__xludf.DUMMYFUNCTION("""COMPUTED_VALUE"""),43384.860913564815)</f>
        <v>43384.86091</v>
      </c>
      <c r="B2834" t="s">
        <v>33</v>
      </c>
    </row>
    <row r="2835">
      <c r="A2835" s="32">
        <f>IFERROR(__xludf.DUMMYFUNCTION("""COMPUTED_VALUE"""),43384.89317638889)</f>
        <v>43384.89318</v>
      </c>
      <c r="B2835" t="s">
        <v>80</v>
      </c>
    </row>
    <row r="2836">
      <c r="A2836" s="32">
        <f>IFERROR(__xludf.DUMMYFUNCTION("""COMPUTED_VALUE"""),43384.928868773146)</f>
        <v>43384.92887</v>
      </c>
      <c r="B2836" t="s">
        <v>124</v>
      </c>
    </row>
    <row r="2837">
      <c r="A2837" s="32">
        <f>IFERROR(__xludf.DUMMYFUNCTION("""COMPUTED_VALUE"""),43384.93042934028)</f>
        <v>43384.93043</v>
      </c>
      <c r="B2837" t="s">
        <v>124</v>
      </c>
    </row>
    <row r="2838">
      <c r="A2838" s="32">
        <f>IFERROR(__xludf.DUMMYFUNCTION("""COMPUTED_VALUE"""),43385.03056246528)</f>
        <v>43385.03056</v>
      </c>
      <c r="B2838" t="s">
        <v>40</v>
      </c>
    </row>
    <row r="2839">
      <c r="A2839" s="32">
        <f>IFERROR(__xludf.DUMMYFUNCTION("""COMPUTED_VALUE"""),43385.09256885417)</f>
        <v>43385.09257</v>
      </c>
      <c r="B2839" t="s">
        <v>538</v>
      </c>
    </row>
    <row r="2840">
      <c r="A2840" s="32">
        <f>IFERROR(__xludf.DUMMYFUNCTION("""COMPUTED_VALUE"""),43385.23418861111)</f>
        <v>43385.23419</v>
      </c>
      <c r="B2840" t="s">
        <v>25</v>
      </c>
    </row>
    <row r="2841">
      <c r="A2841" s="32">
        <f>IFERROR(__xludf.DUMMYFUNCTION("""COMPUTED_VALUE"""),43385.23418861111)</f>
        <v>43385.23419</v>
      </c>
      <c r="B2841" t="s">
        <v>25</v>
      </c>
    </row>
    <row r="2842">
      <c r="A2842" s="32">
        <f>IFERROR(__xludf.DUMMYFUNCTION("""COMPUTED_VALUE"""),43385.24343996528)</f>
        <v>43385.24344</v>
      </c>
      <c r="B2842" t="s">
        <v>40</v>
      </c>
    </row>
    <row r="2843">
      <c r="A2843" s="32">
        <f>IFERROR(__xludf.DUMMYFUNCTION("""COMPUTED_VALUE"""),43385.27818545139)</f>
        <v>43385.27819</v>
      </c>
      <c r="B2843" t="s">
        <v>2693</v>
      </c>
    </row>
    <row r="2844">
      <c r="A2844" s="32">
        <f>IFERROR(__xludf.DUMMYFUNCTION("""COMPUTED_VALUE"""),43385.27929157407)</f>
        <v>43385.27929</v>
      </c>
      <c r="B2844" t="s">
        <v>2761</v>
      </c>
    </row>
    <row r="2845">
      <c r="A2845" s="32">
        <f>IFERROR(__xludf.DUMMYFUNCTION("""COMPUTED_VALUE"""),43385.34605782408)</f>
        <v>43385.34606</v>
      </c>
      <c r="B2845" t="s">
        <v>95</v>
      </c>
    </row>
    <row r="2846">
      <c r="A2846" s="32">
        <f>IFERROR(__xludf.DUMMYFUNCTION("""COMPUTED_VALUE"""),43385.41677438657)</f>
        <v>43385.41677</v>
      </c>
      <c r="B2846" t="s">
        <v>1956</v>
      </c>
    </row>
    <row r="2847">
      <c r="A2847" s="32">
        <f>IFERROR(__xludf.DUMMYFUNCTION("""COMPUTED_VALUE"""),43385.417003379625)</f>
        <v>43385.417</v>
      </c>
      <c r="B2847" t="s">
        <v>25</v>
      </c>
    </row>
    <row r="2848">
      <c r="A2848" s="32">
        <f>IFERROR(__xludf.DUMMYFUNCTION("""COMPUTED_VALUE"""),43385.4544683912)</f>
        <v>43385.45447</v>
      </c>
      <c r="B2848" t="s">
        <v>1957</v>
      </c>
    </row>
    <row r="2849">
      <c r="A2849" s="32">
        <f>IFERROR(__xludf.DUMMYFUNCTION("""COMPUTED_VALUE"""),43385.51581924768)</f>
        <v>43385.51582</v>
      </c>
      <c r="B2849" t="s">
        <v>80</v>
      </c>
    </row>
    <row r="2850">
      <c r="A2850" s="32">
        <f>IFERROR(__xludf.DUMMYFUNCTION("""COMPUTED_VALUE"""),43385.532558923616)</f>
        <v>43385.53256</v>
      </c>
      <c r="B2850" t="s">
        <v>188</v>
      </c>
    </row>
    <row r="2851">
      <c r="A2851" s="32">
        <f>IFERROR(__xludf.DUMMYFUNCTION("""COMPUTED_VALUE"""),43385.569433136574)</f>
        <v>43385.56943</v>
      </c>
      <c r="B2851" t="s">
        <v>1891</v>
      </c>
    </row>
    <row r="2852">
      <c r="A2852" s="32">
        <f>IFERROR(__xludf.DUMMYFUNCTION("""COMPUTED_VALUE"""),43385.65793636574)</f>
        <v>43385.65794</v>
      </c>
      <c r="B2852" t="s">
        <v>40</v>
      </c>
    </row>
    <row r="2853">
      <c r="A2853" s="32">
        <f>IFERROR(__xludf.DUMMYFUNCTION("""COMPUTED_VALUE"""),43385.70099909722)</f>
        <v>43385.701</v>
      </c>
      <c r="B2853" t="s">
        <v>1962</v>
      </c>
    </row>
    <row r="2854">
      <c r="A2854" s="32">
        <f>IFERROR(__xludf.DUMMYFUNCTION("""COMPUTED_VALUE"""),43385.7370199537)</f>
        <v>43385.73702</v>
      </c>
      <c r="B2854" t="s">
        <v>123</v>
      </c>
    </row>
    <row r="2855">
      <c r="A2855" s="32">
        <f>IFERROR(__xludf.DUMMYFUNCTION("""COMPUTED_VALUE"""),43385.859582777775)</f>
        <v>43385.85958</v>
      </c>
      <c r="B2855" t="s">
        <v>1484</v>
      </c>
    </row>
    <row r="2856">
      <c r="A2856" s="32">
        <f>IFERROR(__xludf.DUMMYFUNCTION("""COMPUTED_VALUE"""),43385.874136134255)</f>
        <v>43385.87414</v>
      </c>
      <c r="B2856" t="s">
        <v>45</v>
      </c>
    </row>
    <row r="2857">
      <c r="A2857" s="32">
        <f>IFERROR(__xludf.DUMMYFUNCTION("""COMPUTED_VALUE"""),43385.967572974536)</f>
        <v>43385.96757</v>
      </c>
      <c r="B2857" t="s">
        <v>80</v>
      </c>
    </row>
    <row r="2858">
      <c r="A2858" s="32">
        <f>IFERROR(__xludf.DUMMYFUNCTION("""COMPUTED_VALUE"""),43386.10892722222)</f>
        <v>43386.10893</v>
      </c>
      <c r="B2858" t="s">
        <v>538</v>
      </c>
    </row>
    <row r="2859">
      <c r="A2859" s="32">
        <f>IFERROR(__xludf.DUMMYFUNCTION("""COMPUTED_VALUE"""),43386.20549878472)</f>
        <v>43386.2055</v>
      </c>
      <c r="B2859" t="s">
        <v>36</v>
      </c>
    </row>
    <row r="2860">
      <c r="A2860" s="32">
        <f>IFERROR(__xludf.DUMMYFUNCTION("""COMPUTED_VALUE"""),43386.253820439815)</f>
        <v>43386.25382</v>
      </c>
      <c r="B2860" t="s">
        <v>95</v>
      </c>
    </row>
    <row r="2861">
      <c r="A2861" s="32">
        <f>IFERROR(__xludf.DUMMYFUNCTION("""COMPUTED_VALUE"""),43386.27701243055)</f>
        <v>43386.27701</v>
      </c>
      <c r="B2861" t="s">
        <v>40</v>
      </c>
    </row>
    <row r="2862">
      <c r="A2862" s="32">
        <f>IFERROR(__xludf.DUMMYFUNCTION("""COMPUTED_VALUE"""),43386.321630763894)</f>
        <v>43386.32163</v>
      </c>
      <c r="B2862" t="s">
        <v>1968</v>
      </c>
    </row>
    <row r="2863">
      <c r="A2863" s="32">
        <f>IFERROR(__xludf.DUMMYFUNCTION("""COMPUTED_VALUE"""),43386.3250262037)</f>
        <v>43386.32503</v>
      </c>
      <c r="B2863" t="s">
        <v>119</v>
      </c>
    </row>
    <row r="2864">
      <c r="A2864" s="32">
        <f>IFERROR(__xludf.DUMMYFUNCTION("""COMPUTED_VALUE"""),43386.449114375)</f>
        <v>43386.44911</v>
      </c>
      <c r="B2864" t="s">
        <v>371</v>
      </c>
    </row>
    <row r="2865">
      <c r="A2865" s="32">
        <f>IFERROR(__xludf.DUMMYFUNCTION("""COMPUTED_VALUE"""),43386.45471121528)</f>
        <v>43386.45471</v>
      </c>
      <c r="B2865" t="s">
        <v>33</v>
      </c>
    </row>
    <row r="2866">
      <c r="A2866" s="32">
        <f>IFERROR(__xludf.DUMMYFUNCTION("""COMPUTED_VALUE"""),43386.47700680555)</f>
        <v>43386.47701</v>
      </c>
      <c r="B2866" t="s">
        <v>170</v>
      </c>
    </row>
    <row r="2867">
      <c r="A2867" s="32">
        <f>IFERROR(__xludf.DUMMYFUNCTION("""COMPUTED_VALUE"""),43386.50353078704)</f>
        <v>43386.50353</v>
      </c>
      <c r="B2867" t="s">
        <v>1971</v>
      </c>
    </row>
    <row r="2868">
      <c r="A2868" s="32">
        <f>IFERROR(__xludf.DUMMYFUNCTION("""COMPUTED_VALUE"""),43386.57520774305)</f>
        <v>43386.57521</v>
      </c>
      <c r="B2868" t="s">
        <v>170</v>
      </c>
    </row>
    <row r="2869">
      <c r="A2869" s="32">
        <f>IFERROR(__xludf.DUMMYFUNCTION("""COMPUTED_VALUE"""),43386.578686747685)</f>
        <v>43386.57869</v>
      </c>
      <c r="B2869" t="s">
        <v>33</v>
      </c>
    </row>
    <row r="2870">
      <c r="A2870" s="32">
        <f>IFERROR(__xludf.DUMMYFUNCTION("""COMPUTED_VALUE"""),43386.62671070602)</f>
        <v>43386.62671</v>
      </c>
      <c r="B2870" t="s">
        <v>80</v>
      </c>
    </row>
    <row r="2871">
      <c r="A2871" s="32">
        <f>IFERROR(__xludf.DUMMYFUNCTION("""COMPUTED_VALUE"""),43386.71662677084)</f>
        <v>43386.71663</v>
      </c>
      <c r="B2871" t="s">
        <v>80</v>
      </c>
    </row>
    <row r="2872">
      <c r="A2872" s="32">
        <f>IFERROR(__xludf.DUMMYFUNCTION("""COMPUTED_VALUE"""),43386.76186298611)</f>
        <v>43386.76186</v>
      </c>
      <c r="B2872" t="s">
        <v>33</v>
      </c>
    </row>
    <row r="2873">
      <c r="A2873" s="32">
        <f>IFERROR(__xludf.DUMMYFUNCTION("""COMPUTED_VALUE"""),43386.81714064815)</f>
        <v>43386.81714</v>
      </c>
      <c r="B2873" t="s">
        <v>33</v>
      </c>
    </row>
    <row r="2874">
      <c r="A2874" s="32">
        <f>IFERROR(__xludf.DUMMYFUNCTION("""COMPUTED_VALUE"""),43386.81915166667)</f>
        <v>43386.81915</v>
      </c>
      <c r="B2874" t="s">
        <v>48</v>
      </c>
    </row>
    <row r="2875">
      <c r="A2875" s="32">
        <f>IFERROR(__xludf.DUMMYFUNCTION("""COMPUTED_VALUE"""),43386.83714297454)</f>
        <v>43386.83714</v>
      </c>
      <c r="B2875" t="s">
        <v>258</v>
      </c>
    </row>
    <row r="2876">
      <c r="A2876" s="32">
        <f>IFERROR(__xludf.DUMMYFUNCTION("""COMPUTED_VALUE"""),43386.9338087963)</f>
        <v>43386.93381</v>
      </c>
      <c r="B2876" t="s">
        <v>95</v>
      </c>
    </row>
    <row r="2877">
      <c r="A2877" s="32">
        <f>IFERROR(__xludf.DUMMYFUNCTION("""COMPUTED_VALUE"""),43386.983157731476)</f>
        <v>43386.98316</v>
      </c>
      <c r="B2877" t="s">
        <v>33</v>
      </c>
    </row>
    <row r="2878">
      <c r="A2878" s="32">
        <f>IFERROR(__xludf.DUMMYFUNCTION("""COMPUTED_VALUE"""),43387.002058576385)</f>
        <v>43387.00206</v>
      </c>
      <c r="B2878" t="s">
        <v>48</v>
      </c>
    </row>
    <row r="2879">
      <c r="A2879" s="32">
        <f>IFERROR(__xludf.DUMMYFUNCTION("""COMPUTED_VALUE"""),43387.00903256945)</f>
        <v>43387.00903</v>
      </c>
      <c r="B2879" t="s">
        <v>80</v>
      </c>
    </row>
    <row r="2880">
      <c r="A2880" s="32">
        <f>IFERROR(__xludf.DUMMYFUNCTION("""COMPUTED_VALUE"""),43387.36313054398)</f>
        <v>43387.36313</v>
      </c>
      <c r="B2880" t="s">
        <v>36</v>
      </c>
    </row>
    <row r="2881">
      <c r="A2881" s="32">
        <f>IFERROR(__xludf.DUMMYFUNCTION("""COMPUTED_VALUE"""),43387.37058509259)</f>
        <v>43387.37059</v>
      </c>
      <c r="B2881" t="s">
        <v>48</v>
      </c>
    </row>
    <row r="2882">
      <c r="A2882" s="32">
        <f>IFERROR(__xludf.DUMMYFUNCTION("""COMPUTED_VALUE"""),43387.46585648148)</f>
        <v>43387.46586</v>
      </c>
      <c r="B2882" t="s">
        <v>1977</v>
      </c>
    </row>
    <row r="2883">
      <c r="A2883" s="32">
        <f>IFERROR(__xludf.DUMMYFUNCTION("""COMPUTED_VALUE"""),43387.50562607639)</f>
        <v>43387.50563</v>
      </c>
      <c r="B2883" t="s">
        <v>40</v>
      </c>
    </row>
    <row r="2884">
      <c r="A2884" s="32">
        <f>IFERROR(__xludf.DUMMYFUNCTION("""COMPUTED_VALUE"""),43387.55319839121)</f>
        <v>43387.5532</v>
      </c>
      <c r="B2884" t="s">
        <v>407</v>
      </c>
    </row>
    <row r="2885">
      <c r="A2885" s="32">
        <f>IFERROR(__xludf.DUMMYFUNCTION("""COMPUTED_VALUE"""),43387.55319839121)</f>
        <v>43387.5532</v>
      </c>
      <c r="B2885" t="s">
        <v>407</v>
      </c>
    </row>
    <row r="2886">
      <c r="A2886" s="32">
        <f>IFERROR(__xludf.DUMMYFUNCTION("""COMPUTED_VALUE"""),43387.59898494213)</f>
        <v>43387.59898</v>
      </c>
      <c r="B2886" t="s">
        <v>350</v>
      </c>
    </row>
    <row r="2887">
      <c r="A2887" s="32">
        <f>IFERROR(__xludf.DUMMYFUNCTION("""COMPUTED_VALUE"""),43387.663195416666)</f>
        <v>43387.6632</v>
      </c>
      <c r="B2887" t="s">
        <v>40</v>
      </c>
    </row>
    <row r="2888">
      <c r="A2888" s="32">
        <f>IFERROR(__xludf.DUMMYFUNCTION("""COMPUTED_VALUE"""),43387.67811256944)</f>
        <v>43387.67811</v>
      </c>
      <c r="B2888" t="s">
        <v>45</v>
      </c>
    </row>
    <row r="2889">
      <c r="A2889" s="32">
        <f>IFERROR(__xludf.DUMMYFUNCTION("""COMPUTED_VALUE"""),43387.73879297454)</f>
        <v>43387.73879</v>
      </c>
      <c r="B2889" t="s">
        <v>80</v>
      </c>
    </row>
    <row r="2890">
      <c r="A2890" s="32">
        <f>IFERROR(__xludf.DUMMYFUNCTION("""COMPUTED_VALUE"""),43387.74398924768)</f>
        <v>43387.74399</v>
      </c>
      <c r="B2890" t="s">
        <v>33</v>
      </c>
    </row>
    <row r="2891">
      <c r="A2891" s="32">
        <f>IFERROR(__xludf.DUMMYFUNCTION("""COMPUTED_VALUE"""),43387.75374327546)</f>
        <v>43387.75374</v>
      </c>
      <c r="B2891" t="s">
        <v>2762</v>
      </c>
    </row>
    <row r="2892">
      <c r="A2892" s="32">
        <f>IFERROR(__xludf.DUMMYFUNCTION("""COMPUTED_VALUE"""),43387.75445474537)</f>
        <v>43387.75445</v>
      </c>
      <c r="B2892" t="s">
        <v>2762</v>
      </c>
    </row>
    <row r="2893">
      <c r="A2893" s="32">
        <f>IFERROR(__xludf.DUMMYFUNCTION("""COMPUTED_VALUE"""),43387.76790961805)</f>
        <v>43387.76791</v>
      </c>
      <c r="B2893" t="s">
        <v>40</v>
      </c>
    </row>
    <row r="2894">
      <c r="A2894" s="32">
        <f>IFERROR(__xludf.DUMMYFUNCTION("""COMPUTED_VALUE"""),43387.76974737269)</f>
        <v>43387.76975</v>
      </c>
      <c r="B2894" t="s">
        <v>33</v>
      </c>
    </row>
    <row r="2895">
      <c r="A2895" s="32">
        <f>IFERROR(__xludf.DUMMYFUNCTION("""COMPUTED_VALUE"""),43387.77922413194)</f>
        <v>43387.77922</v>
      </c>
      <c r="B2895" t="s">
        <v>33</v>
      </c>
    </row>
    <row r="2896">
      <c r="A2896" s="32">
        <f>IFERROR(__xludf.DUMMYFUNCTION("""COMPUTED_VALUE"""),43387.80427179398)</f>
        <v>43387.80427</v>
      </c>
      <c r="B2896" t="s">
        <v>2763</v>
      </c>
    </row>
    <row r="2897">
      <c r="A2897" s="32">
        <f>IFERROR(__xludf.DUMMYFUNCTION("""COMPUTED_VALUE"""),43387.814526435184)</f>
        <v>43387.81453</v>
      </c>
      <c r="B2897" t="s">
        <v>40</v>
      </c>
    </row>
    <row r="2898">
      <c r="A2898" s="32">
        <f>IFERROR(__xludf.DUMMYFUNCTION("""COMPUTED_VALUE"""),43387.8207565162)</f>
        <v>43387.82076</v>
      </c>
      <c r="B2898" t="s">
        <v>40</v>
      </c>
    </row>
    <row r="2899">
      <c r="A2899" s="32">
        <f>IFERROR(__xludf.DUMMYFUNCTION("""COMPUTED_VALUE"""),43387.85636949074)</f>
        <v>43387.85637</v>
      </c>
      <c r="B2899" t="s">
        <v>1196</v>
      </c>
    </row>
    <row r="2900">
      <c r="A2900" s="32">
        <f>IFERROR(__xludf.DUMMYFUNCTION("""COMPUTED_VALUE"""),43388.08984226851)</f>
        <v>43388.08984</v>
      </c>
      <c r="B2900" t="s">
        <v>80</v>
      </c>
    </row>
    <row r="2901">
      <c r="A2901" s="32">
        <f>IFERROR(__xludf.DUMMYFUNCTION("""COMPUTED_VALUE"""),43388.22055488426)</f>
        <v>43388.22055</v>
      </c>
      <c r="B2901" t="s">
        <v>2764</v>
      </c>
    </row>
    <row r="2902">
      <c r="A2902" s="32">
        <f>IFERROR(__xludf.DUMMYFUNCTION("""COMPUTED_VALUE"""),43388.23763476852)</f>
        <v>43388.23763</v>
      </c>
      <c r="B2902" t="s">
        <v>371</v>
      </c>
    </row>
    <row r="2903">
      <c r="A2903" s="32">
        <f>IFERROR(__xludf.DUMMYFUNCTION("""COMPUTED_VALUE"""),43388.457192222224)</f>
        <v>43388.45719</v>
      </c>
      <c r="B2903" t="s">
        <v>40</v>
      </c>
    </row>
    <row r="2904">
      <c r="A2904" s="32">
        <f>IFERROR(__xludf.DUMMYFUNCTION("""COMPUTED_VALUE"""),43388.457545694444)</f>
        <v>43388.45755</v>
      </c>
      <c r="B2904" t="s">
        <v>1991</v>
      </c>
    </row>
    <row r="2905">
      <c r="A2905" s="32">
        <f>IFERROR(__xludf.DUMMYFUNCTION("""COMPUTED_VALUE"""),43388.46824703703)</f>
        <v>43388.46825</v>
      </c>
      <c r="B2905" t="s">
        <v>40</v>
      </c>
    </row>
    <row r="2906">
      <c r="A2906" s="32">
        <f>IFERROR(__xludf.DUMMYFUNCTION("""COMPUTED_VALUE"""),43388.48353896991)</f>
        <v>43388.48354</v>
      </c>
      <c r="B2906" t="s">
        <v>77</v>
      </c>
    </row>
    <row r="2907">
      <c r="A2907" s="32">
        <f>IFERROR(__xludf.DUMMYFUNCTION("""COMPUTED_VALUE"""),43388.49235344907)</f>
        <v>43388.49235</v>
      </c>
      <c r="B2907" t="s">
        <v>40</v>
      </c>
    </row>
    <row r="2908">
      <c r="A2908" s="32">
        <f>IFERROR(__xludf.DUMMYFUNCTION("""COMPUTED_VALUE"""),43388.56213303241)</f>
        <v>43388.56213</v>
      </c>
      <c r="B2908" t="s">
        <v>371</v>
      </c>
    </row>
    <row r="2909">
      <c r="A2909" s="32">
        <f>IFERROR(__xludf.DUMMYFUNCTION("""COMPUTED_VALUE"""),43388.56276878472)</f>
        <v>43388.56277</v>
      </c>
      <c r="B2909" t="s">
        <v>371</v>
      </c>
    </row>
    <row r="2910">
      <c r="A2910" s="32">
        <f>IFERROR(__xludf.DUMMYFUNCTION("""COMPUTED_VALUE"""),43388.59953663194)</f>
        <v>43388.59954</v>
      </c>
      <c r="B2910" t="s">
        <v>80</v>
      </c>
    </row>
    <row r="2911">
      <c r="A2911" s="32">
        <f>IFERROR(__xludf.DUMMYFUNCTION("""COMPUTED_VALUE"""),43388.65192282408)</f>
        <v>43388.65192</v>
      </c>
      <c r="B2911" t="s">
        <v>705</v>
      </c>
    </row>
    <row r="2912">
      <c r="A2912" s="32">
        <f>IFERROR(__xludf.DUMMYFUNCTION("""COMPUTED_VALUE"""),43388.69655824074)</f>
        <v>43388.69656</v>
      </c>
      <c r="B2912" t="s">
        <v>80</v>
      </c>
    </row>
    <row r="2913">
      <c r="A2913" s="32">
        <f>IFERROR(__xludf.DUMMYFUNCTION("""COMPUTED_VALUE"""),43388.78225950232)</f>
        <v>43388.78226</v>
      </c>
      <c r="B2913" t="s">
        <v>1997</v>
      </c>
    </row>
    <row r="2914">
      <c r="A2914" s="32">
        <f>IFERROR(__xludf.DUMMYFUNCTION("""COMPUTED_VALUE"""),43388.79036079861)</f>
        <v>43388.79036</v>
      </c>
      <c r="B2914" t="s">
        <v>268</v>
      </c>
    </row>
    <row r="2915">
      <c r="A2915" s="32">
        <f>IFERROR(__xludf.DUMMYFUNCTION("""COMPUTED_VALUE"""),43388.79468659722)</f>
        <v>43388.79469</v>
      </c>
      <c r="B2915" t="s">
        <v>45</v>
      </c>
    </row>
    <row r="2916">
      <c r="A2916" s="32">
        <f>IFERROR(__xludf.DUMMYFUNCTION("""COMPUTED_VALUE"""),43388.8142696412)</f>
        <v>43388.81427</v>
      </c>
      <c r="B2916" t="s">
        <v>2765</v>
      </c>
    </row>
    <row r="2917">
      <c r="A2917" s="32">
        <f>IFERROR(__xludf.DUMMYFUNCTION("""COMPUTED_VALUE"""),43388.85883079861)</f>
        <v>43388.85883</v>
      </c>
      <c r="B2917" t="s">
        <v>378</v>
      </c>
    </row>
    <row r="2918">
      <c r="A2918" s="32">
        <f>IFERROR(__xludf.DUMMYFUNCTION("""COMPUTED_VALUE"""),43388.89691570602)</f>
        <v>43388.89692</v>
      </c>
      <c r="B2918" t="s">
        <v>880</v>
      </c>
    </row>
    <row r="2919">
      <c r="A2919" s="32">
        <f>IFERROR(__xludf.DUMMYFUNCTION("""COMPUTED_VALUE"""),43388.935092141204)</f>
        <v>43388.93509</v>
      </c>
      <c r="B2919" t="s">
        <v>40</v>
      </c>
    </row>
    <row r="2920">
      <c r="A2920" s="32">
        <f>IFERROR(__xludf.DUMMYFUNCTION("""COMPUTED_VALUE"""),43388.952954189816)</f>
        <v>43388.95295</v>
      </c>
      <c r="B2920" t="s">
        <v>95</v>
      </c>
    </row>
    <row r="2921">
      <c r="A2921" s="32">
        <f>IFERROR(__xludf.DUMMYFUNCTION("""COMPUTED_VALUE"""),43388.970267094905)</f>
        <v>43388.97027</v>
      </c>
      <c r="B2921" t="s">
        <v>819</v>
      </c>
    </row>
    <row r="2922">
      <c r="A2922" s="32">
        <f>IFERROR(__xludf.DUMMYFUNCTION("""COMPUTED_VALUE"""),43389.012165196764)</f>
        <v>43389.01217</v>
      </c>
      <c r="B2922" t="s">
        <v>25</v>
      </c>
    </row>
    <row r="2923">
      <c r="A2923" s="32">
        <f>IFERROR(__xludf.DUMMYFUNCTION("""COMPUTED_VALUE"""),43389.150347511575)</f>
        <v>43389.15035</v>
      </c>
      <c r="B2923" t="s">
        <v>2681</v>
      </c>
    </row>
    <row r="2924">
      <c r="A2924" s="32">
        <f>IFERROR(__xludf.DUMMYFUNCTION("""COMPUTED_VALUE"""),43389.2015381713)</f>
        <v>43389.20154</v>
      </c>
      <c r="B2924" t="s">
        <v>2681</v>
      </c>
    </row>
    <row r="2925">
      <c r="A2925" s="32">
        <f>IFERROR(__xludf.DUMMYFUNCTION("""COMPUTED_VALUE"""),43389.20324775463)</f>
        <v>43389.20325</v>
      </c>
      <c r="B2925" t="s">
        <v>2681</v>
      </c>
    </row>
    <row r="2926">
      <c r="A2926" s="32">
        <f>IFERROR(__xludf.DUMMYFUNCTION("""COMPUTED_VALUE"""),43389.22041126157)</f>
        <v>43389.22041</v>
      </c>
      <c r="B2926" t="s">
        <v>2667</v>
      </c>
    </row>
    <row r="2927">
      <c r="A2927" s="32">
        <f>IFERROR(__xludf.DUMMYFUNCTION("""COMPUTED_VALUE"""),43389.22041126157)</f>
        <v>43389.22041</v>
      </c>
      <c r="B2927" t="s">
        <v>2667</v>
      </c>
    </row>
    <row r="2928">
      <c r="A2928" s="32">
        <f>IFERROR(__xludf.DUMMYFUNCTION("""COMPUTED_VALUE"""),43389.22182803241)</f>
        <v>43389.22183</v>
      </c>
      <c r="B2928" t="s">
        <v>350</v>
      </c>
    </row>
    <row r="2929">
      <c r="A2929" s="32">
        <f>IFERROR(__xludf.DUMMYFUNCTION("""COMPUTED_VALUE"""),43389.26967421296)</f>
        <v>43389.26967</v>
      </c>
      <c r="B2929" t="s">
        <v>2667</v>
      </c>
    </row>
    <row r="2930">
      <c r="A2930" s="32">
        <f>IFERROR(__xludf.DUMMYFUNCTION("""COMPUTED_VALUE"""),43389.347514803245)</f>
        <v>43389.34751</v>
      </c>
      <c r="B2930" t="s">
        <v>80</v>
      </c>
    </row>
    <row r="2931">
      <c r="A2931" s="32">
        <f>IFERROR(__xludf.DUMMYFUNCTION("""COMPUTED_VALUE"""),43389.429524050924)</f>
        <v>43389.42952</v>
      </c>
      <c r="B2931" t="s">
        <v>80</v>
      </c>
    </row>
    <row r="2932">
      <c r="A2932" s="32">
        <f>IFERROR(__xludf.DUMMYFUNCTION("""COMPUTED_VALUE"""),43389.449338425926)</f>
        <v>43389.44934</v>
      </c>
      <c r="B2932" t="s">
        <v>2009</v>
      </c>
    </row>
    <row r="2933">
      <c r="A2933" s="32">
        <f>IFERROR(__xludf.DUMMYFUNCTION("""COMPUTED_VALUE"""),43389.53198399306)</f>
        <v>43389.53198</v>
      </c>
      <c r="B2933" t="s">
        <v>270</v>
      </c>
    </row>
    <row r="2934">
      <c r="A2934" s="32">
        <f>IFERROR(__xludf.DUMMYFUNCTION("""COMPUTED_VALUE"""),43389.56195048611)</f>
        <v>43389.56195</v>
      </c>
      <c r="B2934" t="s">
        <v>45</v>
      </c>
    </row>
    <row r="2935">
      <c r="A2935" s="32">
        <f>IFERROR(__xludf.DUMMYFUNCTION("""COMPUTED_VALUE"""),43389.597988298614)</f>
        <v>43389.59799</v>
      </c>
      <c r="B2935" t="s">
        <v>1160</v>
      </c>
    </row>
    <row r="2936">
      <c r="A2936" s="32">
        <f>IFERROR(__xludf.DUMMYFUNCTION("""COMPUTED_VALUE"""),43389.59888873843)</f>
        <v>43389.59889</v>
      </c>
      <c r="B2936" t="s">
        <v>1160</v>
      </c>
    </row>
    <row r="2937">
      <c r="A2937" s="32">
        <f>IFERROR(__xludf.DUMMYFUNCTION("""COMPUTED_VALUE"""),43389.59981773148)</f>
        <v>43389.59982</v>
      </c>
      <c r="B2937" t="s">
        <v>1160</v>
      </c>
    </row>
    <row r="2938">
      <c r="A2938" s="32">
        <f>IFERROR(__xludf.DUMMYFUNCTION("""COMPUTED_VALUE"""),43389.62227550926)</f>
        <v>43389.62228</v>
      </c>
      <c r="B2938" t="s">
        <v>33</v>
      </c>
    </row>
    <row r="2939">
      <c r="A2939" s="32">
        <f>IFERROR(__xludf.DUMMYFUNCTION("""COMPUTED_VALUE"""),43389.658887893514)</f>
        <v>43389.65889</v>
      </c>
      <c r="B2939" t="s">
        <v>80</v>
      </c>
    </row>
    <row r="2940">
      <c r="A2940" s="32">
        <f>IFERROR(__xludf.DUMMYFUNCTION("""COMPUTED_VALUE"""),43389.73587914352)</f>
        <v>43389.73588</v>
      </c>
      <c r="B2940" t="s">
        <v>33</v>
      </c>
    </row>
    <row r="2941">
      <c r="A2941" s="32">
        <f>IFERROR(__xludf.DUMMYFUNCTION("""COMPUTED_VALUE"""),43389.783163761575)</f>
        <v>43389.78316</v>
      </c>
      <c r="B2941" t="s">
        <v>350</v>
      </c>
    </row>
    <row r="2942">
      <c r="A2942" s="32">
        <f>IFERROR(__xludf.DUMMYFUNCTION("""COMPUTED_VALUE"""),43389.799106770835)</f>
        <v>43389.79911</v>
      </c>
      <c r="B2942" t="s">
        <v>119</v>
      </c>
    </row>
    <row r="2943">
      <c r="A2943" s="32">
        <f>IFERROR(__xludf.DUMMYFUNCTION("""COMPUTED_VALUE"""),43389.90382782408)</f>
        <v>43389.90383</v>
      </c>
      <c r="B2943" t="s">
        <v>2013</v>
      </c>
    </row>
    <row r="2944">
      <c r="A2944" s="32">
        <f>IFERROR(__xludf.DUMMYFUNCTION("""COMPUTED_VALUE"""),43389.90451572917)</f>
        <v>43389.90452</v>
      </c>
      <c r="B2944" t="s">
        <v>119</v>
      </c>
    </row>
    <row r="2945">
      <c r="A2945" s="32">
        <f>IFERROR(__xludf.DUMMYFUNCTION("""COMPUTED_VALUE"""),43389.906426898146)</f>
        <v>43389.90643</v>
      </c>
      <c r="B2945" t="s">
        <v>2734</v>
      </c>
    </row>
    <row r="2946">
      <c r="A2946" s="32">
        <f>IFERROR(__xludf.DUMMYFUNCTION("""COMPUTED_VALUE"""),43389.91615863426)</f>
        <v>43389.91616</v>
      </c>
      <c r="B2946" t="s">
        <v>33</v>
      </c>
    </row>
    <row r="2947">
      <c r="A2947" s="32">
        <f>IFERROR(__xludf.DUMMYFUNCTION("""COMPUTED_VALUE"""),43389.922825347225)</f>
        <v>43389.92283</v>
      </c>
      <c r="B2947" t="s">
        <v>33</v>
      </c>
    </row>
    <row r="2948">
      <c r="A2948" s="32">
        <f>IFERROR(__xludf.DUMMYFUNCTION("""COMPUTED_VALUE"""),43389.9833541088)</f>
        <v>43389.98335</v>
      </c>
      <c r="B2948" t="s">
        <v>45</v>
      </c>
    </row>
    <row r="2949">
      <c r="A2949" s="32">
        <f>IFERROR(__xludf.DUMMYFUNCTION("""COMPUTED_VALUE"""),43389.994196493055)</f>
        <v>43389.9942</v>
      </c>
      <c r="B2949" t="s">
        <v>187</v>
      </c>
    </row>
    <row r="2950">
      <c r="A2950" s="32">
        <f>IFERROR(__xludf.DUMMYFUNCTION("""COMPUTED_VALUE"""),43390.09152412037)</f>
        <v>43390.09152</v>
      </c>
      <c r="B2950" t="s">
        <v>2766</v>
      </c>
    </row>
    <row r="2951">
      <c r="A2951" s="32">
        <f>IFERROR(__xludf.DUMMYFUNCTION("""COMPUTED_VALUE"""),43390.236820659724)</f>
        <v>43390.23682</v>
      </c>
      <c r="B2951" t="s">
        <v>40</v>
      </c>
    </row>
    <row r="2952">
      <c r="A2952" s="32">
        <f>IFERROR(__xludf.DUMMYFUNCTION("""COMPUTED_VALUE"""),43390.23867140047)</f>
        <v>43390.23867</v>
      </c>
      <c r="B2952" t="s">
        <v>33</v>
      </c>
    </row>
    <row r="2953">
      <c r="A2953" s="32">
        <f>IFERROR(__xludf.DUMMYFUNCTION("""COMPUTED_VALUE"""),43390.42654900463)</f>
        <v>43390.42655</v>
      </c>
      <c r="B2953" t="s">
        <v>48</v>
      </c>
    </row>
    <row r="2954">
      <c r="A2954" s="32">
        <f>IFERROR(__xludf.DUMMYFUNCTION("""COMPUTED_VALUE"""),43390.42898768518)</f>
        <v>43390.42899</v>
      </c>
      <c r="B2954" t="s">
        <v>40</v>
      </c>
    </row>
    <row r="2955">
      <c r="A2955" s="32">
        <f>IFERROR(__xludf.DUMMYFUNCTION("""COMPUTED_VALUE"""),43390.46315159722)</f>
        <v>43390.46315</v>
      </c>
      <c r="B2955" t="s">
        <v>80</v>
      </c>
    </row>
    <row r="2956">
      <c r="A2956" s="32">
        <f>IFERROR(__xludf.DUMMYFUNCTION("""COMPUTED_VALUE"""),43390.503063842596)</f>
        <v>43390.50306</v>
      </c>
      <c r="B2956" t="s">
        <v>40</v>
      </c>
    </row>
    <row r="2957">
      <c r="A2957" s="32">
        <f>IFERROR(__xludf.DUMMYFUNCTION("""COMPUTED_VALUE"""),43390.58722064814)</f>
        <v>43390.58722</v>
      </c>
      <c r="B2957" t="s">
        <v>139</v>
      </c>
    </row>
    <row r="2958">
      <c r="A2958" s="32">
        <f>IFERROR(__xludf.DUMMYFUNCTION("""COMPUTED_VALUE"""),43390.61624495371)</f>
        <v>43390.61624</v>
      </c>
      <c r="B2958" t="s">
        <v>1196</v>
      </c>
    </row>
    <row r="2959">
      <c r="A2959" s="32">
        <f>IFERROR(__xludf.DUMMYFUNCTION("""COMPUTED_VALUE"""),43390.67596815972)</f>
        <v>43390.67597</v>
      </c>
      <c r="B2959" t="s">
        <v>1884</v>
      </c>
    </row>
    <row r="2960">
      <c r="A2960" s="32">
        <f>IFERROR(__xludf.DUMMYFUNCTION("""COMPUTED_VALUE"""),43390.85757862269)</f>
        <v>43390.85758</v>
      </c>
      <c r="B2960" t="s">
        <v>48</v>
      </c>
    </row>
    <row r="2961">
      <c r="A2961" s="32">
        <f>IFERROR(__xludf.DUMMYFUNCTION("""COMPUTED_VALUE"""),43390.89708840278)</f>
        <v>43390.89709</v>
      </c>
      <c r="B2961" t="s">
        <v>658</v>
      </c>
    </row>
    <row r="2962">
      <c r="A2962" s="32">
        <f>IFERROR(__xludf.DUMMYFUNCTION("""COMPUTED_VALUE"""),43390.936890474535)</f>
        <v>43390.93689</v>
      </c>
      <c r="B2962" t="s">
        <v>2767</v>
      </c>
    </row>
    <row r="2963">
      <c r="A2963" s="32">
        <f>IFERROR(__xludf.DUMMYFUNCTION("""COMPUTED_VALUE"""),43390.960844710644)</f>
        <v>43390.96084</v>
      </c>
      <c r="B2963" t="s">
        <v>45</v>
      </c>
    </row>
    <row r="2964">
      <c r="A2964" s="32">
        <f>IFERROR(__xludf.DUMMYFUNCTION("""COMPUTED_VALUE"""),43390.991871122686)</f>
        <v>43390.99187</v>
      </c>
      <c r="B2964" t="s">
        <v>33</v>
      </c>
    </row>
    <row r="2965">
      <c r="A2965" s="32">
        <f>IFERROR(__xludf.DUMMYFUNCTION("""COMPUTED_VALUE"""),43391.016101875)</f>
        <v>43391.0161</v>
      </c>
      <c r="B2965" t="s">
        <v>36</v>
      </c>
    </row>
    <row r="2966">
      <c r="A2966" s="32">
        <f>IFERROR(__xludf.DUMMYFUNCTION("""COMPUTED_VALUE"""),43391.05090445602)</f>
        <v>43391.0509</v>
      </c>
      <c r="B2966" t="s">
        <v>40</v>
      </c>
    </row>
    <row r="2967">
      <c r="A2967" s="32">
        <f>IFERROR(__xludf.DUMMYFUNCTION("""COMPUTED_VALUE"""),43391.07513576389)</f>
        <v>43391.07514</v>
      </c>
      <c r="B2967" t="s">
        <v>119</v>
      </c>
    </row>
    <row r="2968">
      <c r="A2968" s="32">
        <f>IFERROR(__xludf.DUMMYFUNCTION("""COMPUTED_VALUE"""),43391.246142812495)</f>
        <v>43391.24614</v>
      </c>
      <c r="B2968" t="s">
        <v>371</v>
      </c>
    </row>
    <row r="2969">
      <c r="A2969" s="32">
        <f>IFERROR(__xludf.DUMMYFUNCTION("""COMPUTED_VALUE"""),43391.34148787037)</f>
        <v>43391.34149</v>
      </c>
      <c r="B2969" t="s">
        <v>40</v>
      </c>
    </row>
    <row r="2970">
      <c r="A2970" s="32">
        <f>IFERROR(__xludf.DUMMYFUNCTION("""COMPUTED_VALUE"""),43391.39457174769)</f>
        <v>43391.39457</v>
      </c>
      <c r="B2970" t="s">
        <v>2681</v>
      </c>
    </row>
    <row r="2971">
      <c r="A2971" s="32">
        <f>IFERROR(__xludf.DUMMYFUNCTION("""COMPUTED_VALUE"""),43391.41158797454)</f>
        <v>43391.41159</v>
      </c>
      <c r="B2971" t="s">
        <v>80</v>
      </c>
    </row>
    <row r="2972">
      <c r="A2972" s="32">
        <f>IFERROR(__xludf.DUMMYFUNCTION("""COMPUTED_VALUE"""),43391.41937556713)</f>
        <v>43391.41938</v>
      </c>
      <c r="B2972" t="s">
        <v>2027</v>
      </c>
    </row>
    <row r="2973">
      <c r="A2973" s="32">
        <f>IFERROR(__xludf.DUMMYFUNCTION("""COMPUTED_VALUE"""),43391.49267571759)</f>
        <v>43391.49268</v>
      </c>
      <c r="B2973" t="s">
        <v>2424</v>
      </c>
    </row>
    <row r="2974">
      <c r="A2974" s="32">
        <f>IFERROR(__xludf.DUMMYFUNCTION("""COMPUTED_VALUE"""),43391.680526689815)</f>
        <v>43391.68053</v>
      </c>
      <c r="B2974" t="s">
        <v>2029</v>
      </c>
    </row>
    <row r="2975">
      <c r="A2975" s="32">
        <f>IFERROR(__xludf.DUMMYFUNCTION("""COMPUTED_VALUE"""),43391.68977373843)</f>
        <v>43391.68977</v>
      </c>
      <c r="B2975" t="s">
        <v>48</v>
      </c>
    </row>
    <row r="2976">
      <c r="A2976" s="32">
        <f>IFERROR(__xludf.DUMMYFUNCTION("""COMPUTED_VALUE"""),43391.72964012732)</f>
        <v>43391.72964</v>
      </c>
      <c r="B2976" t="s">
        <v>48</v>
      </c>
    </row>
    <row r="2977">
      <c r="A2977" s="32">
        <f>IFERROR(__xludf.DUMMYFUNCTION("""COMPUTED_VALUE"""),43391.77978133102)</f>
        <v>43391.77978</v>
      </c>
      <c r="B2977" t="s">
        <v>119</v>
      </c>
    </row>
    <row r="2978">
      <c r="A2978" s="32">
        <f>IFERROR(__xludf.DUMMYFUNCTION("""COMPUTED_VALUE"""),43391.82753311342)</f>
        <v>43391.82753</v>
      </c>
      <c r="B2978" t="s">
        <v>80</v>
      </c>
    </row>
    <row r="2979">
      <c r="A2979" s="32">
        <f>IFERROR(__xludf.DUMMYFUNCTION("""COMPUTED_VALUE"""),43391.85096447916)</f>
        <v>43391.85096</v>
      </c>
      <c r="B2979" t="s">
        <v>33</v>
      </c>
    </row>
    <row r="2980">
      <c r="A2980" s="32">
        <f>IFERROR(__xludf.DUMMYFUNCTION("""COMPUTED_VALUE"""),43391.868122685184)</f>
        <v>43391.86812</v>
      </c>
      <c r="B2980" t="s">
        <v>119</v>
      </c>
    </row>
    <row r="2981">
      <c r="A2981" s="32">
        <f>IFERROR(__xludf.DUMMYFUNCTION("""COMPUTED_VALUE"""),43391.874837650466)</f>
        <v>43391.87484</v>
      </c>
      <c r="B2981" t="s">
        <v>25</v>
      </c>
    </row>
    <row r="2982">
      <c r="A2982" s="32">
        <f>IFERROR(__xludf.DUMMYFUNCTION("""COMPUTED_VALUE"""),43391.894435625)</f>
        <v>43391.89444</v>
      </c>
      <c r="B2982" t="s">
        <v>40</v>
      </c>
    </row>
    <row r="2983">
      <c r="A2983" s="32">
        <f>IFERROR(__xludf.DUMMYFUNCTION("""COMPUTED_VALUE"""),43391.8985709375)</f>
        <v>43391.89857</v>
      </c>
      <c r="B2983" t="s">
        <v>256</v>
      </c>
    </row>
    <row r="2984">
      <c r="A2984" s="32">
        <f>IFERROR(__xludf.DUMMYFUNCTION("""COMPUTED_VALUE"""),43391.90386436343)</f>
        <v>43391.90386</v>
      </c>
      <c r="B2984" t="s">
        <v>658</v>
      </c>
    </row>
    <row r="2985">
      <c r="A2985" s="32">
        <f>IFERROR(__xludf.DUMMYFUNCTION("""COMPUTED_VALUE"""),43391.90556211806)</f>
        <v>43391.90556</v>
      </c>
      <c r="B2985" t="s">
        <v>658</v>
      </c>
    </row>
    <row r="2986">
      <c r="A2986" s="32">
        <f>IFERROR(__xludf.DUMMYFUNCTION("""COMPUTED_VALUE"""),43391.97631642361)</f>
        <v>43391.97632</v>
      </c>
      <c r="B2986" t="s">
        <v>45</v>
      </c>
    </row>
    <row r="2987">
      <c r="A2987" s="32">
        <f>IFERROR(__xludf.DUMMYFUNCTION("""COMPUTED_VALUE"""),43391.981077592594)</f>
        <v>43391.98108</v>
      </c>
      <c r="B2987" t="s">
        <v>119</v>
      </c>
    </row>
    <row r="2988">
      <c r="A2988" s="32">
        <f>IFERROR(__xludf.DUMMYFUNCTION("""COMPUTED_VALUE"""),43392.14417586806)</f>
        <v>43392.14418</v>
      </c>
      <c r="B2988" t="s">
        <v>2665</v>
      </c>
    </row>
    <row r="2989">
      <c r="A2989" s="32">
        <f>IFERROR(__xludf.DUMMYFUNCTION("""COMPUTED_VALUE"""),43392.33794405093)</f>
        <v>43392.33794</v>
      </c>
      <c r="B2989" t="s">
        <v>80</v>
      </c>
    </row>
    <row r="2990">
      <c r="A2990" s="32">
        <f>IFERROR(__xludf.DUMMYFUNCTION("""COMPUTED_VALUE"""),43392.35818246528)</f>
        <v>43392.35818</v>
      </c>
      <c r="B2990" t="s">
        <v>36</v>
      </c>
    </row>
    <row r="2991">
      <c r="A2991" s="32">
        <f>IFERROR(__xludf.DUMMYFUNCTION("""COMPUTED_VALUE"""),43392.39820297454)</f>
        <v>43392.3982</v>
      </c>
      <c r="B2991" t="s">
        <v>170</v>
      </c>
    </row>
    <row r="2992">
      <c r="A2992" s="32">
        <f>IFERROR(__xludf.DUMMYFUNCTION("""COMPUTED_VALUE"""),43392.40034770833)</f>
        <v>43392.40035</v>
      </c>
      <c r="B2992" t="s">
        <v>119</v>
      </c>
    </row>
    <row r="2993">
      <c r="A2993" s="32">
        <f>IFERROR(__xludf.DUMMYFUNCTION("""COMPUTED_VALUE"""),43392.43168465278)</f>
        <v>43392.43168</v>
      </c>
      <c r="B2993" t="s">
        <v>33</v>
      </c>
    </row>
    <row r="2994">
      <c r="A2994" s="32">
        <f>IFERROR(__xludf.DUMMYFUNCTION("""COMPUTED_VALUE"""),43392.47520185185)</f>
        <v>43392.4752</v>
      </c>
      <c r="B2994" t="s">
        <v>802</v>
      </c>
    </row>
    <row r="2995">
      <c r="A2995" s="32">
        <f>IFERROR(__xludf.DUMMYFUNCTION("""COMPUTED_VALUE"""),43392.48362655092)</f>
        <v>43392.48363</v>
      </c>
      <c r="B2995" t="s">
        <v>48</v>
      </c>
    </row>
    <row r="2996">
      <c r="A2996" s="32">
        <f>IFERROR(__xludf.DUMMYFUNCTION("""COMPUTED_VALUE"""),43392.552035995366)</f>
        <v>43392.55204</v>
      </c>
      <c r="B2996" t="s">
        <v>25</v>
      </c>
    </row>
    <row r="2997">
      <c r="A2997" s="32">
        <f>IFERROR(__xludf.DUMMYFUNCTION("""COMPUTED_VALUE"""),43392.563397314814)</f>
        <v>43392.5634</v>
      </c>
      <c r="B2997" t="s">
        <v>45</v>
      </c>
    </row>
    <row r="2998">
      <c r="A2998" s="32">
        <f>IFERROR(__xludf.DUMMYFUNCTION("""COMPUTED_VALUE"""),43392.677946076394)</f>
        <v>43392.67795</v>
      </c>
      <c r="B2998" t="s">
        <v>40</v>
      </c>
    </row>
    <row r="2999">
      <c r="A2999" s="32">
        <f>IFERROR(__xludf.DUMMYFUNCTION("""COMPUTED_VALUE"""),43392.821538055556)</f>
        <v>43392.82154</v>
      </c>
      <c r="B2999" t="s">
        <v>2042</v>
      </c>
    </row>
    <row r="3000">
      <c r="A3000" s="32">
        <f>IFERROR(__xludf.DUMMYFUNCTION("""COMPUTED_VALUE"""),43392.82407270833)</f>
        <v>43392.82407</v>
      </c>
      <c r="B3000" t="s">
        <v>2046</v>
      </c>
    </row>
    <row r="3001">
      <c r="A3001" s="32">
        <f>IFERROR(__xludf.DUMMYFUNCTION("""COMPUTED_VALUE"""),43392.82735450231)</f>
        <v>43392.82735</v>
      </c>
      <c r="B3001" t="s">
        <v>48</v>
      </c>
    </row>
    <row r="3002">
      <c r="A3002" s="32">
        <f>IFERROR(__xludf.DUMMYFUNCTION("""COMPUTED_VALUE"""),43392.82883989583)</f>
        <v>43392.82884</v>
      </c>
      <c r="B3002" t="s">
        <v>170</v>
      </c>
    </row>
    <row r="3003">
      <c r="A3003" s="32">
        <f>IFERROR(__xludf.DUMMYFUNCTION("""COMPUTED_VALUE"""),43392.87708486111)</f>
        <v>43392.87708</v>
      </c>
      <c r="B3003" t="s">
        <v>119</v>
      </c>
    </row>
    <row r="3004">
      <c r="A3004" s="32">
        <f>IFERROR(__xludf.DUMMYFUNCTION("""COMPUTED_VALUE"""),43392.89410534722)</f>
        <v>43392.89411</v>
      </c>
      <c r="B3004" t="s">
        <v>33</v>
      </c>
    </row>
    <row r="3005">
      <c r="A3005" s="32">
        <f>IFERROR(__xludf.DUMMYFUNCTION("""COMPUTED_VALUE"""),43392.90348583333)</f>
        <v>43392.90349</v>
      </c>
      <c r="B3005" t="s">
        <v>1884</v>
      </c>
    </row>
    <row r="3006">
      <c r="A3006" s="32">
        <f>IFERROR(__xludf.DUMMYFUNCTION("""COMPUTED_VALUE"""),43392.944417175924)</f>
        <v>43392.94442</v>
      </c>
      <c r="B3006" t="s">
        <v>33</v>
      </c>
    </row>
    <row r="3007">
      <c r="A3007" s="32">
        <f>IFERROR(__xludf.DUMMYFUNCTION("""COMPUTED_VALUE"""),43393.054659988426)</f>
        <v>43393.05466</v>
      </c>
      <c r="B3007" t="s">
        <v>2051</v>
      </c>
    </row>
    <row r="3008">
      <c r="A3008" s="32">
        <f>IFERROR(__xludf.DUMMYFUNCTION("""COMPUTED_VALUE"""),43393.07812542824)</f>
        <v>43393.07813</v>
      </c>
      <c r="B3008" t="s">
        <v>80</v>
      </c>
    </row>
    <row r="3009">
      <c r="A3009" s="32">
        <f>IFERROR(__xludf.DUMMYFUNCTION("""COMPUTED_VALUE"""),43393.13414430556)</f>
        <v>43393.13414</v>
      </c>
      <c r="B3009" t="s">
        <v>80</v>
      </c>
    </row>
    <row r="3010">
      <c r="A3010" s="32">
        <f>IFERROR(__xludf.DUMMYFUNCTION("""COMPUTED_VALUE"""),43393.289237233796)</f>
        <v>43393.28924</v>
      </c>
      <c r="B3010" t="s">
        <v>426</v>
      </c>
    </row>
    <row r="3011">
      <c r="A3011" s="32">
        <f>IFERROR(__xludf.DUMMYFUNCTION("""COMPUTED_VALUE"""),43393.34285753472)</f>
        <v>43393.34286</v>
      </c>
      <c r="B3011" t="s">
        <v>2053</v>
      </c>
    </row>
    <row r="3012">
      <c r="A3012" s="32">
        <f>IFERROR(__xludf.DUMMYFUNCTION("""COMPUTED_VALUE"""),43393.35468907407)</f>
        <v>43393.35469</v>
      </c>
      <c r="B3012" t="s">
        <v>256</v>
      </c>
    </row>
    <row r="3013">
      <c r="A3013" s="32">
        <f>IFERROR(__xludf.DUMMYFUNCTION("""COMPUTED_VALUE"""),43393.35807381944)</f>
        <v>43393.35807</v>
      </c>
      <c r="B3013" t="s">
        <v>2768</v>
      </c>
    </row>
    <row r="3014">
      <c r="A3014" s="32">
        <f>IFERROR(__xludf.DUMMYFUNCTION("""COMPUTED_VALUE"""),43393.37247277777)</f>
        <v>43393.37247</v>
      </c>
      <c r="B3014" t="s">
        <v>48</v>
      </c>
    </row>
    <row r="3015">
      <c r="A3015" s="32">
        <f>IFERROR(__xludf.DUMMYFUNCTION("""COMPUTED_VALUE"""),43393.387057789354)</f>
        <v>43393.38706</v>
      </c>
      <c r="B3015" t="s">
        <v>80</v>
      </c>
    </row>
    <row r="3016">
      <c r="A3016" s="32">
        <f>IFERROR(__xludf.DUMMYFUNCTION("""COMPUTED_VALUE"""),43393.39368097222)</f>
        <v>43393.39368</v>
      </c>
      <c r="B3016" t="s">
        <v>204</v>
      </c>
    </row>
    <row r="3017">
      <c r="A3017" s="32">
        <f>IFERROR(__xludf.DUMMYFUNCTION("""COMPUTED_VALUE"""),43393.47170355324)</f>
        <v>43393.4717</v>
      </c>
      <c r="B3017" t="s">
        <v>48</v>
      </c>
    </row>
    <row r="3018">
      <c r="A3018" s="32">
        <f>IFERROR(__xludf.DUMMYFUNCTION("""COMPUTED_VALUE"""),43393.53835357639)</f>
        <v>43393.53835</v>
      </c>
      <c r="B3018" t="s">
        <v>45</v>
      </c>
    </row>
    <row r="3019">
      <c r="A3019" s="32">
        <f>IFERROR(__xludf.DUMMYFUNCTION("""COMPUTED_VALUE"""),43393.53899560185)</f>
        <v>43393.539</v>
      </c>
      <c r="B3019" t="s">
        <v>45</v>
      </c>
    </row>
    <row r="3020">
      <c r="A3020" s="32">
        <f>IFERROR(__xludf.DUMMYFUNCTION("""COMPUTED_VALUE"""),43393.614936342594)</f>
        <v>43393.61494</v>
      </c>
      <c r="B3020" t="s">
        <v>282</v>
      </c>
    </row>
    <row r="3021">
      <c r="A3021" s="32">
        <f>IFERROR(__xludf.DUMMYFUNCTION("""COMPUTED_VALUE"""),43393.670136886576)</f>
        <v>43393.67014</v>
      </c>
      <c r="B3021" t="s">
        <v>45</v>
      </c>
    </row>
    <row r="3022">
      <c r="A3022" s="32">
        <f>IFERROR(__xludf.DUMMYFUNCTION("""COMPUTED_VALUE"""),43393.695290324074)</f>
        <v>43393.69529</v>
      </c>
      <c r="B3022" t="s">
        <v>2056</v>
      </c>
    </row>
    <row r="3023">
      <c r="A3023" s="32">
        <f>IFERROR(__xludf.DUMMYFUNCTION("""COMPUTED_VALUE"""),43393.7779850463)</f>
        <v>43393.77799</v>
      </c>
      <c r="B3023" t="s">
        <v>506</v>
      </c>
    </row>
    <row r="3024">
      <c r="A3024" s="32">
        <f>IFERROR(__xludf.DUMMYFUNCTION("""COMPUTED_VALUE"""),43393.85673640046)</f>
        <v>43393.85674</v>
      </c>
      <c r="B3024" t="s">
        <v>790</v>
      </c>
    </row>
    <row r="3025">
      <c r="A3025" s="32">
        <f>IFERROR(__xludf.DUMMYFUNCTION("""COMPUTED_VALUE"""),43394.05627511574)</f>
        <v>43394.05628</v>
      </c>
      <c r="B3025" t="s">
        <v>33</v>
      </c>
    </row>
    <row r="3026">
      <c r="A3026" s="32">
        <f>IFERROR(__xludf.DUMMYFUNCTION("""COMPUTED_VALUE"""),43394.07557378472)</f>
        <v>43394.07557</v>
      </c>
      <c r="B3026" t="s">
        <v>40</v>
      </c>
    </row>
    <row r="3027">
      <c r="A3027" s="32">
        <f>IFERROR(__xludf.DUMMYFUNCTION("""COMPUTED_VALUE"""),43394.16669085648)</f>
        <v>43394.16669</v>
      </c>
      <c r="B3027" t="s">
        <v>463</v>
      </c>
    </row>
    <row r="3028">
      <c r="A3028" s="32">
        <f>IFERROR(__xludf.DUMMYFUNCTION("""COMPUTED_VALUE"""),43394.35257708334)</f>
        <v>43394.35258</v>
      </c>
      <c r="B3028" t="s">
        <v>48</v>
      </c>
    </row>
    <row r="3029">
      <c r="A3029" s="32">
        <f>IFERROR(__xludf.DUMMYFUNCTION("""COMPUTED_VALUE"""),43394.42407832176)</f>
        <v>43394.42408</v>
      </c>
      <c r="B3029" t="s">
        <v>2658</v>
      </c>
    </row>
    <row r="3030">
      <c r="A3030" s="32">
        <f>IFERROR(__xludf.DUMMYFUNCTION("""COMPUTED_VALUE"""),43394.45983790509)</f>
        <v>43394.45984</v>
      </c>
      <c r="B3030" t="s">
        <v>1325</v>
      </c>
    </row>
    <row r="3031">
      <c r="A3031" s="32">
        <f>IFERROR(__xludf.DUMMYFUNCTION("""COMPUTED_VALUE"""),43394.527121493054)</f>
        <v>43394.52712</v>
      </c>
      <c r="B3031" t="s">
        <v>124</v>
      </c>
    </row>
    <row r="3032">
      <c r="A3032" s="32">
        <f>IFERROR(__xludf.DUMMYFUNCTION("""COMPUTED_VALUE"""),43394.540570972225)</f>
        <v>43394.54057</v>
      </c>
      <c r="B3032" t="s">
        <v>33</v>
      </c>
    </row>
    <row r="3033">
      <c r="A3033" s="32">
        <f>IFERROR(__xludf.DUMMYFUNCTION("""COMPUTED_VALUE"""),43394.75690421296)</f>
        <v>43394.7569</v>
      </c>
      <c r="B3033" t="s">
        <v>25</v>
      </c>
    </row>
    <row r="3034">
      <c r="A3034" s="32">
        <f>IFERROR(__xludf.DUMMYFUNCTION("""COMPUTED_VALUE"""),43394.83133853009)</f>
        <v>43394.83134</v>
      </c>
      <c r="B3034" t="s">
        <v>350</v>
      </c>
    </row>
    <row r="3035">
      <c r="A3035" s="32">
        <f>IFERROR(__xludf.DUMMYFUNCTION("""COMPUTED_VALUE"""),43394.942575127316)</f>
        <v>43394.94258</v>
      </c>
      <c r="B3035" t="s">
        <v>40</v>
      </c>
    </row>
    <row r="3036">
      <c r="A3036" s="32">
        <f>IFERROR(__xludf.DUMMYFUNCTION("""COMPUTED_VALUE"""),43394.96204172454)</f>
        <v>43394.96204</v>
      </c>
      <c r="B3036" t="s">
        <v>2769</v>
      </c>
    </row>
    <row r="3037">
      <c r="A3037" s="32">
        <f>IFERROR(__xludf.DUMMYFUNCTION("""COMPUTED_VALUE"""),43395.185758252315)</f>
        <v>43395.18576</v>
      </c>
      <c r="B3037" t="s">
        <v>40</v>
      </c>
    </row>
    <row r="3038">
      <c r="A3038" s="32">
        <f>IFERROR(__xludf.DUMMYFUNCTION("""COMPUTED_VALUE"""),43395.30822373842)</f>
        <v>43395.30822</v>
      </c>
      <c r="B3038" t="s">
        <v>119</v>
      </c>
    </row>
    <row r="3039">
      <c r="A3039" s="32">
        <f>IFERROR(__xludf.DUMMYFUNCTION("""COMPUTED_VALUE"""),43395.31099557871)</f>
        <v>43395.311</v>
      </c>
      <c r="B3039" t="s">
        <v>80</v>
      </c>
    </row>
    <row r="3040">
      <c r="A3040" s="32">
        <f>IFERROR(__xludf.DUMMYFUNCTION("""COMPUTED_VALUE"""),43395.37801748843)</f>
        <v>43395.37802</v>
      </c>
      <c r="B3040" t="s">
        <v>409</v>
      </c>
    </row>
    <row r="3041">
      <c r="A3041" s="32">
        <f>IFERROR(__xludf.DUMMYFUNCTION("""COMPUTED_VALUE"""),43395.4407041088)</f>
        <v>43395.4407</v>
      </c>
      <c r="B3041" t="s">
        <v>2770</v>
      </c>
    </row>
    <row r="3042">
      <c r="A3042" s="32">
        <f>IFERROR(__xludf.DUMMYFUNCTION("""COMPUTED_VALUE"""),43395.456178900466)</f>
        <v>43395.45618</v>
      </c>
      <c r="B3042" t="s">
        <v>33</v>
      </c>
    </row>
    <row r="3043">
      <c r="A3043" s="32">
        <f>IFERROR(__xludf.DUMMYFUNCTION("""COMPUTED_VALUE"""),43395.58476021991)</f>
        <v>43395.58476</v>
      </c>
      <c r="B3043" t="s">
        <v>40</v>
      </c>
    </row>
    <row r="3044">
      <c r="A3044" s="32">
        <f>IFERROR(__xludf.DUMMYFUNCTION("""COMPUTED_VALUE"""),43395.60114219907)</f>
        <v>43395.60114</v>
      </c>
      <c r="B3044" t="s">
        <v>45</v>
      </c>
    </row>
    <row r="3045">
      <c r="A3045" s="32">
        <f>IFERROR(__xludf.DUMMYFUNCTION("""COMPUTED_VALUE"""),43395.617051863424)</f>
        <v>43395.61705</v>
      </c>
      <c r="B3045" t="s">
        <v>80</v>
      </c>
    </row>
    <row r="3046">
      <c r="A3046" s="32">
        <f>IFERROR(__xludf.DUMMYFUNCTION("""COMPUTED_VALUE"""),43395.72666627315)</f>
        <v>43395.72667</v>
      </c>
      <c r="B3046" t="s">
        <v>33</v>
      </c>
    </row>
    <row r="3047">
      <c r="A3047" s="32">
        <f>IFERROR(__xludf.DUMMYFUNCTION("""COMPUTED_VALUE"""),43395.79061601852)</f>
        <v>43395.79062</v>
      </c>
      <c r="B3047" t="s">
        <v>40</v>
      </c>
    </row>
    <row r="3048">
      <c r="A3048" s="32">
        <f>IFERROR(__xludf.DUMMYFUNCTION("""COMPUTED_VALUE"""),43395.837394664355)</f>
        <v>43395.83739</v>
      </c>
      <c r="B3048" t="s">
        <v>1196</v>
      </c>
    </row>
    <row r="3049">
      <c r="A3049" s="32">
        <f>IFERROR(__xludf.DUMMYFUNCTION("""COMPUTED_VALUE"""),43395.86324697916)</f>
        <v>43395.86325</v>
      </c>
      <c r="B3049" t="s">
        <v>48</v>
      </c>
    </row>
    <row r="3050">
      <c r="A3050" s="32">
        <f>IFERROR(__xludf.DUMMYFUNCTION("""COMPUTED_VALUE"""),43395.87168193287)</f>
        <v>43395.87168</v>
      </c>
      <c r="B3050" t="s">
        <v>40</v>
      </c>
    </row>
    <row r="3051">
      <c r="A3051" s="32">
        <f>IFERROR(__xludf.DUMMYFUNCTION("""COMPUTED_VALUE"""),43395.8735950463)</f>
        <v>43395.8736</v>
      </c>
      <c r="B3051" t="s">
        <v>188</v>
      </c>
    </row>
    <row r="3052">
      <c r="A3052" s="32">
        <f>IFERROR(__xludf.DUMMYFUNCTION("""COMPUTED_VALUE"""),43395.901948391205)</f>
        <v>43395.90195</v>
      </c>
      <c r="B3052" t="s">
        <v>2070</v>
      </c>
    </row>
    <row r="3053">
      <c r="A3053" s="32">
        <f>IFERROR(__xludf.DUMMYFUNCTION("""COMPUTED_VALUE"""),43395.91630783565)</f>
        <v>43395.91631</v>
      </c>
      <c r="B3053" t="s">
        <v>80</v>
      </c>
    </row>
    <row r="3054">
      <c r="A3054" s="32">
        <f>IFERROR(__xludf.DUMMYFUNCTION("""COMPUTED_VALUE"""),43395.97791383102)</f>
        <v>43395.97791</v>
      </c>
      <c r="B3054" t="s">
        <v>124</v>
      </c>
    </row>
    <row r="3055">
      <c r="A3055" s="32">
        <f>IFERROR(__xludf.DUMMYFUNCTION("""COMPUTED_VALUE"""),43396.02822626157)</f>
        <v>43396.02823</v>
      </c>
      <c r="B3055" t="s">
        <v>204</v>
      </c>
    </row>
    <row r="3056">
      <c r="A3056" s="32">
        <f>IFERROR(__xludf.DUMMYFUNCTION("""COMPUTED_VALUE"""),43396.08122152778)</f>
        <v>43396.08122</v>
      </c>
      <c r="B3056" t="s">
        <v>119</v>
      </c>
    </row>
    <row r="3057">
      <c r="A3057" s="32">
        <f>IFERROR(__xludf.DUMMYFUNCTION("""COMPUTED_VALUE"""),43396.136183449074)</f>
        <v>43396.13618</v>
      </c>
      <c r="B3057" t="s">
        <v>2072</v>
      </c>
    </row>
    <row r="3058">
      <c r="A3058" s="32">
        <f>IFERROR(__xludf.DUMMYFUNCTION("""COMPUTED_VALUE"""),43396.28297701389)</f>
        <v>43396.28298</v>
      </c>
      <c r="B3058" t="s">
        <v>33</v>
      </c>
    </row>
    <row r="3059">
      <c r="A3059" s="32">
        <f>IFERROR(__xludf.DUMMYFUNCTION("""COMPUTED_VALUE"""),43396.484378912035)</f>
        <v>43396.48438</v>
      </c>
      <c r="B3059" t="s">
        <v>2073</v>
      </c>
    </row>
    <row r="3060">
      <c r="A3060" s="32">
        <f>IFERROR(__xludf.DUMMYFUNCTION("""COMPUTED_VALUE"""),43396.48534518518)</f>
        <v>43396.48535</v>
      </c>
      <c r="B3060" t="s">
        <v>2073</v>
      </c>
    </row>
    <row r="3061">
      <c r="A3061" s="32">
        <f>IFERROR(__xludf.DUMMYFUNCTION("""COMPUTED_VALUE"""),43396.49222155093)</f>
        <v>43396.49222</v>
      </c>
      <c r="B3061" t="s">
        <v>170</v>
      </c>
    </row>
    <row r="3062">
      <c r="A3062" s="32">
        <f>IFERROR(__xludf.DUMMYFUNCTION("""COMPUTED_VALUE"""),43396.49360137731)</f>
        <v>43396.4936</v>
      </c>
      <c r="B3062" t="s">
        <v>170</v>
      </c>
    </row>
    <row r="3063">
      <c r="A3063" s="32">
        <f>IFERROR(__xludf.DUMMYFUNCTION("""COMPUTED_VALUE"""),43396.50842913194)</f>
        <v>43396.50843</v>
      </c>
      <c r="B3063" t="s">
        <v>48</v>
      </c>
    </row>
    <row r="3064">
      <c r="A3064" s="32">
        <f>IFERROR(__xludf.DUMMYFUNCTION("""COMPUTED_VALUE"""),43396.5693509375)</f>
        <v>43396.56935</v>
      </c>
      <c r="B3064" t="s">
        <v>40</v>
      </c>
    </row>
    <row r="3065">
      <c r="A3065" s="32">
        <f>IFERROR(__xludf.DUMMYFUNCTION("""COMPUTED_VALUE"""),43396.57206503472)</f>
        <v>43396.57207</v>
      </c>
      <c r="B3065" t="s">
        <v>45</v>
      </c>
    </row>
    <row r="3066">
      <c r="A3066" s="32">
        <f>IFERROR(__xludf.DUMMYFUNCTION("""COMPUTED_VALUE"""),43396.576700335645)</f>
        <v>43396.5767</v>
      </c>
      <c r="B3066" t="s">
        <v>2738</v>
      </c>
    </row>
    <row r="3067">
      <c r="A3067" s="32">
        <f>IFERROR(__xludf.DUMMYFUNCTION("""COMPUTED_VALUE"""),43396.62945700232)</f>
        <v>43396.62946</v>
      </c>
      <c r="B3067" t="s">
        <v>33</v>
      </c>
    </row>
    <row r="3068">
      <c r="A3068" s="32">
        <f>IFERROR(__xludf.DUMMYFUNCTION("""COMPUTED_VALUE"""),43396.65690456019)</f>
        <v>43396.6569</v>
      </c>
      <c r="B3068" t="s">
        <v>40</v>
      </c>
    </row>
    <row r="3069">
      <c r="A3069" s="32">
        <f>IFERROR(__xludf.DUMMYFUNCTION("""COMPUTED_VALUE"""),43396.73038061343)</f>
        <v>43396.73038</v>
      </c>
      <c r="B3069" t="s">
        <v>2075</v>
      </c>
    </row>
    <row r="3070">
      <c r="A3070" s="32">
        <f>IFERROR(__xludf.DUMMYFUNCTION("""COMPUTED_VALUE"""),43396.75102846065)</f>
        <v>43396.75103</v>
      </c>
      <c r="B3070" t="s">
        <v>40</v>
      </c>
    </row>
    <row r="3071">
      <c r="A3071" s="32">
        <f>IFERROR(__xludf.DUMMYFUNCTION("""COMPUTED_VALUE"""),43396.82794511574)</f>
        <v>43396.82795</v>
      </c>
      <c r="B3071" t="s">
        <v>802</v>
      </c>
    </row>
    <row r="3072">
      <c r="A3072" s="32">
        <f>IFERROR(__xludf.DUMMYFUNCTION("""COMPUTED_VALUE"""),43396.85497429398)</f>
        <v>43396.85497</v>
      </c>
      <c r="B3072" t="s">
        <v>80</v>
      </c>
    </row>
    <row r="3073">
      <c r="A3073" s="32">
        <f>IFERROR(__xludf.DUMMYFUNCTION("""COMPUTED_VALUE"""),43396.8683691551)</f>
        <v>43396.86837</v>
      </c>
      <c r="B3073" t="s">
        <v>48</v>
      </c>
    </row>
    <row r="3074">
      <c r="A3074" s="32">
        <f>IFERROR(__xludf.DUMMYFUNCTION("""COMPUTED_VALUE"""),43396.92020736111)</f>
        <v>43396.92021</v>
      </c>
      <c r="B3074" t="s">
        <v>523</v>
      </c>
    </row>
    <row r="3075">
      <c r="A3075" s="32">
        <f>IFERROR(__xludf.DUMMYFUNCTION("""COMPUTED_VALUE"""),43396.963686006944)</f>
        <v>43396.96369</v>
      </c>
      <c r="B3075" t="s">
        <v>36</v>
      </c>
    </row>
    <row r="3076">
      <c r="A3076" s="32">
        <f>IFERROR(__xludf.DUMMYFUNCTION("""COMPUTED_VALUE"""),43396.98685789352)</f>
        <v>43396.98686</v>
      </c>
      <c r="B3076" t="s">
        <v>2658</v>
      </c>
    </row>
    <row r="3077">
      <c r="A3077" s="32">
        <f>IFERROR(__xludf.DUMMYFUNCTION("""COMPUTED_VALUE"""),43397.18212913194)</f>
        <v>43397.18213</v>
      </c>
      <c r="B3077" t="s">
        <v>2079</v>
      </c>
    </row>
    <row r="3078">
      <c r="A3078" s="32">
        <f>IFERROR(__xludf.DUMMYFUNCTION("""COMPUTED_VALUE"""),43397.34578076389)</f>
        <v>43397.34578</v>
      </c>
      <c r="B3078" t="s">
        <v>426</v>
      </c>
    </row>
    <row r="3079">
      <c r="A3079" s="32">
        <f>IFERROR(__xludf.DUMMYFUNCTION("""COMPUTED_VALUE"""),43397.411036550926)</f>
        <v>43397.41104</v>
      </c>
      <c r="B3079" t="s">
        <v>428</v>
      </c>
    </row>
    <row r="3080">
      <c r="A3080" s="32">
        <f>IFERROR(__xludf.DUMMYFUNCTION("""COMPUTED_VALUE"""),43397.43549668981)</f>
        <v>43397.4355</v>
      </c>
      <c r="B3080" t="s">
        <v>574</v>
      </c>
    </row>
    <row r="3081">
      <c r="A3081" s="32">
        <f>IFERROR(__xludf.DUMMYFUNCTION("""COMPUTED_VALUE"""),43397.44439770833)</f>
        <v>43397.4444</v>
      </c>
      <c r="B3081" t="s">
        <v>80</v>
      </c>
    </row>
    <row r="3082">
      <c r="A3082" s="32">
        <f>IFERROR(__xludf.DUMMYFUNCTION("""COMPUTED_VALUE"""),43397.50043438657)</f>
        <v>43397.50043</v>
      </c>
      <c r="B3082" t="s">
        <v>2771</v>
      </c>
    </row>
    <row r="3083">
      <c r="A3083" s="32">
        <f>IFERROR(__xludf.DUMMYFUNCTION("""COMPUTED_VALUE"""),43397.56108284723)</f>
        <v>43397.56108</v>
      </c>
      <c r="B3083" t="s">
        <v>2424</v>
      </c>
    </row>
    <row r="3084">
      <c r="A3084" s="32">
        <f>IFERROR(__xludf.DUMMYFUNCTION("""COMPUTED_VALUE"""),43397.57218336806)</f>
        <v>43397.57218</v>
      </c>
      <c r="B3084" t="s">
        <v>36</v>
      </c>
    </row>
    <row r="3085">
      <c r="A3085" s="32">
        <f>IFERROR(__xludf.DUMMYFUNCTION("""COMPUTED_VALUE"""),43397.6414539699)</f>
        <v>43397.64145</v>
      </c>
      <c r="B3085" t="s">
        <v>45</v>
      </c>
    </row>
    <row r="3086">
      <c r="A3086" s="32">
        <f>IFERROR(__xludf.DUMMYFUNCTION("""COMPUTED_VALUE"""),43397.68274907407)</f>
        <v>43397.68275</v>
      </c>
      <c r="B3086" t="s">
        <v>139</v>
      </c>
    </row>
    <row r="3087">
      <c r="A3087" s="32">
        <f>IFERROR(__xludf.DUMMYFUNCTION("""COMPUTED_VALUE"""),43397.71530287037)</f>
        <v>43397.7153</v>
      </c>
      <c r="B3087" t="s">
        <v>1325</v>
      </c>
    </row>
    <row r="3088">
      <c r="A3088" s="32">
        <f>IFERROR(__xludf.DUMMYFUNCTION("""COMPUTED_VALUE"""),43397.789952974534)</f>
        <v>43397.78995</v>
      </c>
      <c r="B3088" t="s">
        <v>119</v>
      </c>
    </row>
    <row r="3089">
      <c r="A3089" s="32">
        <f>IFERROR(__xludf.DUMMYFUNCTION("""COMPUTED_VALUE"""),43397.86718592593)</f>
        <v>43397.86719</v>
      </c>
      <c r="B3089" t="s">
        <v>170</v>
      </c>
    </row>
    <row r="3090">
      <c r="A3090" s="32">
        <f>IFERROR(__xludf.DUMMYFUNCTION("""COMPUTED_VALUE"""),43397.88920388889)</f>
        <v>43397.8892</v>
      </c>
      <c r="B3090" t="s">
        <v>80</v>
      </c>
    </row>
    <row r="3091">
      <c r="A3091" s="32">
        <f>IFERROR(__xludf.DUMMYFUNCTION("""COMPUTED_VALUE"""),43397.96100957176)</f>
        <v>43397.96101</v>
      </c>
      <c r="B3091" t="s">
        <v>40</v>
      </c>
    </row>
    <row r="3092">
      <c r="A3092" s="32">
        <f>IFERROR(__xludf.DUMMYFUNCTION("""COMPUTED_VALUE"""),43397.97787386574)</f>
        <v>43397.97787</v>
      </c>
      <c r="B3092" t="s">
        <v>33</v>
      </c>
    </row>
    <row r="3093">
      <c r="A3093" s="32">
        <f>IFERROR(__xludf.DUMMYFUNCTION("""COMPUTED_VALUE"""),43398.13033133102)</f>
        <v>43398.13033</v>
      </c>
      <c r="B3093" t="s">
        <v>538</v>
      </c>
    </row>
    <row r="3094">
      <c r="A3094" s="32">
        <f>IFERROR(__xludf.DUMMYFUNCTION("""COMPUTED_VALUE"""),43398.14089861111)</f>
        <v>43398.1409</v>
      </c>
      <c r="B3094" t="s">
        <v>538</v>
      </c>
    </row>
    <row r="3095">
      <c r="A3095" s="32">
        <f>IFERROR(__xludf.DUMMYFUNCTION("""COMPUTED_VALUE"""),43398.143528252316)</f>
        <v>43398.14353</v>
      </c>
      <c r="B3095" t="s">
        <v>538</v>
      </c>
    </row>
    <row r="3096">
      <c r="A3096" s="32">
        <f>IFERROR(__xludf.DUMMYFUNCTION("""COMPUTED_VALUE"""),43398.15081546296)</f>
        <v>43398.15082</v>
      </c>
      <c r="B3096" t="s">
        <v>538</v>
      </c>
    </row>
    <row r="3097">
      <c r="A3097" s="32">
        <f>IFERROR(__xludf.DUMMYFUNCTION("""COMPUTED_VALUE"""),43398.21584444444)</f>
        <v>43398.21584</v>
      </c>
      <c r="B3097" t="s">
        <v>463</v>
      </c>
    </row>
    <row r="3098">
      <c r="A3098" s="32">
        <f>IFERROR(__xludf.DUMMYFUNCTION("""COMPUTED_VALUE"""),43398.34366763889)</f>
        <v>43398.34367</v>
      </c>
      <c r="B3098" t="s">
        <v>2090</v>
      </c>
    </row>
    <row r="3099">
      <c r="A3099" s="32">
        <f>IFERROR(__xludf.DUMMYFUNCTION("""COMPUTED_VALUE"""),43398.45475263889)</f>
        <v>43398.45475</v>
      </c>
      <c r="B3099" t="s">
        <v>873</v>
      </c>
    </row>
    <row r="3100">
      <c r="A3100" s="32">
        <f>IFERROR(__xludf.DUMMYFUNCTION("""COMPUTED_VALUE"""),43398.460580115745)</f>
        <v>43398.46058</v>
      </c>
      <c r="B3100" t="s">
        <v>2092</v>
      </c>
    </row>
    <row r="3101">
      <c r="A3101" s="32">
        <f>IFERROR(__xludf.DUMMYFUNCTION("""COMPUTED_VALUE"""),43398.468241574075)</f>
        <v>43398.46824</v>
      </c>
      <c r="B3101" t="s">
        <v>170</v>
      </c>
    </row>
    <row r="3102">
      <c r="A3102" s="32">
        <f>IFERROR(__xludf.DUMMYFUNCTION("""COMPUTED_VALUE"""),43398.470578402776)</f>
        <v>43398.47058</v>
      </c>
      <c r="B3102" t="s">
        <v>119</v>
      </c>
    </row>
    <row r="3103">
      <c r="A3103" s="32">
        <f>IFERROR(__xludf.DUMMYFUNCTION("""COMPUTED_VALUE"""),43398.48017605324)</f>
        <v>43398.48018</v>
      </c>
      <c r="B3103" t="s">
        <v>2658</v>
      </c>
    </row>
    <row r="3104">
      <c r="A3104" s="32">
        <f>IFERROR(__xludf.DUMMYFUNCTION("""COMPUTED_VALUE"""),43398.48073905092)</f>
        <v>43398.48074</v>
      </c>
      <c r="B3104" t="s">
        <v>380</v>
      </c>
    </row>
    <row r="3105">
      <c r="A3105" s="32">
        <f>IFERROR(__xludf.DUMMYFUNCTION("""COMPUTED_VALUE"""),43398.52307616898)</f>
        <v>43398.52308</v>
      </c>
      <c r="B3105" t="s">
        <v>45</v>
      </c>
    </row>
    <row r="3106">
      <c r="A3106" s="32">
        <f>IFERROR(__xludf.DUMMYFUNCTION("""COMPUTED_VALUE"""),43398.596977141206)</f>
        <v>43398.59698</v>
      </c>
      <c r="B3106" t="s">
        <v>80</v>
      </c>
    </row>
    <row r="3107">
      <c r="A3107" s="32">
        <f>IFERROR(__xludf.DUMMYFUNCTION("""COMPUTED_VALUE"""),43398.72003412037)</f>
        <v>43398.72003</v>
      </c>
      <c r="B3107" t="s">
        <v>2738</v>
      </c>
    </row>
    <row r="3108">
      <c r="A3108" s="32">
        <f>IFERROR(__xludf.DUMMYFUNCTION("""COMPUTED_VALUE"""),43398.74896956018)</f>
        <v>43398.74897</v>
      </c>
      <c r="B3108" t="s">
        <v>2772</v>
      </c>
    </row>
    <row r="3109">
      <c r="A3109" s="32">
        <f>IFERROR(__xludf.DUMMYFUNCTION("""COMPUTED_VALUE"""),43398.79909288195)</f>
        <v>43398.79909</v>
      </c>
      <c r="B3109" t="s">
        <v>25</v>
      </c>
    </row>
    <row r="3110">
      <c r="A3110" s="32">
        <f>IFERROR(__xludf.DUMMYFUNCTION("""COMPUTED_VALUE"""),43398.84236519676)</f>
        <v>43398.84237</v>
      </c>
      <c r="B3110" t="s">
        <v>2098</v>
      </c>
    </row>
    <row r="3111">
      <c r="A3111" s="32">
        <f>IFERROR(__xludf.DUMMYFUNCTION("""COMPUTED_VALUE"""),43398.86285578704)</f>
        <v>43398.86286</v>
      </c>
      <c r="B3111" t="s">
        <v>170</v>
      </c>
    </row>
    <row r="3112">
      <c r="A3112" s="32">
        <f>IFERROR(__xludf.DUMMYFUNCTION("""COMPUTED_VALUE"""),43398.86623818287)</f>
        <v>43398.86624</v>
      </c>
      <c r="B3112" t="s">
        <v>124</v>
      </c>
    </row>
    <row r="3113">
      <c r="A3113" s="32">
        <f>IFERROR(__xludf.DUMMYFUNCTION("""COMPUTED_VALUE"""),43398.87980623843)</f>
        <v>43398.87981</v>
      </c>
      <c r="B3113" t="s">
        <v>33</v>
      </c>
    </row>
    <row r="3114">
      <c r="A3114" s="32">
        <f>IFERROR(__xludf.DUMMYFUNCTION("""COMPUTED_VALUE"""),43398.88223001157)</f>
        <v>43398.88223</v>
      </c>
      <c r="B3114" t="s">
        <v>33</v>
      </c>
    </row>
    <row r="3115">
      <c r="A3115" s="32">
        <f>IFERROR(__xludf.DUMMYFUNCTION("""COMPUTED_VALUE"""),43398.95764199074)</f>
        <v>43398.95764</v>
      </c>
      <c r="B3115" t="s">
        <v>105</v>
      </c>
    </row>
    <row r="3116">
      <c r="A3116" s="32">
        <f>IFERROR(__xludf.DUMMYFUNCTION("""COMPUTED_VALUE"""),43399.05406540509)</f>
        <v>43399.05407</v>
      </c>
      <c r="B3116" t="s">
        <v>80</v>
      </c>
    </row>
    <row r="3117">
      <c r="A3117" s="32">
        <f>IFERROR(__xludf.DUMMYFUNCTION("""COMPUTED_VALUE"""),43399.05800738426)</f>
        <v>43399.05801</v>
      </c>
      <c r="B3117" t="s">
        <v>80</v>
      </c>
    </row>
    <row r="3118">
      <c r="A3118" s="32">
        <f>IFERROR(__xludf.DUMMYFUNCTION("""COMPUTED_VALUE"""),43399.231071041664)</f>
        <v>43399.23107</v>
      </c>
      <c r="B3118" t="s">
        <v>1867</v>
      </c>
    </row>
    <row r="3119">
      <c r="A3119" s="32">
        <f>IFERROR(__xludf.DUMMYFUNCTION("""COMPUTED_VALUE"""),43399.26513289352)</f>
        <v>43399.26513</v>
      </c>
      <c r="B3119" t="s">
        <v>80</v>
      </c>
    </row>
    <row r="3120">
      <c r="A3120" s="32">
        <f>IFERROR(__xludf.DUMMYFUNCTION("""COMPUTED_VALUE"""),43399.30803167824)</f>
        <v>43399.30803</v>
      </c>
      <c r="B3120" t="s">
        <v>119</v>
      </c>
    </row>
    <row r="3121">
      <c r="A3121" s="32">
        <f>IFERROR(__xludf.DUMMYFUNCTION("""COMPUTED_VALUE"""),43399.47178150463)</f>
        <v>43399.47178</v>
      </c>
      <c r="B3121" t="s">
        <v>33</v>
      </c>
    </row>
    <row r="3122">
      <c r="A3122" s="32">
        <f>IFERROR(__xludf.DUMMYFUNCTION("""COMPUTED_VALUE"""),43399.47178150463)</f>
        <v>43399.47178</v>
      </c>
      <c r="B3122" t="s">
        <v>33</v>
      </c>
    </row>
    <row r="3123">
      <c r="A3123" s="32">
        <f>IFERROR(__xludf.DUMMYFUNCTION("""COMPUTED_VALUE"""),43399.680009675925)</f>
        <v>43399.68001</v>
      </c>
      <c r="B3123" t="s">
        <v>1867</v>
      </c>
    </row>
    <row r="3124">
      <c r="A3124" s="32">
        <f>IFERROR(__xludf.DUMMYFUNCTION("""COMPUTED_VALUE"""),43399.75450534723)</f>
        <v>43399.75451</v>
      </c>
      <c r="B3124" t="s">
        <v>80</v>
      </c>
    </row>
    <row r="3125">
      <c r="A3125" s="32">
        <f>IFERROR(__xludf.DUMMYFUNCTION("""COMPUTED_VALUE"""),43399.82354196759)</f>
        <v>43399.82354</v>
      </c>
      <c r="B3125" t="s">
        <v>48</v>
      </c>
    </row>
    <row r="3126">
      <c r="A3126" s="32">
        <f>IFERROR(__xludf.DUMMYFUNCTION("""COMPUTED_VALUE"""),43399.8847002199)</f>
        <v>43399.8847</v>
      </c>
      <c r="B3126" t="s">
        <v>2105</v>
      </c>
    </row>
    <row r="3127">
      <c r="A3127" s="32">
        <f>IFERROR(__xludf.DUMMYFUNCTION("""COMPUTED_VALUE"""),43399.896716840274)</f>
        <v>43399.89672</v>
      </c>
      <c r="B3127" t="s">
        <v>33</v>
      </c>
    </row>
    <row r="3128">
      <c r="A3128" s="32">
        <f>IFERROR(__xludf.DUMMYFUNCTION("""COMPUTED_VALUE"""),43399.917840532406)</f>
        <v>43399.91784</v>
      </c>
      <c r="B3128" t="s">
        <v>802</v>
      </c>
    </row>
    <row r="3129">
      <c r="A3129" s="32">
        <f>IFERROR(__xludf.DUMMYFUNCTION("""COMPUTED_VALUE"""),43399.93857931713)</f>
        <v>43399.93858</v>
      </c>
      <c r="B3129" t="s">
        <v>40</v>
      </c>
    </row>
    <row r="3130">
      <c r="A3130" s="32">
        <f>IFERROR(__xludf.DUMMYFUNCTION("""COMPUTED_VALUE"""),43399.99026908565)</f>
        <v>43399.99027</v>
      </c>
      <c r="B3130" t="s">
        <v>80</v>
      </c>
    </row>
    <row r="3131">
      <c r="A3131" s="32">
        <f>IFERROR(__xludf.DUMMYFUNCTION("""COMPUTED_VALUE"""),43399.990361689815)</f>
        <v>43399.99036</v>
      </c>
      <c r="B3131" t="s">
        <v>80</v>
      </c>
    </row>
    <row r="3132">
      <c r="A3132" s="32">
        <f>IFERROR(__xludf.DUMMYFUNCTION("""COMPUTED_VALUE"""),43400.319792256945)</f>
        <v>43400.31979</v>
      </c>
      <c r="B3132" t="s">
        <v>371</v>
      </c>
    </row>
    <row r="3133">
      <c r="A3133" s="32">
        <f>IFERROR(__xludf.DUMMYFUNCTION("""COMPUTED_VALUE"""),43400.42853260417)</f>
        <v>43400.42853</v>
      </c>
      <c r="B3133" t="s">
        <v>119</v>
      </c>
    </row>
    <row r="3134">
      <c r="A3134" s="32">
        <f>IFERROR(__xludf.DUMMYFUNCTION("""COMPUTED_VALUE"""),43400.477699131945)</f>
        <v>43400.4777</v>
      </c>
      <c r="B3134" t="s">
        <v>33</v>
      </c>
    </row>
    <row r="3135">
      <c r="A3135" s="32">
        <f>IFERROR(__xludf.DUMMYFUNCTION("""COMPUTED_VALUE"""),43400.496911574075)</f>
        <v>43400.49691</v>
      </c>
      <c r="B3135" t="s">
        <v>33</v>
      </c>
    </row>
    <row r="3136">
      <c r="A3136" s="32">
        <f>IFERROR(__xludf.DUMMYFUNCTION("""COMPUTED_VALUE"""),43400.532767592595)</f>
        <v>43400.53277</v>
      </c>
      <c r="B3136" t="s">
        <v>80</v>
      </c>
    </row>
    <row r="3137">
      <c r="A3137" s="32">
        <f>IFERROR(__xludf.DUMMYFUNCTION("""COMPUTED_VALUE"""),43400.53424957176)</f>
        <v>43400.53425</v>
      </c>
      <c r="B3137" t="s">
        <v>2424</v>
      </c>
    </row>
    <row r="3138">
      <c r="A3138" s="32">
        <f>IFERROR(__xludf.DUMMYFUNCTION("""COMPUTED_VALUE"""),43400.54419148148)</f>
        <v>43400.54419</v>
      </c>
      <c r="B3138" t="s">
        <v>105</v>
      </c>
    </row>
    <row r="3139">
      <c r="A3139" s="32">
        <f>IFERROR(__xludf.DUMMYFUNCTION("""COMPUTED_VALUE"""),43400.589491446764)</f>
        <v>43400.58949</v>
      </c>
      <c r="B3139" t="s">
        <v>80</v>
      </c>
    </row>
    <row r="3140">
      <c r="A3140" s="32">
        <f>IFERROR(__xludf.DUMMYFUNCTION("""COMPUTED_VALUE"""),43400.601359293985)</f>
        <v>43400.60136</v>
      </c>
      <c r="B3140" t="s">
        <v>33</v>
      </c>
    </row>
    <row r="3141">
      <c r="A3141" s="32">
        <f>IFERROR(__xludf.DUMMYFUNCTION("""COMPUTED_VALUE"""),43400.65941202546)</f>
        <v>43400.65941</v>
      </c>
      <c r="B3141" t="s">
        <v>33</v>
      </c>
    </row>
    <row r="3142">
      <c r="A3142" s="32">
        <f>IFERROR(__xludf.DUMMYFUNCTION("""COMPUTED_VALUE"""),43400.663266655094)</f>
        <v>43400.66327</v>
      </c>
      <c r="B3142" t="s">
        <v>268</v>
      </c>
    </row>
    <row r="3143">
      <c r="A3143" s="32">
        <f>IFERROR(__xludf.DUMMYFUNCTION("""COMPUTED_VALUE"""),43400.668948101855)</f>
        <v>43400.66895</v>
      </c>
      <c r="B3143" t="s">
        <v>45</v>
      </c>
    </row>
    <row r="3144">
      <c r="A3144" s="32">
        <f>IFERROR(__xludf.DUMMYFUNCTION("""COMPUTED_VALUE"""),43400.68218116898)</f>
        <v>43400.68218</v>
      </c>
      <c r="B3144" t="s">
        <v>40</v>
      </c>
    </row>
    <row r="3145">
      <c r="A3145" s="32">
        <f>IFERROR(__xludf.DUMMYFUNCTION("""COMPUTED_VALUE"""),43400.74684695602)</f>
        <v>43400.74685</v>
      </c>
      <c r="B3145" t="s">
        <v>48</v>
      </c>
    </row>
    <row r="3146">
      <c r="A3146" s="32">
        <f>IFERROR(__xludf.DUMMYFUNCTION("""COMPUTED_VALUE"""),43400.78819699074)</f>
        <v>43400.7882</v>
      </c>
      <c r="B3146" t="s">
        <v>80</v>
      </c>
    </row>
    <row r="3147">
      <c r="A3147" s="32">
        <f>IFERROR(__xludf.DUMMYFUNCTION("""COMPUTED_VALUE"""),43400.82192974537)</f>
        <v>43400.82193</v>
      </c>
      <c r="B3147" t="s">
        <v>2662</v>
      </c>
    </row>
    <row r="3148">
      <c r="A3148" s="32">
        <f>IFERROR(__xludf.DUMMYFUNCTION("""COMPUTED_VALUE"""),43400.93385318287)</f>
        <v>43400.93385</v>
      </c>
      <c r="B3148" t="s">
        <v>40</v>
      </c>
    </row>
    <row r="3149">
      <c r="A3149" s="32">
        <f>IFERROR(__xludf.DUMMYFUNCTION("""COMPUTED_VALUE"""),43401.19958734953)</f>
        <v>43401.19959</v>
      </c>
      <c r="B3149" t="s">
        <v>33</v>
      </c>
    </row>
    <row r="3150">
      <c r="A3150" s="32">
        <f>IFERROR(__xludf.DUMMYFUNCTION("""COMPUTED_VALUE"""),43401.20666081019)</f>
        <v>43401.20666</v>
      </c>
      <c r="B3150" t="s">
        <v>33</v>
      </c>
    </row>
    <row r="3151">
      <c r="A3151" s="32">
        <f>IFERROR(__xludf.DUMMYFUNCTION("""COMPUTED_VALUE"""),43401.47233766204)</f>
        <v>43401.47234</v>
      </c>
      <c r="B3151" t="s">
        <v>33</v>
      </c>
    </row>
    <row r="3152">
      <c r="A3152" s="32">
        <f>IFERROR(__xludf.DUMMYFUNCTION("""COMPUTED_VALUE"""),43401.68814515046)</f>
        <v>43401.68815</v>
      </c>
      <c r="B3152" t="s">
        <v>2746</v>
      </c>
    </row>
    <row r="3153">
      <c r="A3153" s="32">
        <f>IFERROR(__xludf.DUMMYFUNCTION("""COMPUTED_VALUE"""),43401.69232185185)</f>
        <v>43401.69232</v>
      </c>
      <c r="B3153" t="s">
        <v>48</v>
      </c>
    </row>
    <row r="3154">
      <c r="A3154" s="32">
        <f>IFERROR(__xludf.DUMMYFUNCTION("""COMPUTED_VALUE"""),43401.825134212966)</f>
        <v>43401.82513</v>
      </c>
      <c r="B3154" t="s">
        <v>45</v>
      </c>
    </row>
    <row r="3155">
      <c r="A3155" s="32">
        <f>IFERROR(__xludf.DUMMYFUNCTION("""COMPUTED_VALUE"""),43401.85540560185)</f>
        <v>43401.85541</v>
      </c>
      <c r="B3155" t="s">
        <v>2773</v>
      </c>
    </row>
    <row r="3156">
      <c r="A3156" s="32">
        <f>IFERROR(__xludf.DUMMYFUNCTION("""COMPUTED_VALUE"""),43401.85919909722)</f>
        <v>43401.8592</v>
      </c>
      <c r="B3156" t="s">
        <v>80</v>
      </c>
    </row>
    <row r="3157">
      <c r="A3157" s="32">
        <f>IFERROR(__xludf.DUMMYFUNCTION("""COMPUTED_VALUE"""),43401.9400774074)</f>
        <v>43401.94008</v>
      </c>
      <c r="B3157" t="s">
        <v>40</v>
      </c>
    </row>
    <row r="3158">
      <c r="A3158" s="32">
        <f>IFERROR(__xludf.DUMMYFUNCTION("""COMPUTED_VALUE"""),43401.98340946759)</f>
        <v>43401.98341</v>
      </c>
      <c r="B3158" t="s">
        <v>119</v>
      </c>
    </row>
    <row r="3159">
      <c r="A3159" s="32">
        <f>IFERROR(__xludf.DUMMYFUNCTION("""COMPUTED_VALUE"""),43401.98345273148)</f>
        <v>43401.98345</v>
      </c>
      <c r="B3159" t="s">
        <v>188</v>
      </c>
    </row>
    <row r="3160">
      <c r="A3160" s="32">
        <f>IFERROR(__xludf.DUMMYFUNCTION("""COMPUTED_VALUE"""),43402.29982259259)</f>
        <v>43402.29982</v>
      </c>
      <c r="B3160" t="s">
        <v>452</v>
      </c>
    </row>
    <row r="3161">
      <c r="A3161" s="32">
        <f>IFERROR(__xludf.DUMMYFUNCTION("""COMPUTED_VALUE"""),43402.31711533565)</f>
        <v>43402.31712</v>
      </c>
      <c r="B3161" t="s">
        <v>40</v>
      </c>
    </row>
    <row r="3162">
      <c r="A3162" s="32">
        <f>IFERROR(__xludf.DUMMYFUNCTION("""COMPUTED_VALUE"""),43402.392515879634)</f>
        <v>43402.39252</v>
      </c>
      <c r="B3162" t="s">
        <v>80</v>
      </c>
    </row>
    <row r="3163">
      <c r="A3163" s="32">
        <f>IFERROR(__xludf.DUMMYFUNCTION("""COMPUTED_VALUE"""),43402.39252981481)</f>
        <v>43402.39253</v>
      </c>
      <c r="B3163" t="s">
        <v>40</v>
      </c>
    </row>
    <row r="3164">
      <c r="A3164" s="32">
        <f>IFERROR(__xludf.DUMMYFUNCTION("""COMPUTED_VALUE"""),43402.40718310185)</f>
        <v>43402.40718</v>
      </c>
      <c r="B3164" t="s">
        <v>170</v>
      </c>
    </row>
    <row r="3165">
      <c r="A3165" s="32">
        <f>IFERROR(__xludf.DUMMYFUNCTION("""COMPUTED_VALUE"""),43402.4336405787)</f>
        <v>43402.43364</v>
      </c>
      <c r="B3165" t="s">
        <v>1325</v>
      </c>
    </row>
    <row r="3166">
      <c r="A3166" s="32">
        <f>IFERROR(__xludf.DUMMYFUNCTION("""COMPUTED_VALUE"""),43402.58062055556)</f>
        <v>43402.58062</v>
      </c>
      <c r="B3166" t="s">
        <v>2120</v>
      </c>
    </row>
    <row r="3167">
      <c r="A3167" s="32">
        <f>IFERROR(__xludf.DUMMYFUNCTION("""COMPUTED_VALUE"""),43402.62702768519)</f>
        <v>43402.62703</v>
      </c>
      <c r="B3167" t="s">
        <v>40</v>
      </c>
    </row>
    <row r="3168">
      <c r="A3168" s="32">
        <f>IFERROR(__xludf.DUMMYFUNCTION("""COMPUTED_VALUE"""),43402.65281027778)</f>
        <v>43402.65281</v>
      </c>
      <c r="B3168" t="s">
        <v>170</v>
      </c>
    </row>
    <row r="3169">
      <c r="A3169" s="32">
        <f>IFERROR(__xludf.DUMMYFUNCTION("""COMPUTED_VALUE"""),43402.684636273145)</f>
        <v>43402.68464</v>
      </c>
      <c r="B3169" t="s">
        <v>350</v>
      </c>
    </row>
    <row r="3170">
      <c r="A3170" s="32">
        <f>IFERROR(__xludf.DUMMYFUNCTION("""COMPUTED_VALUE"""),43402.69228127315)</f>
        <v>43402.69228</v>
      </c>
      <c r="B3170" t="s">
        <v>40</v>
      </c>
    </row>
    <row r="3171">
      <c r="A3171" s="32">
        <f>IFERROR(__xludf.DUMMYFUNCTION("""COMPUTED_VALUE"""),43402.71267494213)</f>
        <v>43402.71267</v>
      </c>
      <c r="B3171" t="s">
        <v>2746</v>
      </c>
    </row>
    <row r="3172">
      <c r="A3172" s="32">
        <f>IFERROR(__xludf.DUMMYFUNCTION("""COMPUTED_VALUE"""),43402.769038495375)</f>
        <v>43402.76904</v>
      </c>
      <c r="B3172" t="s">
        <v>80</v>
      </c>
    </row>
    <row r="3173">
      <c r="A3173" s="32">
        <f>IFERROR(__xludf.DUMMYFUNCTION("""COMPUTED_VALUE"""),43402.77692185185)</f>
        <v>43402.77692</v>
      </c>
      <c r="B3173" t="s">
        <v>2774</v>
      </c>
    </row>
    <row r="3174">
      <c r="A3174" s="32">
        <f>IFERROR(__xludf.DUMMYFUNCTION("""COMPUTED_VALUE"""),43402.80459579861)</f>
        <v>43402.8046</v>
      </c>
      <c r="B3174" t="s">
        <v>371</v>
      </c>
    </row>
    <row r="3175">
      <c r="A3175" s="32">
        <f>IFERROR(__xludf.DUMMYFUNCTION("""COMPUTED_VALUE"""),43402.86696652778)</f>
        <v>43402.86697</v>
      </c>
      <c r="B3175" t="s">
        <v>80</v>
      </c>
    </row>
    <row r="3176">
      <c r="A3176" s="32">
        <f>IFERROR(__xludf.DUMMYFUNCTION("""COMPUTED_VALUE"""),43402.945774074076)</f>
        <v>43402.94577</v>
      </c>
      <c r="B3176" t="s">
        <v>371</v>
      </c>
    </row>
    <row r="3177">
      <c r="A3177" s="32">
        <f>IFERROR(__xludf.DUMMYFUNCTION("""COMPUTED_VALUE"""),43402.97005561343)</f>
        <v>43402.97006</v>
      </c>
      <c r="B3177" t="s">
        <v>2127</v>
      </c>
    </row>
    <row r="3178">
      <c r="A3178" s="32">
        <f>IFERROR(__xludf.DUMMYFUNCTION("""COMPUTED_VALUE"""),43402.987948587965)</f>
        <v>43402.98795</v>
      </c>
      <c r="B3178" t="s">
        <v>33</v>
      </c>
    </row>
    <row r="3179">
      <c r="A3179" s="32">
        <f>IFERROR(__xludf.DUMMYFUNCTION("""COMPUTED_VALUE"""),43403.06876253472)</f>
        <v>43403.06876</v>
      </c>
      <c r="B3179" t="s">
        <v>256</v>
      </c>
    </row>
    <row r="3180">
      <c r="A3180" s="32">
        <f>IFERROR(__xludf.DUMMYFUNCTION("""COMPUTED_VALUE"""),43403.285583969904)</f>
        <v>43403.28558</v>
      </c>
      <c r="B3180" t="s">
        <v>80</v>
      </c>
    </row>
    <row r="3181">
      <c r="A3181" s="32">
        <f>IFERROR(__xludf.DUMMYFUNCTION("""COMPUTED_VALUE"""),43403.410995115744)</f>
        <v>43403.411</v>
      </c>
      <c r="B3181" t="s">
        <v>119</v>
      </c>
    </row>
    <row r="3182">
      <c r="A3182" s="32">
        <f>IFERROR(__xludf.DUMMYFUNCTION("""COMPUTED_VALUE"""),43403.43061365741)</f>
        <v>43403.43061</v>
      </c>
      <c r="B3182" t="s">
        <v>2132</v>
      </c>
    </row>
    <row r="3183">
      <c r="A3183" s="32">
        <f>IFERROR(__xludf.DUMMYFUNCTION("""COMPUTED_VALUE"""),43403.5780665625)</f>
        <v>43403.57807</v>
      </c>
      <c r="B3183" t="s">
        <v>40</v>
      </c>
    </row>
    <row r="3184">
      <c r="A3184" s="32">
        <f>IFERROR(__xludf.DUMMYFUNCTION("""COMPUTED_VALUE"""),43403.596893622685)</f>
        <v>43403.59689</v>
      </c>
      <c r="B3184" t="s">
        <v>40</v>
      </c>
    </row>
    <row r="3185">
      <c r="A3185" s="32">
        <f>IFERROR(__xludf.DUMMYFUNCTION("""COMPUTED_VALUE"""),43403.604679282405)</f>
        <v>43403.60468</v>
      </c>
      <c r="B3185" t="s">
        <v>80</v>
      </c>
    </row>
    <row r="3186">
      <c r="A3186" s="32">
        <f>IFERROR(__xludf.DUMMYFUNCTION("""COMPUTED_VALUE"""),43403.68074560185)</f>
        <v>43403.68075</v>
      </c>
      <c r="B3186" t="s">
        <v>2098</v>
      </c>
    </row>
    <row r="3187">
      <c r="A3187" s="32">
        <f>IFERROR(__xludf.DUMMYFUNCTION("""COMPUTED_VALUE"""),43403.7109)</f>
        <v>43403.7109</v>
      </c>
      <c r="B3187" t="s">
        <v>268</v>
      </c>
    </row>
    <row r="3188">
      <c r="A3188" s="32">
        <f>IFERROR(__xludf.DUMMYFUNCTION("""COMPUTED_VALUE"""),43403.834112916666)</f>
        <v>43403.83411</v>
      </c>
      <c r="B3188" t="s">
        <v>33</v>
      </c>
    </row>
    <row r="3189">
      <c r="A3189" s="32">
        <f>IFERROR(__xludf.DUMMYFUNCTION("""COMPUTED_VALUE"""),43403.91537962963)</f>
        <v>43403.91538</v>
      </c>
      <c r="B3189" t="s">
        <v>80</v>
      </c>
    </row>
    <row r="3190">
      <c r="A3190" s="32">
        <f>IFERROR(__xludf.DUMMYFUNCTION("""COMPUTED_VALUE"""),43404.19529567129)</f>
        <v>43404.1953</v>
      </c>
      <c r="B3190" t="s">
        <v>722</v>
      </c>
    </row>
    <row r="3191">
      <c r="A3191" s="32">
        <f>IFERROR(__xludf.DUMMYFUNCTION("""COMPUTED_VALUE"""),43404.34391539352)</f>
        <v>43404.34392</v>
      </c>
      <c r="B3191" t="s">
        <v>154</v>
      </c>
    </row>
    <row r="3192">
      <c r="A3192" s="32">
        <f>IFERROR(__xludf.DUMMYFUNCTION("""COMPUTED_VALUE"""),43404.42467623843)</f>
        <v>43404.42468</v>
      </c>
      <c r="B3192" t="s">
        <v>2775</v>
      </c>
    </row>
    <row r="3193">
      <c r="A3193" s="32">
        <f>IFERROR(__xludf.DUMMYFUNCTION("""COMPUTED_VALUE"""),43404.483640833336)</f>
        <v>43404.48364</v>
      </c>
      <c r="B3193" t="s">
        <v>40</v>
      </c>
    </row>
    <row r="3194">
      <c r="A3194" s="32">
        <f>IFERROR(__xludf.DUMMYFUNCTION("""COMPUTED_VALUE"""),43404.56082545139)</f>
        <v>43404.56083</v>
      </c>
      <c r="B3194" t="s">
        <v>170</v>
      </c>
    </row>
    <row r="3195">
      <c r="A3195" s="32">
        <f>IFERROR(__xludf.DUMMYFUNCTION("""COMPUTED_VALUE"""),43404.573274421295)</f>
        <v>43404.57327</v>
      </c>
      <c r="B3195" t="s">
        <v>40</v>
      </c>
    </row>
    <row r="3196">
      <c r="A3196" s="32">
        <f>IFERROR(__xludf.DUMMYFUNCTION("""COMPUTED_VALUE"""),43404.613222685184)</f>
        <v>43404.61322</v>
      </c>
      <c r="B3196" t="s">
        <v>40</v>
      </c>
    </row>
    <row r="3197">
      <c r="A3197" s="32">
        <f>IFERROR(__xludf.DUMMYFUNCTION("""COMPUTED_VALUE"""),43404.64766043982)</f>
        <v>43404.64766</v>
      </c>
      <c r="B3197" t="s">
        <v>40</v>
      </c>
    </row>
    <row r="3198">
      <c r="A3198" s="32">
        <f>IFERROR(__xludf.DUMMYFUNCTION("""COMPUTED_VALUE"""),43404.65028141203)</f>
        <v>43404.65028</v>
      </c>
      <c r="B3198" t="s">
        <v>33</v>
      </c>
    </row>
    <row r="3199">
      <c r="A3199" s="32">
        <f>IFERROR(__xludf.DUMMYFUNCTION("""COMPUTED_VALUE"""),43404.65048689814)</f>
        <v>43404.65049</v>
      </c>
      <c r="B3199" t="s">
        <v>2147</v>
      </c>
    </row>
    <row r="3200">
      <c r="A3200" s="32">
        <f>IFERROR(__xludf.DUMMYFUNCTION("""COMPUTED_VALUE"""),43404.65637091435)</f>
        <v>43404.65637</v>
      </c>
      <c r="B3200" t="s">
        <v>48</v>
      </c>
    </row>
    <row r="3201">
      <c r="A3201" s="32">
        <f>IFERROR(__xludf.DUMMYFUNCTION("""COMPUTED_VALUE"""),43404.65716520834)</f>
        <v>43404.65717</v>
      </c>
      <c r="B3201" t="s">
        <v>48</v>
      </c>
    </row>
    <row r="3202">
      <c r="A3202" s="32">
        <f>IFERROR(__xludf.DUMMYFUNCTION("""COMPUTED_VALUE"""),43404.66013440972)</f>
        <v>43404.66013</v>
      </c>
      <c r="B3202" t="s">
        <v>40</v>
      </c>
    </row>
    <row r="3203">
      <c r="A3203" s="32">
        <f>IFERROR(__xludf.DUMMYFUNCTION("""COMPUTED_VALUE"""),43404.661408125)</f>
        <v>43404.66141</v>
      </c>
      <c r="B3203" t="s">
        <v>80</v>
      </c>
    </row>
    <row r="3204">
      <c r="A3204" s="32">
        <f>IFERROR(__xludf.DUMMYFUNCTION("""COMPUTED_VALUE"""),43404.662542997685)</f>
        <v>43404.66254</v>
      </c>
      <c r="B3204" t="s">
        <v>1636</v>
      </c>
    </row>
    <row r="3205">
      <c r="A3205" s="32">
        <f>IFERROR(__xludf.DUMMYFUNCTION("""COMPUTED_VALUE"""),43404.662550532405)</f>
        <v>43404.66255</v>
      </c>
      <c r="B3205" t="s">
        <v>1636</v>
      </c>
    </row>
    <row r="3206">
      <c r="A3206" s="32">
        <f>IFERROR(__xludf.DUMMYFUNCTION("""COMPUTED_VALUE"""),43404.664579317134)</f>
        <v>43404.66458</v>
      </c>
      <c r="B3206" t="s">
        <v>45</v>
      </c>
    </row>
    <row r="3207">
      <c r="A3207" s="32">
        <f>IFERROR(__xludf.DUMMYFUNCTION("""COMPUTED_VALUE"""),43404.66519987269)</f>
        <v>43404.6652</v>
      </c>
      <c r="B3207" t="s">
        <v>45</v>
      </c>
    </row>
    <row r="3208">
      <c r="A3208" s="32">
        <f>IFERROR(__xludf.DUMMYFUNCTION("""COMPUTED_VALUE"""),43404.666907245366)</f>
        <v>43404.66691</v>
      </c>
      <c r="B3208" t="s">
        <v>2148</v>
      </c>
    </row>
    <row r="3209">
      <c r="A3209" s="32">
        <f>IFERROR(__xludf.DUMMYFUNCTION("""COMPUTED_VALUE"""),43404.6770550463)</f>
        <v>43404.67706</v>
      </c>
      <c r="B3209" t="s">
        <v>80</v>
      </c>
    </row>
    <row r="3210">
      <c r="A3210" s="32">
        <f>IFERROR(__xludf.DUMMYFUNCTION("""COMPUTED_VALUE"""),43404.68071997685)</f>
        <v>43404.68072</v>
      </c>
      <c r="B3210" t="s">
        <v>40</v>
      </c>
    </row>
    <row r="3211">
      <c r="A3211" s="32">
        <f>IFERROR(__xludf.DUMMYFUNCTION("""COMPUTED_VALUE"""),43404.684250763894)</f>
        <v>43404.68425</v>
      </c>
      <c r="B3211" t="s">
        <v>48</v>
      </c>
    </row>
    <row r="3212">
      <c r="A3212" s="32">
        <f>IFERROR(__xludf.DUMMYFUNCTION("""COMPUTED_VALUE"""),43404.6844819213)</f>
        <v>43404.68448</v>
      </c>
      <c r="B3212" t="s">
        <v>548</v>
      </c>
    </row>
    <row r="3213">
      <c r="A3213" s="32">
        <f>IFERROR(__xludf.DUMMYFUNCTION("""COMPUTED_VALUE"""),43404.68532201389)</f>
        <v>43404.68532</v>
      </c>
      <c r="B3213" t="s">
        <v>380</v>
      </c>
    </row>
    <row r="3214">
      <c r="A3214" s="32">
        <f>IFERROR(__xludf.DUMMYFUNCTION("""COMPUTED_VALUE"""),43404.687209606476)</f>
        <v>43404.68721</v>
      </c>
      <c r="B3214" t="s">
        <v>36</v>
      </c>
    </row>
    <row r="3215">
      <c r="A3215" s="32">
        <f>IFERROR(__xludf.DUMMYFUNCTION("""COMPUTED_VALUE"""),43404.68864158565)</f>
        <v>43404.68864</v>
      </c>
      <c r="B3215" t="s">
        <v>48</v>
      </c>
    </row>
    <row r="3216">
      <c r="A3216" s="32">
        <f>IFERROR(__xludf.DUMMYFUNCTION("""COMPUTED_VALUE"""),43404.69052278935)</f>
        <v>43404.69052</v>
      </c>
      <c r="B3216" t="s">
        <v>123</v>
      </c>
    </row>
    <row r="3217">
      <c r="A3217" s="32">
        <f>IFERROR(__xludf.DUMMYFUNCTION("""COMPUTED_VALUE"""),43404.692390578704)</f>
        <v>43404.69239</v>
      </c>
      <c r="B3217" t="s">
        <v>33</v>
      </c>
    </row>
    <row r="3218">
      <c r="A3218" s="32">
        <f>IFERROR(__xludf.DUMMYFUNCTION("""COMPUTED_VALUE"""),43404.69384677084)</f>
        <v>43404.69385</v>
      </c>
      <c r="B3218" t="s">
        <v>157</v>
      </c>
    </row>
    <row r="3219">
      <c r="A3219" s="32">
        <f>IFERROR(__xludf.DUMMYFUNCTION("""COMPUTED_VALUE"""),43404.69882832176)</f>
        <v>43404.69883</v>
      </c>
      <c r="B3219" t="s">
        <v>45</v>
      </c>
    </row>
    <row r="3220">
      <c r="A3220" s="32">
        <f>IFERROR(__xludf.DUMMYFUNCTION("""COMPUTED_VALUE"""),43404.69899269676)</f>
        <v>43404.69899</v>
      </c>
      <c r="B3220" t="s">
        <v>664</v>
      </c>
    </row>
    <row r="3221">
      <c r="A3221" s="32">
        <f>IFERROR(__xludf.DUMMYFUNCTION("""COMPUTED_VALUE"""),43404.699470011576)</f>
        <v>43404.69947</v>
      </c>
      <c r="B3221" t="s">
        <v>45</v>
      </c>
    </row>
    <row r="3222">
      <c r="A3222" s="32">
        <f>IFERROR(__xludf.DUMMYFUNCTION("""COMPUTED_VALUE"""),43404.69959921297)</f>
        <v>43404.6996</v>
      </c>
      <c r="B3222" t="s">
        <v>33</v>
      </c>
    </row>
    <row r="3223">
      <c r="A3223" s="32">
        <f>IFERROR(__xludf.DUMMYFUNCTION("""COMPUTED_VALUE"""),43404.70107502315)</f>
        <v>43404.70108</v>
      </c>
      <c r="B3223" t="s">
        <v>33</v>
      </c>
    </row>
    <row r="3224">
      <c r="A3224" s="32">
        <f>IFERROR(__xludf.DUMMYFUNCTION("""COMPUTED_VALUE"""),43404.70227489583)</f>
        <v>43404.70227</v>
      </c>
      <c r="B3224" t="s">
        <v>124</v>
      </c>
    </row>
    <row r="3225">
      <c r="A3225" s="32">
        <f>IFERROR(__xludf.DUMMYFUNCTION("""COMPUTED_VALUE"""),43404.70374783565)</f>
        <v>43404.70375</v>
      </c>
      <c r="B3225" t="s">
        <v>80</v>
      </c>
    </row>
    <row r="3226">
      <c r="A3226" s="32">
        <f>IFERROR(__xludf.DUMMYFUNCTION("""COMPUTED_VALUE"""),43404.70748109954)</f>
        <v>43404.70748</v>
      </c>
      <c r="B3226" t="s">
        <v>154</v>
      </c>
    </row>
    <row r="3227">
      <c r="A3227" s="32">
        <f>IFERROR(__xludf.DUMMYFUNCTION("""COMPUTED_VALUE"""),43404.70774990741)</f>
        <v>43404.70775</v>
      </c>
      <c r="B3227" t="s">
        <v>40</v>
      </c>
    </row>
    <row r="3228">
      <c r="A3228" s="32">
        <f>IFERROR(__xludf.DUMMYFUNCTION("""COMPUTED_VALUE"""),43404.70782282407)</f>
        <v>43404.70782</v>
      </c>
      <c r="B3228" t="s">
        <v>40</v>
      </c>
    </row>
    <row r="3229">
      <c r="A3229" s="32">
        <f>IFERROR(__xludf.DUMMYFUNCTION("""COMPUTED_VALUE"""),43404.70806246527)</f>
        <v>43404.70806</v>
      </c>
      <c r="B3229" t="s">
        <v>187</v>
      </c>
    </row>
    <row r="3230">
      <c r="A3230" s="32">
        <f>IFERROR(__xludf.DUMMYFUNCTION("""COMPUTED_VALUE"""),43404.711271712964)</f>
        <v>43404.71127</v>
      </c>
      <c r="B3230" t="s">
        <v>40</v>
      </c>
    </row>
    <row r="3231">
      <c r="A3231" s="32">
        <f>IFERROR(__xludf.DUMMYFUNCTION("""COMPUTED_VALUE"""),43404.71151190972)</f>
        <v>43404.71151</v>
      </c>
      <c r="B3231" t="s">
        <v>25</v>
      </c>
    </row>
    <row r="3232">
      <c r="A3232" s="32">
        <f>IFERROR(__xludf.DUMMYFUNCTION("""COMPUTED_VALUE"""),43404.71160821759)</f>
        <v>43404.71161</v>
      </c>
      <c r="B3232" t="s">
        <v>45</v>
      </c>
    </row>
    <row r="3233">
      <c r="A3233" s="32">
        <f>IFERROR(__xludf.DUMMYFUNCTION("""COMPUTED_VALUE"""),43404.711722569446)</f>
        <v>43404.71172</v>
      </c>
      <c r="B3233" t="s">
        <v>80</v>
      </c>
    </row>
    <row r="3234">
      <c r="A3234" s="32">
        <f>IFERROR(__xludf.DUMMYFUNCTION("""COMPUTED_VALUE"""),43404.7148525)</f>
        <v>43404.71485</v>
      </c>
      <c r="B3234" t="s">
        <v>2157</v>
      </c>
    </row>
    <row r="3235">
      <c r="A3235" s="32">
        <f>IFERROR(__xludf.DUMMYFUNCTION("""COMPUTED_VALUE"""),43404.715071875005)</f>
        <v>43404.71507</v>
      </c>
      <c r="B3235" t="s">
        <v>48</v>
      </c>
    </row>
    <row r="3236">
      <c r="A3236" s="32">
        <f>IFERROR(__xludf.DUMMYFUNCTION("""COMPUTED_VALUE"""),43404.71642660879)</f>
        <v>43404.71643</v>
      </c>
      <c r="B3236" t="s">
        <v>48</v>
      </c>
    </row>
    <row r="3237">
      <c r="A3237" s="32">
        <f>IFERROR(__xludf.DUMMYFUNCTION("""COMPUTED_VALUE"""),43404.717397025466)</f>
        <v>43404.7174</v>
      </c>
      <c r="B3237" t="s">
        <v>258</v>
      </c>
    </row>
    <row r="3238">
      <c r="A3238" s="32">
        <f>IFERROR(__xludf.DUMMYFUNCTION("""COMPUTED_VALUE"""),43404.71784254629)</f>
        <v>43404.71784</v>
      </c>
      <c r="B3238" t="s">
        <v>48</v>
      </c>
    </row>
    <row r="3239">
      <c r="A3239" s="32">
        <f>IFERROR(__xludf.DUMMYFUNCTION("""COMPUTED_VALUE"""),43404.71991881944)</f>
        <v>43404.71992</v>
      </c>
      <c r="B3239" t="s">
        <v>428</v>
      </c>
    </row>
    <row r="3240">
      <c r="A3240" s="32">
        <f>IFERROR(__xludf.DUMMYFUNCTION("""COMPUTED_VALUE"""),43404.72061981482)</f>
        <v>43404.72062</v>
      </c>
      <c r="B3240" t="s">
        <v>350</v>
      </c>
    </row>
    <row r="3241">
      <c r="A3241" s="32">
        <f>IFERROR(__xludf.DUMMYFUNCTION("""COMPUTED_VALUE"""),43404.72082474537)</f>
        <v>43404.72082</v>
      </c>
      <c r="B3241" t="s">
        <v>33</v>
      </c>
    </row>
    <row r="3242">
      <c r="A3242" s="32">
        <f>IFERROR(__xludf.DUMMYFUNCTION("""COMPUTED_VALUE"""),43404.72088607639)</f>
        <v>43404.72089</v>
      </c>
      <c r="B3242" t="s">
        <v>33</v>
      </c>
    </row>
    <row r="3243">
      <c r="A3243" s="32">
        <f>IFERROR(__xludf.DUMMYFUNCTION("""COMPUTED_VALUE"""),43404.72134023148)</f>
        <v>43404.72134</v>
      </c>
      <c r="B3243" t="s">
        <v>950</v>
      </c>
    </row>
    <row r="3244">
      <c r="A3244" s="32">
        <f>IFERROR(__xludf.DUMMYFUNCTION("""COMPUTED_VALUE"""),43404.721417928246)</f>
        <v>43404.72142</v>
      </c>
      <c r="B3244" t="s">
        <v>2159</v>
      </c>
    </row>
    <row r="3245">
      <c r="A3245" s="32">
        <f>IFERROR(__xludf.DUMMYFUNCTION("""COMPUTED_VALUE"""),43404.723964537035)</f>
        <v>43404.72396</v>
      </c>
      <c r="B3245" t="s">
        <v>45</v>
      </c>
    </row>
    <row r="3246">
      <c r="A3246" s="32">
        <f>IFERROR(__xludf.DUMMYFUNCTION("""COMPUTED_VALUE"""),43404.72572008102)</f>
        <v>43404.72572</v>
      </c>
      <c r="B3246" t="s">
        <v>40</v>
      </c>
    </row>
    <row r="3247">
      <c r="A3247" s="32">
        <f>IFERROR(__xludf.DUMMYFUNCTION("""COMPUTED_VALUE"""),43404.72611178241)</f>
        <v>43404.72611</v>
      </c>
      <c r="B3247" t="s">
        <v>80</v>
      </c>
    </row>
    <row r="3248">
      <c r="A3248" s="32">
        <f>IFERROR(__xludf.DUMMYFUNCTION("""COMPUTED_VALUE"""),43404.72701454861)</f>
        <v>43404.72701</v>
      </c>
      <c r="B3248" t="s">
        <v>282</v>
      </c>
    </row>
    <row r="3249">
      <c r="A3249" s="32">
        <f>IFERROR(__xludf.DUMMYFUNCTION("""COMPUTED_VALUE"""),43404.72745907407)</f>
        <v>43404.72746</v>
      </c>
      <c r="B3249" t="s">
        <v>36</v>
      </c>
    </row>
    <row r="3250">
      <c r="A3250" s="32">
        <f>IFERROR(__xludf.DUMMYFUNCTION("""COMPUTED_VALUE"""),43404.7276962037)</f>
        <v>43404.7277</v>
      </c>
      <c r="B3250" t="s">
        <v>256</v>
      </c>
    </row>
    <row r="3251">
      <c r="A3251" s="32">
        <f>IFERROR(__xludf.DUMMYFUNCTION("""COMPUTED_VALUE"""),43404.72959567129)</f>
        <v>43404.7296</v>
      </c>
      <c r="B3251" t="s">
        <v>33</v>
      </c>
    </row>
    <row r="3252">
      <c r="A3252" s="32">
        <f>IFERROR(__xludf.DUMMYFUNCTION("""COMPUTED_VALUE"""),43404.731516087966)</f>
        <v>43404.73152</v>
      </c>
      <c r="B3252" t="s">
        <v>80</v>
      </c>
    </row>
    <row r="3253">
      <c r="A3253" s="32">
        <f>IFERROR(__xludf.DUMMYFUNCTION("""COMPUTED_VALUE"""),43404.73145554398)</f>
        <v>43404.73146</v>
      </c>
      <c r="B3253" t="s">
        <v>523</v>
      </c>
    </row>
    <row r="3254">
      <c r="A3254" s="32">
        <f>IFERROR(__xludf.DUMMYFUNCTION("""COMPUTED_VALUE"""),43404.73190344908)</f>
        <v>43404.7319</v>
      </c>
      <c r="B3254" t="s">
        <v>48</v>
      </c>
    </row>
    <row r="3255">
      <c r="A3255" s="32">
        <f>IFERROR(__xludf.DUMMYFUNCTION("""COMPUTED_VALUE"""),43404.732391377314)</f>
        <v>43404.73239</v>
      </c>
      <c r="B3255" t="s">
        <v>80</v>
      </c>
    </row>
    <row r="3256">
      <c r="A3256" s="32">
        <f>IFERROR(__xludf.DUMMYFUNCTION("""COMPUTED_VALUE"""),43404.732665034724)</f>
        <v>43404.73267</v>
      </c>
      <c r="B3256" t="s">
        <v>187</v>
      </c>
    </row>
    <row r="3257">
      <c r="A3257" s="32">
        <f>IFERROR(__xludf.DUMMYFUNCTION("""COMPUTED_VALUE"""),43404.73305241898)</f>
        <v>43404.73305</v>
      </c>
      <c r="B3257" t="s">
        <v>40</v>
      </c>
    </row>
    <row r="3258">
      <c r="A3258" s="32">
        <f>IFERROR(__xludf.DUMMYFUNCTION("""COMPUTED_VALUE"""),43404.73326300926)</f>
        <v>43404.73326</v>
      </c>
      <c r="B3258" t="s">
        <v>2167</v>
      </c>
    </row>
    <row r="3259">
      <c r="A3259" s="32">
        <f>IFERROR(__xludf.DUMMYFUNCTION("""COMPUTED_VALUE"""),43404.73472390046)</f>
        <v>43404.73472</v>
      </c>
      <c r="B3259" t="s">
        <v>2776</v>
      </c>
    </row>
    <row r="3260">
      <c r="A3260" s="32">
        <f>IFERROR(__xludf.DUMMYFUNCTION("""COMPUTED_VALUE"""),43404.73629576389)</f>
        <v>43404.7363</v>
      </c>
      <c r="B3260" t="s">
        <v>1196</v>
      </c>
    </row>
    <row r="3261">
      <c r="A3261" s="32">
        <f>IFERROR(__xludf.DUMMYFUNCTION("""COMPUTED_VALUE"""),43404.73722466435)</f>
        <v>43404.73722</v>
      </c>
      <c r="B3261" t="s">
        <v>80</v>
      </c>
    </row>
    <row r="3262">
      <c r="A3262" s="32">
        <f>IFERROR(__xludf.DUMMYFUNCTION("""COMPUTED_VALUE"""),43404.738991377315)</f>
        <v>43404.73899</v>
      </c>
      <c r="B3262" t="s">
        <v>80</v>
      </c>
    </row>
    <row r="3263">
      <c r="A3263" s="32">
        <f>IFERROR(__xludf.DUMMYFUNCTION("""COMPUTED_VALUE"""),43404.73912221065)</f>
        <v>43404.73912</v>
      </c>
      <c r="B3263" t="s">
        <v>33</v>
      </c>
    </row>
    <row r="3264">
      <c r="A3264" s="32">
        <f>IFERROR(__xludf.DUMMYFUNCTION("""COMPUTED_VALUE"""),43404.73948704861)</f>
        <v>43404.73949</v>
      </c>
      <c r="B3264" t="s">
        <v>2777</v>
      </c>
    </row>
    <row r="3265">
      <c r="A3265" s="32">
        <f>IFERROR(__xludf.DUMMYFUNCTION("""COMPUTED_VALUE"""),43404.742007824076)</f>
        <v>43404.74201</v>
      </c>
      <c r="B3265" t="s">
        <v>173</v>
      </c>
    </row>
    <row r="3266">
      <c r="A3266" s="32">
        <f>IFERROR(__xludf.DUMMYFUNCTION("""COMPUTED_VALUE"""),43404.74274840278)</f>
        <v>43404.74275</v>
      </c>
      <c r="B3266" t="s">
        <v>2172</v>
      </c>
    </row>
    <row r="3267">
      <c r="A3267" s="32">
        <f>IFERROR(__xludf.DUMMYFUNCTION("""COMPUTED_VALUE"""),43404.74346641204)</f>
        <v>43404.74347</v>
      </c>
      <c r="B3267" t="s">
        <v>80</v>
      </c>
    </row>
    <row r="3268">
      <c r="A3268" s="32">
        <f>IFERROR(__xludf.DUMMYFUNCTION("""COMPUTED_VALUE"""),43404.744585023145)</f>
        <v>43404.74459</v>
      </c>
      <c r="B3268" t="s">
        <v>123</v>
      </c>
    </row>
    <row r="3269">
      <c r="A3269" s="32">
        <f>IFERROR(__xludf.DUMMYFUNCTION("""COMPUTED_VALUE"""),43404.745109027775)</f>
        <v>43404.74511</v>
      </c>
      <c r="B3269" t="s">
        <v>2175</v>
      </c>
    </row>
    <row r="3270">
      <c r="A3270" s="32">
        <f>IFERROR(__xludf.DUMMYFUNCTION("""COMPUTED_VALUE"""),43404.74518986111)</f>
        <v>43404.74519</v>
      </c>
      <c r="B3270" t="s">
        <v>664</v>
      </c>
    </row>
    <row r="3271">
      <c r="A3271" s="32">
        <f>IFERROR(__xludf.DUMMYFUNCTION("""COMPUTED_VALUE"""),43404.74668515046)</f>
        <v>43404.74669</v>
      </c>
      <c r="B3271" t="s">
        <v>2658</v>
      </c>
    </row>
    <row r="3272">
      <c r="A3272" s="32">
        <f>IFERROR(__xludf.DUMMYFUNCTION("""COMPUTED_VALUE"""),43404.74803773148)</f>
        <v>43404.74804</v>
      </c>
      <c r="B3272" t="s">
        <v>200</v>
      </c>
    </row>
    <row r="3273">
      <c r="A3273" s="32">
        <f>IFERROR(__xludf.DUMMYFUNCTION("""COMPUTED_VALUE"""),43404.74907643518)</f>
        <v>43404.74908</v>
      </c>
      <c r="B3273" t="s">
        <v>2178</v>
      </c>
    </row>
    <row r="3274">
      <c r="A3274" s="32">
        <f>IFERROR(__xludf.DUMMYFUNCTION("""COMPUTED_VALUE"""),43404.74925972222)</f>
        <v>43404.74926</v>
      </c>
      <c r="B3274" t="s">
        <v>25</v>
      </c>
    </row>
    <row r="3275">
      <c r="A3275" s="32">
        <f>IFERROR(__xludf.DUMMYFUNCTION("""COMPUTED_VALUE"""),43404.75153009259)</f>
        <v>43404.75153</v>
      </c>
      <c r="B3275" t="s">
        <v>40</v>
      </c>
    </row>
    <row r="3276">
      <c r="A3276" s="32">
        <f>IFERROR(__xludf.DUMMYFUNCTION("""COMPUTED_VALUE"""),43404.753098298606)</f>
        <v>43404.7531</v>
      </c>
      <c r="B3276" t="s">
        <v>852</v>
      </c>
    </row>
    <row r="3277">
      <c r="A3277" s="32">
        <f>IFERROR(__xludf.DUMMYFUNCTION("""COMPUTED_VALUE"""),43404.75314958333)</f>
        <v>43404.75315</v>
      </c>
      <c r="B3277" t="s">
        <v>33</v>
      </c>
    </row>
    <row r="3278">
      <c r="A3278" s="32">
        <f>IFERROR(__xludf.DUMMYFUNCTION("""COMPUTED_VALUE"""),43404.756914328704)</f>
        <v>43404.75691</v>
      </c>
      <c r="B3278" t="s">
        <v>2424</v>
      </c>
    </row>
    <row r="3279">
      <c r="A3279" s="32">
        <f>IFERROR(__xludf.DUMMYFUNCTION("""COMPUTED_VALUE"""),43404.75896283565)</f>
        <v>43404.75896</v>
      </c>
      <c r="B3279" t="s">
        <v>80</v>
      </c>
    </row>
    <row r="3280">
      <c r="A3280" s="32">
        <f>IFERROR(__xludf.DUMMYFUNCTION("""COMPUTED_VALUE"""),43404.75927497685)</f>
        <v>43404.75927</v>
      </c>
      <c r="B3280" t="s">
        <v>80</v>
      </c>
    </row>
    <row r="3281">
      <c r="A3281" s="32">
        <f>IFERROR(__xludf.DUMMYFUNCTION("""COMPUTED_VALUE"""),43404.760472106485)</f>
        <v>43404.76047</v>
      </c>
      <c r="B3281" t="s">
        <v>33</v>
      </c>
    </row>
    <row r="3282">
      <c r="A3282" s="32">
        <f>IFERROR(__xludf.DUMMYFUNCTION("""COMPUTED_VALUE"""),43404.76192821759)</f>
        <v>43404.76193</v>
      </c>
      <c r="B3282" t="s">
        <v>1371</v>
      </c>
    </row>
    <row r="3283">
      <c r="A3283" s="32">
        <f>IFERROR(__xludf.DUMMYFUNCTION("""COMPUTED_VALUE"""),43404.76208670139)</f>
        <v>43404.76209</v>
      </c>
      <c r="B3283" t="s">
        <v>2778</v>
      </c>
    </row>
    <row r="3284">
      <c r="A3284" s="32">
        <f>IFERROR(__xludf.DUMMYFUNCTION("""COMPUTED_VALUE"""),43404.76367806713)</f>
        <v>43404.76368</v>
      </c>
      <c r="B3284" t="s">
        <v>48</v>
      </c>
    </row>
    <row r="3285">
      <c r="A3285" s="32">
        <f>IFERROR(__xludf.DUMMYFUNCTION("""COMPUTED_VALUE"""),43404.764404201385)</f>
        <v>43404.7644</v>
      </c>
      <c r="B3285" t="s">
        <v>154</v>
      </c>
    </row>
    <row r="3286">
      <c r="A3286" s="32">
        <f>IFERROR(__xludf.DUMMYFUNCTION("""COMPUTED_VALUE"""),43404.76509380787)</f>
        <v>43404.76509</v>
      </c>
      <c r="B3286" t="s">
        <v>80</v>
      </c>
    </row>
    <row r="3287">
      <c r="A3287" s="32">
        <f>IFERROR(__xludf.DUMMYFUNCTION("""COMPUTED_VALUE"""),43404.76513429398)</f>
        <v>43404.76513</v>
      </c>
      <c r="B3287" t="s">
        <v>256</v>
      </c>
    </row>
    <row r="3288">
      <c r="A3288" s="32">
        <f>IFERROR(__xludf.DUMMYFUNCTION("""COMPUTED_VALUE"""),43404.76564267361)</f>
        <v>43404.76564</v>
      </c>
      <c r="B3288" t="s">
        <v>25</v>
      </c>
    </row>
    <row r="3289">
      <c r="A3289" s="32">
        <f>IFERROR(__xludf.DUMMYFUNCTION("""COMPUTED_VALUE"""),43404.76587207176)</f>
        <v>43404.76587</v>
      </c>
      <c r="B3289" t="s">
        <v>268</v>
      </c>
    </row>
    <row r="3290">
      <c r="A3290" s="32">
        <f>IFERROR(__xludf.DUMMYFUNCTION("""COMPUTED_VALUE"""),43404.76640876157)</f>
        <v>43404.76641</v>
      </c>
      <c r="B3290" t="s">
        <v>33</v>
      </c>
    </row>
    <row r="3291">
      <c r="A3291" s="32">
        <f>IFERROR(__xludf.DUMMYFUNCTION("""COMPUTED_VALUE"""),43404.76737266204)</f>
        <v>43404.76737</v>
      </c>
      <c r="B3291" t="s">
        <v>33</v>
      </c>
    </row>
    <row r="3292">
      <c r="A3292" s="32">
        <f>IFERROR(__xludf.DUMMYFUNCTION("""COMPUTED_VALUE"""),43404.76771231482)</f>
        <v>43404.76771</v>
      </c>
      <c r="B3292" t="s">
        <v>48</v>
      </c>
    </row>
    <row r="3293">
      <c r="A3293" s="32">
        <f>IFERROR(__xludf.DUMMYFUNCTION("""COMPUTED_VALUE"""),43404.768330833336)</f>
        <v>43404.76833</v>
      </c>
      <c r="B3293" t="s">
        <v>256</v>
      </c>
    </row>
    <row r="3294">
      <c r="A3294" s="32">
        <f>IFERROR(__xludf.DUMMYFUNCTION("""COMPUTED_VALUE"""),43404.769404375)</f>
        <v>43404.7694</v>
      </c>
      <c r="B3294" t="s">
        <v>48</v>
      </c>
    </row>
    <row r="3295">
      <c r="A3295" s="32">
        <f>IFERROR(__xludf.DUMMYFUNCTION("""COMPUTED_VALUE"""),43404.772400173606)</f>
        <v>43404.7724</v>
      </c>
      <c r="B3295" t="s">
        <v>2424</v>
      </c>
    </row>
    <row r="3296">
      <c r="A3296" s="32">
        <f>IFERROR(__xludf.DUMMYFUNCTION("""COMPUTED_VALUE"""),43404.77362142361)</f>
        <v>43404.77362</v>
      </c>
      <c r="B3296" t="s">
        <v>2779</v>
      </c>
    </row>
    <row r="3297">
      <c r="A3297" s="32">
        <f>IFERROR(__xludf.DUMMYFUNCTION("""COMPUTED_VALUE"""),43404.774559224534)</f>
        <v>43404.77456</v>
      </c>
      <c r="B3297" t="s">
        <v>40</v>
      </c>
    </row>
    <row r="3298">
      <c r="A3298" s="32">
        <f>IFERROR(__xludf.DUMMYFUNCTION("""COMPUTED_VALUE"""),43404.77512021991)</f>
        <v>43404.77512</v>
      </c>
      <c r="B3298" t="s">
        <v>2190</v>
      </c>
    </row>
    <row r="3299">
      <c r="A3299" s="32">
        <f>IFERROR(__xludf.DUMMYFUNCTION("""COMPUTED_VALUE"""),43404.77755600694)</f>
        <v>43404.77756</v>
      </c>
      <c r="B3299" t="s">
        <v>80</v>
      </c>
    </row>
    <row r="3300">
      <c r="A3300" s="32">
        <f>IFERROR(__xludf.DUMMYFUNCTION("""COMPUTED_VALUE"""),43404.77755834491)</f>
        <v>43404.77756</v>
      </c>
      <c r="B3300" t="s">
        <v>2780</v>
      </c>
    </row>
    <row r="3301">
      <c r="A3301" s="32">
        <f>IFERROR(__xludf.DUMMYFUNCTION("""COMPUTED_VALUE"""),43404.77909358796)</f>
        <v>43404.77909</v>
      </c>
      <c r="B3301" t="s">
        <v>48</v>
      </c>
    </row>
    <row r="3302">
      <c r="A3302" s="32">
        <f>IFERROR(__xludf.DUMMYFUNCTION("""COMPUTED_VALUE"""),43404.782928298606)</f>
        <v>43404.78293</v>
      </c>
      <c r="B3302" t="s">
        <v>2195</v>
      </c>
    </row>
    <row r="3303">
      <c r="A3303" s="32">
        <f>IFERROR(__xludf.DUMMYFUNCTION("""COMPUTED_VALUE"""),43404.783020856485)</f>
        <v>43404.78302</v>
      </c>
      <c r="B3303" t="s">
        <v>40</v>
      </c>
    </row>
    <row r="3304">
      <c r="A3304" s="32">
        <f>IFERROR(__xludf.DUMMYFUNCTION("""COMPUTED_VALUE"""),43404.7844778125)</f>
        <v>43404.78448</v>
      </c>
      <c r="B3304" t="s">
        <v>80</v>
      </c>
    </row>
    <row r="3305">
      <c r="A3305" s="32">
        <f>IFERROR(__xludf.DUMMYFUNCTION("""COMPUTED_VALUE"""),43404.786710370376)</f>
        <v>43404.78671</v>
      </c>
      <c r="B3305" t="s">
        <v>80</v>
      </c>
    </row>
    <row r="3306">
      <c r="A3306" s="32">
        <f>IFERROR(__xludf.DUMMYFUNCTION("""COMPUTED_VALUE"""),43404.787698182874)</f>
        <v>43404.7877</v>
      </c>
      <c r="B3306" t="s">
        <v>36</v>
      </c>
    </row>
    <row r="3307">
      <c r="A3307" s="32">
        <f>IFERROR(__xludf.DUMMYFUNCTION("""COMPUTED_VALUE"""),43404.788328229166)</f>
        <v>43404.78833</v>
      </c>
      <c r="B3307" t="s">
        <v>80</v>
      </c>
    </row>
    <row r="3308">
      <c r="A3308" s="32">
        <f>IFERROR(__xludf.DUMMYFUNCTION("""COMPUTED_VALUE"""),43404.790521863426)</f>
        <v>43404.79052</v>
      </c>
      <c r="B3308" t="s">
        <v>80</v>
      </c>
    </row>
    <row r="3309">
      <c r="A3309" s="32">
        <f>IFERROR(__xludf.DUMMYFUNCTION("""COMPUTED_VALUE"""),43404.790844953706)</f>
        <v>43404.79084</v>
      </c>
      <c r="B3309" t="s">
        <v>45</v>
      </c>
    </row>
    <row r="3310">
      <c r="A3310" s="32">
        <f>IFERROR(__xludf.DUMMYFUNCTION("""COMPUTED_VALUE"""),43404.79155234953)</f>
        <v>43404.79155</v>
      </c>
      <c r="B3310" t="s">
        <v>268</v>
      </c>
    </row>
    <row r="3311">
      <c r="A3311" s="32">
        <f>IFERROR(__xludf.DUMMYFUNCTION("""COMPUTED_VALUE"""),43404.79257372685)</f>
        <v>43404.79257</v>
      </c>
      <c r="B3311" t="s">
        <v>80</v>
      </c>
    </row>
    <row r="3312">
      <c r="A3312" s="32">
        <f>IFERROR(__xludf.DUMMYFUNCTION("""COMPUTED_VALUE"""),43404.79285104167)</f>
        <v>43404.79285</v>
      </c>
      <c r="B3312" t="s">
        <v>80</v>
      </c>
    </row>
    <row r="3313">
      <c r="A3313" s="32">
        <f>IFERROR(__xludf.DUMMYFUNCTION("""COMPUTED_VALUE"""),43404.79388002315)</f>
        <v>43404.79388</v>
      </c>
      <c r="B3313" t="s">
        <v>45</v>
      </c>
    </row>
    <row r="3314">
      <c r="A3314" s="32">
        <f>IFERROR(__xludf.DUMMYFUNCTION("""COMPUTED_VALUE"""),43404.794596921296)</f>
        <v>43404.7946</v>
      </c>
      <c r="B3314" t="s">
        <v>548</v>
      </c>
    </row>
    <row r="3315">
      <c r="A3315" s="32">
        <f>IFERROR(__xludf.DUMMYFUNCTION("""COMPUTED_VALUE"""),43404.796647546296)</f>
        <v>43404.79665</v>
      </c>
      <c r="B3315" t="s">
        <v>33</v>
      </c>
    </row>
    <row r="3316">
      <c r="A3316" s="32">
        <f>IFERROR(__xludf.DUMMYFUNCTION("""COMPUTED_VALUE"""),43404.79726849537)</f>
        <v>43404.79727</v>
      </c>
      <c r="B3316" t="s">
        <v>2781</v>
      </c>
    </row>
    <row r="3317">
      <c r="A3317" s="32">
        <f>IFERROR(__xludf.DUMMYFUNCTION("""COMPUTED_VALUE"""),43404.799815833336)</f>
        <v>43404.79982</v>
      </c>
      <c r="B3317" t="s">
        <v>2204</v>
      </c>
    </row>
    <row r="3318">
      <c r="A3318" s="32">
        <f>IFERROR(__xludf.DUMMYFUNCTION("""COMPUTED_VALUE"""),43404.800667083335)</f>
        <v>43404.80067</v>
      </c>
      <c r="B3318" t="s">
        <v>80</v>
      </c>
    </row>
    <row r="3319">
      <c r="A3319" s="32">
        <f>IFERROR(__xludf.DUMMYFUNCTION("""COMPUTED_VALUE"""),43404.80074715278)</f>
        <v>43404.80075</v>
      </c>
      <c r="B3319" t="s">
        <v>2782</v>
      </c>
    </row>
    <row r="3320">
      <c r="A3320" s="32">
        <f>IFERROR(__xludf.DUMMYFUNCTION("""COMPUTED_VALUE"""),43404.80138535879)</f>
        <v>43404.80139</v>
      </c>
      <c r="B3320" t="s">
        <v>268</v>
      </c>
    </row>
    <row r="3321">
      <c r="A3321" s="32">
        <f>IFERROR(__xludf.DUMMYFUNCTION("""COMPUTED_VALUE"""),43404.80229784722)</f>
        <v>43404.8023</v>
      </c>
      <c r="B3321" t="s">
        <v>2783</v>
      </c>
    </row>
    <row r="3322">
      <c r="A3322" s="32">
        <f>IFERROR(__xludf.DUMMYFUNCTION("""COMPUTED_VALUE"""),43404.804703726855)</f>
        <v>43404.8047</v>
      </c>
      <c r="B3322" t="s">
        <v>95</v>
      </c>
    </row>
    <row r="3323">
      <c r="A3323" s="32">
        <f>IFERROR(__xludf.DUMMYFUNCTION("""COMPUTED_VALUE"""),43404.80506047454)</f>
        <v>43404.80506</v>
      </c>
      <c r="B3323" t="s">
        <v>48</v>
      </c>
    </row>
    <row r="3324">
      <c r="A3324" s="32">
        <f>IFERROR(__xludf.DUMMYFUNCTION("""COMPUTED_VALUE"""),43404.80540414352)</f>
        <v>43404.8054</v>
      </c>
      <c r="B3324" t="s">
        <v>371</v>
      </c>
    </row>
    <row r="3325">
      <c r="A3325" s="32">
        <f>IFERROR(__xludf.DUMMYFUNCTION("""COMPUTED_VALUE"""),43404.80795094908)</f>
        <v>43404.80795</v>
      </c>
      <c r="B3325" t="s">
        <v>80</v>
      </c>
    </row>
    <row r="3326">
      <c r="A3326" s="32">
        <f>IFERROR(__xludf.DUMMYFUNCTION("""COMPUTED_VALUE"""),43404.808036435184)</f>
        <v>43404.80804</v>
      </c>
      <c r="B3326" t="s">
        <v>2207</v>
      </c>
    </row>
    <row r="3327">
      <c r="A3327" s="32">
        <f>IFERROR(__xludf.DUMMYFUNCTION("""COMPUTED_VALUE"""),43404.8085077662)</f>
        <v>43404.80851</v>
      </c>
      <c r="B3327" t="s">
        <v>157</v>
      </c>
    </row>
    <row r="3328">
      <c r="A3328" s="32">
        <f>IFERROR(__xludf.DUMMYFUNCTION("""COMPUTED_VALUE"""),43404.80908961805)</f>
        <v>43404.80909</v>
      </c>
      <c r="B3328" t="s">
        <v>48</v>
      </c>
    </row>
    <row r="3329">
      <c r="A3329" s="32">
        <f>IFERROR(__xludf.DUMMYFUNCTION("""COMPUTED_VALUE"""),43404.80923302083)</f>
        <v>43404.80923</v>
      </c>
      <c r="B3329" t="s">
        <v>1610</v>
      </c>
    </row>
    <row r="3330">
      <c r="A3330" s="32">
        <f>IFERROR(__xludf.DUMMYFUNCTION("""COMPUTED_VALUE"""),43404.81235606482)</f>
        <v>43404.81236</v>
      </c>
      <c r="B3330" t="s">
        <v>1769</v>
      </c>
    </row>
    <row r="3331">
      <c r="A3331" s="32">
        <f>IFERROR(__xludf.DUMMYFUNCTION("""COMPUTED_VALUE"""),43404.81262626157)</f>
        <v>43404.81263</v>
      </c>
      <c r="B3331" t="s">
        <v>2211</v>
      </c>
    </row>
    <row r="3332">
      <c r="A3332" s="32">
        <f>IFERROR(__xludf.DUMMYFUNCTION("""COMPUTED_VALUE"""),43404.814512557874)</f>
        <v>43404.81451</v>
      </c>
      <c r="B3332" t="s">
        <v>48</v>
      </c>
    </row>
    <row r="3333">
      <c r="A3333" s="32">
        <f>IFERROR(__xludf.DUMMYFUNCTION("""COMPUTED_VALUE"""),43404.81628237269)</f>
        <v>43404.81628</v>
      </c>
      <c r="B3333" t="s">
        <v>80</v>
      </c>
    </row>
    <row r="3334">
      <c r="A3334" s="32">
        <f>IFERROR(__xludf.DUMMYFUNCTION("""COMPUTED_VALUE"""),43404.81660605324)</f>
        <v>43404.81661</v>
      </c>
      <c r="B3334" t="s">
        <v>45</v>
      </c>
    </row>
    <row r="3335">
      <c r="A3335" s="32">
        <f>IFERROR(__xludf.DUMMYFUNCTION("""COMPUTED_VALUE"""),43404.816984895835)</f>
        <v>43404.81698</v>
      </c>
      <c r="B3335" t="s">
        <v>25</v>
      </c>
    </row>
    <row r="3336">
      <c r="A3336" s="32">
        <f>IFERROR(__xludf.DUMMYFUNCTION("""COMPUTED_VALUE"""),43404.82128885417)</f>
        <v>43404.82129</v>
      </c>
      <c r="B3336" t="s">
        <v>45</v>
      </c>
    </row>
    <row r="3337">
      <c r="A3337" s="32">
        <f>IFERROR(__xludf.DUMMYFUNCTION("""COMPUTED_VALUE"""),43404.821314155095)</f>
        <v>43404.82131</v>
      </c>
      <c r="B3337" t="s">
        <v>40</v>
      </c>
    </row>
    <row r="3338">
      <c r="A3338" s="32">
        <f>IFERROR(__xludf.DUMMYFUNCTION("""COMPUTED_VALUE"""),43404.82187817129)</f>
        <v>43404.82188</v>
      </c>
      <c r="B3338" t="s">
        <v>40</v>
      </c>
    </row>
    <row r="3339">
      <c r="A3339" s="32">
        <f>IFERROR(__xludf.DUMMYFUNCTION("""COMPUTED_VALUE"""),43404.82214956019)</f>
        <v>43404.82215</v>
      </c>
      <c r="B3339" t="s">
        <v>350</v>
      </c>
    </row>
    <row r="3340">
      <c r="A3340" s="32">
        <f>IFERROR(__xludf.DUMMYFUNCTION("""COMPUTED_VALUE"""),43404.82340436343)</f>
        <v>43404.8234</v>
      </c>
      <c r="B3340" t="s">
        <v>80</v>
      </c>
    </row>
    <row r="3341">
      <c r="A3341" s="32">
        <f>IFERROR(__xludf.DUMMYFUNCTION("""COMPUTED_VALUE"""),43404.828150347224)</f>
        <v>43404.82815</v>
      </c>
      <c r="B3341" t="s">
        <v>45</v>
      </c>
    </row>
    <row r="3342">
      <c r="A3342" s="32">
        <f>IFERROR(__xludf.DUMMYFUNCTION("""COMPUTED_VALUE"""),43404.828150347224)</f>
        <v>43404.82815</v>
      </c>
      <c r="B3342" t="s">
        <v>45</v>
      </c>
    </row>
    <row r="3343">
      <c r="A3343" s="32">
        <f>IFERROR(__xludf.DUMMYFUNCTION("""COMPUTED_VALUE"""),43404.83116402778)</f>
        <v>43404.83116</v>
      </c>
      <c r="B3343" t="s">
        <v>80</v>
      </c>
    </row>
    <row r="3344">
      <c r="A3344" s="32">
        <f>IFERROR(__xludf.DUMMYFUNCTION("""COMPUTED_VALUE"""),43404.83149298611)</f>
        <v>43404.83149</v>
      </c>
      <c r="B3344" t="s">
        <v>33</v>
      </c>
    </row>
    <row r="3345">
      <c r="A3345" s="32">
        <f>IFERROR(__xludf.DUMMYFUNCTION("""COMPUTED_VALUE"""),43404.831675208334)</f>
        <v>43404.83168</v>
      </c>
      <c r="B3345" t="s">
        <v>2738</v>
      </c>
    </row>
    <row r="3346">
      <c r="A3346" s="32">
        <f>IFERROR(__xludf.DUMMYFUNCTION("""COMPUTED_VALUE"""),43404.8317016088)</f>
        <v>43404.8317</v>
      </c>
      <c r="B3346" t="s">
        <v>2214</v>
      </c>
    </row>
    <row r="3347">
      <c r="A3347" s="32">
        <f>IFERROR(__xludf.DUMMYFUNCTION("""COMPUTED_VALUE"""),43404.831799155094)</f>
        <v>43404.8318</v>
      </c>
      <c r="B3347" t="s">
        <v>2215</v>
      </c>
    </row>
    <row r="3348">
      <c r="A3348" s="32">
        <f>IFERROR(__xludf.DUMMYFUNCTION("""COMPUTED_VALUE"""),43404.83204758102)</f>
        <v>43404.83205</v>
      </c>
      <c r="B3348" t="s">
        <v>2218</v>
      </c>
    </row>
    <row r="3349">
      <c r="A3349" s="32">
        <f>IFERROR(__xludf.DUMMYFUNCTION("""COMPUTED_VALUE"""),43404.83604711806)</f>
        <v>43404.83605</v>
      </c>
      <c r="B3349" t="s">
        <v>45</v>
      </c>
    </row>
    <row r="3350">
      <c r="A3350" s="32">
        <f>IFERROR(__xludf.DUMMYFUNCTION("""COMPUTED_VALUE"""),43404.83803054398)</f>
        <v>43404.83803</v>
      </c>
      <c r="B3350" t="s">
        <v>48</v>
      </c>
    </row>
    <row r="3351">
      <c r="A3351" s="32">
        <f>IFERROR(__xludf.DUMMYFUNCTION("""COMPUTED_VALUE"""),43404.839108622684)</f>
        <v>43404.83911</v>
      </c>
      <c r="B3351" t="s">
        <v>268</v>
      </c>
    </row>
    <row r="3352">
      <c r="A3352" s="32">
        <f>IFERROR(__xludf.DUMMYFUNCTION("""COMPUTED_VALUE"""),43404.84015866898)</f>
        <v>43404.84016</v>
      </c>
      <c r="B3352" t="s">
        <v>33</v>
      </c>
    </row>
    <row r="3353">
      <c r="A3353" s="32">
        <f>IFERROR(__xludf.DUMMYFUNCTION("""COMPUTED_VALUE"""),43404.8410930324)</f>
        <v>43404.84109</v>
      </c>
      <c r="B3353" t="s">
        <v>48</v>
      </c>
    </row>
    <row r="3354">
      <c r="A3354" s="32">
        <f>IFERROR(__xludf.DUMMYFUNCTION("""COMPUTED_VALUE"""),43404.84201399305)</f>
        <v>43404.84201</v>
      </c>
      <c r="B3354" t="s">
        <v>350</v>
      </c>
    </row>
    <row r="3355">
      <c r="A3355" s="32">
        <f>IFERROR(__xludf.DUMMYFUNCTION("""COMPUTED_VALUE"""),43404.842519467595)</f>
        <v>43404.84252</v>
      </c>
      <c r="B3355" t="s">
        <v>2784</v>
      </c>
    </row>
    <row r="3356">
      <c r="A3356" s="32">
        <f>IFERROR(__xludf.DUMMYFUNCTION("""COMPUTED_VALUE"""),43404.84290949074)</f>
        <v>43404.84291</v>
      </c>
      <c r="B3356" t="s">
        <v>80</v>
      </c>
    </row>
    <row r="3357">
      <c r="A3357" s="32">
        <f>IFERROR(__xludf.DUMMYFUNCTION("""COMPUTED_VALUE"""),43404.84394585648)</f>
        <v>43404.84395</v>
      </c>
      <c r="B3357" t="s">
        <v>2785</v>
      </c>
    </row>
    <row r="3358">
      <c r="A3358" s="32">
        <f>IFERROR(__xludf.DUMMYFUNCTION("""COMPUTED_VALUE"""),43404.84522501157)</f>
        <v>43404.84523</v>
      </c>
      <c r="B3358" t="s">
        <v>813</v>
      </c>
    </row>
    <row r="3359">
      <c r="A3359" s="32">
        <f>IFERROR(__xludf.DUMMYFUNCTION("""COMPUTED_VALUE"""),43404.84707467593)</f>
        <v>43404.84707</v>
      </c>
      <c r="B3359" t="s">
        <v>40</v>
      </c>
    </row>
    <row r="3360">
      <c r="A3360" s="32">
        <f>IFERROR(__xludf.DUMMYFUNCTION("""COMPUTED_VALUE"""),43404.8486628588)</f>
        <v>43404.84866</v>
      </c>
      <c r="B3360" t="s">
        <v>48</v>
      </c>
    </row>
    <row r="3361">
      <c r="A3361" s="32">
        <f>IFERROR(__xludf.DUMMYFUNCTION("""COMPUTED_VALUE"""),43404.85080587963)</f>
        <v>43404.85081</v>
      </c>
      <c r="B3361" t="s">
        <v>263</v>
      </c>
    </row>
    <row r="3362">
      <c r="A3362" s="32">
        <f>IFERROR(__xludf.DUMMYFUNCTION("""COMPUTED_VALUE"""),43404.85224523148)</f>
        <v>43404.85225</v>
      </c>
      <c r="B3362" t="s">
        <v>142</v>
      </c>
    </row>
    <row r="3363">
      <c r="A3363" s="32">
        <f>IFERROR(__xludf.DUMMYFUNCTION("""COMPUTED_VALUE"""),43404.853204479165)</f>
        <v>43404.8532</v>
      </c>
      <c r="B3363" t="s">
        <v>80</v>
      </c>
    </row>
    <row r="3364">
      <c r="A3364" s="32">
        <f>IFERROR(__xludf.DUMMYFUNCTION("""COMPUTED_VALUE"""),43404.854530717595)</f>
        <v>43404.85453</v>
      </c>
      <c r="B3364" t="s">
        <v>40</v>
      </c>
    </row>
    <row r="3365">
      <c r="A3365" s="32">
        <f>IFERROR(__xludf.DUMMYFUNCTION("""COMPUTED_VALUE"""),43404.858245069445)</f>
        <v>43404.85825</v>
      </c>
      <c r="B3365" t="s">
        <v>80</v>
      </c>
    </row>
    <row r="3366">
      <c r="A3366" s="32">
        <f>IFERROR(__xludf.DUMMYFUNCTION("""COMPUTED_VALUE"""),43404.861654085646)</f>
        <v>43404.86165</v>
      </c>
      <c r="B3366" t="s">
        <v>40</v>
      </c>
    </row>
    <row r="3367">
      <c r="A3367" s="32">
        <f>IFERROR(__xludf.DUMMYFUNCTION("""COMPUTED_VALUE"""),43404.8635403125)</f>
        <v>43404.86354</v>
      </c>
      <c r="B3367" t="s">
        <v>95</v>
      </c>
    </row>
    <row r="3368">
      <c r="A3368" s="32">
        <f>IFERROR(__xludf.DUMMYFUNCTION("""COMPUTED_VALUE"""),43404.865996458335)</f>
        <v>43404.866</v>
      </c>
      <c r="B3368" t="s">
        <v>2233</v>
      </c>
    </row>
    <row r="3369">
      <c r="A3369" s="32">
        <f>IFERROR(__xludf.DUMMYFUNCTION("""COMPUTED_VALUE"""),43404.86772797453)</f>
        <v>43404.86773</v>
      </c>
      <c r="B3369" t="s">
        <v>2235</v>
      </c>
    </row>
    <row r="3370">
      <c r="A3370" s="32">
        <f>IFERROR(__xludf.DUMMYFUNCTION("""COMPUTED_VALUE"""),43404.86997748843)</f>
        <v>43404.86998</v>
      </c>
      <c r="B3370" t="s">
        <v>2236</v>
      </c>
    </row>
    <row r="3371">
      <c r="A3371" s="32">
        <f>IFERROR(__xludf.DUMMYFUNCTION("""COMPUTED_VALUE"""),43404.87047489583)</f>
        <v>43404.87047</v>
      </c>
      <c r="B3371" t="s">
        <v>2237</v>
      </c>
    </row>
    <row r="3372">
      <c r="A3372" s="32">
        <f>IFERROR(__xludf.DUMMYFUNCTION("""COMPUTED_VALUE"""),43404.872045358796)</f>
        <v>43404.87205</v>
      </c>
      <c r="B3372" t="s">
        <v>880</v>
      </c>
    </row>
    <row r="3373">
      <c r="A3373" s="32">
        <f>IFERROR(__xludf.DUMMYFUNCTION("""COMPUTED_VALUE"""),43404.872860104166)</f>
        <v>43404.87286</v>
      </c>
      <c r="B3373" t="s">
        <v>2238</v>
      </c>
    </row>
    <row r="3374">
      <c r="A3374" s="32">
        <f>IFERROR(__xludf.DUMMYFUNCTION("""COMPUTED_VALUE"""),43404.87352606481)</f>
        <v>43404.87353</v>
      </c>
      <c r="B3374" t="s">
        <v>80</v>
      </c>
    </row>
    <row r="3375">
      <c r="A3375" s="32">
        <f>IFERROR(__xludf.DUMMYFUNCTION("""COMPUTED_VALUE"""),43404.873983171296)</f>
        <v>43404.87398</v>
      </c>
      <c r="B3375" t="s">
        <v>2241</v>
      </c>
    </row>
    <row r="3376">
      <c r="A3376" s="32">
        <f>IFERROR(__xludf.DUMMYFUNCTION("""COMPUTED_VALUE"""),43404.87717695602)</f>
        <v>43404.87718</v>
      </c>
      <c r="B3376" t="s">
        <v>880</v>
      </c>
    </row>
    <row r="3377">
      <c r="A3377" s="32">
        <f>IFERROR(__xludf.DUMMYFUNCTION("""COMPUTED_VALUE"""),43404.88001518519)</f>
        <v>43404.88002</v>
      </c>
      <c r="B3377" t="s">
        <v>2675</v>
      </c>
    </row>
    <row r="3378">
      <c r="A3378" s="32">
        <f>IFERROR(__xludf.DUMMYFUNCTION("""COMPUTED_VALUE"""),43404.88077826389)</f>
        <v>43404.88078</v>
      </c>
      <c r="B3378" t="s">
        <v>119</v>
      </c>
    </row>
    <row r="3379">
      <c r="A3379" s="32">
        <f>IFERROR(__xludf.DUMMYFUNCTION("""COMPUTED_VALUE"""),43404.88340571759)</f>
        <v>43404.88341</v>
      </c>
      <c r="B3379" t="s">
        <v>371</v>
      </c>
    </row>
    <row r="3380">
      <c r="A3380" s="32">
        <f>IFERROR(__xludf.DUMMYFUNCTION("""COMPUTED_VALUE"""),43404.88505135417)</f>
        <v>43404.88505</v>
      </c>
      <c r="B3380" t="s">
        <v>33</v>
      </c>
    </row>
    <row r="3381">
      <c r="A3381" s="32">
        <f>IFERROR(__xludf.DUMMYFUNCTION("""COMPUTED_VALUE"""),43404.88719461806)</f>
        <v>43404.88719</v>
      </c>
      <c r="B3381" t="s">
        <v>371</v>
      </c>
    </row>
    <row r="3382">
      <c r="A3382" s="32">
        <f>IFERROR(__xludf.DUMMYFUNCTION("""COMPUTED_VALUE"""),43404.88914134259)</f>
        <v>43404.88914</v>
      </c>
      <c r="B3382" t="s">
        <v>2786</v>
      </c>
    </row>
    <row r="3383">
      <c r="A3383" s="32">
        <f>IFERROR(__xludf.DUMMYFUNCTION("""COMPUTED_VALUE"""),43404.89176841435)</f>
        <v>43404.89177</v>
      </c>
      <c r="B3383" t="s">
        <v>33</v>
      </c>
    </row>
    <row r="3384">
      <c r="A3384" s="32">
        <f>IFERROR(__xludf.DUMMYFUNCTION("""COMPUTED_VALUE"""),43404.89282706019)</f>
        <v>43404.89283</v>
      </c>
      <c r="B3384" t="s">
        <v>548</v>
      </c>
    </row>
    <row r="3385">
      <c r="A3385" s="32">
        <f>IFERROR(__xludf.DUMMYFUNCTION("""COMPUTED_VALUE"""),43404.89527664352)</f>
        <v>43404.89528</v>
      </c>
      <c r="B3385" t="s">
        <v>350</v>
      </c>
    </row>
    <row r="3386">
      <c r="A3386" s="32">
        <f>IFERROR(__xludf.DUMMYFUNCTION("""COMPUTED_VALUE"""),43404.89681994213)</f>
        <v>43404.89682</v>
      </c>
      <c r="B3386" t="s">
        <v>36</v>
      </c>
    </row>
    <row r="3387">
      <c r="A3387" s="32">
        <f>IFERROR(__xludf.DUMMYFUNCTION("""COMPUTED_VALUE"""),43404.89873539352)</f>
        <v>43404.89874</v>
      </c>
      <c r="B3387" t="s">
        <v>33</v>
      </c>
    </row>
    <row r="3388">
      <c r="A3388" s="32">
        <f>IFERROR(__xludf.DUMMYFUNCTION("""COMPUTED_VALUE"""),43404.90346295139)</f>
        <v>43404.90346</v>
      </c>
      <c r="B3388" t="s">
        <v>1636</v>
      </c>
    </row>
    <row r="3389">
      <c r="A3389" s="32">
        <f>IFERROR(__xludf.DUMMYFUNCTION("""COMPUTED_VALUE"""),43404.90416747685)</f>
        <v>43404.90417</v>
      </c>
      <c r="B3389" t="s">
        <v>80</v>
      </c>
    </row>
    <row r="3390">
      <c r="A3390" s="32">
        <f>IFERROR(__xludf.DUMMYFUNCTION("""COMPUTED_VALUE"""),43404.90562931713)</f>
        <v>43404.90563</v>
      </c>
      <c r="B3390" t="s">
        <v>80</v>
      </c>
    </row>
    <row r="3391">
      <c r="A3391" s="32">
        <f>IFERROR(__xludf.DUMMYFUNCTION("""COMPUTED_VALUE"""),43404.90781069444)</f>
        <v>43404.90781</v>
      </c>
      <c r="B3391" t="s">
        <v>48</v>
      </c>
    </row>
    <row r="3392">
      <c r="A3392" s="32">
        <f>IFERROR(__xludf.DUMMYFUNCTION("""COMPUTED_VALUE"""),43404.90856253472)</f>
        <v>43404.90856</v>
      </c>
      <c r="B3392" t="s">
        <v>40</v>
      </c>
    </row>
    <row r="3393">
      <c r="A3393" s="32">
        <f>IFERROR(__xludf.DUMMYFUNCTION("""COMPUTED_VALUE"""),43404.90865884259)</f>
        <v>43404.90866</v>
      </c>
      <c r="B3393" t="s">
        <v>80</v>
      </c>
    </row>
    <row r="3394">
      <c r="A3394" s="32">
        <f>IFERROR(__xludf.DUMMYFUNCTION("""COMPUTED_VALUE"""),43404.90950460648)</f>
        <v>43404.9095</v>
      </c>
      <c r="B3394" t="s">
        <v>80</v>
      </c>
    </row>
    <row r="3395">
      <c r="A3395" s="32">
        <f>IFERROR(__xludf.DUMMYFUNCTION("""COMPUTED_VALUE"""),43404.9122115625)</f>
        <v>43404.91221</v>
      </c>
      <c r="B3395" t="s">
        <v>80</v>
      </c>
    </row>
    <row r="3396">
      <c r="A3396" s="32">
        <f>IFERROR(__xludf.DUMMYFUNCTION("""COMPUTED_VALUE"""),43404.914071990745)</f>
        <v>43404.91407</v>
      </c>
      <c r="B3396" t="s">
        <v>350</v>
      </c>
    </row>
    <row r="3397">
      <c r="A3397" s="32">
        <f>IFERROR(__xludf.DUMMYFUNCTION("""COMPUTED_VALUE"""),43404.91533299768)</f>
        <v>43404.91533</v>
      </c>
      <c r="B3397" t="s">
        <v>2787</v>
      </c>
    </row>
    <row r="3398">
      <c r="A3398" s="32">
        <f>IFERROR(__xludf.DUMMYFUNCTION("""COMPUTED_VALUE"""),43404.91574148148)</f>
        <v>43404.91574</v>
      </c>
      <c r="B3398" t="s">
        <v>33</v>
      </c>
    </row>
    <row r="3399">
      <c r="A3399" s="32">
        <f>IFERROR(__xludf.DUMMYFUNCTION("""COMPUTED_VALUE"""),43404.916805347224)</f>
        <v>43404.91681</v>
      </c>
      <c r="B3399" t="s">
        <v>119</v>
      </c>
    </row>
    <row r="3400">
      <c r="A3400" s="32">
        <f>IFERROR(__xludf.DUMMYFUNCTION("""COMPUTED_VALUE"""),43404.91942664352)</f>
        <v>43404.91943</v>
      </c>
      <c r="B3400" t="s">
        <v>80</v>
      </c>
    </row>
    <row r="3401">
      <c r="A3401" s="32">
        <f>IFERROR(__xludf.DUMMYFUNCTION("""COMPUTED_VALUE"""),43404.92059533564)</f>
        <v>43404.9206</v>
      </c>
      <c r="B3401" t="s">
        <v>33</v>
      </c>
    </row>
    <row r="3402">
      <c r="A3402" s="32">
        <f>IFERROR(__xludf.DUMMYFUNCTION("""COMPUTED_VALUE"""),43404.92078247685)</f>
        <v>43404.92078</v>
      </c>
      <c r="B3402" t="s">
        <v>2249</v>
      </c>
    </row>
    <row r="3403">
      <c r="A3403" s="32">
        <f>IFERROR(__xludf.DUMMYFUNCTION("""COMPUTED_VALUE"""),43404.9211112037)</f>
        <v>43404.92111</v>
      </c>
      <c r="B3403" t="s">
        <v>33</v>
      </c>
    </row>
    <row r="3404">
      <c r="A3404" s="32">
        <f>IFERROR(__xludf.DUMMYFUNCTION("""COMPUTED_VALUE"""),43404.92243361111)</f>
        <v>43404.92243</v>
      </c>
      <c r="B3404" t="s">
        <v>256</v>
      </c>
    </row>
    <row r="3405">
      <c r="A3405" s="32">
        <f>IFERROR(__xludf.DUMMYFUNCTION("""COMPUTED_VALUE"""),43404.92259158565)</f>
        <v>43404.92259</v>
      </c>
      <c r="B3405" t="s">
        <v>2788</v>
      </c>
    </row>
    <row r="3406">
      <c r="A3406" s="32">
        <f>IFERROR(__xludf.DUMMYFUNCTION("""COMPUTED_VALUE"""),43404.92423909722)</f>
        <v>43404.92424</v>
      </c>
      <c r="B3406" t="s">
        <v>33</v>
      </c>
    </row>
    <row r="3407">
      <c r="A3407" s="32">
        <f>IFERROR(__xludf.DUMMYFUNCTION("""COMPUTED_VALUE"""),43404.92681517361)</f>
        <v>43404.92682</v>
      </c>
      <c r="B3407" t="s">
        <v>80</v>
      </c>
    </row>
    <row r="3408">
      <c r="A3408" s="32">
        <f>IFERROR(__xludf.DUMMYFUNCTION("""COMPUTED_VALUE"""),43404.928791620376)</f>
        <v>43404.92879</v>
      </c>
      <c r="B3408" t="s">
        <v>2253</v>
      </c>
    </row>
    <row r="3409">
      <c r="A3409" s="32">
        <f>IFERROR(__xludf.DUMMYFUNCTION("""COMPUTED_VALUE"""),43404.9295355787)</f>
        <v>43404.92954</v>
      </c>
      <c r="B3409" t="s">
        <v>124</v>
      </c>
    </row>
    <row r="3410">
      <c r="A3410" s="32">
        <f>IFERROR(__xludf.DUMMYFUNCTION("""COMPUTED_VALUE"""),43404.93024444445)</f>
        <v>43404.93024</v>
      </c>
      <c r="B3410" t="s">
        <v>256</v>
      </c>
    </row>
    <row r="3411">
      <c r="A3411" s="32">
        <f>IFERROR(__xludf.DUMMYFUNCTION("""COMPUTED_VALUE"""),43404.93436501158)</f>
        <v>43404.93437</v>
      </c>
      <c r="B3411" t="s">
        <v>33</v>
      </c>
    </row>
    <row r="3412">
      <c r="A3412" s="32">
        <f>IFERROR(__xludf.DUMMYFUNCTION("""COMPUTED_VALUE"""),43404.93828633102)</f>
        <v>43404.93829</v>
      </c>
      <c r="B3412" t="s">
        <v>122</v>
      </c>
    </row>
    <row r="3413">
      <c r="A3413" s="32">
        <f>IFERROR(__xludf.DUMMYFUNCTION("""COMPUTED_VALUE"""),43404.93979237269)</f>
        <v>43404.93979</v>
      </c>
      <c r="B3413" t="s">
        <v>80</v>
      </c>
    </row>
    <row r="3414">
      <c r="A3414" s="32">
        <f>IFERROR(__xludf.DUMMYFUNCTION("""COMPUTED_VALUE"""),43404.94018017361)</f>
        <v>43404.94018</v>
      </c>
      <c r="B3414" t="s">
        <v>33</v>
      </c>
    </row>
    <row r="3415">
      <c r="A3415" s="32">
        <f>IFERROR(__xludf.DUMMYFUNCTION("""COMPUTED_VALUE"""),43404.94403270833)</f>
        <v>43404.94403</v>
      </c>
      <c r="B3415" t="s">
        <v>2254</v>
      </c>
    </row>
    <row r="3416">
      <c r="A3416" s="32">
        <f>IFERROR(__xludf.DUMMYFUNCTION("""COMPUTED_VALUE"""),43404.946992453704)</f>
        <v>43404.94699</v>
      </c>
      <c r="B3416" t="s">
        <v>2255</v>
      </c>
    </row>
    <row r="3417">
      <c r="A3417" s="32">
        <f>IFERROR(__xludf.DUMMYFUNCTION("""COMPUTED_VALUE"""),43404.947898935185)</f>
        <v>43404.9479</v>
      </c>
      <c r="B3417" t="s">
        <v>2256</v>
      </c>
    </row>
    <row r="3418">
      <c r="A3418" s="32">
        <f>IFERROR(__xludf.DUMMYFUNCTION("""COMPUTED_VALUE"""),43404.94932550926)</f>
        <v>43404.94933</v>
      </c>
      <c r="B3418" t="s">
        <v>80</v>
      </c>
    </row>
    <row r="3419">
      <c r="A3419" s="32">
        <f>IFERROR(__xludf.DUMMYFUNCTION("""COMPUTED_VALUE"""),43404.9502115625)</f>
        <v>43404.95021</v>
      </c>
      <c r="B3419" t="s">
        <v>36</v>
      </c>
    </row>
    <row r="3420">
      <c r="A3420" s="32">
        <f>IFERROR(__xludf.DUMMYFUNCTION("""COMPUTED_VALUE"""),43404.95135534722)</f>
        <v>43404.95136</v>
      </c>
      <c r="B3420" t="s">
        <v>80</v>
      </c>
    </row>
    <row r="3421">
      <c r="A3421" s="32">
        <f>IFERROR(__xludf.DUMMYFUNCTION("""COMPUTED_VALUE"""),43404.952135590276)</f>
        <v>43404.95214</v>
      </c>
      <c r="B3421" t="s">
        <v>40</v>
      </c>
    </row>
    <row r="3422">
      <c r="A3422" s="32">
        <f>IFERROR(__xludf.DUMMYFUNCTION("""COMPUTED_VALUE"""),43404.95266988426)</f>
        <v>43404.95267</v>
      </c>
      <c r="B3422" t="s">
        <v>371</v>
      </c>
    </row>
    <row r="3423">
      <c r="A3423" s="32">
        <f>IFERROR(__xludf.DUMMYFUNCTION("""COMPUTED_VALUE"""),43404.9529522338)</f>
        <v>43404.95295</v>
      </c>
      <c r="B3423" t="s">
        <v>80</v>
      </c>
    </row>
    <row r="3424">
      <c r="A3424" s="32">
        <f>IFERROR(__xludf.DUMMYFUNCTION("""COMPUTED_VALUE"""),43404.95476313657)</f>
        <v>43404.95476</v>
      </c>
      <c r="B3424" t="s">
        <v>188</v>
      </c>
    </row>
    <row r="3425">
      <c r="A3425" s="32">
        <f>IFERROR(__xludf.DUMMYFUNCTION("""COMPUTED_VALUE"""),43404.956740891204)</f>
        <v>43404.95674</v>
      </c>
      <c r="B3425" t="s">
        <v>80</v>
      </c>
    </row>
    <row r="3426">
      <c r="A3426" s="32">
        <f>IFERROR(__xludf.DUMMYFUNCTION("""COMPUTED_VALUE"""),43404.9610516088)</f>
        <v>43404.96105</v>
      </c>
      <c r="B3426" t="s">
        <v>548</v>
      </c>
    </row>
    <row r="3427">
      <c r="A3427" s="32">
        <f>IFERROR(__xludf.DUMMYFUNCTION("""COMPUTED_VALUE"""),43404.96645934028)</f>
        <v>43404.96646</v>
      </c>
      <c r="B3427" t="s">
        <v>80</v>
      </c>
    </row>
    <row r="3428">
      <c r="A3428" s="32">
        <f>IFERROR(__xludf.DUMMYFUNCTION("""COMPUTED_VALUE"""),43404.96686375)</f>
        <v>43404.96686</v>
      </c>
      <c r="B3428" t="s">
        <v>2262</v>
      </c>
    </row>
    <row r="3429">
      <c r="A3429" s="32">
        <f>IFERROR(__xludf.DUMMYFUNCTION("""COMPUTED_VALUE"""),43404.968214305554)</f>
        <v>43404.96821</v>
      </c>
      <c r="B3429" t="s">
        <v>80</v>
      </c>
    </row>
    <row r="3430">
      <c r="A3430" s="32">
        <f>IFERROR(__xludf.DUMMYFUNCTION("""COMPUTED_VALUE"""),43404.96835009259)</f>
        <v>43404.96835</v>
      </c>
      <c r="B3430" t="s">
        <v>80</v>
      </c>
    </row>
    <row r="3431">
      <c r="A3431" s="32">
        <f>IFERROR(__xludf.DUMMYFUNCTION("""COMPUTED_VALUE"""),43404.97013636574)</f>
        <v>43404.97014</v>
      </c>
      <c r="B3431" t="s">
        <v>426</v>
      </c>
    </row>
    <row r="3432">
      <c r="A3432" s="32">
        <f>IFERROR(__xludf.DUMMYFUNCTION("""COMPUTED_VALUE"""),43404.97265186343)</f>
        <v>43404.97265</v>
      </c>
      <c r="B3432" t="s">
        <v>45</v>
      </c>
    </row>
    <row r="3433">
      <c r="A3433" s="32">
        <f>IFERROR(__xludf.DUMMYFUNCTION("""COMPUTED_VALUE"""),43404.972795231486)</f>
        <v>43404.9728</v>
      </c>
      <c r="B3433" t="s">
        <v>48</v>
      </c>
    </row>
    <row r="3434">
      <c r="A3434" s="32">
        <f>IFERROR(__xludf.DUMMYFUNCTION("""COMPUTED_VALUE"""),43404.972888854165)</f>
        <v>43404.97289</v>
      </c>
      <c r="B3434" t="s">
        <v>1079</v>
      </c>
    </row>
    <row r="3435">
      <c r="A3435" s="32">
        <f>IFERROR(__xludf.DUMMYFUNCTION("""COMPUTED_VALUE"""),43404.97340565972)</f>
        <v>43404.97341</v>
      </c>
      <c r="B3435" t="s">
        <v>48</v>
      </c>
    </row>
    <row r="3436">
      <c r="A3436" s="32">
        <f>IFERROR(__xludf.DUMMYFUNCTION("""COMPUTED_VALUE"""),43404.975684571764)</f>
        <v>43404.97568</v>
      </c>
      <c r="B3436" t="s">
        <v>387</v>
      </c>
    </row>
    <row r="3437">
      <c r="A3437" s="32">
        <f>IFERROR(__xludf.DUMMYFUNCTION("""COMPUTED_VALUE"""),43404.97714105324)</f>
        <v>43404.97714</v>
      </c>
      <c r="B3437" t="s">
        <v>258</v>
      </c>
    </row>
    <row r="3438">
      <c r="A3438" s="32">
        <f>IFERROR(__xludf.DUMMYFUNCTION("""COMPUTED_VALUE"""),43404.98358140046)</f>
        <v>43404.98358</v>
      </c>
      <c r="B3438" t="s">
        <v>33</v>
      </c>
    </row>
    <row r="3439">
      <c r="A3439" s="32">
        <f>IFERROR(__xludf.DUMMYFUNCTION("""COMPUTED_VALUE"""),43404.991081099535)</f>
        <v>43404.99108</v>
      </c>
      <c r="B3439" t="s">
        <v>80</v>
      </c>
    </row>
    <row r="3440">
      <c r="A3440" s="32">
        <f>IFERROR(__xludf.DUMMYFUNCTION("""COMPUTED_VALUE"""),43404.99160100694)</f>
        <v>43404.9916</v>
      </c>
      <c r="B3440" t="s">
        <v>80</v>
      </c>
    </row>
    <row r="3441">
      <c r="A3441" s="32">
        <f>IFERROR(__xludf.DUMMYFUNCTION("""COMPUTED_VALUE"""),43404.99687822917)</f>
        <v>43404.99688</v>
      </c>
      <c r="B3441" t="s">
        <v>48</v>
      </c>
    </row>
    <row r="3442">
      <c r="A3442" s="32">
        <f>IFERROR(__xludf.DUMMYFUNCTION("""COMPUTED_VALUE"""),43404.999436087965)</f>
        <v>43404.99944</v>
      </c>
      <c r="B3442" t="s">
        <v>40</v>
      </c>
    </row>
    <row r="3443">
      <c r="A3443" s="32">
        <f>IFERROR(__xludf.DUMMYFUNCTION("""COMPUTED_VALUE"""),43405.00117888889)</f>
        <v>43405.00118</v>
      </c>
      <c r="B3443" t="s">
        <v>80</v>
      </c>
    </row>
    <row r="3444">
      <c r="A3444" s="32">
        <f>IFERROR(__xludf.DUMMYFUNCTION("""COMPUTED_VALUE"""),43405.00359849537)</f>
        <v>43405.0036</v>
      </c>
      <c r="B3444" t="s">
        <v>2255</v>
      </c>
    </row>
    <row r="3445">
      <c r="A3445" s="32">
        <f>IFERROR(__xludf.DUMMYFUNCTION("""COMPUTED_VALUE"""),43405.007177141204)</f>
        <v>43405.00718</v>
      </c>
      <c r="B3445" t="s">
        <v>170</v>
      </c>
    </row>
    <row r="3446">
      <c r="A3446" s="32">
        <f>IFERROR(__xludf.DUMMYFUNCTION("""COMPUTED_VALUE"""),43405.00762238426)</f>
        <v>43405.00762</v>
      </c>
      <c r="B3446" t="s">
        <v>2269</v>
      </c>
    </row>
    <row r="3447">
      <c r="A3447" s="32">
        <f>IFERROR(__xludf.DUMMYFUNCTION("""COMPUTED_VALUE"""),43405.01269552083)</f>
        <v>43405.0127</v>
      </c>
      <c r="B3447" t="s">
        <v>80</v>
      </c>
    </row>
    <row r="3448">
      <c r="A3448" s="32">
        <f>IFERROR(__xludf.DUMMYFUNCTION("""COMPUTED_VALUE"""),43405.01491975694)</f>
        <v>43405.01492</v>
      </c>
      <c r="B3448" t="s">
        <v>33</v>
      </c>
    </row>
    <row r="3449">
      <c r="A3449" s="32">
        <f>IFERROR(__xludf.DUMMYFUNCTION("""COMPUTED_VALUE"""),43405.01929909722)</f>
        <v>43405.0193</v>
      </c>
      <c r="B3449" t="s">
        <v>1744</v>
      </c>
    </row>
    <row r="3450">
      <c r="A3450" s="32">
        <f>IFERROR(__xludf.DUMMYFUNCTION("""COMPUTED_VALUE"""),43405.02420271991)</f>
        <v>43405.0242</v>
      </c>
      <c r="B3450" t="s">
        <v>80</v>
      </c>
    </row>
    <row r="3451">
      <c r="A3451" s="32">
        <f>IFERROR(__xludf.DUMMYFUNCTION("""COMPUTED_VALUE"""),43405.02748135416)</f>
        <v>43405.02748</v>
      </c>
      <c r="B3451" t="s">
        <v>2271</v>
      </c>
    </row>
    <row r="3452">
      <c r="A3452" s="32">
        <f>IFERROR(__xludf.DUMMYFUNCTION("""COMPUTED_VALUE"""),43405.02808949074)</f>
        <v>43405.02809</v>
      </c>
      <c r="B3452" t="s">
        <v>48</v>
      </c>
    </row>
    <row r="3453">
      <c r="A3453" s="32">
        <f>IFERROR(__xludf.DUMMYFUNCTION("""COMPUTED_VALUE"""),43405.031293321765)</f>
        <v>43405.03129</v>
      </c>
      <c r="B3453" t="s">
        <v>45</v>
      </c>
    </row>
    <row r="3454">
      <c r="A3454" s="32">
        <f>IFERROR(__xludf.DUMMYFUNCTION("""COMPUTED_VALUE"""),43405.03624622685)</f>
        <v>43405.03625</v>
      </c>
      <c r="B3454" t="s">
        <v>2789</v>
      </c>
    </row>
    <row r="3455">
      <c r="A3455" s="32">
        <f>IFERROR(__xludf.DUMMYFUNCTION("""COMPUTED_VALUE"""),43405.036724363425)</f>
        <v>43405.03672</v>
      </c>
      <c r="B3455" t="s">
        <v>45</v>
      </c>
    </row>
    <row r="3456">
      <c r="A3456" s="32">
        <f>IFERROR(__xludf.DUMMYFUNCTION("""COMPUTED_VALUE"""),43405.04122644676)</f>
        <v>43405.04123</v>
      </c>
      <c r="B3456" t="s">
        <v>36</v>
      </c>
    </row>
    <row r="3457">
      <c r="A3457" s="32">
        <f>IFERROR(__xludf.DUMMYFUNCTION("""COMPUTED_VALUE"""),43405.0449375)</f>
        <v>43405.04494</v>
      </c>
      <c r="B3457" t="s">
        <v>45</v>
      </c>
    </row>
    <row r="3458">
      <c r="A3458" s="32">
        <f>IFERROR(__xludf.DUMMYFUNCTION("""COMPUTED_VALUE"""),43405.04597160879)</f>
        <v>43405.04597</v>
      </c>
      <c r="B3458" t="s">
        <v>80</v>
      </c>
    </row>
    <row r="3459">
      <c r="A3459" s="32">
        <f>IFERROR(__xludf.DUMMYFUNCTION("""COMPUTED_VALUE"""),43405.052805590276)</f>
        <v>43405.05281</v>
      </c>
      <c r="B3459" t="s">
        <v>48</v>
      </c>
    </row>
    <row r="3460">
      <c r="A3460" s="32">
        <f>IFERROR(__xludf.DUMMYFUNCTION("""COMPUTED_VALUE"""),43405.053731990745)</f>
        <v>43405.05373</v>
      </c>
      <c r="B3460" t="s">
        <v>2276</v>
      </c>
    </row>
    <row r="3461">
      <c r="A3461" s="32">
        <f>IFERROR(__xludf.DUMMYFUNCTION("""COMPUTED_VALUE"""),43405.05440408565)</f>
        <v>43405.0544</v>
      </c>
      <c r="B3461" t="s">
        <v>48</v>
      </c>
    </row>
    <row r="3462">
      <c r="A3462" s="32">
        <f>IFERROR(__xludf.DUMMYFUNCTION("""COMPUTED_VALUE"""),43405.06206729167)</f>
        <v>43405.06207</v>
      </c>
      <c r="B3462" t="s">
        <v>2790</v>
      </c>
    </row>
    <row r="3463">
      <c r="A3463" s="32">
        <f>IFERROR(__xludf.DUMMYFUNCTION("""COMPUTED_VALUE"""),43405.07012949074)</f>
        <v>43405.07013</v>
      </c>
      <c r="B3463" t="s">
        <v>80</v>
      </c>
    </row>
    <row r="3464">
      <c r="A3464" s="32">
        <f>IFERROR(__xludf.DUMMYFUNCTION("""COMPUTED_VALUE"""),43405.08646752315)</f>
        <v>43405.08647</v>
      </c>
      <c r="B3464" t="s">
        <v>33</v>
      </c>
    </row>
    <row r="3465">
      <c r="A3465" s="32">
        <f>IFERROR(__xludf.DUMMYFUNCTION("""COMPUTED_VALUE"""),43405.088771932875)</f>
        <v>43405.08877</v>
      </c>
      <c r="B3465" t="s">
        <v>2280</v>
      </c>
    </row>
    <row r="3466">
      <c r="A3466" s="32">
        <f>IFERROR(__xludf.DUMMYFUNCTION("""COMPUTED_VALUE"""),43405.09496311343)</f>
        <v>43405.09496</v>
      </c>
      <c r="B3466" t="s">
        <v>40</v>
      </c>
    </row>
    <row r="3467">
      <c r="A3467" s="32">
        <f>IFERROR(__xludf.DUMMYFUNCTION("""COMPUTED_VALUE"""),43405.09709001158)</f>
        <v>43405.09709</v>
      </c>
      <c r="B3467" t="s">
        <v>463</v>
      </c>
    </row>
    <row r="3468">
      <c r="A3468" s="32">
        <f>IFERROR(__xludf.DUMMYFUNCTION("""COMPUTED_VALUE"""),43405.10303628472)</f>
        <v>43405.10304</v>
      </c>
      <c r="B3468" t="s">
        <v>33</v>
      </c>
    </row>
    <row r="3469">
      <c r="A3469" s="32">
        <f>IFERROR(__xludf.DUMMYFUNCTION("""COMPUTED_VALUE"""),43405.10771214121)</f>
        <v>43405.10771</v>
      </c>
      <c r="B3469" t="s">
        <v>2285</v>
      </c>
    </row>
    <row r="3470">
      <c r="A3470" s="32">
        <f>IFERROR(__xludf.DUMMYFUNCTION("""COMPUTED_VALUE"""),43405.112715069445)</f>
        <v>43405.11272</v>
      </c>
      <c r="B3470" t="s">
        <v>523</v>
      </c>
    </row>
    <row r="3471">
      <c r="A3471" s="32">
        <f>IFERROR(__xludf.DUMMYFUNCTION("""COMPUTED_VALUE"""),43405.11602351852)</f>
        <v>43405.11602</v>
      </c>
      <c r="B3471" t="s">
        <v>2098</v>
      </c>
    </row>
    <row r="3472">
      <c r="A3472" s="32">
        <f>IFERROR(__xludf.DUMMYFUNCTION("""COMPUTED_VALUE"""),43405.12719403935)</f>
        <v>43405.12719</v>
      </c>
      <c r="B3472" t="s">
        <v>40</v>
      </c>
    </row>
    <row r="3473">
      <c r="A3473" s="32">
        <f>IFERROR(__xludf.DUMMYFUNCTION("""COMPUTED_VALUE"""),43405.12791274306)</f>
        <v>43405.12791</v>
      </c>
      <c r="B3473" t="s">
        <v>2791</v>
      </c>
    </row>
    <row r="3474">
      <c r="A3474" s="32">
        <f>IFERROR(__xludf.DUMMYFUNCTION("""COMPUTED_VALUE"""),43405.15532114584)</f>
        <v>43405.15532</v>
      </c>
      <c r="B3474" t="s">
        <v>80</v>
      </c>
    </row>
    <row r="3475">
      <c r="A3475" s="32">
        <f>IFERROR(__xludf.DUMMYFUNCTION("""COMPUTED_VALUE"""),43405.1742159375)</f>
        <v>43405.17422</v>
      </c>
      <c r="B3475" t="s">
        <v>173</v>
      </c>
    </row>
    <row r="3476">
      <c r="A3476" s="32">
        <f>IFERROR(__xludf.DUMMYFUNCTION("""COMPUTED_VALUE"""),43405.17688752315)</f>
        <v>43405.17689</v>
      </c>
      <c r="B3476" t="s">
        <v>2290</v>
      </c>
    </row>
    <row r="3477">
      <c r="A3477" s="32">
        <f>IFERROR(__xludf.DUMMYFUNCTION("""COMPUTED_VALUE"""),43405.18702806713)</f>
        <v>43405.18703</v>
      </c>
      <c r="B3477" t="s">
        <v>2681</v>
      </c>
    </row>
    <row r="3478">
      <c r="A3478" s="32">
        <f>IFERROR(__xludf.DUMMYFUNCTION("""COMPUTED_VALUE"""),43405.19008959491)</f>
        <v>43405.19009</v>
      </c>
      <c r="B3478" t="s">
        <v>119</v>
      </c>
    </row>
    <row r="3479">
      <c r="A3479" s="32">
        <f>IFERROR(__xludf.DUMMYFUNCTION("""COMPUTED_VALUE"""),43405.19152740741)</f>
        <v>43405.19153</v>
      </c>
      <c r="B3479" t="s">
        <v>45</v>
      </c>
    </row>
    <row r="3480">
      <c r="A3480" s="32">
        <f>IFERROR(__xludf.DUMMYFUNCTION("""COMPUTED_VALUE"""),43405.19155703703)</f>
        <v>43405.19156</v>
      </c>
      <c r="B3480" t="s">
        <v>813</v>
      </c>
    </row>
    <row r="3481">
      <c r="A3481" s="32">
        <f>IFERROR(__xludf.DUMMYFUNCTION("""COMPUTED_VALUE"""),43405.19318362269)</f>
        <v>43405.19318</v>
      </c>
      <c r="B3481" t="s">
        <v>80</v>
      </c>
    </row>
    <row r="3482">
      <c r="A3482" s="32">
        <f>IFERROR(__xludf.DUMMYFUNCTION("""COMPUTED_VALUE"""),43405.19486150463)</f>
        <v>43405.19486</v>
      </c>
      <c r="B3482" t="s">
        <v>2293</v>
      </c>
    </row>
    <row r="3483">
      <c r="A3483" s="32">
        <f>IFERROR(__xludf.DUMMYFUNCTION("""COMPUTED_VALUE"""),43405.197821724534)</f>
        <v>43405.19782</v>
      </c>
      <c r="B3483" t="s">
        <v>80</v>
      </c>
    </row>
    <row r="3484">
      <c r="A3484" s="32">
        <f>IFERROR(__xludf.DUMMYFUNCTION("""COMPUTED_VALUE"""),43405.202145625)</f>
        <v>43405.20215</v>
      </c>
      <c r="B3484" t="s">
        <v>2424</v>
      </c>
    </row>
    <row r="3485">
      <c r="A3485" s="32">
        <f>IFERROR(__xludf.DUMMYFUNCTION("""COMPUTED_VALUE"""),43405.20374244213)</f>
        <v>43405.20374</v>
      </c>
      <c r="B3485" t="s">
        <v>548</v>
      </c>
    </row>
    <row r="3486">
      <c r="A3486" s="32">
        <f>IFERROR(__xludf.DUMMYFUNCTION("""COMPUTED_VALUE"""),43405.21478497685)</f>
        <v>43405.21478</v>
      </c>
      <c r="B3486" t="s">
        <v>2298</v>
      </c>
    </row>
    <row r="3487">
      <c r="A3487" s="32">
        <f>IFERROR(__xludf.DUMMYFUNCTION("""COMPUTED_VALUE"""),43405.21691326389)</f>
        <v>43405.21691</v>
      </c>
      <c r="B3487" t="s">
        <v>40</v>
      </c>
    </row>
    <row r="3488">
      <c r="A3488" s="32">
        <f>IFERROR(__xludf.DUMMYFUNCTION("""COMPUTED_VALUE"""),43405.22263841435)</f>
        <v>43405.22264</v>
      </c>
      <c r="B3488" t="s">
        <v>40</v>
      </c>
    </row>
    <row r="3489">
      <c r="A3489" s="32">
        <f>IFERROR(__xludf.DUMMYFUNCTION("""COMPUTED_VALUE"""),43405.22375201389)</f>
        <v>43405.22375</v>
      </c>
      <c r="B3489" t="s">
        <v>2792</v>
      </c>
    </row>
    <row r="3490">
      <c r="A3490" s="32">
        <f>IFERROR(__xludf.DUMMYFUNCTION("""COMPUTED_VALUE"""),43405.23865653935)</f>
        <v>43405.23866</v>
      </c>
      <c r="B3490" t="s">
        <v>426</v>
      </c>
    </row>
    <row r="3491">
      <c r="A3491" s="32">
        <f>IFERROR(__xludf.DUMMYFUNCTION("""COMPUTED_VALUE"""),43405.24483241898)</f>
        <v>43405.24483</v>
      </c>
      <c r="B3491" t="s">
        <v>350</v>
      </c>
    </row>
    <row r="3492">
      <c r="A3492" s="32">
        <f>IFERROR(__xludf.DUMMYFUNCTION("""COMPUTED_VALUE"""),43405.246802685186)</f>
        <v>43405.2468</v>
      </c>
      <c r="B3492" t="s">
        <v>2662</v>
      </c>
    </row>
    <row r="3493">
      <c r="A3493" s="32">
        <f>IFERROR(__xludf.DUMMYFUNCTION("""COMPUTED_VALUE"""),43405.24687884259)</f>
        <v>43405.24688</v>
      </c>
      <c r="B3493" t="s">
        <v>2383</v>
      </c>
    </row>
    <row r="3494">
      <c r="A3494" s="32">
        <f>IFERROR(__xludf.DUMMYFUNCTION("""COMPUTED_VALUE"""),43405.25211976852)</f>
        <v>43405.25212</v>
      </c>
      <c r="B3494" t="s">
        <v>80</v>
      </c>
    </row>
    <row r="3495">
      <c r="A3495" s="32">
        <f>IFERROR(__xludf.DUMMYFUNCTION("""COMPUTED_VALUE"""),43405.255174687496)</f>
        <v>43405.25517</v>
      </c>
      <c r="B3495" t="s">
        <v>157</v>
      </c>
    </row>
    <row r="3496">
      <c r="A3496" s="32">
        <f>IFERROR(__xludf.DUMMYFUNCTION("""COMPUTED_VALUE"""),43405.26246376157)</f>
        <v>43405.26246</v>
      </c>
      <c r="B3496" t="s">
        <v>119</v>
      </c>
    </row>
    <row r="3497">
      <c r="A3497" s="32">
        <f>IFERROR(__xludf.DUMMYFUNCTION("""COMPUTED_VALUE"""),43405.27772351852)</f>
        <v>43405.27772</v>
      </c>
      <c r="B3497" t="s">
        <v>2190</v>
      </c>
    </row>
    <row r="3498">
      <c r="A3498" s="32">
        <f>IFERROR(__xludf.DUMMYFUNCTION("""COMPUTED_VALUE"""),43405.28370516204)</f>
        <v>43405.28371</v>
      </c>
      <c r="B3498" t="s">
        <v>350</v>
      </c>
    </row>
    <row r="3499">
      <c r="A3499" s="32">
        <f>IFERROR(__xludf.DUMMYFUNCTION("""COMPUTED_VALUE"""),43405.29185548611)</f>
        <v>43405.29186</v>
      </c>
      <c r="B3499" t="s">
        <v>33</v>
      </c>
    </row>
    <row r="3500">
      <c r="A3500" s="32">
        <f>IFERROR(__xludf.DUMMYFUNCTION("""COMPUTED_VALUE"""),43405.29721912037)</f>
        <v>43405.29722</v>
      </c>
      <c r="B3500" t="s">
        <v>268</v>
      </c>
    </row>
    <row r="3501">
      <c r="A3501" s="32">
        <f>IFERROR(__xludf.DUMMYFUNCTION("""COMPUTED_VALUE"""),43405.302190625)</f>
        <v>43405.30219</v>
      </c>
      <c r="B3501" t="s">
        <v>45</v>
      </c>
    </row>
    <row r="3502">
      <c r="A3502" s="32">
        <f>IFERROR(__xludf.DUMMYFUNCTION("""COMPUTED_VALUE"""),43405.30733689815)</f>
        <v>43405.30734</v>
      </c>
      <c r="B3502" t="s">
        <v>33</v>
      </c>
    </row>
    <row r="3503">
      <c r="A3503" s="32">
        <f>IFERROR(__xludf.DUMMYFUNCTION("""COMPUTED_VALUE"""),43405.33383643518)</f>
        <v>43405.33384</v>
      </c>
      <c r="B3503" t="s">
        <v>80</v>
      </c>
    </row>
    <row r="3504">
      <c r="A3504" s="32">
        <f>IFERROR(__xludf.DUMMYFUNCTION("""COMPUTED_VALUE"""),43405.34941865741)</f>
        <v>43405.34942</v>
      </c>
      <c r="B3504" t="s">
        <v>25</v>
      </c>
    </row>
    <row r="3505">
      <c r="A3505" s="32">
        <f>IFERROR(__xludf.DUMMYFUNCTION("""COMPUTED_VALUE"""),43405.3615424537)</f>
        <v>43405.36154</v>
      </c>
      <c r="B3505" t="s">
        <v>40</v>
      </c>
    </row>
    <row r="3506">
      <c r="A3506" s="32">
        <f>IFERROR(__xludf.DUMMYFUNCTION("""COMPUTED_VALUE"""),43405.36324630787)</f>
        <v>43405.36325</v>
      </c>
      <c r="B3506" t="s">
        <v>1135</v>
      </c>
    </row>
    <row r="3507">
      <c r="A3507" s="32">
        <f>IFERROR(__xludf.DUMMYFUNCTION("""COMPUTED_VALUE"""),43405.38180004629)</f>
        <v>43405.3818</v>
      </c>
      <c r="B3507" t="s">
        <v>80</v>
      </c>
    </row>
    <row r="3508">
      <c r="A3508" s="32">
        <f>IFERROR(__xludf.DUMMYFUNCTION("""COMPUTED_VALUE"""),43405.39342958333)</f>
        <v>43405.39343</v>
      </c>
      <c r="B3508" t="s">
        <v>40</v>
      </c>
    </row>
    <row r="3509">
      <c r="A3509" s="32">
        <f>IFERROR(__xludf.DUMMYFUNCTION("""COMPUTED_VALUE"""),43405.39688865741)</f>
        <v>43405.39689</v>
      </c>
      <c r="B3509" t="s">
        <v>40</v>
      </c>
    </row>
    <row r="3510">
      <c r="A3510" s="32">
        <f>IFERROR(__xludf.DUMMYFUNCTION("""COMPUTED_VALUE"""),43405.4012075)</f>
        <v>43405.40121</v>
      </c>
      <c r="B3510" t="s">
        <v>170</v>
      </c>
    </row>
    <row r="3511">
      <c r="A3511" s="32">
        <f>IFERROR(__xludf.DUMMYFUNCTION("""COMPUTED_VALUE"""),43405.405588877315)</f>
        <v>43405.40559</v>
      </c>
      <c r="B3511" t="s">
        <v>270</v>
      </c>
    </row>
    <row r="3512">
      <c r="A3512" s="32">
        <f>IFERROR(__xludf.DUMMYFUNCTION("""COMPUTED_VALUE"""),43405.41943879629)</f>
        <v>43405.41944</v>
      </c>
      <c r="B3512" t="s">
        <v>33</v>
      </c>
    </row>
    <row r="3513">
      <c r="A3513" s="32">
        <f>IFERROR(__xludf.DUMMYFUNCTION("""COMPUTED_VALUE"""),43405.42182393519)</f>
        <v>43405.42182</v>
      </c>
      <c r="B3513" t="s">
        <v>25</v>
      </c>
    </row>
    <row r="3514">
      <c r="A3514" s="32">
        <f>IFERROR(__xludf.DUMMYFUNCTION("""COMPUTED_VALUE"""),43405.42231260416)</f>
        <v>43405.42231</v>
      </c>
      <c r="B3514" t="s">
        <v>25</v>
      </c>
    </row>
    <row r="3515">
      <c r="A3515" s="32">
        <f>IFERROR(__xludf.DUMMYFUNCTION("""COMPUTED_VALUE"""),43405.42506877315)</f>
        <v>43405.42507</v>
      </c>
      <c r="B3515" t="s">
        <v>40</v>
      </c>
    </row>
    <row r="3516">
      <c r="A3516" s="32">
        <f>IFERROR(__xludf.DUMMYFUNCTION("""COMPUTED_VALUE"""),43405.42531601852)</f>
        <v>43405.42532</v>
      </c>
      <c r="B3516" t="s">
        <v>25</v>
      </c>
    </row>
    <row r="3517">
      <c r="A3517" s="32">
        <f>IFERROR(__xludf.DUMMYFUNCTION("""COMPUTED_VALUE"""),43405.42767615741)</f>
        <v>43405.42768</v>
      </c>
      <c r="B3517" t="s">
        <v>268</v>
      </c>
    </row>
    <row r="3518">
      <c r="A3518" s="32">
        <f>IFERROR(__xludf.DUMMYFUNCTION("""COMPUTED_VALUE"""),43405.432438379634)</f>
        <v>43405.43244</v>
      </c>
      <c r="B3518" t="s">
        <v>350</v>
      </c>
    </row>
    <row r="3519">
      <c r="A3519" s="32">
        <f>IFERROR(__xludf.DUMMYFUNCTION("""COMPUTED_VALUE"""),43405.44834135417)</f>
        <v>43405.44834</v>
      </c>
      <c r="B3519" t="s">
        <v>25</v>
      </c>
    </row>
    <row r="3520">
      <c r="A3520" s="32">
        <f>IFERROR(__xludf.DUMMYFUNCTION("""COMPUTED_VALUE"""),43405.45807204861)</f>
        <v>43405.45807</v>
      </c>
      <c r="B3520" t="s">
        <v>2313</v>
      </c>
    </row>
    <row r="3521">
      <c r="A3521" s="32">
        <f>IFERROR(__xludf.DUMMYFUNCTION("""COMPUTED_VALUE"""),43405.45847658565)</f>
        <v>43405.45848</v>
      </c>
      <c r="B3521" t="s">
        <v>2658</v>
      </c>
    </row>
    <row r="3522">
      <c r="A3522" s="32">
        <f>IFERROR(__xludf.DUMMYFUNCTION("""COMPUTED_VALUE"""),43405.462384074075)</f>
        <v>43405.46238</v>
      </c>
      <c r="B3522" t="s">
        <v>2424</v>
      </c>
    </row>
    <row r="3523">
      <c r="A3523" s="32">
        <f>IFERROR(__xludf.DUMMYFUNCTION("""COMPUTED_VALUE"""),43405.463767361114)</f>
        <v>43405.46377</v>
      </c>
      <c r="B3523" t="s">
        <v>33</v>
      </c>
    </row>
    <row r="3524">
      <c r="A3524" s="32">
        <f>IFERROR(__xludf.DUMMYFUNCTION("""COMPUTED_VALUE"""),43405.46657671296)</f>
        <v>43405.46658</v>
      </c>
      <c r="B3524" t="s">
        <v>105</v>
      </c>
    </row>
    <row r="3525">
      <c r="A3525" s="32">
        <f>IFERROR(__xludf.DUMMYFUNCTION("""COMPUTED_VALUE"""),43405.470523298616)</f>
        <v>43405.47052</v>
      </c>
      <c r="B3525" t="s">
        <v>154</v>
      </c>
    </row>
    <row r="3526">
      <c r="A3526" s="32">
        <f>IFERROR(__xludf.DUMMYFUNCTION("""COMPUTED_VALUE"""),43405.47197302083)</f>
        <v>43405.47197</v>
      </c>
      <c r="B3526" t="s">
        <v>2738</v>
      </c>
    </row>
    <row r="3527">
      <c r="A3527" s="32">
        <f>IFERROR(__xludf.DUMMYFUNCTION("""COMPUTED_VALUE"""),43405.483070138886)</f>
        <v>43405.48307</v>
      </c>
      <c r="B3527" t="s">
        <v>80</v>
      </c>
    </row>
    <row r="3528">
      <c r="A3528" s="32">
        <f>IFERROR(__xludf.DUMMYFUNCTION("""COMPUTED_VALUE"""),43405.48344752315)</f>
        <v>43405.48345</v>
      </c>
      <c r="B3528" t="s">
        <v>350</v>
      </c>
    </row>
    <row r="3529">
      <c r="A3529" s="32">
        <f>IFERROR(__xludf.DUMMYFUNCTION("""COMPUTED_VALUE"""),43405.48532211805)</f>
        <v>43405.48532</v>
      </c>
      <c r="B3529" t="s">
        <v>48</v>
      </c>
    </row>
    <row r="3530">
      <c r="A3530" s="32">
        <f>IFERROR(__xludf.DUMMYFUNCTION("""COMPUTED_VALUE"""),43405.49174384259)</f>
        <v>43405.49174</v>
      </c>
      <c r="B3530" t="s">
        <v>2317</v>
      </c>
    </row>
    <row r="3531">
      <c r="A3531" s="32">
        <f>IFERROR(__xludf.DUMMYFUNCTION("""COMPUTED_VALUE"""),43405.49379298611)</f>
        <v>43405.49379</v>
      </c>
      <c r="B3531" t="s">
        <v>157</v>
      </c>
    </row>
    <row r="3532">
      <c r="A3532" s="32">
        <f>IFERROR(__xludf.DUMMYFUNCTION("""COMPUTED_VALUE"""),43405.49693166667)</f>
        <v>43405.49693</v>
      </c>
      <c r="B3532" t="s">
        <v>170</v>
      </c>
    </row>
    <row r="3533">
      <c r="A3533" s="32">
        <f>IFERROR(__xludf.DUMMYFUNCTION("""COMPUTED_VALUE"""),43405.50028681713)</f>
        <v>43405.50029</v>
      </c>
      <c r="B3533" t="s">
        <v>2793</v>
      </c>
    </row>
    <row r="3534">
      <c r="A3534" s="32">
        <f>IFERROR(__xludf.DUMMYFUNCTION("""COMPUTED_VALUE"""),43405.51754055556)</f>
        <v>43405.51754</v>
      </c>
      <c r="B3534" t="s">
        <v>45</v>
      </c>
    </row>
    <row r="3535">
      <c r="A3535" s="32">
        <f>IFERROR(__xludf.DUMMYFUNCTION("""COMPUTED_VALUE"""),43405.54584224537)</f>
        <v>43405.54584</v>
      </c>
      <c r="B3535" t="s">
        <v>2262</v>
      </c>
    </row>
    <row r="3536">
      <c r="A3536" s="32">
        <f>IFERROR(__xludf.DUMMYFUNCTION("""COMPUTED_VALUE"""),43405.54651226852)</f>
        <v>43405.54651</v>
      </c>
      <c r="B3536" t="s">
        <v>40</v>
      </c>
    </row>
    <row r="3537">
      <c r="A3537" s="32">
        <f>IFERROR(__xludf.DUMMYFUNCTION("""COMPUTED_VALUE"""),43405.56802849537)</f>
        <v>43405.56803</v>
      </c>
      <c r="B3537" t="s">
        <v>80</v>
      </c>
    </row>
    <row r="3538">
      <c r="A3538" s="32">
        <f>IFERROR(__xludf.DUMMYFUNCTION("""COMPUTED_VALUE"""),43405.577264618056)</f>
        <v>43405.57726</v>
      </c>
      <c r="B3538" t="s">
        <v>80</v>
      </c>
    </row>
    <row r="3539">
      <c r="A3539" s="32">
        <f>IFERROR(__xludf.DUMMYFUNCTION("""COMPUTED_VALUE"""),43405.589055000004)</f>
        <v>43405.58906</v>
      </c>
      <c r="B3539" t="s">
        <v>80</v>
      </c>
    </row>
    <row r="3540">
      <c r="A3540" s="32">
        <f>IFERROR(__xludf.DUMMYFUNCTION("""COMPUTED_VALUE"""),43405.604374745366)</f>
        <v>43405.60437</v>
      </c>
      <c r="B3540" t="s">
        <v>268</v>
      </c>
    </row>
    <row r="3541">
      <c r="A3541" s="32">
        <f>IFERROR(__xludf.DUMMYFUNCTION("""COMPUTED_VALUE"""),43405.617439803245)</f>
        <v>43405.61744</v>
      </c>
      <c r="B3541" t="s">
        <v>2324</v>
      </c>
    </row>
    <row r="3542">
      <c r="A3542" s="32">
        <f>IFERROR(__xludf.DUMMYFUNCTION("""COMPUTED_VALUE"""),43405.629088194444)</f>
        <v>43405.62909</v>
      </c>
      <c r="B3542" t="s">
        <v>2326</v>
      </c>
    </row>
    <row r="3543">
      <c r="A3543" s="32">
        <f>IFERROR(__xludf.DUMMYFUNCTION("""COMPUTED_VALUE"""),43405.64166969908)</f>
        <v>43405.64167</v>
      </c>
      <c r="B3543" t="s">
        <v>80</v>
      </c>
    </row>
    <row r="3544">
      <c r="A3544" s="32">
        <f>IFERROR(__xludf.DUMMYFUNCTION("""COMPUTED_VALUE"""),43405.64583631944)</f>
        <v>43405.64584</v>
      </c>
      <c r="B3544" t="s">
        <v>2329</v>
      </c>
    </row>
    <row r="3545">
      <c r="A3545" s="32">
        <f>IFERROR(__xludf.DUMMYFUNCTION("""COMPUTED_VALUE"""),43405.65386011574)</f>
        <v>43405.65386</v>
      </c>
      <c r="B3545" t="s">
        <v>2794</v>
      </c>
    </row>
    <row r="3546">
      <c r="A3546" s="32">
        <f>IFERROR(__xludf.DUMMYFUNCTION("""COMPUTED_VALUE"""),43405.65823277777)</f>
        <v>43405.65823</v>
      </c>
      <c r="B3546" t="s">
        <v>25</v>
      </c>
    </row>
    <row r="3547">
      <c r="A3547" s="32">
        <f>IFERROR(__xludf.DUMMYFUNCTION("""COMPUTED_VALUE"""),43405.66330755787)</f>
        <v>43405.66331</v>
      </c>
      <c r="B3547" t="s">
        <v>40</v>
      </c>
    </row>
    <row r="3548">
      <c r="A3548" s="32">
        <f>IFERROR(__xludf.DUMMYFUNCTION("""COMPUTED_VALUE"""),43405.66430361111)</f>
        <v>43405.6643</v>
      </c>
      <c r="B3548" t="s">
        <v>40</v>
      </c>
    </row>
    <row r="3549">
      <c r="A3549" s="32">
        <f>IFERROR(__xludf.DUMMYFUNCTION("""COMPUTED_VALUE"""),43405.670126944446)</f>
        <v>43405.67013</v>
      </c>
      <c r="B3549" t="s">
        <v>40</v>
      </c>
    </row>
    <row r="3550">
      <c r="A3550" s="32">
        <f>IFERROR(__xludf.DUMMYFUNCTION("""COMPUTED_VALUE"""),43405.67082787037)</f>
        <v>43405.67083</v>
      </c>
      <c r="B3550" t="s">
        <v>80</v>
      </c>
    </row>
    <row r="3551">
      <c r="A3551" s="32">
        <f>IFERROR(__xludf.DUMMYFUNCTION("""COMPUTED_VALUE"""),43405.68632494213)</f>
        <v>43405.68632</v>
      </c>
      <c r="B3551" t="s">
        <v>170</v>
      </c>
    </row>
    <row r="3552">
      <c r="A3552" s="32">
        <f>IFERROR(__xludf.DUMMYFUNCTION("""COMPUTED_VALUE"""),43405.69125916666)</f>
        <v>43405.69126</v>
      </c>
      <c r="B3552" t="s">
        <v>33</v>
      </c>
    </row>
    <row r="3553">
      <c r="A3553" s="32">
        <f>IFERROR(__xludf.DUMMYFUNCTION("""COMPUTED_VALUE"""),43405.71597258102)</f>
        <v>43405.71597</v>
      </c>
      <c r="B3553" t="s">
        <v>142</v>
      </c>
    </row>
    <row r="3554">
      <c r="A3554" s="32">
        <f>IFERROR(__xludf.DUMMYFUNCTION("""COMPUTED_VALUE"""),43405.772295601855)</f>
        <v>43405.7723</v>
      </c>
      <c r="B3554" t="s">
        <v>282</v>
      </c>
    </row>
    <row r="3555">
      <c r="A3555" s="32">
        <f>IFERROR(__xludf.DUMMYFUNCTION("""COMPUTED_VALUE"""),43405.77833806713)</f>
        <v>43405.77834</v>
      </c>
      <c r="B3555" t="s">
        <v>80</v>
      </c>
    </row>
    <row r="3556">
      <c r="A3556" s="32">
        <f>IFERROR(__xludf.DUMMYFUNCTION("""COMPUTED_VALUE"""),43405.80458326389)</f>
        <v>43405.80458</v>
      </c>
      <c r="B3556" t="s">
        <v>2658</v>
      </c>
    </row>
    <row r="3557">
      <c r="A3557" s="32">
        <f>IFERROR(__xludf.DUMMYFUNCTION("""COMPUTED_VALUE"""),43405.812118726855)</f>
        <v>43405.81212</v>
      </c>
      <c r="B3557" t="s">
        <v>48</v>
      </c>
    </row>
    <row r="3558">
      <c r="A3558" s="32">
        <f>IFERROR(__xludf.DUMMYFUNCTION("""COMPUTED_VALUE"""),43405.83146832176)</f>
        <v>43405.83147</v>
      </c>
      <c r="B3558" t="s">
        <v>123</v>
      </c>
    </row>
    <row r="3559">
      <c r="A3559" s="32">
        <f>IFERROR(__xludf.DUMMYFUNCTION("""COMPUTED_VALUE"""),43405.87410023148)</f>
        <v>43405.8741</v>
      </c>
      <c r="B3559" t="s">
        <v>2536</v>
      </c>
    </row>
    <row r="3560">
      <c r="A3560" s="32">
        <f>IFERROR(__xludf.DUMMYFUNCTION("""COMPUTED_VALUE"""),43405.904975196754)</f>
        <v>43405.90498</v>
      </c>
      <c r="B3560" t="s">
        <v>2777</v>
      </c>
    </row>
    <row r="3561">
      <c r="A3561" s="32">
        <f>IFERROR(__xludf.DUMMYFUNCTION("""COMPUTED_VALUE"""),43405.909071898146)</f>
        <v>43405.90907</v>
      </c>
      <c r="B3561" t="s">
        <v>170</v>
      </c>
    </row>
    <row r="3562">
      <c r="A3562" s="32">
        <f>IFERROR(__xludf.DUMMYFUNCTION("""COMPUTED_VALUE"""),43405.90910413195)</f>
        <v>43405.9091</v>
      </c>
      <c r="B3562" t="s">
        <v>170</v>
      </c>
    </row>
    <row r="3563">
      <c r="A3563" s="32">
        <f>IFERROR(__xludf.DUMMYFUNCTION("""COMPUTED_VALUE"""),43405.923063090275)</f>
        <v>43405.92306</v>
      </c>
      <c r="B3563" t="s">
        <v>268</v>
      </c>
    </row>
    <row r="3564">
      <c r="A3564" s="32">
        <f>IFERROR(__xludf.DUMMYFUNCTION("""COMPUTED_VALUE"""),43405.925108194446)</f>
        <v>43405.92511</v>
      </c>
      <c r="B3564" t="s">
        <v>45</v>
      </c>
    </row>
    <row r="3565">
      <c r="A3565" s="32">
        <f>IFERROR(__xludf.DUMMYFUNCTION("""COMPUTED_VALUE"""),43405.93128715278)</f>
        <v>43405.93129</v>
      </c>
      <c r="B3565" t="s">
        <v>40</v>
      </c>
    </row>
    <row r="3566">
      <c r="A3566" s="32">
        <f>IFERROR(__xludf.DUMMYFUNCTION("""COMPUTED_VALUE"""),43405.93709489584)</f>
        <v>43405.93709</v>
      </c>
      <c r="B3566" t="s">
        <v>80</v>
      </c>
    </row>
    <row r="3567">
      <c r="A3567" s="32">
        <f>IFERROR(__xludf.DUMMYFUNCTION("""COMPUTED_VALUE"""),43405.95959871528)</f>
        <v>43405.9596</v>
      </c>
      <c r="B3567" t="s">
        <v>1079</v>
      </c>
    </row>
    <row r="3568">
      <c r="A3568" s="32">
        <f>IFERROR(__xludf.DUMMYFUNCTION("""COMPUTED_VALUE"""),43405.99072693287)</f>
        <v>43405.99073</v>
      </c>
      <c r="B3568" t="s">
        <v>2341</v>
      </c>
    </row>
    <row r="3569">
      <c r="A3569" s="32">
        <f>IFERROR(__xludf.DUMMYFUNCTION("""COMPUTED_VALUE"""),43405.99559827546)</f>
        <v>43405.9956</v>
      </c>
      <c r="B3569" t="s">
        <v>387</v>
      </c>
    </row>
    <row r="3570">
      <c r="A3570" s="32">
        <f>IFERROR(__xludf.DUMMYFUNCTION("""COMPUTED_VALUE"""),43406.07423174768)</f>
        <v>43406.07423</v>
      </c>
      <c r="B3570" t="s">
        <v>40</v>
      </c>
    </row>
    <row r="3571">
      <c r="A3571" s="32">
        <f>IFERROR(__xludf.DUMMYFUNCTION("""COMPUTED_VALUE"""),43406.0813445949)</f>
        <v>43406.08134</v>
      </c>
      <c r="B3571" t="s">
        <v>170</v>
      </c>
    </row>
    <row r="3572">
      <c r="A3572" s="32">
        <f>IFERROR(__xludf.DUMMYFUNCTION("""COMPUTED_VALUE"""),43406.08792248843)</f>
        <v>43406.08792</v>
      </c>
      <c r="B3572" t="s">
        <v>80</v>
      </c>
    </row>
    <row r="3573">
      <c r="A3573" s="32">
        <f>IFERROR(__xludf.DUMMYFUNCTION("""COMPUTED_VALUE"""),43406.17863934027)</f>
        <v>43406.17864</v>
      </c>
      <c r="B3573" t="s">
        <v>2346</v>
      </c>
    </row>
    <row r="3574">
      <c r="A3574" s="32">
        <f>IFERROR(__xludf.DUMMYFUNCTION("""COMPUTED_VALUE"""),43406.234797349534)</f>
        <v>43406.2348</v>
      </c>
      <c r="B3574" t="s">
        <v>1804</v>
      </c>
    </row>
    <row r="3575">
      <c r="A3575" s="32">
        <f>IFERROR(__xludf.DUMMYFUNCTION("""COMPUTED_VALUE"""),43406.258160625)</f>
        <v>43406.25816</v>
      </c>
      <c r="B3575" t="s">
        <v>48</v>
      </c>
    </row>
    <row r="3576">
      <c r="A3576" s="32">
        <f>IFERROR(__xludf.DUMMYFUNCTION("""COMPUTED_VALUE"""),43406.27073991898)</f>
        <v>43406.27074</v>
      </c>
      <c r="B3576" t="s">
        <v>77</v>
      </c>
    </row>
    <row r="3577">
      <c r="A3577" s="32">
        <f>IFERROR(__xludf.DUMMYFUNCTION("""COMPUTED_VALUE"""),43406.31968488426)</f>
        <v>43406.31968</v>
      </c>
      <c r="B3577" t="s">
        <v>350</v>
      </c>
    </row>
    <row r="3578">
      <c r="A3578" s="32">
        <f>IFERROR(__xludf.DUMMYFUNCTION("""COMPUTED_VALUE"""),43406.320106875)</f>
        <v>43406.32011</v>
      </c>
      <c r="B3578" t="s">
        <v>350</v>
      </c>
    </row>
    <row r="3579">
      <c r="A3579" s="32">
        <f>IFERROR(__xludf.DUMMYFUNCTION("""COMPUTED_VALUE"""),43406.32270472222)</f>
        <v>43406.3227</v>
      </c>
      <c r="B3579" t="s">
        <v>80</v>
      </c>
    </row>
    <row r="3580">
      <c r="A3580" s="32">
        <f>IFERROR(__xludf.DUMMYFUNCTION("""COMPUTED_VALUE"""),43406.38615815972)</f>
        <v>43406.38616</v>
      </c>
      <c r="B3580" t="s">
        <v>2424</v>
      </c>
    </row>
    <row r="3581">
      <c r="A3581" s="32">
        <f>IFERROR(__xludf.DUMMYFUNCTION("""COMPUTED_VALUE"""),43406.38970854167)</f>
        <v>43406.38971</v>
      </c>
      <c r="B3581" t="s">
        <v>139</v>
      </c>
    </row>
    <row r="3582">
      <c r="A3582" s="32">
        <f>IFERROR(__xludf.DUMMYFUNCTION("""COMPUTED_VALUE"""),43406.39169542824)</f>
        <v>43406.3917</v>
      </c>
      <c r="B3582" t="s">
        <v>48</v>
      </c>
    </row>
    <row r="3583">
      <c r="A3583" s="32">
        <f>IFERROR(__xludf.DUMMYFUNCTION("""COMPUTED_VALUE"""),43406.395805555556)</f>
        <v>43406.39581</v>
      </c>
      <c r="B3583" t="s">
        <v>1160</v>
      </c>
    </row>
    <row r="3584">
      <c r="A3584" s="32">
        <f>IFERROR(__xludf.DUMMYFUNCTION("""COMPUTED_VALUE"""),43406.39781230324)</f>
        <v>43406.39781</v>
      </c>
      <c r="B3584" t="s">
        <v>819</v>
      </c>
    </row>
    <row r="3585">
      <c r="A3585" s="32">
        <f>IFERROR(__xludf.DUMMYFUNCTION("""COMPUTED_VALUE"""),43406.40295405092)</f>
        <v>43406.40295</v>
      </c>
      <c r="B3585" t="s">
        <v>40</v>
      </c>
    </row>
    <row r="3586">
      <c r="A3586" s="32">
        <f>IFERROR(__xludf.DUMMYFUNCTION("""COMPUTED_VALUE"""),43406.416079166665)</f>
        <v>43406.41608</v>
      </c>
      <c r="B3586" t="s">
        <v>123</v>
      </c>
    </row>
    <row r="3587">
      <c r="A3587" s="32">
        <f>IFERROR(__xludf.DUMMYFUNCTION("""COMPUTED_VALUE"""),43406.41840984953)</f>
        <v>43406.41841</v>
      </c>
      <c r="B3587" t="s">
        <v>540</v>
      </c>
    </row>
    <row r="3588">
      <c r="A3588" s="32">
        <f>IFERROR(__xludf.DUMMYFUNCTION("""COMPUTED_VALUE"""),43406.429873506946)</f>
        <v>43406.42987</v>
      </c>
      <c r="B3588" t="s">
        <v>80</v>
      </c>
    </row>
    <row r="3589">
      <c r="A3589" s="32">
        <f>IFERROR(__xludf.DUMMYFUNCTION("""COMPUTED_VALUE"""),43406.441328518515)</f>
        <v>43406.44133</v>
      </c>
      <c r="B3589" t="s">
        <v>40</v>
      </c>
    </row>
    <row r="3590">
      <c r="A3590" s="32">
        <f>IFERROR(__xludf.DUMMYFUNCTION("""COMPUTED_VALUE"""),43406.44994734954)</f>
        <v>43406.44995</v>
      </c>
      <c r="B3590" t="s">
        <v>350</v>
      </c>
    </row>
    <row r="3591">
      <c r="A3591" s="32">
        <f>IFERROR(__xludf.DUMMYFUNCTION("""COMPUTED_VALUE"""),43406.49085221065)</f>
        <v>43406.49085</v>
      </c>
      <c r="B3591" t="s">
        <v>2353</v>
      </c>
    </row>
    <row r="3592">
      <c r="A3592" s="32">
        <f>IFERROR(__xludf.DUMMYFUNCTION("""COMPUTED_VALUE"""),43406.50828349537)</f>
        <v>43406.50828</v>
      </c>
      <c r="B3592" t="s">
        <v>2795</v>
      </c>
    </row>
    <row r="3593">
      <c r="A3593" s="32">
        <f>IFERROR(__xludf.DUMMYFUNCTION("""COMPUTED_VALUE"""),43406.50966660879)</f>
        <v>43406.50967</v>
      </c>
      <c r="B3593" t="s">
        <v>40</v>
      </c>
    </row>
    <row r="3594">
      <c r="A3594" s="32">
        <f>IFERROR(__xludf.DUMMYFUNCTION("""COMPUTED_VALUE"""),43406.52468623842)</f>
        <v>43406.52469</v>
      </c>
      <c r="B3594" t="s">
        <v>40</v>
      </c>
    </row>
    <row r="3595">
      <c r="A3595" s="32">
        <f>IFERROR(__xludf.DUMMYFUNCTION("""COMPUTED_VALUE"""),43406.53490270833)</f>
        <v>43406.5349</v>
      </c>
      <c r="B3595" t="s">
        <v>33</v>
      </c>
    </row>
    <row r="3596">
      <c r="A3596" s="32">
        <f>IFERROR(__xludf.DUMMYFUNCTION("""COMPUTED_VALUE"""),43406.549334525465)</f>
        <v>43406.54933</v>
      </c>
      <c r="B3596" t="s">
        <v>119</v>
      </c>
    </row>
    <row r="3597">
      <c r="A3597" s="32">
        <f>IFERROR(__xludf.DUMMYFUNCTION("""COMPUTED_VALUE"""),43406.580833368054)</f>
        <v>43406.58083</v>
      </c>
      <c r="B3597" t="s">
        <v>268</v>
      </c>
    </row>
    <row r="3598">
      <c r="A3598" s="32">
        <f>IFERROR(__xludf.DUMMYFUNCTION("""COMPUTED_VALUE"""),43406.622495393516)</f>
        <v>43406.6225</v>
      </c>
      <c r="B3598" t="s">
        <v>40</v>
      </c>
    </row>
    <row r="3599">
      <c r="A3599" s="32">
        <f>IFERROR(__xludf.DUMMYFUNCTION("""COMPUTED_VALUE"""),43406.678688263884)</f>
        <v>43406.67869</v>
      </c>
      <c r="B3599" t="s">
        <v>40</v>
      </c>
    </row>
    <row r="3600">
      <c r="A3600" s="32">
        <f>IFERROR(__xludf.DUMMYFUNCTION("""COMPUTED_VALUE"""),43406.72047303241)</f>
        <v>43406.72047</v>
      </c>
      <c r="B3600" t="s">
        <v>33</v>
      </c>
    </row>
    <row r="3601">
      <c r="A3601" s="32">
        <f>IFERROR(__xludf.DUMMYFUNCTION("""COMPUTED_VALUE"""),43406.72151716435)</f>
        <v>43406.72152</v>
      </c>
      <c r="B3601" t="s">
        <v>45</v>
      </c>
    </row>
    <row r="3602">
      <c r="A3602" s="32">
        <f>IFERROR(__xludf.DUMMYFUNCTION("""COMPUTED_VALUE"""),43406.75865099537)</f>
        <v>43406.75865</v>
      </c>
      <c r="B3602" t="s">
        <v>33</v>
      </c>
    </row>
    <row r="3603">
      <c r="A3603" s="32">
        <f>IFERROR(__xludf.DUMMYFUNCTION("""COMPUTED_VALUE"""),43406.79399348379)</f>
        <v>43406.79399</v>
      </c>
      <c r="B3603" t="s">
        <v>170</v>
      </c>
    </row>
    <row r="3604">
      <c r="A3604" s="32">
        <f>IFERROR(__xludf.DUMMYFUNCTION("""COMPUTED_VALUE"""),43406.795758912034)</f>
        <v>43406.79576</v>
      </c>
      <c r="B3604" t="s">
        <v>40</v>
      </c>
    </row>
    <row r="3605">
      <c r="A3605" s="32">
        <f>IFERROR(__xludf.DUMMYFUNCTION("""COMPUTED_VALUE"""),43406.79682268518)</f>
        <v>43406.79682</v>
      </c>
      <c r="B3605" t="s">
        <v>538</v>
      </c>
    </row>
    <row r="3606">
      <c r="A3606" s="32">
        <f>IFERROR(__xludf.DUMMYFUNCTION("""COMPUTED_VALUE"""),43406.80838340278)</f>
        <v>43406.80838</v>
      </c>
      <c r="B3606" t="s">
        <v>40</v>
      </c>
    </row>
    <row r="3607">
      <c r="A3607" s="32">
        <f>IFERROR(__xludf.DUMMYFUNCTION("""COMPUTED_VALUE"""),43406.82376409722)</f>
        <v>43406.82376</v>
      </c>
      <c r="B3607" t="s">
        <v>40</v>
      </c>
    </row>
    <row r="3608">
      <c r="A3608" s="32">
        <f>IFERROR(__xludf.DUMMYFUNCTION("""COMPUTED_VALUE"""),43406.85725894676)</f>
        <v>43406.85726</v>
      </c>
      <c r="B3608" t="s">
        <v>80</v>
      </c>
    </row>
    <row r="3609">
      <c r="A3609" s="32">
        <f>IFERROR(__xludf.DUMMYFUNCTION("""COMPUTED_VALUE"""),43406.94100266203)</f>
        <v>43406.941</v>
      </c>
      <c r="B3609" t="s">
        <v>33</v>
      </c>
    </row>
    <row r="3610">
      <c r="A3610" s="32">
        <f>IFERROR(__xludf.DUMMYFUNCTION("""COMPUTED_VALUE"""),43406.95961534722)</f>
        <v>43406.95962</v>
      </c>
      <c r="B3610" t="s">
        <v>268</v>
      </c>
    </row>
    <row r="3611">
      <c r="A3611" s="32">
        <f>IFERROR(__xludf.DUMMYFUNCTION("""COMPUTED_VALUE"""),43407.07068321759)</f>
        <v>43407.07068</v>
      </c>
      <c r="B3611" t="s">
        <v>282</v>
      </c>
    </row>
    <row r="3612">
      <c r="A3612" s="32">
        <f>IFERROR(__xludf.DUMMYFUNCTION("""COMPUTED_VALUE"""),43407.07211018518)</f>
        <v>43407.07211</v>
      </c>
      <c r="B3612" t="s">
        <v>282</v>
      </c>
    </row>
    <row r="3613">
      <c r="A3613" s="32">
        <f>IFERROR(__xludf.DUMMYFUNCTION("""COMPUTED_VALUE"""),43407.17682167824)</f>
        <v>43407.17682</v>
      </c>
      <c r="B3613" t="s">
        <v>1609</v>
      </c>
    </row>
    <row r="3614">
      <c r="A3614" s="32">
        <f>IFERROR(__xludf.DUMMYFUNCTION("""COMPUTED_VALUE"""),43407.224956516206)</f>
        <v>43407.22496</v>
      </c>
      <c r="B3614" t="s">
        <v>33</v>
      </c>
    </row>
    <row r="3615">
      <c r="A3615" s="32">
        <f>IFERROR(__xludf.DUMMYFUNCTION("""COMPUTED_VALUE"""),43407.26307623842)</f>
        <v>43407.26308</v>
      </c>
      <c r="B3615" t="s">
        <v>2370</v>
      </c>
    </row>
    <row r="3616">
      <c r="A3616" s="32">
        <f>IFERROR(__xludf.DUMMYFUNCTION("""COMPUTED_VALUE"""),43407.341276203704)</f>
        <v>43407.34128</v>
      </c>
      <c r="B3616" t="s">
        <v>80</v>
      </c>
    </row>
    <row r="3617">
      <c r="A3617" s="32">
        <f>IFERROR(__xludf.DUMMYFUNCTION("""COMPUTED_VALUE"""),43407.36307024305)</f>
        <v>43407.36307</v>
      </c>
      <c r="B3617" t="s">
        <v>45</v>
      </c>
    </row>
    <row r="3618">
      <c r="A3618" s="32">
        <f>IFERROR(__xludf.DUMMYFUNCTION("""COMPUTED_VALUE"""),43407.40113414352)</f>
        <v>43407.40113</v>
      </c>
      <c r="B3618" t="s">
        <v>25</v>
      </c>
    </row>
    <row r="3619">
      <c r="A3619" s="32">
        <f>IFERROR(__xludf.DUMMYFUNCTION("""COMPUTED_VALUE"""),43407.42737042824)</f>
        <v>43407.42737</v>
      </c>
      <c r="B3619" t="s">
        <v>33</v>
      </c>
    </row>
    <row r="3620">
      <c r="A3620" s="32">
        <f>IFERROR(__xludf.DUMMYFUNCTION("""COMPUTED_VALUE"""),43407.45955329861)</f>
        <v>43407.45955</v>
      </c>
      <c r="B3620" t="s">
        <v>350</v>
      </c>
    </row>
    <row r="3621">
      <c r="A3621" s="32">
        <f>IFERROR(__xludf.DUMMYFUNCTION("""COMPUTED_VALUE"""),43407.46746546296)</f>
        <v>43407.46747</v>
      </c>
      <c r="B3621" t="s">
        <v>1079</v>
      </c>
    </row>
    <row r="3622">
      <c r="A3622" s="32">
        <f>IFERROR(__xludf.DUMMYFUNCTION("""COMPUTED_VALUE"""),43407.630416354164)</f>
        <v>43407.63042</v>
      </c>
      <c r="B3622" t="s">
        <v>1313</v>
      </c>
    </row>
    <row r="3623">
      <c r="A3623" s="32">
        <f>IFERROR(__xludf.DUMMYFUNCTION("""COMPUTED_VALUE"""),43407.65053997685)</f>
        <v>43407.65054</v>
      </c>
      <c r="B3623" t="s">
        <v>33</v>
      </c>
    </row>
    <row r="3624">
      <c r="A3624" s="32">
        <f>IFERROR(__xludf.DUMMYFUNCTION("""COMPUTED_VALUE"""),43407.66115518518)</f>
        <v>43407.66116</v>
      </c>
      <c r="B3624" t="s">
        <v>123</v>
      </c>
    </row>
    <row r="3625">
      <c r="A3625" s="32">
        <f>IFERROR(__xludf.DUMMYFUNCTION("""COMPUTED_VALUE"""),43407.713890555555)</f>
        <v>43407.71389</v>
      </c>
      <c r="B3625" t="s">
        <v>40</v>
      </c>
    </row>
    <row r="3626">
      <c r="A3626" s="32">
        <f>IFERROR(__xludf.DUMMYFUNCTION("""COMPUTED_VALUE"""),43407.740230208336)</f>
        <v>43407.74023</v>
      </c>
      <c r="B3626" t="s">
        <v>270</v>
      </c>
    </row>
    <row r="3627">
      <c r="A3627" s="32">
        <f>IFERROR(__xludf.DUMMYFUNCTION("""COMPUTED_VALUE"""),43408.06069372685)</f>
        <v>43408.06069</v>
      </c>
      <c r="B3627" t="s">
        <v>80</v>
      </c>
    </row>
    <row r="3628">
      <c r="A3628" s="32">
        <f>IFERROR(__xludf.DUMMYFUNCTION("""COMPUTED_VALUE"""),43408.2509024537)</f>
        <v>43408.2509</v>
      </c>
      <c r="B3628" t="s">
        <v>268</v>
      </c>
    </row>
    <row r="3629">
      <c r="A3629" s="32">
        <f>IFERROR(__xludf.DUMMYFUNCTION("""COMPUTED_VALUE"""),43408.28072796296)</f>
        <v>43408.28073</v>
      </c>
      <c r="B3629" t="s">
        <v>33</v>
      </c>
    </row>
    <row r="3630">
      <c r="A3630" s="32">
        <f>IFERROR(__xludf.DUMMYFUNCTION("""COMPUTED_VALUE"""),43408.3684037037)</f>
        <v>43408.3684</v>
      </c>
      <c r="B3630" t="s">
        <v>33</v>
      </c>
    </row>
    <row r="3631">
      <c r="A3631" s="32">
        <f>IFERROR(__xludf.DUMMYFUNCTION("""COMPUTED_VALUE"""),43408.386367812505)</f>
        <v>43408.38637</v>
      </c>
      <c r="B3631" t="s">
        <v>80</v>
      </c>
    </row>
    <row r="3632">
      <c r="A3632" s="32">
        <f>IFERROR(__xludf.DUMMYFUNCTION("""COMPUTED_VALUE"""),43408.43280763889)</f>
        <v>43408.43281</v>
      </c>
      <c r="B3632" t="s">
        <v>36</v>
      </c>
    </row>
    <row r="3633">
      <c r="A3633" s="32">
        <f>IFERROR(__xludf.DUMMYFUNCTION("""COMPUTED_VALUE"""),43408.46817393518)</f>
        <v>43408.46817</v>
      </c>
      <c r="B3633" t="s">
        <v>819</v>
      </c>
    </row>
    <row r="3634">
      <c r="A3634" s="32">
        <f>IFERROR(__xludf.DUMMYFUNCTION("""COMPUTED_VALUE"""),43408.54383121528)</f>
        <v>43408.54383</v>
      </c>
      <c r="B3634" t="s">
        <v>105</v>
      </c>
    </row>
    <row r="3635">
      <c r="A3635" s="32">
        <f>IFERROR(__xludf.DUMMYFUNCTION("""COMPUTED_VALUE"""),43408.59105204861)</f>
        <v>43408.59105</v>
      </c>
      <c r="B3635" t="s">
        <v>371</v>
      </c>
    </row>
    <row r="3636">
      <c r="A3636" s="32">
        <f>IFERROR(__xludf.DUMMYFUNCTION("""COMPUTED_VALUE"""),43408.59139300926)</f>
        <v>43408.59139</v>
      </c>
      <c r="B3636" t="s">
        <v>428</v>
      </c>
    </row>
    <row r="3637">
      <c r="A3637" s="32">
        <f>IFERROR(__xludf.DUMMYFUNCTION("""COMPUTED_VALUE"""),43408.60019212963)</f>
        <v>43408.60019</v>
      </c>
      <c r="B3637" t="s">
        <v>2190</v>
      </c>
    </row>
    <row r="3638">
      <c r="A3638" s="32">
        <f>IFERROR(__xludf.DUMMYFUNCTION("""COMPUTED_VALUE"""),43408.62811471065)</f>
        <v>43408.62811</v>
      </c>
      <c r="B3638" t="s">
        <v>813</v>
      </c>
    </row>
    <row r="3639">
      <c r="A3639" s="32">
        <f>IFERROR(__xludf.DUMMYFUNCTION("""COMPUTED_VALUE"""),43408.64872494213)</f>
        <v>43408.64872</v>
      </c>
      <c r="B3639" t="s">
        <v>2383</v>
      </c>
    </row>
    <row r="3640">
      <c r="A3640" s="32">
        <f>IFERROR(__xludf.DUMMYFUNCTION("""COMPUTED_VALUE"""),43408.74490243055)</f>
        <v>43408.7449</v>
      </c>
      <c r="B3640" t="s">
        <v>33</v>
      </c>
    </row>
    <row r="3641">
      <c r="A3641" s="32">
        <f>IFERROR(__xludf.DUMMYFUNCTION("""COMPUTED_VALUE"""),43408.75052378472)</f>
        <v>43408.75052</v>
      </c>
      <c r="B3641" t="s">
        <v>48</v>
      </c>
    </row>
    <row r="3642">
      <c r="A3642" s="32">
        <f>IFERROR(__xludf.DUMMYFUNCTION("""COMPUTED_VALUE"""),43408.75957504629)</f>
        <v>43408.75958</v>
      </c>
      <c r="B3642" t="s">
        <v>2383</v>
      </c>
    </row>
    <row r="3643">
      <c r="A3643" s="32">
        <f>IFERROR(__xludf.DUMMYFUNCTION("""COMPUTED_VALUE"""),43408.790867337964)</f>
        <v>43408.79087</v>
      </c>
      <c r="B3643" t="s">
        <v>33</v>
      </c>
    </row>
    <row r="3644">
      <c r="A3644" s="32">
        <f>IFERROR(__xludf.DUMMYFUNCTION("""COMPUTED_VALUE"""),43408.83014280093)</f>
        <v>43408.83014</v>
      </c>
      <c r="B3644" t="s">
        <v>33</v>
      </c>
    </row>
    <row r="3645">
      <c r="A3645" s="32">
        <f>IFERROR(__xludf.DUMMYFUNCTION("""COMPUTED_VALUE"""),43408.83608255787)</f>
        <v>43408.83608</v>
      </c>
      <c r="B3645" t="s">
        <v>33</v>
      </c>
    </row>
    <row r="3646">
      <c r="A3646" s="32">
        <f>IFERROR(__xludf.DUMMYFUNCTION("""COMPUTED_VALUE"""),43408.86278401621)</f>
        <v>43408.86278</v>
      </c>
      <c r="B3646" t="s">
        <v>204</v>
      </c>
    </row>
    <row r="3647">
      <c r="A3647" s="32">
        <f>IFERROR(__xludf.DUMMYFUNCTION("""COMPUTED_VALUE"""),43408.93713034722)</f>
        <v>43408.93713</v>
      </c>
      <c r="B3647" t="s">
        <v>40</v>
      </c>
    </row>
    <row r="3648">
      <c r="A3648" s="32">
        <f>IFERROR(__xludf.DUMMYFUNCTION("""COMPUTED_VALUE"""),43408.954636435185)</f>
        <v>43408.95464</v>
      </c>
      <c r="B3648" t="s">
        <v>428</v>
      </c>
    </row>
    <row r="3649">
      <c r="A3649" s="32">
        <f>IFERROR(__xludf.DUMMYFUNCTION("""COMPUTED_VALUE"""),43409.036154305555)</f>
        <v>43409.03615</v>
      </c>
      <c r="B3649" t="s">
        <v>40</v>
      </c>
    </row>
    <row r="3650">
      <c r="A3650" s="32">
        <f>IFERROR(__xludf.DUMMYFUNCTION("""COMPUTED_VALUE"""),43409.03718694445)</f>
        <v>43409.03719</v>
      </c>
      <c r="B3650" t="s">
        <v>45</v>
      </c>
    </row>
    <row r="3651">
      <c r="A3651" s="32">
        <f>IFERROR(__xludf.DUMMYFUNCTION("""COMPUTED_VALUE"""),43409.097709837966)</f>
        <v>43409.09771</v>
      </c>
      <c r="B3651" t="s">
        <v>2796</v>
      </c>
    </row>
    <row r="3652">
      <c r="A3652" s="32">
        <f>IFERROR(__xludf.DUMMYFUNCTION("""COMPUTED_VALUE"""),43409.12187935185)</f>
        <v>43409.12188</v>
      </c>
      <c r="B3652" t="s">
        <v>2797</v>
      </c>
    </row>
    <row r="3653">
      <c r="A3653" s="32">
        <f>IFERROR(__xludf.DUMMYFUNCTION("""COMPUTED_VALUE"""),43409.31660346065)</f>
        <v>43409.3166</v>
      </c>
      <c r="B3653" t="s">
        <v>2798</v>
      </c>
    </row>
    <row r="3654">
      <c r="A3654" s="32">
        <f>IFERROR(__xludf.DUMMYFUNCTION("""COMPUTED_VALUE"""),43409.36961865741)</f>
        <v>43409.36962</v>
      </c>
      <c r="B3654" t="s">
        <v>268</v>
      </c>
    </row>
    <row r="3655">
      <c r="A3655" s="32">
        <f>IFERROR(__xludf.DUMMYFUNCTION("""COMPUTED_VALUE"""),43409.412519074074)</f>
        <v>43409.41252</v>
      </c>
      <c r="B3655" t="s">
        <v>154</v>
      </c>
    </row>
    <row r="3656">
      <c r="A3656" s="32">
        <f>IFERROR(__xludf.DUMMYFUNCTION("""COMPUTED_VALUE"""),43409.41897616898)</f>
        <v>43409.41898</v>
      </c>
      <c r="B3656" t="s">
        <v>36</v>
      </c>
    </row>
    <row r="3657">
      <c r="A3657" s="32">
        <f>IFERROR(__xludf.DUMMYFUNCTION("""COMPUTED_VALUE"""),43409.47019310185)</f>
        <v>43409.47019</v>
      </c>
      <c r="B3657" t="s">
        <v>45</v>
      </c>
    </row>
    <row r="3658">
      <c r="A3658" s="32">
        <f>IFERROR(__xludf.DUMMYFUNCTION("""COMPUTED_VALUE"""),43409.53148306713)</f>
        <v>43409.53148</v>
      </c>
      <c r="B3658" t="s">
        <v>2799</v>
      </c>
    </row>
    <row r="3659">
      <c r="A3659" s="32">
        <f>IFERROR(__xludf.DUMMYFUNCTION("""COMPUTED_VALUE"""),43409.64882785879)</f>
        <v>43409.64883</v>
      </c>
      <c r="B3659" t="s">
        <v>40</v>
      </c>
    </row>
    <row r="3660">
      <c r="A3660" s="32">
        <f>IFERROR(__xludf.DUMMYFUNCTION("""COMPUTED_VALUE"""),43409.65139408565)</f>
        <v>43409.65139</v>
      </c>
      <c r="B3660" t="s">
        <v>371</v>
      </c>
    </row>
    <row r="3661">
      <c r="A3661" s="32">
        <f>IFERROR(__xludf.DUMMYFUNCTION("""COMPUTED_VALUE"""),43409.83015678241)</f>
        <v>43409.83016</v>
      </c>
      <c r="B3661" t="s">
        <v>40</v>
      </c>
    </row>
    <row r="3662">
      <c r="A3662" s="32">
        <f>IFERROR(__xludf.DUMMYFUNCTION("""COMPUTED_VALUE"""),43409.863161354166)</f>
        <v>43409.86316</v>
      </c>
      <c r="B3662" t="s">
        <v>33</v>
      </c>
    </row>
    <row r="3663">
      <c r="A3663" s="32">
        <f>IFERROR(__xludf.DUMMYFUNCTION("""COMPUTED_VALUE"""),43409.87758483796)</f>
        <v>43409.87758</v>
      </c>
      <c r="B3663" t="s">
        <v>2393</v>
      </c>
    </row>
    <row r="3664">
      <c r="A3664" s="32">
        <f>IFERROR(__xludf.DUMMYFUNCTION("""COMPUTED_VALUE"""),43409.889050729165)</f>
        <v>43409.88905</v>
      </c>
      <c r="B3664" t="s">
        <v>25</v>
      </c>
    </row>
    <row r="3665">
      <c r="A3665" s="32">
        <f>IFERROR(__xludf.DUMMYFUNCTION("""COMPUTED_VALUE"""),43409.89090989583)</f>
        <v>43409.89091</v>
      </c>
      <c r="B3665" t="s">
        <v>387</v>
      </c>
    </row>
    <row r="3666">
      <c r="A3666" s="32">
        <f>IFERROR(__xludf.DUMMYFUNCTION("""COMPUTED_VALUE"""),43409.892920625)</f>
        <v>43409.89292</v>
      </c>
      <c r="B3666" t="s">
        <v>270</v>
      </c>
    </row>
    <row r="3667">
      <c r="A3667" s="32">
        <f>IFERROR(__xludf.DUMMYFUNCTION("""COMPUTED_VALUE"""),43409.90429314815)</f>
        <v>43409.90429</v>
      </c>
      <c r="B3667" t="s">
        <v>123</v>
      </c>
    </row>
    <row r="3668">
      <c r="A3668" s="32">
        <f>IFERROR(__xludf.DUMMYFUNCTION("""COMPUTED_VALUE"""),43409.915835312495)</f>
        <v>43409.91584</v>
      </c>
      <c r="B3668" t="s">
        <v>80</v>
      </c>
    </row>
    <row r="3669">
      <c r="A3669" s="32">
        <f>IFERROR(__xludf.DUMMYFUNCTION("""COMPUTED_VALUE"""),43409.934588425924)</f>
        <v>43409.93459</v>
      </c>
      <c r="B3669" t="s">
        <v>813</v>
      </c>
    </row>
    <row r="3670">
      <c r="A3670" s="32">
        <f>IFERROR(__xludf.DUMMYFUNCTION("""COMPUTED_VALUE"""),43409.98334034722)</f>
        <v>43409.98334</v>
      </c>
      <c r="B3670" t="s">
        <v>48</v>
      </c>
    </row>
    <row r="3671">
      <c r="A3671" s="32">
        <f>IFERROR(__xludf.DUMMYFUNCTION("""COMPUTED_VALUE"""),43410.10549209491)</f>
        <v>43410.10549</v>
      </c>
      <c r="B3671" t="s">
        <v>2255</v>
      </c>
    </row>
    <row r="3672">
      <c r="A3672" s="32">
        <f>IFERROR(__xludf.DUMMYFUNCTION("""COMPUTED_VALUE"""),43410.174466157405)</f>
        <v>43410.17447</v>
      </c>
      <c r="B3672" t="s">
        <v>33</v>
      </c>
    </row>
    <row r="3673">
      <c r="A3673" s="32">
        <f>IFERROR(__xludf.DUMMYFUNCTION("""COMPUTED_VALUE"""),43410.20597768518)</f>
        <v>43410.20598</v>
      </c>
      <c r="B3673" t="s">
        <v>2662</v>
      </c>
    </row>
    <row r="3674">
      <c r="A3674" s="32">
        <f>IFERROR(__xludf.DUMMYFUNCTION("""COMPUTED_VALUE"""),43410.3014615625)</f>
        <v>43410.30146</v>
      </c>
      <c r="B3674" t="s">
        <v>119</v>
      </c>
    </row>
    <row r="3675">
      <c r="A3675" s="32">
        <f>IFERROR(__xludf.DUMMYFUNCTION("""COMPUTED_VALUE"""),43410.456590428235)</f>
        <v>43410.45659</v>
      </c>
      <c r="B3675" t="s">
        <v>80</v>
      </c>
    </row>
    <row r="3676">
      <c r="A3676" s="32">
        <f>IFERROR(__xludf.DUMMYFUNCTION("""COMPUTED_VALUE"""),43410.478612175924)</f>
        <v>43410.47861</v>
      </c>
      <c r="B3676" t="s">
        <v>40</v>
      </c>
    </row>
    <row r="3677">
      <c r="A3677" s="32">
        <f>IFERROR(__xludf.DUMMYFUNCTION("""COMPUTED_VALUE"""),43410.48359871528)</f>
        <v>43410.4836</v>
      </c>
      <c r="B3677" t="s">
        <v>387</v>
      </c>
    </row>
    <row r="3678">
      <c r="A3678" s="32">
        <f>IFERROR(__xludf.DUMMYFUNCTION("""COMPUTED_VALUE"""),43410.50053751157)</f>
        <v>43410.50054</v>
      </c>
      <c r="B3678" t="s">
        <v>40</v>
      </c>
    </row>
    <row r="3679">
      <c r="A3679" s="32">
        <f>IFERROR(__xludf.DUMMYFUNCTION("""COMPUTED_VALUE"""),43410.530415127316)</f>
        <v>43410.53042</v>
      </c>
      <c r="B3679" t="s">
        <v>124</v>
      </c>
    </row>
    <row r="3680">
      <c r="A3680" s="32">
        <f>IFERROR(__xludf.DUMMYFUNCTION("""COMPUTED_VALUE"""),43410.565185011576)</f>
        <v>43410.56519</v>
      </c>
      <c r="B3680" t="s">
        <v>40</v>
      </c>
    </row>
    <row r="3681">
      <c r="A3681" s="32">
        <f>IFERROR(__xludf.DUMMYFUNCTION("""COMPUTED_VALUE"""),43410.5687615162)</f>
        <v>43410.56876</v>
      </c>
      <c r="B3681" t="s">
        <v>2401</v>
      </c>
    </row>
    <row r="3682">
      <c r="A3682" s="32">
        <f>IFERROR(__xludf.DUMMYFUNCTION("""COMPUTED_VALUE"""),43410.57723638889)</f>
        <v>43410.57724</v>
      </c>
      <c r="B3682" t="s">
        <v>80</v>
      </c>
    </row>
    <row r="3683">
      <c r="A3683" s="32">
        <f>IFERROR(__xludf.DUMMYFUNCTION("""COMPUTED_VALUE"""),43410.57854615741)</f>
        <v>43410.57855</v>
      </c>
      <c r="B3683" t="s">
        <v>48</v>
      </c>
    </row>
    <row r="3684">
      <c r="A3684" s="32">
        <f>IFERROR(__xludf.DUMMYFUNCTION("""COMPUTED_VALUE"""),43410.58779546296)</f>
        <v>43410.5878</v>
      </c>
      <c r="B3684" t="s">
        <v>36</v>
      </c>
    </row>
    <row r="3685">
      <c r="A3685" s="32">
        <f>IFERROR(__xludf.DUMMYFUNCTION("""COMPUTED_VALUE"""),43410.58890383102)</f>
        <v>43410.5889</v>
      </c>
      <c r="B3685" t="s">
        <v>95</v>
      </c>
    </row>
    <row r="3686">
      <c r="A3686" s="32">
        <f>IFERROR(__xludf.DUMMYFUNCTION("""COMPUTED_VALUE"""),43410.61250780092)</f>
        <v>43410.61251</v>
      </c>
      <c r="B3686" t="s">
        <v>80</v>
      </c>
    </row>
    <row r="3687">
      <c r="A3687" s="32">
        <f>IFERROR(__xludf.DUMMYFUNCTION("""COMPUTED_VALUE"""),43410.62534572917)</f>
        <v>43410.62535</v>
      </c>
      <c r="B3687" t="s">
        <v>2404</v>
      </c>
    </row>
    <row r="3688">
      <c r="A3688" s="32">
        <f>IFERROR(__xludf.DUMMYFUNCTION("""COMPUTED_VALUE"""),43410.68438201389)</f>
        <v>43410.68438</v>
      </c>
      <c r="B3688" t="s">
        <v>1658</v>
      </c>
    </row>
    <row r="3689">
      <c r="A3689" s="32">
        <f>IFERROR(__xludf.DUMMYFUNCTION("""COMPUTED_VALUE"""),43410.74091136574)</f>
        <v>43410.74091</v>
      </c>
      <c r="B3689" t="s">
        <v>33</v>
      </c>
    </row>
    <row r="3690">
      <c r="A3690" s="32">
        <f>IFERROR(__xludf.DUMMYFUNCTION("""COMPUTED_VALUE"""),43410.80078695602)</f>
        <v>43410.80079</v>
      </c>
      <c r="B3690" t="s">
        <v>380</v>
      </c>
    </row>
    <row r="3691">
      <c r="A3691" s="32">
        <f>IFERROR(__xludf.DUMMYFUNCTION("""COMPUTED_VALUE"""),43410.82911494213)</f>
        <v>43410.82911</v>
      </c>
      <c r="B3691" t="s">
        <v>2237</v>
      </c>
    </row>
    <row r="3692">
      <c r="A3692" s="32">
        <f>IFERROR(__xludf.DUMMYFUNCTION("""COMPUTED_VALUE"""),43410.894645277775)</f>
        <v>43410.89465</v>
      </c>
      <c r="B3692" t="s">
        <v>40</v>
      </c>
    </row>
    <row r="3693">
      <c r="A3693" s="32">
        <f>IFERROR(__xludf.DUMMYFUNCTION("""COMPUTED_VALUE"""),43410.90002314815)</f>
        <v>43410.90002</v>
      </c>
      <c r="B3693" t="s">
        <v>371</v>
      </c>
    </row>
    <row r="3694">
      <c r="A3694" s="32">
        <f>IFERROR(__xludf.DUMMYFUNCTION("""COMPUTED_VALUE"""),43410.93523390046)</f>
        <v>43410.93523</v>
      </c>
      <c r="B3694" t="s">
        <v>407</v>
      </c>
    </row>
    <row r="3695">
      <c r="A3695" s="32">
        <f>IFERROR(__xludf.DUMMYFUNCTION("""COMPUTED_VALUE"""),43410.95891199074)</f>
        <v>43410.95891</v>
      </c>
      <c r="B3695" t="s">
        <v>2424</v>
      </c>
    </row>
    <row r="3696">
      <c r="A3696" s="32">
        <f>IFERROR(__xludf.DUMMYFUNCTION("""COMPUTED_VALUE"""),43410.983645810185)</f>
        <v>43410.98365</v>
      </c>
      <c r="B3696" t="s">
        <v>40</v>
      </c>
    </row>
    <row r="3697">
      <c r="A3697" s="32">
        <f>IFERROR(__xludf.DUMMYFUNCTION("""COMPUTED_VALUE"""),43410.984122256945)</f>
        <v>43410.98412</v>
      </c>
      <c r="B3697" t="s">
        <v>40</v>
      </c>
    </row>
    <row r="3698">
      <c r="A3698" s="32">
        <f>IFERROR(__xludf.DUMMYFUNCTION("""COMPUTED_VALUE"""),43410.994737870365)</f>
        <v>43410.99474</v>
      </c>
      <c r="B3698" t="s">
        <v>80</v>
      </c>
    </row>
    <row r="3699">
      <c r="A3699" s="32">
        <f>IFERROR(__xludf.DUMMYFUNCTION("""COMPUTED_VALUE"""),43411.011906898144)</f>
        <v>43411.01191</v>
      </c>
      <c r="B3699" t="s">
        <v>371</v>
      </c>
    </row>
    <row r="3700">
      <c r="A3700" s="32">
        <f>IFERROR(__xludf.DUMMYFUNCTION("""COMPUTED_VALUE"""),43411.02446696759)</f>
        <v>43411.02447</v>
      </c>
      <c r="B3700" t="s">
        <v>40</v>
      </c>
    </row>
    <row r="3701">
      <c r="A3701" s="32">
        <f>IFERROR(__xludf.DUMMYFUNCTION("""COMPUTED_VALUE"""),43411.2679890162)</f>
        <v>43411.26799</v>
      </c>
      <c r="B3701" t="s">
        <v>105</v>
      </c>
    </row>
    <row r="3702">
      <c r="A3702" s="32">
        <f>IFERROR(__xludf.DUMMYFUNCTION("""COMPUTED_VALUE"""),43411.33386711805)</f>
        <v>43411.33387</v>
      </c>
      <c r="B3702" t="s">
        <v>2235</v>
      </c>
    </row>
    <row r="3703">
      <c r="A3703" s="32">
        <f>IFERROR(__xludf.DUMMYFUNCTION("""COMPUTED_VALUE"""),43411.33518797454)</f>
        <v>43411.33519</v>
      </c>
      <c r="B3703" t="s">
        <v>286</v>
      </c>
    </row>
    <row r="3704">
      <c r="A3704" s="32">
        <f>IFERROR(__xludf.DUMMYFUNCTION("""COMPUTED_VALUE"""),43411.3875796412)</f>
        <v>43411.38758</v>
      </c>
      <c r="B3704" t="s">
        <v>40</v>
      </c>
    </row>
    <row r="3705">
      <c r="A3705" s="32">
        <f>IFERROR(__xludf.DUMMYFUNCTION("""COMPUTED_VALUE"""),43411.45869189815)</f>
        <v>43411.45869</v>
      </c>
      <c r="B3705" t="s">
        <v>45</v>
      </c>
    </row>
    <row r="3706">
      <c r="A3706" s="32">
        <f>IFERROR(__xludf.DUMMYFUNCTION("""COMPUTED_VALUE"""),43411.483682349535)</f>
        <v>43411.48368</v>
      </c>
      <c r="B3706" t="s">
        <v>154</v>
      </c>
    </row>
    <row r="3707">
      <c r="A3707" s="32">
        <f>IFERROR(__xludf.DUMMYFUNCTION("""COMPUTED_VALUE"""),43411.52358199074)</f>
        <v>43411.52358</v>
      </c>
      <c r="B3707" t="s">
        <v>36</v>
      </c>
    </row>
    <row r="3708">
      <c r="A3708" s="32">
        <f>IFERROR(__xludf.DUMMYFUNCTION("""COMPUTED_VALUE"""),43411.54700585648)</f>
        <v>43411.54701</v>
      </c>
      <c r="B3708" t="s">
        <v>40</v>
      </c>
    </row>
    <row r="3709">
      <c r="A3709" s="32">
        <f>IFERROR(__xludf.DUMMYFUNCTION("""COMPUTED_VALUE"""),43411.54995512731)</f>
        <v>43411.54996</v>
      </c>
      <c r="B3709" t="s">
        <v>2414</v>
      </c>
    </row>
    <row r="3710">
      <c r="A3710" s="32">
        <f>IFERROR(__xludf.DUMMYFUNCTION("""COMPUTED_VALUE"""),43411.56107993056)</f>
        <v>43411.56108</v>
      </c>
      <c r="B3710" t="s">
        <v>80</v>
      </c>
    </row>
    <row r="3711">
      <c r="A3711" s="32">
        <f>IFERROR(__xludf.DUMMYFUNCTION("""COMPUTED_VALUE"""),43411.568022708336)</f>
        <v>43411.56802</v>
      </c>
      <c r="B3711" t="s">
        <v>36</v>
      </c>
    </row>
    <row r="3712">
      <c r="A3712" s="32">
        <f>IFERROR(__xludf.DUMMYFUNCTION("""COMPUTED_VALUE"""),43411.59043847222)</f>
        <v>43411.59044</v>
      </c>
      <c r="B3712" t="s">
        <v>2800</v>
      </c>
    </row>
    <row r="3713">
      <c r="A3713" s="32">
        <f>IFERROR(__xludf.DUMMYFUNCTION("""COMPUTED_VALUE"""),43411.62839412037)</f>
        <v>43411.62839</v>
      </c>
      <c r="B3713" t="s">
        <v>33</v>
      </c>
    </row>
    <row r="3714">
      <c r="A3714" s="32">
        <f>IFERROR(__xludf.DUMMYFUNCTION("""COMPUTED_VALUE"""),43411.62840256945)</f>
        <v>43411.6284</v>
      </c>
      <c r="B3714" t="s">
        <v>33</v>
      </c>
    </row>
    <row r="3715">
      <c r="A3715" s="32">
        <f>IFERROR(__xludf.DUMMYFUNCTION("""COMPUTED_VALUE"""),43411.79558790509)</f>
        <v>43411.79559</v>
      </c>
      <c r="B3715" t="s">
        <v>2262</v>
      </c>
    </row>
    <row r="3716">
      <c r="A3716" s="32">
        <f>IFERROR(__xludf.DUMMYFUNCTION("""COMPUTED_VALUE"""),43411.796451585644)</f>
        <v>43411.79645</v>
      </c>
      <c r="B3716" t="s">
        <v>428</v>
      </c>
    </row>
    <row r="3717">
      <c r="A3717" s="32">
        <f>IFERROR(__xludf.DUMMYFUNCTION("""COMPUTED_VALUE"""),43411.802143622685)</f>
        <v>43411.80214</v>
      </c>
      <c r="B3717" t="s">
        <v>142</v>
      </c>
    </row>
    <row r="3718">
      <c r="A3718" s="32">
        <f>IFERROR(__xludf.DUMMYFUNCTION("""COMPUTED_VALUE"""),43411.844289768516)</f>
        <v>43411.84429</v>
      </c>
      <c r="B3718" t="s">
        <v>2419</v>
      </c>
    </row>
    <row r="3719">
      <c r="A3719" s="32">
        <f>IFERROR(__xludf.DUMMYFUNCTION("""COMPUTED_VALUE"""),43411.84468065972)</f>
        <v>43411.84468</v>
      </c>
      <c r="B3719" t="s">
        <v>2421</v>
      </c>
    </row>
    <row r="3720">
      <c r="A3720" s="32">
        <f>IFERROR(__xludf.DUMMYFUNCTION("""COMPUTED_VALUE"""),43411.85694680555)</f>
        <v>43411.85695</v>
      </c>
      <c r="B3720" t="s">
        <v>33</v>
      </c>
    </row>
    <row r="3721">
      <c r="A3721" s="32">
        <f>IFERROR(__xludf.DUMMYFUNCTION("""COMPUTED_VALUE"""),43411.85743137731)</f>
        <v>43411.85743</v>
      </c>
      <c r="B3721" t="s">
        <v>33</v>
      </c>
    </row>
    <row r="3722">
      <c r="A3722" s="32">
        <f>IFERROR(__xludf.DUMMYFUNCTION("""COMPUTED_VALUE"""),43411.85979914352)</f>
        <v>43411.8598</v>
      </c>
      <c r="B3722" t="s">
        <v>123</v>
      </c>
    </row>
    <row r="3723">
      <c r="A3723" s="32">
        <f>IFERROR(__xludf.DUMMYFUNCTION("""COMPUTED_VALUE"""),43411.8734262037)</f>
        <v>43411.87343</v>
      </c>
      <c r="B3723" t="s">
        <v>2801</v>
      </c>
    </row>
    <row r="3724">
      <c r="A3724" s="32">
        <f>IFERROR(__xludf.DUMMYFUNCTION("""COMPUTED_VALUE"""),43411.90788679398)</f>
        <v>43411.90789</v>
      </c>
      <c r="B3724" t="s">
        <v>2424</v>
      </c>
    </row>
    <row r="3725">
      <c r="A3725" s="32">
        <f>IFERROR(__xludf.DUMMYFUNCTION("""COMPUTED_VALUE"""),43411.93713736111)</f>
        <v>43411.93714</v>
      </c>
      <c r="B3725" t="s">
        <v>80</v>
      </c>
    </row>
    <row r="3726">
      <c r="A3726" s="32">
        <f>IFERROR(__xludf.DUMMYFUNCTION("""COMPUTED_VALUE"""),43411.947916122685)</f>
        <v>43411.94792</v>
      </c>
      <c r="B3726" t="s">
        <v>33</v>
      </c>
    </row>
    <row r="3727">
      <c r="A3727" s="32">
        <f>IFERROR(__xludf.DUMMYFUNCTION("""COMPUTED_VALUE"""),43411.991516423615)</f>
        <v>43411.99152</v>
      </c>
      <c r="B3727" t="s">
        <v>282</v>
      </c>
    </row>
    <row r="3728">
      <c r="A3728" s="32">
        <f>IFERROR(__xludf.DUMMYFUNCTION("""COMPUTED_VALUE"""),43412.04444025463)</f>
        <v>43412.04444</v>
      </c>
      <c r="B3728" t="s">
        <v>33</v>
      </c>
    </row>
    <row r="3729">
      <c r="A3729" s="32">
        <f>IFERROR(__xludf.DUMMYFUNCTION("""COMPUTED_VALUE"""),43412.04709961805)</f>
        <v>43412.0471</v>
      </c>
      <c r="B3729" t="s">
        <v>36</v>
      </c>
    </row>
    <row r="3730">
      <c r="A3730" s="32">
        <f>IFERROR(__xludf.DUMMYFUNCTION("""COMPUTED_VALUE"""),43412.17918283565)</f>
        <v>43412.17918</v>
      </c>
      <c r="B3730" t="s">
        <v>2425</v>
      </c>
    </row>
    <row r="3731">
      <c r="A3731" s="32">
        <f>IFERROR(__xludf.DUMMYFUNCTION("""COMPUTED_VALUE"""),43412.248212280094)</f>
        <v>43412.24821</v>
      </c>
      <c r="B3731" t="s">
        <v>33</v>
      </c>
    </row>
    <row r="3732">
      <c r="A3732" s="32">
        <f>IFERROR(__xludf.DUMMYFUNCTION("""COMPUTED_VALUE"""),43412.29749671296)</f>
        <v>43412.2975</v>
      </c>
      <c r="B3732" t="s">
        <v>40</v>
      </c>
    </row>
    <row r="3733">
      <c r="A3733" s="32">
        <f>IFERROR(__xludf.DUMMYFUNCTION("""COMPUTED_VALUE"""),43412.42882981482)</f>
        <v>43412.42883</v>
      </c>
      <c r="B3733" t="s">
        <v>187</v>
      </c>
    </row>
    <row r="3734">
      <c r="A3734" s="32">
        <f>IFERROR(__xludf.DUMMYFUNCTION("""COMPUTED_VALUE"""),43412.44040236111)</f>
        <v>43412.4404</v>
      </c>
      <c r="B3734" t="s">
        <v>48</v>
      </c>
    </row>
    <row r="3735">
      <c r="A3735" s="32">
        <f>IFERROR(__xludf.DUMMYFUNCTION("""COMPUTED_VALUE"""),43412.462322384265)</f>
        <v>43412.46232</v>
      </c>
      <c r="B3735" t="s">
        <v>33</v>
      </c>
    </row>
    <row r="3736">
      <c r="A3736" s="32">
        <f>IFERROR(__xludf.DUMMYFUNCTION("""COMPUTED_VALUE"""),43412.46821475694)</f>
        <v>43412.46821</v>
      </c>
      <c r="B3736" t="s">
        <v>40</v>
      </c>
    </row>
    <row r="3737">
      <c r="A3737" s="32">
        <f>IFERROR(__xludf.DUMMYFUNCTION("""COMPUTED_VALUE"""),43412.481670486115)</f>
        <v>43412.48167</v>
      </c>
      <c r="B3737" t="s">
        <v>33</v>
      </c>
    </row>
    <row r="3738">
      <c r="A3738" s="32">
        <f>IFERROR(__xludf.DUMMYFUNCTION("""COMPUTED_VALUE"""),43412.502546296295)</f>
        <v>43412.50255</v>
      </c>
      <c r="B3738" t="s">
        <v>139</v>
      </c>
    </row>
    <row r="3739">
      <c r="A3739" s="32">
        <f>IFERROR(__xludf.DUMMYFUNCTION("""COMPUTED_VALUE"""),43412.56418336806)</f>
        <v>43412.56418</v>
      </c>
      <c r="B3739" t="s">
        <v>2430</v>
      </c>
    </row>
    <row r="3740">
      <c r="A3740" s="32">
        <f>IFERROR(__xludf.DUMMYFUNCTION("""COMPUTED_VALUE"""),43412.56489204861)</f>
        <v>43412.56489</v>
      </c>
      <c r="B3740" t="s">
        <v>706</v>
      </c>
    </row>
    <row r="3741">
      <c r="A3741" s="32">
        <f>IFERROR(__xludf.DUMMYFUNCTION("""COMPUTED_VALUE"""),43412.576493229164)</f>
        <v>43412.57649</v>
      </c>
      <c r="B3741" t="s">
        <v>426</v>
      </c>
    </row>
    <row r="3742">
      <c r="A3742" s="32">
        <f>IFERROR(__xludf.DUMMYFUNCTION("""COMPUTED_VALUE"""),43412.58988755787)</f>
        <v>43412.58989</v>
      </c>
      <c r="B3742" t="s">
        <v>48</v>
      </c>
    </row>
    <row r="3743">
      <c r="A3743" s="32">
        <f>IFERROR(__xludf.DUMMYFUNCTION("""COMPUTED_VALUE"""),43412.67926675926)</f>
        <v>43412.67927</v>
      </c>
      <c r="B3743" t="s">
        <v>40</v>
      </c>
    </row>
    <row r="3744">
      <c r="A3744" s="32">
        <f>IFERROR(__xludf.DUMMYFUNCTION("""COMPUTED_VALUE"""),43412.680581990746)</f>
        <v>43412.68058</v>
      </c>
      <c r="B3744" t="s">
        <v>40</v>
      </c>
    </row>
    <row r="3745">
      <c r="A3745" s="32">
        <f>IFERROR(__xludf.DUMMYFUNCTION("""COMPUTED_VALUE"""),43412.683711875)</f>
        <v>43412.68371</v>
      </c>
      <c r="B3745" t="s">
        <v>25</v>
      </c>
    </row>
    <row r="3746">
      <c r="A3746" s="32">
        <f>IFERROR(__xludf.DUMMYFUNCTION("""COMPUTED_VALUE"""),43412.69610886574)</f>
        <v>43412.69611</v>
      </c>
      <c r="B3746" t="s">
        <v>204</v>
      </c>
    </row>
    <row r="3747">
      <c r="A3747" s="32">
        <f>IFERROR(__xludf.DUMMYFUNCTION("""COMPUTED_VALUE"""),43412.709980370375)</f>
        <v>43412.70998</v>
      </c>
      <c r="B3747" t="s">
        <v>80</v>
      </c>
    </row>
    <row r="3748">
      <c r="A3748" s="32">
        <f>IFERROR(__xludf.DUMMYFUNCTION("""COMPUTED_VALUE"""),43412.716129016204)</f>
        <v>43412.71613</v>
      </c>
      <c r="B3748" t="s">
        <v>282</v>
      </c>
    </row>
    <row r="3749">
      <c r="A3749" s="32">
        <f>IFERROR(__xludf.DUMMYFUNCTION("""COMPUTED_VALUE"""),43412.76437038195)</f>
        <v>43412.76437</v>
      </c>
      <c r="B3749" t="s">
        <v>371</v>
      </c>
    </row>
    <row r="3750">
      <c r="A3750" s="32">
        <f>IFERROR(__xludf.DUMMYFUNCTION("""COMPUTED_VALUE"""),43412.782858125)</f>
        <v>43412.78286</v>
      </c>
      <c r="B3750" t="s">
        <v>80</v>
      </c>
    </row>
    <row r="3751">
      <c r="A3751" s="32">
        <f>IFERROR(__xludf.DUMMYFUNCTION("""COMPUTED_VALUE"""),43412.79088871527)</f>
        <v>43412.79089</v>
      </c>
      <c r="B3751" t="s">
        <v>813</v>
      </c>
    </row>
    <row r="3752">
      <c r="A3752" s="32">
        <f>IFERROR(__xludf.DUMMYFUNCTION("""COMPUTED_VALUE"""),43412.85959017361)</f>
        <v>43412.85959</v>
      </c>
      <c r="B3752" t="s">
        <v>1421</v>
      </c>
    </row>
    <row r="3753">
      <c r="A3753" s="32">
        <f>IFERROR(__xludf.DUMMYFUNCTION("""COMPUTED_VALUE"""),43412.866092129625)</f>
        <v>43412.86609</v>
      </c>
      <c r="B3753" t="s">
        <v>40</v>
      </c>
    </row>
    <row r="3754">
      <c r="A3754" s="32">
        <f>IFERROR(__xludf.DUMMYFUNCTION("""COMPUTED_VALUE"""),43412.876202534724)</f>
        <v>43412.8762</v>
      </c>
      <c r="B3754" t="s">
        <v>40</v>
      </c>
    </row>
    <row r="3755">
      <c r="A3755" s="32">
        <f>IFERROR(__xludf.DUMMYFUNCTION("""COMPUTED_VALUE"""),43412.883341099536)</f>
        <v>43412.88334</v>
      </c>
      <c r="B3755" t="s">
        <v>371</v>
      </c>
    </row>
    <row r="3756">
      <c r="A3756" s="32">
        <f>IFERROR(__xludf.DUMMYFUNCTION("""COMPUTED_VALUE"""),43412.91174736111)</f>
        <v>43412.91175</v>
      </c>
      <c r="B3756" t="s">
        <v>40</v>
      </c>
    </row>
    <row r="3757">
      <c r="A3757" s="32">
        <f>IFERROR(__xludf.DUMMYFUNCTION("""COMPUTED_VALUE"""),43412.98343451389)</f>
        <v>43412.98343</v>
      </c>
      <c r="B3757" t="s">
        <v>33</v>
      </c>
    </row>
    <row r="3758">
      <c r="A3758" s="32">
        <f>IFERROR(__xludf.DUMMYFUNCTION("""COMPUTED_VALUE"""),43413.08804646991)</f>
        <v>43413.08805</v>
      </c>
      <c r="B3758" t="s">
        <v>33</v>
      </c>
    </row>
    <row r="3759">
      <c r="A3759" s="32">
        <f>IFERROR(__xludf.DUMMYFUNCTION("""COMPUTED_VALUE"""),43413.137858842594)</f>
        <v>43413.13786</v>
      </c>
      <c r="B3759" t="s">
        <v>154</v>
      </c>
    </row>
    <row r="3760">
      <c r="A3760" s="32">
        <f>IFERROR(__xludf.DUMMYFUNCTION("""COMPUTED_VALUE"""),43413.16255167824)</f>
        <v>43413.16255</v>
      </c>
      <c r="B3760" t="s">
        <v>33</v>
      </c>
    </row>
    <row r="3761">
      <c r="A3761" s="32">
        <f>IFERROR(__xludf.DUMMYFUNCTION("""COMPUTED_VALUE"""),43413.239704189815)</f>
        <v>43413.2397</v>
      </c>
      <c r="B3761" t="s">
        <v>33</v>
      </c>
    </row>
    <row r="3762">
      <c r="A3762" s="32">
        <f>IFERROR(__xludf.DUMMYFUNCTION("""COMPUTED_VALUE"""),43413.253028796295)</f>
        <v>43413.25303</v>
      </c>
      <c r="B3762" t="s">
        <v>124</v>
      </c>
    </row>
    <row r="3763">
      <c r="A3763" s="32">
        <f>IFERROR(__xludf.DUMMYFUNCTION("""COMPUTED_VALUE"""),43413.27007861111)</f>
        <v>43413.27008</v>
      </c>
      <c r="B3763" t="s">
        <v>33</v>
      </c>
    </row>
    <row r="3764">
      <c r="A3764" s="32">
        <f>IFERROR(__xludf.DUMMYFUNCTION("""COMPUTED_VALUE"""),43413.29591055556)</f>
        <v>43413.29591</v>
      </c>
      <c r="B3764" t="s">
        <v>2802</v>
      </c>
    </row>
    <row r="3765">
      <c r="A3765" s="32">
        <f>IFERROR(__xludf.DUMMYFUNCTION("""COMPUTED_VALUE"""),43413.321947233795)</f>
        <v>43413.32195</v>
      </c>
      <c r="B3765" t="s">
        <v>1603</v>
      </c>
    </row>
    <row r="3766">
      <c r="A3766" s="32">
        <f>IFERROR(__xludf.DUMMYFUNCTION("""COMPUTED_VALUE"""),43413.42056466435)</f>
        <v>43413.42056</v>
      </c>
      <c r="B3766" t="s">
        <v>790</v>
      </c>
    </row>
    <row r="3767">
      <c r="A3767" s="32">
        <f>IFERROR(__xludf.DUMMYFUNCTION("""COMPUTED_VALUE"""),43413.45629340278)</f>
        <v>43413.45629</v>
      </c>
      <c r="B3767" t="s">
        <v>371</v>
      </c>
    </row>
    <row r="3768">
      <c r="A3768" s="32">
        <f>IFERROR(__xludf.DUMMYFUNCTION("""COMPUTED_VALUE"""),43413.507565312495)</f>
        <v>43413.50757</v>
      </c>
      <c r="B3768" t="s">
        <v>2738</v>
      </c>
    </row>
    <row r="3769">
      <c r="A3769" s="32">
        <f>IFERROR(__xludf.DUMMYFUNCTION("""COMPUTED_VALUE"""),43413.51125520833)</f>
        <v>43413.51126</v>
      </c>
      <c r="B3769" t="s">
        <v>2738</v>
      </c>
    </row>
    <row r="3770">
      <c r="A3770" s="32">
        <f>IFERROR(__xludf.DUMMYFUNCTION("""COMPUTED_VALUE"""),43413.512078935186)</f>
        <v>43413.51208</v>
      </c>
      <c r="B3770" t="s">
        <v>2658</v>
      </c>
    </row>
    <row r="3771">
      <c r="A3771" s="32">
        <f>IFERROR(__xludf.DUMMYFUNCTION("""COMPUTED_VALUE"""),43413.51328748843)</f>
        <v>43413.51329</v>
      </c>
      <c r="B3771" t="s">
        <v>1658</v>
      </c>
    </row>
    <row r="3772">
      <c r="A3772" s="32">
        <f>IFERROR(__xludf.DUMMYFUNCTION("""COMPUTED_VALUE"""),43413.60102174769)</f>
        <v>43413.60102</v>
      </c>
      <c r="B3772" t="s">
        <v>119</v>
      </c>
    </row>
    <row r="3773">
      <c r="A3773" s="32">
        <f>IFERROR(__xludf.DUMMYFUNCTION("""COMPUTED_VALUE"""),43413.60356498843)</f>
        <v>43413.60356</v>
      </c>
      <c r="B3773" t="s">
        <v>40</v>
      </c>
    </row>
    <row r="3774">
      <c r="A3774" s="32">
        <f>IFERROR(__xludf.DUMMYFUNCTION("""COMPUTED_VALUE"""),43413.6058066088)</f>
        <v>43413.60581</v>
      </c>
      <c r="B3774" t="s">
        <v>33</v>
      </c>
    </row>
    <row r="3775">
      <c r="A3775" s="32">
        <f>IFERROR(__xludf.DUMMYFUNCTION("""COMPUTED_VALUE"""),43413.61697969907)</f>
        <v>43413.61698</v>
      </c>
      <c r="B3775" t="s">
        <v>80</v>
      </c>
    </row>
    <row r="3776">
      <c r="A3776" s="32">
        <f>IFERROR(__xludf.DUMMYFUNCTION("""COMPUTED_VALUE"""),43413.62237855324)</f>
        <v>43413.62238</v>
      </c>
      <c r="B3776" t="s">
        <v>80</v>
      </c>
    </row>
    <row r="3777">
      <c r="A3777" s="32">
        <f>IFERROR(__xludf.DUMMYFUNCTION("""COMPUTED_VALUE"""),43413.64538685185)</f>
        <v>43413.64539</v>
      </c>
      <c r="B3777" t="s">
        <v>268</v>
      </c>
    </row>
    <row r="3778">
      <c r="A3778" s="32">
        <f>IFERROR(__xludf.DUMMYFUNCTION("""COMPUTED_VALUE"""),43413.71508952546)</f>
        <v>43413.71509</v>
      </c>
      <c r="B3778" t="s">
        <v>2452</v>
      </c>
    </row>
    <row r="3779">
      <c r="A3779" s="32">
        <f>IFERROR(__xludf.DUMMYFUNCTION("""COMPUTED_VALUE"""),43413.717398796296)</f>
        <v>43413.7174</v>
      </c>
      <c r="B3779" t="s">
        <v>33</v>
      </c>
    </row>
    <row r="3780">
      <c r="A3780" s="32">
        <f>IFERROR(__xludf.DUMMYFUNCTION("""COMPUTED_VALUE"""),43413.78812282407)</f>
        <v>43413.78812</v>
      </c>
      <c r="B3780" t="s">
        <v>2424</v>
      </c>
    </row>
    <row r="3781">
      <c r="A3781" s="32">
        <f>IFERROR(__xludf.DUMMYFUNCTION("""COMPUTED_VALUE"""),43413.8226905787)</f>
        <v>43413.82269</v>
      </c>
      <c r="B3781" t="s">
        <v>2454</v>
      </c>
    </row>
    <row r="3782">
      <c r="A3782" s="32">
        <f>IFERROR(__xludf.DUMMYFUNCTION("""COMPUTED_VALUE"""),43413.849480335644)</f>
        <v>43413.84948</v>
      </c>
      <c r="B3782" t="s">
        <v>2662</v>
      </c>
    </row>
    <row r="3783">
      <c r="A3783" s="32">
        <f>IFERROR(__xludf.DUMMYFUNCTION("""COMPUTED_VALUE"""),43413.87774696759)</f>
        <v>43413.87775</v>
      </c>
      <c r="B3783" t="s">
        <v>119</v>
      </c>
    </row>
    <row r="3784">
      <c r="A3784" s="32">
        <f>IFERROR(__xludf.DUMMYFUNCTION("""COMPUTED_VALUE"""),43413.88291503472)</f>
        <v>43413.88292</v>
      </c>
      <c r="B3784" t="s">
        <v>119</v>
      </c>
    </row>
    <row r="3785">
      <c r="A3785" s="32">
        <f>IFERROR(__xludf.DUMMYFUNCTION("""COMPUTED_VALUE"""),43413.88459966435)</f>
        <v>43413.8846</v>
      </c>
      <c r="B3785" t="s">
        <v>1255</v>
      </c>
    </row>
    <row r="3786">
      <c r="A3786" s="32">
        <f>IFERROR(__xludf.DUMMYFUNCTION("""COMPUTED_VALUE"""),43413.9214721412)</f>
        <v>43413.92147</v>
      </c>
      <c r="B3786" t="s">
        <v>80</v>
      </c>
    </row>
    <row r="3787">
      <c r="A3787" s="32">
        <f>IFERROR(__xludf.DUMMYFUNCTION("""COMPUTED_VALUE"""),43413.932087002315)</f>
        <v>43413.93209</v>
      </c>
      <c r="B3787" t="s">
        <v>119</v>
      </c>
    </row>
    <row r="3788">
      <c r="A3788" s="32">
        <f>IFERROR(__xludf.DUMMYFUNCTION("""COMPUTED_VALUE"""),43413.93249395833)</f>
        <v>43413.93249</v>
      </c>
      <c r="B3788" t="s">
        <v>33</v>
      </c>
    </row>
    <row r="3789">
      <c r="A3789" s="32">
        <f>IFERROR(__xludf.DUMMYFUNCTION("""COMPUTED_VALUE"""),43413.95417759259)</f>
        <v>43413.95418</v>
      </c>
      <c r="B3789" t="s">
        <v>2803</v>
      </c>
    </row>
    <row r="3790">
      <c r="A3790" s="32">
        <f>IFERROR(__xludf.DUMMYFUNCTION("""COMPUTED_VALUE"""),43413.95974585648)</f>
        <v>43413.95975</v>
      </c>
      <c r="B3790" t="s">
        <v>40</v>
      </c>
    </row>
    <row r="3791">
      <c r="A3791" s="32">
        <f>IFERROR(__xludf.DUMMYFUNCTION("""COMPUTED_VALUE"""),43413.967751979166)</f>
        <v>43413.96775</v>
      </c>
      <c r="B3791" t="s">
        <v>40</v>
      </c>
    </row>
    <row r="3792">
      <c r="A3792" s="32">
        <f>IFERROR(__xludf.DUMMYFUNCTION("""COMPUTED_VALUE"""),43413.967753715275)</f>
        <v>43413.96775</v>
      </c>
      <c r="B3792" t="s">
        <v>40</v>
      </c>
    </row>
    <row r="3793">
      <c r="A3793" s="32">
        <f>IFERROR(__xludf.DUMMYFUNCTION("""COMPUTED_VALUE"""),43413.99433075231)</f>
        <v>43413.99433</v>
      </c>
      <c r="B3793" t="s">
        <v>387</v>
      </c>
    </row>
    <row r="3794">
      <c r="A3794" s="32">
        <f>IFERROR(__xludf.DUMMYFUNCTION("""COMPUTED_VALUE"""),43414.03948939814)</f>
        <v>43414.03949</v>
      </c>
      <c r="B3794" t="s">
        <v>2658</v>
      </c>
    </row>
    <row r="3795">
      <c r="A3795" s="32">
        <f>IFERROR(__xludf.DUMMYFUNCTION("""COMPUTED_VALUE"""),43414.12471621528)</f>
        <v>43414.12472</v>
      </c>
      <c r="B3795" t="s">
        <v>380</v>
      </c>
    </row>
    <row r="3796">
      <c r="A3796" s="32">
        <f>IFERROR(__xludf.DUMMYFUNCTION("""COMPUTED_VALUE"""),43414.35372134259)</f>
        <v>43414.35372</v>
      </c>
      <c r="B3796" t="s">
        <v>36</v>
      </c>
    </row>
    <row r="3797">
      <c r="A3797" s="32">
        <f>IFERROR(__xludf.DUMMYFUNCTION("""COMPUTED_VALUE"""),43414.403073194444)</f>
        <v>43414.40307</v>
      </c>
      <c r="B3797" t="s">
        <v>40</v>
      </c>
    </row>
    <row r="3798">
      <c r="A3798" s="32">
        <f>IFERROR(__xludf.DUMMYFUNCTION("""COMPUTED_VALUE"""),43414.427332997686)</f>
        <v>43414.42733</v>
      </c>
      <c r="B3798" t="s">
        <v>371</v>
      </c>
    </row>
    <row r="3799">
      <c r="A3799" s="32">
        <f>IFERROR(__xludf.DUMMYFUNCTION("""COMPUTED_VALUE"""),43414.428780243055)</f>
        <v>43414.42878</v>
      </c>
      <c r="B3799" t="s">
        <v>371</v>
      </c>
    </row>
    <row r="3800">
      <c r="A3800" s="32">
        <f>IFERROR(__xludf.DUMMYFUNCTION("""COMPUTED_VALUE"""),43414.46915631944)</f>
        <v>43414.46916</v>
      </c>
      <c r="B3800" t="s">
        <v>380</v>
      </c>
    </row>
    <row r="3801">
      <c r="A3801" s="32">
        <f>IFERROR(__xludf.DUMMYFUNCTION("""COMPUTED_VALUE"""),43414.47968131944)</f>
        <v>43414.47968</v>
      </c>
      <c r="B3801" t="s">
        <v>123</v>
      </c>
    </row>
    <row r="3802">
      <c r="A3802" s="32">
        <f>IFERROR(__xludf.DUMMYFUNCTION("""COMPUTED_VALUE"""),43414.56372056713)</f>
        <v>43414.56372</v>
      </c>
      <c r="B3802" t="s">
        <v>33</v>
      </c>
    </row>
    <row r="3803">
      <c r="A3803" s="32">
        <f>IFERROR(__xludf.DUMMYFUNCTION("""COMPUTED_VALUE"""),43414.62760211805)</f>
        <v>43414.6276</v>
      </c>
      <c r="B3803" t="s">
        <v>440</v>
      </c>
    </row>
    <row r="3804">
      <c r="A3804" s="32">
        <f>IFERROR(__xludf.DUMMYFUNCTION("""COMPUTED_VALUE"""),43414.63157413194)</f>
        <v>43414.63157</v>
      </c>
      <c r="B3804" t="s">
        <v>109</v>
      </c>
    </row>
    <row r="3805">
      <c r="A3805" s="32">
        <f>IFERROR(__xludf.DUMMYFUNCTION("""COMPUTED_VALUE"""),43414.6337359375)</f>
        <v>43414.63374</v>
      </c>
      <c r="B3805" t="s">
        <v>40</v>
      </c>
    </row>
    <row r="3806">
      <c r="A3806" s="32">
        <f>IFERROR(__xludf.DUMMYFUNCTION("""COMPUTED_VALUE"""),43414.63436167824)</f>
        <v>43414.63436</v>
      </c>
      <c r="B3806" t="s">
        <v>40</v>
      </c>
    </row>
    <row r="3807">
      <c r="A3807" s="32">
        <f>IFERROR(__xludf.DUMMYFUNCTION("""COMPUTED_VALUE"""),43414.67410415509)</f>
        <v>43414.6741</v>
      </c>
      <c r="B3807" t="s">
        <v>268</v>
      </c>
    </row>
    <row r="3808">
      <c r="A3808" s="32">
        <f>IFERROR(__xludf.DUMMYFUNCTION("""COMPUTED_VALUE"""),43414.70343893519)</f>
        <v>43414.70344</v>
      </c>
      <c r="B3808" t="s">
        <v>80</v>
      </c>
    </row>
    <row r="3809">
      <c r="A3809" s="32">
        <f>IFERROR(__xludf.DUMMYFUNCTION("""COMPUTED_VALUE"""),43414.712036296296)</f>
        <v>43414.71204</v>
      </c>
      <c r="B3809" t="s">
        <v>45</v>
      </c>
    </row>
    <row r="3810">
      <c r="A3810" s="32">
        <f>IFERROR(__xludf.DUMMYFUNCTION("""COMPUTED_VALUE"""),43414.7189197338)</f>
        <v>43414.71892</v>
      </c>
      <c r="B3810" t="s">
        <v>2468</v>
      </c>
    </row>
    <row r="3811">
      <c r="A3811" s="32">
        <f>IFERROR(__xludf.DUMMYFUNCTION("""COMPUTED_VALUE"""),43414.72115136574)</f>
        <v>43414.72115</v>
      </c>
      <c r="B3811" t="s">
        <v>2468</v>
      </c>
    </row>
    <row r="3812">
      <c r="A3812" s="32">
        <f>IFERROR(__xludf.DUMMYFUNCTION("""COMPUTED_VALUE"""),43414.7570572338)</f>
        <v>43414.75706</v>
      </c>
      <c r="B3812" t="s">
        <v>2804</v>
      </c>
    </row>
    <row r="3813">
      <c r="A3813" s="32">
        <f>IFERROR(__xludf.DUMMYFUNCTION("""COMPUTED_VALUE"""),43414.861288726854)</f>
        <v>43414.86129</v>
      </c>
      <c r="B3813" t="s">
        <v>371</v>
      </c>
    </row>
    <row r="3814">
      <c r="A3814" s="32">
        <f>IFERROR(__xludf.DUMMYFUNCTION("""COMPUTED_VALUE"""),43414.8622375)</f>
        <v>43414.86224</v>
      </c>
      <c r="B3814" t="s">
        <v>371</v>
      </c>
    </row>
    <row r="3815">
      <c r="A3815" s="32">
        <f>IFERROR(__xludf.DUMMYFUNCTION("""COMPUTED_VALUE"""),43414.909843657406)</f>
        <v>43414.90984</v>
      </c>
      <c r="B3815" t="s">
        <v>371</v>
      </c>
    </row>
    <row r="3816">
      <c r="A3816" s="32">
        <f>IFERROR(__xludf.DUMMYFUNCTION("""COMPUTED_VALUE"""),43414.94529517361)</f>
        <v>43414.9453</v>
      </c>
      <c r="B3816" t="s">
        <v>40</v>
      </c>
    </row>
    <row r="3817">
      <c r="A3817" s="32">
        <f>IFERROR(__xludf.DUMMYFUNCTION("""COMPUTED_VALUE"""),43414.96610319444)</f>
        <v>43414.9661</v>
      </c>
      <c r="B3817" t="s">
        <v>36</v>
      </c>
    </row>
    <row r="3818">
      <c r="A3818" s="32">
        <f>IFERROR(__xludf.DUMMYFUNCTION("""COMPUTED_VALUE"""),43415.071325763885)</f>
        <v>43415.07133</v>
      </c>
      <c r="B3818" t="s">
        <v>80</v>
      </c>
    </row>
    <row r="3819">
      <c r="A3819" s="32">
        <f>IFERROR(__xludf.DUMMYFUNCTION("""COMPUTED_VALUE"""),43415.38753107639)</f>
        <v>43415.38753</v>
      </c>
      <c r="B3819" t="s">
        <v>33</v>
      </c>
    </row>
    <row r="3820">
      <c r="A3820" s="32">
        <f>IFERROR(__xludf.DUMMYFUNCTION("""COMPUTED_VALUE"""),43415.41358758102)</f>
        <v>43415.41359</v>
      </c>
      <c r="B3820" t="s">
        <v>40</v>
      </c>
    </row>
    <row r="3821">
      <c r="A3821" s="32">
        <f>IFERROR(__xludf.DUMMYFUNCTION("""COMPUTED_VALUE"""),43415.43193766204)</f>
        <v>43415.43194</v>
      </c>
      <c r="B3821" t="s">
        <v>33</v>
      </c>
    </row>
    <row r="3822">
      <c r="A3822" s="32">
        <f>IFERROR(__xludf.DUMMYFUNCTION("""COMPUTED_VALUE"""),43415.43898471065)</f>
        <v>43415.43898</v>
      </c>
      <c r="B3822" t="s">
        <v>1867</v>
      </c>
    </row>
    <row r="3823">
      <c r="A3823" s="32">
        <f>IFERROR(__xludf.DUMMYFUNCTION("""COMPUTED_VALUE"""),43415.50638653935)</f>
        <v>43415.50639</v>
      </c>
      <c r="B3823" t="s">
        <v>33</v>
      </c>
    </row>
    <row r="3824">
      <c r="A3824" s="32">
        <f>IFERROR(__xludf.DUMMYFUNCTION("""COMPUTED_VALUE"""),43415.5559740625)</f>
        <v>43415.55597</v>
      </c>
      <c r="B3824" t="s">
        <v>2805</v>
      </c>
    </row>
    <row r="3825">
      <c r="A3825" s="32">
        <f>IFERROR(__xludf.DUMMYFUNCTION("""COMPUTED_VALUE"""),43415.641839918986)</f>
        <v>43415.64184</v>
      </c>
      <c r="B3825" t="s">
        <v>80</v>
      </c>
    </row>
    <row r="3826">
      <c r="A3826" s="32">
        <f>IFERROR(__xludf.DUMMYFUNCTION("""COMPUTED_VALUE"""),43415.65426627315)</f>
        <v>43415.65427</v>
      </c>
      <c r="B3826" t="s">
        <v>25</v>
      </c>
    </row>
    <row r="3827">
      <c r="A3827" s="32">
        <f>IFERROR(__xludf.DUMMYFUNCTION("""COMPUTED_VALUE"""),43415.7311037037)</f>
        <v>43415.7311</v>
      </c>
      <c r="B3827" t="s">
        <v>2424</v>
      </c>
    </row>
    <row r="3828">
      <c r="A3828" s="32">
        <f>IFERROR(__xludf.DUMMYFUNCTION("""COMPUTED_VALUE"""),43415.998680370365)</f>
        <v>43415.99868</v>
      </c>
      <c r="B3828" t="s">
        <v>40</v>
      </c>
    </row>
    <row r="3829">
      <c r="A3829" s="32">
        <f>IFERROR(__xludf.DUMMYFUNCTION("""COMPUTED_VALUE"""),43416.27680636574)</f>
        <v>43416.27681</v>
      </c>
      <c r="B3829" t="s">
        <v>40</v>
      </c>
    </row>
    <row r="3830">
      <c r="A3830" s="32">
        <f>IFERROR(__xludf.DUMMYFUNCTION("""COMPUTED_VALUE"""),43416.27680782408)</f>
        <v>43416.27681</v>
      </c>
      <c r="B3830" t="s">
        <v>40</v>
      </c>
    </row>
    <row r="3831">
      <c r="A3831" s="32">
        <f>IFERROR(__xludf.DUMMYFUNCTION("""COMPUTED_VALUE"""),43416.27797681713)</f>
        <v>43416.27798</v>
      </c>
      <c r="B3831" t="s">
        <v>40</v>
      </c>
    </row>
    <row r="3832">
      <c r="A3832" s="32">
        <f>IFERROR(__xludf.DUMMYFUNCTION("""COMPUTED_VALUE"""),43416.34187744213)</f>
        <v>43416.34188</v>
      </c>
      <c r="B3832" t="s">
        <v>40</v>
      </c>
    </row>
    <row r="3833">
      <c r="A3833" s="32">
        <f>IFERROR(__xludf.DUMMYFUNCTION("""COMPUTED_VALUE"""),43416.533417893515)</f>
        <v>43416.53342</v>
      </c>
      <c r="B3833" t="s">
        <v>2424</v>
      </c>
    </row>
    <row r="3834">
      <c r="A3834" s="32">
        <f>IFERROR(__xludf.DUMMYFUNCTION("""COMPUTED_VALUE"""),43416.62674892361)</f>
        <v>43416.62675</v>
      </c>
      <c r="B3834" t="s">
        <v>33</v>
      </c>
    </row>
    <row r="3835">
      <c r="A3835" s="32">
        <f>IFERROR(__xludf.DUMMYFUNCTION("""COMPUTED_VALUE"""),43416.64962802084)</f>
        <v>43416.64963</v>
      </c>
      <c r="B3835" t="s">
        <v>256</v>
      </c>
    </row>
    <row r="3836">
      <c r="A3836" s="32">
        <f>IFERROR(__xludf.DUMMYFUNCTION("""COMPUTED_VALUE"""),43416.6574985301)</f>
        <v>43416.6575</v>
      </c>
      <c r="B3836" t="s">
        <v>139</v>
      </c>
    </row>
    <row r="3837">
      <c r="A3837" s="32">
        <f>IFERROR(__xludf.DUMMYFUNCTION("""COMPUTED_VALUE"""),43416.67746377314)</f>
        <v>43416.67746</v>
      </c>
      <c r="B3837" t="s">
        <v>2662</v>
      </c>
    </row>
    <row r="3838">
      <c r="A3838" s="32">
        <f>IFERROR(__xludf.DUMMYFUNCTION("""COMPUTED_VALUE"""),43416.702400821756)</f>
        <v>43416.7024</v>
      </c>
      <c r="B3838" t="s">
        <v>170</v>
      </c>
    </row>
    <row r="3839">
      <c r="A3839" s="32">
        <f>IFERROR(__xludf.DUMMYFUNCTION("""COMPUTED_VALUE"""),43416.724875)</f>
        <v>43416.72488</v>
      </c>
      <c r="B3839" t="s">
        <v>705</v>
      </c>
    </row>
    <row r="3840">
      <c r="A3840" s="32">
        <f>IFERROR(__xludf.DUMMYFUNCTION("""COMPUTED_VALUE"""),43416.73658471065)</f>
        <v>43416.73658</v>
      </c>
      <c r="B3840" t="s">
        <v>268</v>
      </c>
    </row>
    <row r="3841">
      <c r="A3841" s="32">
        <f>IFERROR(__xludf.DUMMYFUNCTION("""COMPUTED_VALUE"""),43416.8182971875)</f>
        <v>43416.8183</v>
      </c>
      <c r="B3841" t="s">
        <v>45</v>
      </c>
    </row>
    <row r="3842">
      <c r="A3842" s="32">
        <f>IFERROR(__xludf.DUMMYFUNCTION("""COMPUTED_VALUE"""),43416.828311307865)</f>
        <v>43416.82831</v>
      </c>
      <c r="B3842" t="s">
        <v>40</v>
      </c>
    </row>
    <row r="3843">
      <c r="A3843" s="32">
        <f>IFERROR(__xludf.DUMMYFUNCTION("""COMPUTED_VALUE"""),43416.85169556713)</f>
        <v>43416.8517</v>
      </c>
      <c r="B3843" t="s">
        <v>40</v>
      </c>
    </row>
    <row r="3844">
      <c r="A3844" s="32">
        <f>IFERROR(__xludf.DUMMYFUNCTION("""COMPUTED_VALUE"""),43416.85898208333)</f>
        <v>43416.85898</v>
      </c>
      <c r="B3844" t="s">
        <v>48</v>
      </c>
    </row>
    <row r="3845">
      <c r="A3845" s="32">
        <f>IFERROR(__xludf.DUMMYFUNCTION("""COMPUTED_VALUE"""),43416.88296844908)</f>
        <v>43416.88297</v>
      </c>
      <c r="B3845" t="s">
        <v>36</v>
      </c>
    </row>
    <row r="3846">
      <c r="A3846" s="32">
        <f>IFERROR(__xludf.DUMMYFUNCTION("""COMPUTED_VALUE"""),43416.897911458334)</f>
        <v>43416.89791</v>
      </c>
      <c r="B3846" t="s">
        <v>80</v>
      </c>
    </row>
    <row r="3847">
      <c r="A3847" s="32">
        <f>IFERROR(__xludf.DUMMYFUNCTION("""COMPUTED_VALUE"""),43416.902708657406)</f>
        <v>43416.90271</v>
      </c>
      <c r="B3847" t="s">
        <v>2668</v>
      </c>
    </row>
    <row r="3848">
      <c r="A3848" s="32">
        <f>IFERROR(__xludf.DUMMYFUNCTION("""COMPUTED_VALUE"""),43417.02083476852)</f>
        <v>43417.02083</v>
      </c>
      <c r="B3848" t="s">
        <v>1160</v>
      </c>
    </row>
    <row r="3849">
      <c r="A3849" s="32">
        <f>IFERROR(__xludf.DUMMYFUNCTION("""COMPUTED_VALUE"""),43417.03757673611)</f>
        <v>43417.03758</v>
      </c>
      <c r="B3849" t="s">
        <v>1502</v>
      </c>
    </row>
    <row r="3850">
      <c r="A3850" s="32">
        <f>IFERROR(__xludf.DUMMYFUNCTION("""COMPUTED_VALUE"""),43417.11263034723)</f>
        <v>43417.11263</v>
      </c>
      <c r="B3850" t="s">
        <v>33</v>
      </c>
    </row>
    <row r="3851">
      <c r="A3851" s="32">
        <f>IFERROR(__xludf.DUMMYFUNCTION("""COMPUTED_VALUE"""),43417.39041270834)</f>
        <v>43417.39041</v>
      </c>
      <c r="B3851" t="s">
        <v>80</v>
      </c>
    </row>
    <row r="3852">
      <c r="A3852" s="32">
        <f>IFERROR(__xludf.DUMMYFUNCTION("""COMPUTED_VALUE"""),43417.437101469906)</f>
        <v>43417.4371</v>
      </c>
      <c r="B3852" t="s">
        <v>387</v>
      </c>
    </row>
    <row r="3853">
      <c r="A3853" s="32">
        <f>IFERROR(__xludf.DUMMYFUNCTION("""COMPUTED_VALUE"""),43417.460606493056)</f>
        <v>43417.46061</v>
      </c>
      <c r="B3853" t="s">
        <v>80</v>
      </c>
    </row>
    <row r="3854">
      <c r="A3854" s="32">
        <f>IFERROR(__xludf.DUMMYFUNCTION("""COMPUTED_VALUE"""),43417.465591458335)</f>
        <v>43417.46559</v>
      </c>
      <c r="B3854" t="s">
        <v>40</v>
      </c>
    </row>
    <row r="3855">
      <c r="A3855" s="32">
        <f>IFERROR(__xludf.DUMMYFUNCTION("""COMPUTED_VALUE"""),43417.46879599537)</f>
        <v>43417.4688</v>
      </c>
      <c r="B3855" t="s">
        <v>45</v>
      </c>
    </row>
    <row r="3856">
      <c r="A3856" s="32">
        <f>IFERROR(__xludf.DUMMYFUNCTION("""COMPUTED_VALUE"""),43417.505150509256)</f>
        <v>43417.50515</v>
      </c>
      <c r="B3856" t="s">
        <v>2485</v>
      </c>
    </row>
    <row r="3857">
      <c r="A3857" s="32">
        <f>IFERROR(__xludf.DUMMYFUNCTION("""COMPUTED_VALUE"""),43417.511197789354)</f>
        <v>43417.5112</v>
      </c>
      <c r="B3857" t="s">
        <v>371</v>
      </c>
    </row>
    <row r="3858">
      <c r="A3858" s="32">
        <f>IFERROR(__xludf.DUMMYFUNCTION("""COMPUTED_VALUE"""),43417.56570274306)</f>
        <v>43417.5657</v>
      </c>
      <c r="B3858" t="s">
        <v>270</v>
      </c>
    </row>
    <row r="3859">
      <c r="A3859" s="32">
        <f>IFERROR(__xludf.DUMMYFUNCTION("""COMPUTED_VALUE"""),43417.63328090278)</f>
        <v>43417.63328</v>
      </c>
      <c r="B3859" t="s">
        <v>2488</v>
      </c>
    </row>
    <row r="3860">
      <c r="A3860" s="32">
        <f>IFERROR(__xludf.DUMMYFUNCTION("""COMPUTED_VALUE"""),43417.636110983796)</f>
        <v>43417.63611</v>
      </c>
      <c r="B3860" t="s">
        <v>33</v>
      </c>
    </row>
    <row r="3861">
      <c r="A3861" s="32">
        <f>IFERROR(__xludf.DUMMYFUNCTION("""COMPUTED_VALUE"""),43417.654796574076)</f>
        <v>43417.6548</v>
      </c>
      <c r="B3861" t="s">
        <v>36</v>
      </c>
    </row>
    <row r="3862">
      <c r="A3862" s="32">
        <f>IFERROR(__xludf.DUMMYFUNCTION("""COMPUTED_VALUE"""),43417.66776820602)</f>
        <v>43417.66777</v>
      </c>
      <c r="B3862" t="s">
        <v>48</v>
      </c>
    </row>
    <row r="3863">
      <c r="A3863" s="32">
        <f>IFERROR(__xludf.DUMMYFUNCTION("""COMPUTED_VALUE"""),43417.719795509256)</f>
        <v>43417.7198</v>
      </c>
      <c r="B3863" t="s">
        <v>40</v>
      </c>
    </row>
    <row r="3864">
      <c r="A3864" s="32">
        <f>IFERROR(__xludf.DUMMYFUNCTION("""COMPUTED_VALUE"""),43417.76757469907)</f>
        <v>43417.76757</v>
      </c>
      <c r="B3864" t="s">
        <v>371</v>
      </c>
    </row>
    <row r="3865">
      <c r="A3865" s="32">
        <f>IFERROR(__xludf.DUMMYFUNCTION("""COMPUTED_VALUE"""),43417.81588983796)</f>
        <v>43417.81589</v>
      </c>
      <c r="B3865" t="s">
        <v>282</v>
      </c>
    </row>
    <row r="3866">
      <c r="A3866" s="32">
        <f>IFERROR(__xludf.DUMMYFUNCTION("""COMPUTED_VALUE"""),43417.842396736116)</f>
        <v>43417.8424</v>
      </c>
      <c r="B3866" t="s">
        <v>80</v>
      </c>
    </row>
    <row r="3867">
      <c r="A3867" s="32">
        <f>IFERROR(__xludf.DUMMYFUNCTION("""COMPUTED_VALUE"""),43417.85092243056)</f>
        <v>43417.85092</v>
      </c>
      <c r="B3867" t="s">
        <v>80</v>
      </c>
    </row>
    <row r="3868">
      <c r="A3868" s="32">
        <f>IFERROR(__xludf.DUMMYFUNCTION("""COMPUTED_VALUE"""),43417.85397591435)</f>
        <v>43417.85398</v>
      </c>
      <c r="B3868" t="s">
        <v>80</v>
      </c>
    </row>
    <row r="3869">
      <c r="A3869" s="32">
        <f>IFERROR(__xludf.DUMMYFUNCTION("""COMPUTED_VALUE"""),43417.85521086806)</f>
        <v>43417.85521</v>
      </c>
      <c r="B3869" t="s">
        <v>2806</v>
      </c>
    </row>
    <row r="3870">
      <c r="A3870" s="32">
        <f>IFERROR(__xludf.DUMMYFUNCTION("""COMPUTED_VALUE"""),43417.87523295139)</f>
        <v>43417.87523</v>
      </c>
      <c r="B3870" t="s">
        <v>1371</v>
      </c>
    </row>
    <row r="3871">
      <c r="A3871" s="32">
        <f>IFERROR(__xludf.DUMMYFUNCTION("""COMPUTED_VALUE"""),43417.972442743056)</f>
        <v>43417.97244</v>
      </c>
      <c r="B3871" t="s">
        <v>45</v>
      </c>
    </row>
    <row r="3872">
      <c r="A3872" s="32">
        <f>IFERROR(__xludf.DUMMYFUNCTION("""COMPUTED_VALUE"""),43417.999490682865)</f>
        <v>43417.99949</v>
      </c>
      <c r="B3872" t="s">
        <v>33</v>
      </c>
    </row>
    <row r="3873">
      <c r="A3873" s="32">
        <f>IFERROR(__xludf.DUMMYFUNCTION("""COMPUTED_VALUE"""),43418.03133385417)</f>
        <v>43418.03133</v>
      </c>
      <c r="B3873" t="s">
        <v>282</v>
      </c>
    </row>
    <row r="3874">
      <c r="A3874" s="32">
        <f>IFERROR(__xludf.DUMMYFUNCTION("""COMPUTED_VALUE"""),43418.33228778935)</f>
        <v>43418.33229</v>
      </c>
      <c r="B3874" t="s">
        <v>33</v>
      </c>
    </row>
    <row r="3875">
      <c r="A3875" s="32">
        <f>IFERROR(__xludf.DUMMYFUNCTION("""COMPUTED_VALUE"""),43418.37266543982)</f>
        <v>43418.37267</v>
      </c>
      <c r="B3875" t="s">
        <v>48</v>
      </c>
    </row>
    <row r="3876">
      <c r="A3876" s="32">
        <f>IFERROR(__xludf.DUMMYFUNCTION("""COMPUTED_VALUE"""),43418.373252060184)</f>
        <v>43418.37325</v>
      </c>
      <c r="B3876" t="s">
        <v>48</v>
      </c>
    </row>
    <row r="3877">
      <c r="A3877" s="32">
        <f>IFERROR(__xludf.DUMMYFUNCTION("""COMPUTED_VALUE"""),43418.38049384259)</f>
        <v>43418.38049</v>
      </c>
      <c r="B3877" t="s">
        <v>40</v>
      </c>
    </row>
    <row r="3878">
      <c r="A3878" s="32">
        <f>IFERROR(__xludf.DUMMYFUNCTION("""COMPUTED_VALUE"""),43418.3930405787)</f>
        <v>43418.39304</v>
      </c>
      <c r="B3878" t="s">
        <v>664</v>
      </c>
    </row>
    <row r="3879">
      <c r="A3879" s="32">
        <f>IFERROR(__xludf.DUMMYFUNCTION("""COMPUTED_VALUE"""),43418.40433994213)</f>
        <v>43418.40434</v>
      </c>
      <c r="B3879" t="s">
        <v>40</v>
      </c>
    </row>
    <row r="3880">
      <c r="A3880" s="32">
        <f>IFERROR(__xludf.DUMMYFUNCTION("""COMPUTED_VALUE"""),43418.40863556713)</f>
        <v>43418.40864</v>
      </c>
      <c r="B3880" t="s">
        <v>270</v>
      </c>
    </row>
    <row r="3881">
      <c r="A3881" s="32">
        <f>IFERROR(__xludf.DUMMYFUNCTION("""COMPUTED_VALUE"""),43418.58508611111)</f>
        <v>43418.58509</v>
      </c>
      <c r="B3881" t="s">
        <v>33</v>
      </c>
    </row>
    <row r="3882">
      <c r="A3882" s="32">
        <f>IFERROR(__xludf.DUMMYFUNCTION("""COMPUTED_VALUE"""),43418.63644724537)</f>
        <v>43418.63645</v>
      </c>
      <c r="B3882" t="s">
        <v>48</v>
      </c>
    </row>
    <row r="3883">
      <c r="A3883" s="32">
        <f>IFERROR(__xludf.DUMMYFUNCTION("""COMPUTED_VALUE"""),43418.645851354166)</f>
        <v>43418.64585</v>
      </c>
      <c r="B3883" t="s">
        <v>2682</v>
      </c>
    </row>
    <row r="3884">
      <c r="A3884" s="32">
        <f>IFERROR(__xludf.DUMMYFUNCTION("""COMPUTED_VALUE"""),43418.70325359954)</f>
        <v>43418.70325</v>
      </c>
      <c r="B3884" t="s">
        <v>80</v>
      </c>
    </row>
    <row r="3885">
      <c r="A3885" s="32">
        <f>IFERROR(__xludf.DUMMYFUNCTION("""COMPUTED_VALUE"""),43418.75721462963)</f>
        <v>43418.75721</v>
      </c>
      <c r="B3885" t="s">
        <v>48</v>
      </c>
    </row>
    <row r="3886">
      <c r="A3886" s="32">
        <f>IFERROR(__xludf.DUMMYFUNCTION("""COMPUTED_VALUE"""),43418.762823564815)</f>
        <v>43418.76282</v>
      </c>
      <c r="B3886" t="s">
        <v>1920</v>
      </c>
    </row>
    <row r="3887">
      <c r="A3887" s="32">
        <f>IFERROR(__xludf.DUMMYFUNCTION("""COMPUTED_VALUE"""),43418.78756752315)</f>
        <v>43418.78757</v>
      </c>
      <c r="B3887" t="s">
        <v>33</v>
      </c>
    </row>
    <row r="3888">
      <c r="A3888" s="32">
        <f>IFERROR(__xludf.DUMMYFUNCTION("""COMPUTED_VALUE"""),43418.828166493055)</f>
        <v>43418.82817</v>
      </c>
      <c r="B3888" t="s">
        <v>139</v>
      </c>
    </row>
    <row r="3889">
      <c r="A3889" s="32">
        <f>IFERROR(__xludf.DUMMYFUNCTION("""COMPUTED_VALUE"""),43418.83395883102)</f>
        <v>43418.83396</v>
      </c>
      <c r="B3889" t="s">
        <v>80</v>
      </c>
    </row>
    <row r="3890">
      <c r="A3890" s="32">
        <f>IFERROR(__xludf.DUMMYFUNCTION("""COMPUTED_VALUE"""),43418.893209166665)</f>
        <v>43418.89321</v>
      </c>
      <c r="B3890" t="s">
        <v>380</v>
      </c>
    </row>
    <row r="3891">
      <c r="A3891" s="32">
        <f>IFERROR(__xludf.DUMMYFUNCTION("""COMPUTED_VALUE"""),43418.89883333333)</f>
        <v>43418.89883</v>
      </c>
      <c r="B3891" t="s">
        <v>45</v>
      </c>
    </row>
    <row r="3892">
      <c r="A3892" s="32">
        <f>IFERROR(__xludf.DUMMYFUNCTION("""COMPUTED_VALUE"""),43418.92842033565)</f>
        <v>43418.92842</v>
      </c>
      <c r="B3892" t="s">
        <v>123</v>
      </c>
    </row>
    <row r="3893">
      <c r="A3893" s="32">
        <f>IFERROR(__xludf.DUMMYFUNCTION("""COMPUTED_VALUE"""),43419.01912185185)</f>
        <v>43419.01912</v>
      </c>
      <c r="B3893" t="s">
        <v>122</v>
      </c>
    </row>
    <row r="3894">
      <c r="A3894" s="32">
        <f>IFERROR(__xludf.DUMMYFUNCTION("""COMPUTED_VALUE"""),43419.06136431713)</f>
        <v>43419.06136</v>
      </c>
      <c r="B3894" t="s">
        <v>45</v>
      </c>
    </row>
    <row r="3895">
      <c r="A3895" s="32">
        <f>IFERROR(__xludf.DUMMYFUNCTION("""COMPUTED_VALUE"""),43419.23739565972)</f>
        <v>43419.2374</v>
      </c>
      <c r="B3895" t="s">
        <v>40</v>
      </c>
    </row>
    <row r="3896">
      <c r="A3896" s="32">
        <f>IFERROR(__xludf.DUMMYFUNCTION("""COMPUTED_VALUE"""),43419.36986104166)</f>
        <v>43419.36986</v>
      </c>
      <c r="B3896" t="s">
        <v>2500</v>
      </c>
    </row>
    <row r="3897">
      <c r="A3897" s="32">
        <f>IFERROR(__xludf.DUMMYFUNCTION("""COMPUTED_VALUE"""),43419.40198061343)</f>
        <v>43419.40198</v>
      </c>
      <c r="B3897" t="s">
        <v>2807</v>
      </c>
    </row>
    <row r="3898">
      <c r="A3898" s="32">
        <f>IFERROR(__xludf.DUMMYFUNCTION("""COMPUTED_VALUE"""),43419.408674872684)</f>
        <v>43419.40867</v>
      </c>
      <c r="B3898" t="s">
        <v>33</v>
      </c>
    </row>
    <row r="3899">
      <c r="A3899" s="32">
        <f>IFERROR(__xludf.DUMMYFUNCTION("""COMPUTED_VALUE"""),43419.46564709491)</f>
        <v>43419.46565</v>
      </c>
      <c r="B3899" t="s">
        <v>2808</v>
      </c>
    </row>
    <row r="3900">
      <c r="A3900" s="32">
        <f>IFERROR(__xludf.DUMMYFUNCTION("""COMPUTED_VALUE"""),43419.47030223379)</f>
        <v>43419.4703</v>
      </c>
      <c r="B3900" t="s">
        <v>2506</v>
      </c>
    </row>
    <row r="3901">
      <c r="A3901" s="32">
        <f>IFERROR(__xludf.DUMMYFUNCTION("""COMPUTED_VALUE"""),43419.47209934027)</f>
        <v>43419.4721</v>
      </c>
      <c r="B3901" t="s">
        <v>1372</v>
      </c>
    </row>
    <row r="3902">
      <c r="A3902" s="32">
        <f>IFERROR(__xludf.DUMMYFUNCTION("""COMPUTED_VALUE"""),43419.49365978009)</f>
        <v>43419.49366</v>
      </c>
      <c r="B3902" t="s">
        <v>282</v>
      </c>
    </row>
    <row r="3903">
      <c r="A3903" s="32">
        <f>IFERROR(__xludf.DUMMYFUNCTION("""COMPUTED_VALUE"""),43419.55087042824)</f>
        <v>43419.55087</v>
      </c>
      <c r="B3903" t="s">
        <v>2424</v>
      </c>
    </row>
    <row r="3904">
      <c r="A3904" s="32">
        <f>IFERROR(__xludf.DUMMYFUNCTION("""COMPUTED_VALUE"""),43419.58050653935)</f>
        <v>43419.58051</v>
      </c>
      <c r="B3904" t="s">
        <v>40</v>
      </c>
    </row>
    <row r="3905">
      <c r="A3905" s="32">
        <f>IFERROR(__xludf.DUMMYFUNCTION("""COMPUTED_VALUE"""),43419.645100821755)</f>
        <v>43419.6451</v>
      </c>
      <c r="B3905" t="s">
        <v>2809</v>
      </c>
    </row>
    <row r="3906">
      <c r="A3906" s="32">
        <f>IFERROR(__xludf.DUMMYFUNCTION("""COMPUTED_VALUE"""),43419.69747638889)</f>
        <v>43419.69748</v>
      </c>
      <c r="B3906" t="s">
        <v>119</v>
      </c>
    </row>
    <row r="3907">
      <c r="A3907" s="32">
        <f>IFERROR(__xludf.DUMMYFUNCTION("""COMPUTED_VALUE"""),43419.74632366898)</f>
        <v>43419.74632</v>
      </c>
      <c r="B3907" t="s">
        <v>36</v>
      </c>
    </row>
    <row r="3908">
      <c r="A3908" s="32">
        <f>IFERROR(__xludf.DUMMYFUNCTION("""COMPUTED_VALUE"""),43419.75333756945)</f>
        <v>43419.75334</v>
      </c>
      <c r="B3908" t="s">
        <v>2514</v>
      </c>
    </row>
    <row r="3909">
      <c r="A3909" s="32">
        <f>IFERROR(__xludf.DUMMYFUNCTION("""COMPUTED_VALUE"""),43419.759860335645)</f>
        <v>43419.75986</v>
      </c>
      <c r="B3909" t="s">
        <v>40</v>
      </c>
    </row>
    <row r="3910">
      <c r="A3910" s="32">
        <f>IFERROR(__xludf.DUMMYFUNCTION("""COMPUTED_VALUE"""),43419.81763484953)</f>
        <v>43419.81763</v>
      </c>
      <c r="B3910" t="s">
        <v>40</v>
      </c>
    </row>
    <row r="3911">
      <c r="A3911" s="32">
        <f>IFERROR(__xludf.DUMMYFUNCTION("""COMPUTED_VALUE"""),43419.84274613426)</f>
        <v>43419.84275</v>
      </c>
      <c r="B3911" t="s">
        <v>123</v>
      </c>
    </row>
    <row r="3912">
      <c r="A3912" s="32">
        <f>IFERROR(__xludf.DUMMYFUNCTION("""COMPUTED_VALUE"""),43419.84885887732)</f>
        <v>43419.84886</v>
      </c>
      <c r="B3912" t="s">
        <v>409</v>
      </c>
    </row>
    <row r="3913">
      <c r="A3913" s="32">
        <f>IFERROR(__xludf.DUMMYFUNCTION("""COMPUTED_VALUE"""),43419.849834305554)</f>
        <v>43419.84983</v>
      </c>
      <c r="B3913" t="s">
        <v>409</v>
      </c>
    </row>
    <row r="3914">
      <c r="A3914" s="32">
        <f>IFERROR(__xludf.DUMMYFUNCTION("""COMPUTED_VALUE"""),43419.92424435185)</f>
        <v>43419.92424</v>
      </c>
      <c r="B3914" t="s">
        <v>36</v>
      </c>
    </row>
    <row r="3915">
      <c r="A3915" s="32">
        <f>IFERROR(__xludf.DUMMYFUNCTION("""COMPUTED_VALUE"""),43419.96961576389)</f>
        <v>43419.96962</v>
      </c>
      <c r="B3915" t="s">
        <v>80</v>
      </c>
    </row>
    <row r="3916">
      <c r="A3916" s="32">
        <f>IFERROR(__xludf.DUMMYFUNCTION("""COMPUTED_VALUE"""),43419.97345153935)</f>
        <v>43419.97345</v>
      </c>
      <c r="B3916" t="s">
        <v>142</v>
      </c>
    </row>
    <row r="3917">
      <c r="A3917" s="32">
        <f>IFERROR(__xludf.DUMMYFUNCTION("""COMPUTED_VALUE"""),43419.99520634259)</f>
        <v>43419.99521</v>
      </c>
      <c r="B3917" t="s">
        <v>48</v>
      </c>
    </row>
    <row r="3918">
      <c r="A3918" s="32">
        <f>IFERROR(__xludf.DUMMYFUNCTION("""COMPUTED_VALUE"""),43420.06226278935)</f>
        <v>43420.06226</v>
      </c>
      <c r="B3918" t="s">
        <v>350</v>
      </c>
    </row>
    <row r="3919">
      <c r="A3919" s="32">
        <f>IFERROR(__xludf.DUMMYFUNCTION("""COMPUTED_VALUE"""),43420.3927115625)</f>
        <v>43420.39271</v>
      </c>
      <c r="B3919" t="s">
        <v>33</v>
      </c>
    </row>
    <row r="3920">
      <c r="A3920" s="32">
        <f>IFERROR(__xludf.DUMMYFUNCTION("""COMPUTED_VALUE"""),43420.48362791666)</f>
        <v>43420.48363</v>
      </c>
      <c r="B3920" t="s">
        <v>109</v>
      </c>
    </row>
    <row r="3921">
      <c r="A3921" s="32">
        <f>IFERROR(__xludf.DUMMYFUNCTION("""COMPUTED_VALUE"""),43420.512984664354)</f>
        <v>43420.51298</v>
      </c>
      <c r="B3921" t="s">
        <v>33</v>
      </c>
    </row>
    <row r="3922">
      <c r="A3922" s="32">
        <f>IFERROR(__xludf.DUMMYFUNCTION("""COMPUTED_VALUE"""),43420.52806386574)</f>
        <v>43420.52806</v>
      </c>
      <c r="B3922" t="s">
        <v>722</v>
      </c>
    </row>
    <row r="3923">
      <c r="A3923" s="32">
        <f>IFERROR(__xludf.DUMMYFUNCTION("""COMPUTED_VALUE"""),43420.57960384259)</f>
        <v>43420.5796</v>
      </c>
      <c r="B3923" t="s">
        <v>80</v>
      </c>
    </row>
    <row r="3924">
      <c r="A3924" s="32">
        <f>IFERROR(__xludf.DUMMYFUNCTION("""COMPUTED_VALUE"""),43420.59157599537)</f>
        <v>43420.59158</v>
      </c>
      <c r="B3924" t="s">
        <v>263</v>
      </c>
    </row>
    <row r="3925">
      <c r="A3925" s="32">
        <f>IFERROR(__xludf.DUMMYFUNCTION("""COMPUTED_VALUE"""),43420.59789157407)</f>
        <v>43420.59789</v>
      </c>
      <c r="B3925" t="s">
        <v>40</v>
      </c>
    </row>
    <row r="3926">
      <c r="A3926" s="32">
        <f>IFERROR(__xludf.DUMMYFUNCTION("""COMPUTED_VALUE"""),43420.61326841435)</f>
        <v>43420.61327</v>
      </c>
      <c r="B3926" t="s">
        <v>80</v>
      </c>
    </row>
    <row r="3927">
      <c r="A3927" s="32">
        <f>IFERROR(__xludf.DUMMYFUNCTION("""COMPUTED_VALUE"""),43420.61440839121)</f>
        <v>43420.61441</v>
      </c>
      <c r="B3927" t="s">
        <v>40</v>
      </c>
    </row>
    <row r="3928">
      <c r="A3928" s="32">
        <f>IFERROR(__xludf.DUMMYFUNCTION("""COMPUTED_VALUE"""),43420.664779363426)</f>
        <v>43420.66478</v>
      </c>
      <c r="B3928" t="s">
        <v>40</v>
      </c>
    </row>
    <row r="3929">
      <c r="A3929" s="32">
        <f>IFERROR(__xludf.DUMMYFUNCTION("""COMPUTED_VALUE"""),43420.68544760416)</f>
        <v>43420.68545</v>
      </c>
      <c r="B3929" t="s">
        <v>33</v>
      </c>
    </row>
    <row r="3930">
      <c r="A3930" s="32">
        <f>IFERROR(__xludf.DUMMYFUNCTION("""COMPUTED_VALUE"""),43420.751415)</f>
        <v>43420.75142</v>
      </c>
      <c r="B3930" t="s">
        <v>119</v>
      </c>
    </row>
    <row r="3931">
      <c r="A3931" s="32">
        <f>IFERROR(__xludf.DUMMYFUNCTION("""COMPUTED_VALUE"""),43420.76057180556)</f>
        <v>43420.76057</v>
      </c>
      <c r="B3931" t="s">
        <v>80</v>
      </c>
    </row>
    <row r="3932">
      <c r="A3932" s="32">
        <f>IFERROR(__xludf.DUMMYFUNCTION("""COMPUTED_VALUE"""),43420.77323873843)</f>
        <v>43420.77324</v>
      </c>
      <c r="B3932" t="s">
        <v>48</v>
      </c>
    </row>
    <row r="3933">
      <c r="A3933" s="32">
        <f>IFERROR(__xludf.DUMMYFUNCTION("""COMPUTED_VALUE"""),43420.9220678125)</f>
        <v>43420.92207</v>
      </c>
      <c r="B3933" t="s">
        <v>819</v>
      </c>
    </row>
    <row r="3934">
      <c r="A3934" s="32">
        <f>IFERROR(__xludf.DUMMYFUNCTION("""COMPUTED_VALUE"""),43420.983273969905)</f>
        <v>43420.98327</v>
      </c>
      <c r="B3934" t="s">
        <v>48</v>
      </c>
    </row>
    <row r="3935">
      <c r="A3935" s="32">
        <f>IFERROR(__xludf.DUMMYFUNCTION("""COMPUTED_VALUE"""),43421.057315555554)</f>
        <v>43421.05732</v>
      </c>
      <c r="B3935" t="s">
        <v>123</v>
      </c>
    </row>
    <row r="3936">
      <c r="A3936" s="32">
        <f>IFERROR(__xludf.DUMMYFUNCTION("""COMPUTED_VALUE"""),43421.10758083333)</f>
        <v>43421.10758</v>
      </c>
      <c r="B3936" t="s">
        <v>2662</v>
      </c>
    </row>
    <row r="3937">
      <c r="A3937" s="32">
        <f>IFERROR(__xludf.DUMMYFUNCTION("""COMPUTED_VALUE"""),43421.13274556713)</f>
        <v>43421.13275</v>
      </c>
      <c r="B3937" t="s">
        <v>80</v>
      </c>
    </row>
    <row r="3938">
      <c r="A3938" s="32">
        <f>IFERROR(__xludf.DUMMYFUNCTION("""COMPUTED_VALUE"""),43421.30520819445)</f>
        <v>43421.30521</v>
      </c>
      <c r="B3938" t="s">
        <v>119</v>
      </c>
    </row>
    <row r="3939">
      <c r="A3939" s="32">
        <f>IFERROR(__xludf.DUMMYFUNCTION("""COMPUTED_VALUE"""),43421.38906824074)</f>
        <v>43421.38907</v>
      </c>
      <c r="B3939" t="s">
        <v>33</v>
      </c>
    </row>
    <row r="3940">
      <c r="A3940" s="32">
        <f>IFERROR(__xludf.DUMMYFUNCTION("""COMPUTED_VALUE"""),43421.433050277774)</f>
        <v>43421.43305</v>
      </c>
      <c r="B3940" t="s">
        <v>204</v>
      </c>
    </row>
    <row r="3941">
      <c r="A3941" s="32">
        <f>IFERROR(__xludf.DUMMYFUNCTION("""COMPUTED_VALUE"""),43421.593979212965)</f>
        <v>43421.59398</v>
      </c>
      <c r="B3941" t="s">
        <v>25</v>
      </c>
    </row>
    <row r="3942">
      <c r="A3942" s="32">
        <f>IFERROR(__xludf.DUMMYFUNCTION("""COMPUTED_VALUE"""),43421.654786388885)</f>
        <v>43421.65479</v>
      </c>
      <c r="B3942" t="s">
        <v>2810</v>
      </c>
    </row>
    <row r="3943">
      <c r="A3943" s="32">
        <f>IFERROR(__xludf.DUMMYFUNCTION("""COMPUTED_VALUE"""),43421.69006862269)</f>
        <v>43421.69007</v>
      </c>
      <c r="B3943" t="s">
        <v>48</v>
      </c>
    </row>
    <row r="3944">
      <c r="A3944" s="32">
        <f>IFERROR(__xludf.DUMMYFUNCTION("""COMPUTED_VALUE"""),43421.69962630787)</f>
        <v>43421.69963</v>
      </c>
      <c r="B3944" t="s">
        <v>523</v>
      </c>
    </row>
    <row r="3945">
      <c r="A3945" s="32">
        <f>IFERROR(__xludf.DUMMYFUNCTION("""COMPUTED_VALUE"""),43421.70641115741)</f>
        <v>43421.70641</v>
      </c>
      <c r="B3945" t="s">
        <v>33</v>
      </c>
    </row>
    <row r="3946">
      <c r="A3946" s="32">
        <f>IFERROR(__xludf.DUMMYFUNCTION("""COMPUTED_VALUE"""),43421.721014097224)</f>
        <v>43421.72101</v>
      </c>
      <c r="B3946" t="s">
        <v>204</v>
      </c>
    </row>
    <row r="3947">
      <c r="A3947" s="32">
        <f>IFERROR(__xludf.DUMMYFUNCTION("""COMPUTED_VALUE"""),43421.73254060185)</f>
        <v>43421.73254</v>
      </c>
      <c r="B3947" t="s">
        <v>409</v>
      </c>
    </row>
    <row r="3948">
      <c r="A3948" s="32">
        <f>IFERROR(__xludf.DUMMYFUNCTION("""COMPUTED_VALUE"""),43421.759245497684)</f>
        <v>43421.75925</v>
      </c>
      <c r="B3948" t="s">
        <v>1160</v>
      </c>
    </row>
    <row r="3949">
      <c r="A3949" s="32">
        <f>IFERROR(__xludf.DUMMYFUNCTION("""COMPUTED_VALUE"""),43421.78525613426)</f>
        <v>43421.78526</v>
      </c>
      <c r="B3949" t="s">
        <v>40</v>
      </c>
    </row>
    <row r="3950">
      <c r="A3950" s="32">
        <f>IFERROR(__xludf.DUMMYFUNCTION("""COMPUTED_VALUE"""),43421.786002650464)</f>
        <v>43421.786</v>
      </c>
      <c r="B3950" t="s">
        <v>40</v>
      </c>
    </row>
    <row r="3951">
      <c r="A3951" s="32">
        <f>IFERROR(__xludf.DUMMYFUNCTION("""COMPUTED_VALUE"""),43421.80949462963)</f>
        <v>43421.80949</v>
      </c>
      <c r="B3951" t="s">
        <v>80</v>
      </c>
    </row>
    <row r="3952">
      <c r="A3952" s="32">
        <f>IFERROR(__xludf.DUMMYFUNCTION("""COMPUTED_VALUE"""),43421.83835826389)</f>
        <v>43421.83836</v>
      </c>
      <c r="B3952" t="s">
        <v>2802</v>
      </c>
    </row>
    <row r="3953">
      <c r="A3953" s="32">
        <f>IFERROR(__xludf.DUMMYFUNCTION("""COMPUTED_VALUE"""),43421.95713684028)</f>
        <v>43421.95714</v>
      </c>
      <c r="B3953" t="s">
        <v>268</v>
      </c>
    </row>
    <row r="3954">
      <c r="A3954" s="32">
        <f>IFERROR(__xludf.DUMMYFUNCTION("""COMPUTED_VALUE"""),43421.98494962963)</f>
        <v>43421.98495</v>
      </c>
      <c r="B3954" t="s">
        <v>1867</v>
      </c>
    </row>
    <row r="3955">
      <c r="A3955" s="32">
        <f>IFERROR(__xludf.DUMMYFUNCTION("""COMPUTED_VALUE"""),43422.16798896991)</f>
        <v>43422.16799</v>
      </c>
      <c r="B3955" t="s">
        <v>80</v>
      </c>
    </row>
    <row r="3956">
      <c r="A3956" s="32">
        <f>IFERROR(__xludf.DUMMYFUNCTION("""COMPUTED_VALUE"""),43422.379765034726)</f>
        <v>43422.37977</v>
      </c>
      <c r="B3956" t="s">
        <v>2658</v>
      </c>
    </row>
    <row r="3957">
      <c r="A3957" s="32">
        <f>IFERROR(__xludf.DUMMYFUNCTION("""COMPUTED_VALUE"""),43422.43072284722)</f>
        <v>43422.43072</v>
      </c>
      <c r="B3957" t="s">
        <v>40</v>
      </c>
    </row>
    <row r="3958">
      <c r="A3958" s="32">
        <f>IFERROR(__xludf.DUMMYFUNCTION("""COMPUTED_VALUE"""),43422.4359905787)</f>
        <v>43422.43599</v>
      </c>
      <c r="B3958" t="s">
        <v>188</v>
      </c>
    </row>
    <row r="3959">
      <c r="A3959" s="32">
        <f>IFERROR(__xludf.DUMMYFUNCTION("""COMPUTED_VALUE"""),43422.43746016204)</f>
        <v>43422.43746</v>
      </c>
      <c r="B3959" t="s">
        <v>188</v>
      </c>
    </row>
    <row r="3960">
      <c r="A3960" s="32">
        <f>IFERROR(__xludf.DUMMYFUNCTION("""COMPUTED_VALUE"""),43422.44395185185)</f>
        <v>43422.44395</v>
      </c>
      <c r="B3960" t="s">
        <v>256</v>
      </c>
    </row>
    <row r="3961">
      <c r="A3961" s="32">
        <f>IFERROR(__xludf.DUMMYFUNCTION("""COMPUTED_VALUE"""),43422.47638291666)</f>
        <v>43422.47638</v>
      </c>
      <c r="B3961" t="s">
        <v>2536</v>
      </c>
    </row>
    <row r="3962">
      <c r="A3962" s="32">
        <f>IFERROR(__xludf.DUMMYFUNCTION("""COMPUTED_VALUE"""),43422.48252174769)</f>
        <v>43422.48252</v>
      </c>
      <c r="B3962" t="s">
        <v>80</v>
      </c>
    </row>
    <row r="3963">
      <c r="A3963" s="32">
        <f>IFERROR(__xludf.DUMMYFUNCTION("""COMPUTED_VALUE"""),43422.49457475694)</f>
        <v>43422.49457</v>
      </c>
      <c r="B3963" t="s">
        <v>658</v>
      </c>
    </row>
    <row r="3964">
      <c r="A3964" s="32">
        <f>IFERROR(__xludf.DUMMYFUNCTION("""COMPUTED_VALUE"""),43422.596055312504)</f>
        <v>43422.59606</v>
      </c>
      <c r="B3964" t="s">
        <v>48</v>
      </c>
    </row>
    <row r="3965">
      <c r="A3965" s="32">
        <f>IFERROR(__xludf.DUMMYFUNCTION("""COMPUTED_VALUE"""),43422.597951261574)</f>
        <v>43422.59795</v>
      </c>
      <c r="B3965" t="s">
        <v>80</v>
      </c>
    </row>
    <row r="3966">
      <c r="A3966" s="32">
        <f>IFERROR(__xludf.DUMMYFUNCTION("""COMPUTED_VALUE"""),43422.678794259264)</f>
        <v>43422.67879</v>
      </c>
      <c r="B3966" t="s">
        <v>2539</v>
      </c>
    </row>
    <row r="3967">
      <c r="A3967" s="32">
        <f>IFERROR(__xludf.DUMMYFUNCTION("""COMPUTED_VALUE"""),43422.68805462963)</f>
        <v>43422.68805</v>
      </c>
      <c r="B3967" t="s">
        <v>40</v>
      </c>
    </row>
    <row r="3968">
      <c r="A3968" s="32">
        <f>IFERROR(__xludf.DUMMYFUNCTION("""COMPUTED_VALUE"""),43422.70218518519)</f>
        <v>43422.70219</v>
      </c>
      <c r="B3968" t="s">
        <v>80</v>
      </c>
    </row>
    <row r="3969">
      <c r="A3969" s="32">
        <f>IFERROR(__xludf.DUMMYFUNCTION("""COMPUTED_VALUE"""),43422.84381440972)</f>
        <v>43422.84381</v>
      </c>
      <c r="B3969" t="s">
        <v>157</v>
      </c>
    </row>
    <row r="3970">
      <c r="A3970" s="32">
        <f>IFERROR(__xludf.DUMMYFUNCTION("""COMPUTED_VALUE"""),43422.87074431713)</f>
        <v>43422.87074</v>
      </c>
      <c r="B3970" t="s">
        <v>188</v>
      </c>
    </row>
    <row r="3971">
      <c r="A3971" s="32">
        <f>IFERROR(__xludf.DUMMYFUNCTION("""COMPUTED_VALUE"""),43422.92389825232)</f>
        <v>43422.9239</v>
      </c>
      <c r="B3971" t="s">
        <v>1276</v>
      </c>
    </row>
    <row r="3972">
      <c r="A3972" s="32">
        <f>IFERROR(__xludf.DUMMYFUNCTION("""COMPUTED_VALUE"""),43423.096809525465)</f>
        <v>43423.09681</v>
      </c>
      <c r="B3972" t="s">
        <v>40</v>
      </c>
    </row>
    <row r="3973">
      <c r="A3973" s="32">
        <f>IFERROR(__xludf.DUMMYFUNCTION("""COMPUTED_VALUE"""),43423.25510743055)</f>
        <v>43423.25511</v>
      </c>
      <c r="B3973" t="s">
        <v>1920</v>
      </c>
    </row>
    <row r="3974">
      <c r="A3974" s="32">
        <f>IFERROR(__xludf.DUMMYFUNCTION("""COMPUTED_VALUE"""),43423.31872552083)</f>
        <v>43423.31873</v>
      </c>
      <c r="B3974" t="s">
        <v>2424</v>
      </c>
    </row>
    <row r="3975">
      <c r="A3975" s="32">
        <f>IFERROR(__xludf.DUMMYFUNCTION("""COMPUTED_VALUE"""),43423.377102453705)</f>
        <v>43423.3771</v>
      </c>
      <c r="B3975" t="s">
        <v>2027</v>
      </c>
    </row>
    <row r="3976">
      <c r="A3976" s="32">
        <f>IFERROR(__xludf.DUMMYFUNCTION("""COMPUTED_VALUE"""),43423.432017175925)</f>
        <v>43423.43202</v>
      </c>
      <c r="B3976" t="s">
        <v>33</v>
      </c>
    </row>
    <row r="3977">
      <c r="A3977" s="32">
        <f>IFERROR(__xludf.DUMMYFUNCTION("""COMPUTED_VALUE"""),43423.49174055556)</f>
        <v>43423.49174</v>
      </c>
      <c r="B3977" t="s">
        <v>1777</v>
      </c>
    </row>
    <row r="3978">
      <c r="A3978" s="32">
        <f>IFERROR(__xludf.DUMMYFUNCTION("""COMPUTED_VALUE"""),43423.528343935184)</f>
        <v>43423.52834</v>
      </c>
      <c r="B3978" t="s">
        <v>371</v>
      </c>
    </row>
    <row r="3979">
      <c r="A3979" s="32">
        <f>IFERROR(__xludf.DUMMYFUNCTION("""COMPUTED_VALUE"""),43423.62841355324)</f>
        <v>43423.62841</v>
      </c>
      <c r="B3979" t="s">
        <v>2544</v>
      </c>
    </row>
    <row r="3980">
      <c r="A3980" s="32">
        <f>IFERROR(__xludf.DUMMYFUNCTION("""COMPUTED_VALUE"""),43423.67795166667)</f>
        <v>43423.67795</v>
      </c>
      <c r="B3980" t="s">
        <v>33</v>
      </c>
    </row>
    <row r="3981">
      <c r="A3981" s="32">
        <f>IFERROR(__xludf.DUMMYFUNCTION("""COMPUTED_VALUE"""),43423.68334549769)</f>
        <v>43423.68335</v>
      </c>
      <c r="B3981" t="s">
        <v>282</v>
      </c>
    </row>
    <row r="3982">
      <c r="A3982" s="32">
        <f>IFERROR(__xludf.DUMMYFUNCTION("""COMPUTED_VALUE"""),43423.87546378472)</f>
        <v>43423.87546</v>
      </c>
      <c r="B3982" t="s">
        <v>33</v>
      </c>
    </row>
    <row r="3983">
      <c r="A3983" s="32">
        <f>IFERROR(__xludf.DUMMYFUNCTION("""COMPUTED_VALUE"""),43423.98849717593)</f>
        <v>43423.9885</v>
      </c>
      <c r="B3983" t="s">
        <v>40</v>
      </c>
    </row>
    <row r="3984">
      <c r="A3984" s="32">
        <f>IFERROR(__xludf.DUMMYFUNCTION("""COMPUTED_VALUE"""),43424.02967616898)</f>
        <v>43424.02968</v>
      </c>
      <c r="B3984" t="s">
        <v>350</v>
      </c>
    </row>
    <row r="3985">
      <c r="A3985" s="32">
        <f>IFERROR(__xludf.DUMMYFUNCTION("""COMPUTED_VALUE"""),43424.06109548611)</f>
        <v>43424.0611</v>
      </c>
      <c r="B3985" t="s">
        <v>48</v>
      </c>
    </row>
    <row r="3986">
      <c r="A3986" s="32">
        <f>IFERROR(__xludf.DUMMYFUNCTION("""COMPUTED_VALUE"""),43424.35490333333)</f>
        <v>43424.3549</v>
      </c>
      <c r="B3986" t="s">
        <v>33</v>
      </c>
    </row>
    <row r="3987">
      <c r="A3987" s="32">
        <f>IFERROR(__xludf.DUMMYFUNCTION("""COMPUTED_VALUE"""),43424.37209469907)</f>
        <v>43424.37209</v>
      </c>
      <c r="B3987" t="s">
        <v>33</v>
      </c>
    </row>
    <row r="3988">
      <c r="A3988" s="32">
        <f>IFERROR(__xludf.DUMMYFUNCTION("""COMPUTED_VALUE"""),43424.394139131946)</f>
        <v>43424.39414</v>
      </c>
      <c r="B3988" t="s">
        <v>2811</v>
      </c>
    </row>
    <row r="3989">
      <c r="A3989" s="32">
        <f>IFERROR(__xludf.DUMMYFUNCTION("""COMPUTED_VALUE"""),43424.44769368056)</f>
        <v>43424.44769</v>
      </c>
      <c r="B3989" t="s">
        <v>268</v>
      </c>
    </row>
    <row r="3990">
      <c r="A3990" s="32">
        <f>IFERROR(__xludf.DUMMYFUNCTION("""COMPUTED_VALUE"""),43424.461135405094)</f>
        <v>43424.46114</v>
      </c>
      <c r="B3990" t="s">
        <v>2551</v>
      </c>
    </row>
    <row r="3991">
      <c r="A3991" s="32">
        <f>IFERROR(__xludf.DUMMYFUNCTION("""COMPUTED_VALUE"""),43424.49839719907)</f>
        <v>43424.4984</v>
      </c>
      <c r="B3991" t="s">
        <v>2552</v>
      </c>
    </row>
    <row r="3992">
      <c r="A3992" s="32">
        <f>IFERROR(__xludf.DUMMYFUNCTION("""COMPUTED_VALUE"""),43424.52188493055)</f>
        <v>43424.52188</v>
      </c>
      <c r="B3992" t="s">
        <v>33</v>
      </c>
    </row>
    <row r="3993">
      <c r="A3993" s="32">
        <f>IFERROR(__xludf.DUMMYFUNCTION("""COMPUTED_VALUE"""),43424.60678998842)</f>
        <v>43424.60679</v>
      </c>
      <c r="B3993" t="s">
        <v>2424</v>
      </c>
    </row>
    <row r="3994">
      <c r="A3994" s="32">
        <f>IFERROR(__xludf.DUMMYFUNCTION("""COMPUTED_VALUE"""),43424.65335168982)</f>
        <v>43424.65335</v>
      </c>
      <c r="B3994" t="s">
        <v>33</v>
      </c>
    </row>
    <row r="3995">
      <c r="A3995" s="32">
        <f>IFERROR(__xludf.DUMMYFUNCTION("""COMPUTED_VALUE"""),43424.71575516203)</f>
        <v>43424.71576</v>
      </c>
      <c r="B3995" t="s">
        <v>40</v>
      </c>
    </row>
    <row r="3996">
      <c r="A3996" s="32">
        <f>IFERROR(__xludf.DUMMYFUNCTION("""COMPUTED_VALUE"""),43424.741484224534)</f>
        <v>43424.74148</v>
      </c>
      <c r="B3996" t="s">
        <v>40</v>
      </c>
    </row>
    <row r="3997">
      <c r="A3997" s="32">
        <f>IFERROR(__xludf.DUMMYFUNCTION("""COMPUTED_VALUE"""),43424.80214849537)</f>
        <v>43424.80215</v>
      </c>
      <c r="B3997" t="s">
        <v>33</v>
      </c>
    </row>
    <row r="3998">
      <c r="A3998" s="32">
        <f>IFERROR(__xludf.DUMMYFUNCTION("""COMPUTED_VALUE"""),43424.84885334491)</f>
        <v>43424.84885</v>
      </c>
      <c r="B3998" t="s">
        <v>33</v>
      </c>
    </row>
    <row r="3999">
      <c r="A3999" s="32">
        <f>IFERROR(__xludf.DUMMYFUNCTION("""COMPUTED_VALUE"""),43424.98584962963)</f>
        <v>43424.98585</v>
      </c>
      <c r="B3999" t="s">
        <v>2557</v>
      </c>
    </row>
    <row r="4000">
      <c r="A4000" s="32">
        <f>IFERROR(__xludf.DUMMYFUNCTION("""COMPUTED_VALUE"""),43425.0055858912)</f>
        <v>43425.00559</v>
      </c>
      <c r="B4000" t="s">
        <v>80</v>
      </c>
    </row>
    <row r="4001">
      <c r="A4001" s="32">
        <f>IFERROR(__xludf.DUMMYFUNCTION("""COMPUTED_VALUE"""),43425.32063916667)</f>
        <v>43425.32064</v>
      </c>
      <c r="B4001" t="s">
        <v>40</v>
      </c>
    </row>
    <row r="4002">
      <c r="A4002" s="32">
        <f>IFERROR(__xludf.DUMMYFUNCTION("""COMPUTED_VALUE"""),43425.43333072917)</f>
        <v>43425.43333</v>
      </c>
      <c r="B4002" t="s">
        <v>119</v>
      </c>
    </row>
    <row r="4003">
      <c r="A4003" s="32">
        <f>IFERROR(__xludf.DUMMYFUNCTION("""COMPUTED_VALUE"""),43425.44078605324)</f>
        <v>43425.44079</v>
      </c>
      <c r="B4003" t="s">
        <v>40</v>
      </c>
    </row>
    <row r="4004">
      <c r="A4004" s="32">
        <f>IFERROR(__xludf.DUMMYFUNCTION("""COMPUTED_VALUE"""),43425.56486085648)</f>
        <v>43425.56486</v>
      </c>
      <c r="B4004" t="s">
        <v>95</v>
      </c>
    </row>
    <row r="4005">
      <c r="A4005" s="32">
        <f>IFERROR(__xludf.DUMMYFUNCTION("""COMPUTED_VALUE"""),43425.775239814815)</f>
        <v>43425.77524</v>
      </c>
      <c r="B4005" t="s">
        <v>170</v>
      </c>
    </row>
    <row r="4006">
      <c r="A4006" s="32">
        <f>IFERROR(__xludf.DUMMYFUNCTION("""COMPUTED_VALUE"""),43425.77836045139)</f>
        <v>43425.77836</v>
      </c>
      <c r="B4006" t="s">
        <v>123</v>
      </c>
    </row>
    <row r="4007">
      <c r="A4007" s="32">
        <f>IFERROR(__xludf.DUMMYFUNCTION("""COMPUTED_VALUE"""),43425.90604234954)</f>
        <v>43425.90604</v>
      </c>
      <c r="B4007" t="s">
        <v>2812</v>
      </c>
    </row>
    <row r="4008">
      <c r="A4008" s="32">
        <f>IFERROR(__xludf.DUMMYFUNCTION("""COMPUTED_VALUE"""),43425.91487296297)</f>
        <v>43425.91487</v>
      </c>
      <c r="B4008" t="s">
        <v>40</v>
      </c>
    </row>
    <row r="4009">
      <c r="A4009" s="32">
        <f>IFERROR(__xludf.DUMMYFUNCTION("""COMPUTED_VALUE"""),43425.91661090278)</f>
        <v>43425.91661</v>
      </c>
      <c r="B4009" t="s">
        <v>48</v>
      </c>
    </row>
    <row r="4010">
      <c r="A4010" s="32">
        <f>IFERROR(__xludf.DUMMYFUNCTION("""COMPUTED_VALUE"""),43426.34832283565)</f>
        <v>43426.34832</v>
      </c>
      <c r="B4010" t="s">
        <v>122</v>
      </c>
    </row>
    <row r="4011">
      <c r="A4011" s="32">
        <f>IFERROR(__xludf.DUMMYFUNCTION("""COMPUTED_VALUE"""),43426.397477673614)</f>
        <v>43426.39748</v>
      </c>
      <c r="B4011" t="s">
        <v>33</v>
      </c>
    </row>
    <row r="4012">
      <c r="A4012" s="32">
        <f>IFERROR(__xludf.DUMMYFUNCTION("""COMPUTED_VALUE"""),43426.397480555555)</f>
        <v>43426.39748</v>
      </c>
      <c r="B4012" t="s">
        <v>33</v>
      </c>
    </row>
    <row r="4013">
      <c r="A4013" s="32">
        <f>IFERROR(__xludf.DUMMYFUNCTION("""COMPUTED_VALUE"""),43426.417512858796)</f>
        <v>43426.41751</v>
      </c>
      <c r="B4013" t="s">
        <v>36</v>
      </c>
    </row>
    <row r="4014">
      <c r="A4014" s="32">
        <f>IFERROR(__xludf.DUMMYFUNCTION("""COMPUTED_VALUE"""),43426.44471949074)</f>
        <v>43426.44472</v>
      </c>
      <c r="B4014" t="s">
        <v>80</v>
      </c>
    </row>
    <row r="4015">
      <c r="A4015" s="32">
        <f>IFERROR(__xludf.DUMMYFUNCTION("""COMPUTED_VALUE"""),43426.50386700231)</f>
        <v>43426.50387</v>
      </c>
      <c r="B4015" t="s">
        <v>95</v>
      </c>
    </row>
    <row r="4016">
      <c r="A4016" s="32">
        <f>IFERROR(__xludf.DUMMYFUNCTION("""COMPUTED_VALUE"""),43426.513901053244)</f>
        <v>43426.5139</v>
      </c>
      <c r="B4016" t="s">
        <v>40</v>
      </c>
    </row>
    <row r="4017">
      <c r="A4017" s="32">
        <f>IFERROR(__xludf.DUMMYFUNCTION("""COMPUTED_VALUE"""),43426.63862790509)</f>
        <v>43426.63863</v>
      </c>
      <c r="B4017" t="s">
        <v>48</v>
      </c>
    </row>
    <row r="4018">
      <c r="A4018" s="32">
        <f>IFERROR(__xludf.DUMMYFUNCTION("""COMPUTED_VALUE"""),43426.71765769676)</f>
        <v>43426.71766</v>
      </c>
      <c r="B4018" t="s">
        <v>80</v>
      </c>
    </row>
    <row r="4019">
      <c r="A4019" s="32">
        <f>IFERROR(__xludf.DUMMYFUNCTION("""COMPUTED_VALUE"""),43426.73581716436)</f>
        <v>43426.73582</v>
      </c>
      <c r="B4019" t="s">
        <v>80</v>
      </c>
    </row>
    <row r="4020">
      <c r="A4020" s="32">
        <f>IFERROR(__xludf.DUMMYFUNCTION("""COMPUTED_VALUE"""),43426.88993664352)</f>
        <v>43426.88994</v>
      </c>
      <c r="B4020" t="s">
        <v>80</v>
      </c>
    </row>
    <row r="4021">
      <c r="A4021" s="32">
        <f>IFERROR(__xludf.DUMMYFUNCTION("""COMPUTED_VALUE"""),43426.89399201389)</f>
        <v>43426.89399</v>
      </c>
      <c r="B4021" t="s">
        <v>48</v>
      </c>
    </row>
    <row r="4022">
      <c r="A4022" s="32">
        <f>IFERROR(__xludf.DUMMYFUNCTION("""COMPUTED_VALUE"""),43426.97670614583)</f>
        <v>43426.97671</v>
      </c>
      <c r="B4022" t="s">
        <v>1483</v>
      </c>
    </row>
    <row r="4023">
      <c r="A4023" s="32">
        <f>IFERROR(__xludf.DUMMYFUNCTION("""COMPUTED_VALUE"""),43426.98117616898)</f>
        <v>43426.98118</v>
      </c>
      <c r="B4023" t="s">
        <v>350</v>
      </c>
    </row>
    <row r="4024">
      <c r="A4024" s="32">
        <f>IFERROR(__xludf.DUMMYFUNCTION("""COMPUTED_VALUE"""),43427.08788707176)</f>
        <v>43427.08789</v>
      </c>
      <c r="B4024" t="s">
        <v>268</v>
      </c>
    </row>
    <row r="4025">
      <c r="A4025" s="32">
        <f>IFERROR(__xludf.DUMMYFUNCTION("""COMPUTED_VALUE"""),43427.309661782405)</f>
        <v>43427.30966</v>
      </c>
      <c r="B4025" t="s">
        <v>258</v>
      </c>
    </row>
    <row r="4026">
      <c r="A4026" s="32">
        <f>IFERROR(__xludf.DUMMYFUNCTION("""COMPUTED_VALUE"""),43427.61262263889)</f>
        <v>43427.61262</v>
      </c>
      <c r="B4026" t="s">
        <v>36</v>
      </c>
    </row>
    <row r="4027">
      <c r="A4027" s="32">
        <f>IFERROR(__xludf.DUMMYFUNCTION("""COMPUTED_VALUE"""),43427.84705928241)</f>
        <v>43427.84706</v>
      </c>
      <c r="B4027" t="s">
        <v>139</v>
      </c>
    </row>
    <row r="4028">
      <c r="A4028" s="32">
        <f>IFERROR(__xludf.DUMMYFUNCTION("""COMPUTED_VALUE"""),43427.96291059028)</f>
        <v>43427.96291</v>
      </c>
      <c r="B4028" t="s">
        <v>33</v>
      </c>
    </row>
    <row r="4029">
      <c r="A4029" s="32">
        <f>IFERROR(__xludf.DUMMYFUNCTION("""COMPUTED_VALUE"""),43428.29157)</f>
        <v>43428.29157</v>
      </c>
      <c r="B4029" t="s">
        <v>80</v>
      </c>
    </row>
    <row r="4030">
      <c r="A4030" s="32">
        <f>IFERROR(__xludf.DUMMYFUNCTION("""COMPUTED_VALUE"""),43428.41722737269)</f>
        <v>43428.41723</v>
      </c>
      <c r="B4030" t="s">
        <v>48</v>
      </c>
    </row>
    <row r="4031">
      <c r="A4031" s="32">
        <f>IFERROR(__xludf.DUMMYFUNCTION("""COMPUTED_VALUE"""),43428.469956030094)</f>
        <v>43428.46996</v>
      </c>
      <c r="B4031" t="s">
        <v>119</v>
      </c>
    </row>
    <row r="4032">
      <c r="A4032" s="32">
        <f>IFERROR(__xludf.DUMMYFUNCTION("""COMPUTED_VALUE"""),43428.52705157407)</f>
        <v>43428.52705</v>
      </c>
      <c r="B4032" t="s">
        <v>170</v>
      </c>
    </row>
    <row r="4033">
      <c r="A4033" s="32">
        <f>IFERROR(__xludf.DUMMYFUNCTION("""COMPUTED_VALUE"""),43428.528228634255)</f>
        <v>43428.52823</v>
      </c>
      <c r="B4033" t="s">
        <v>170</v>
      </c>
    </row>
    <row r="4034">
      <c r="A4034" s="32">
        <f>IFERROR(__xludf.DUMMYFUNCTION("""COMPUTED_VALUE"""),43428.53924459491)</f>
        <v>43428.53924</v>
      </c>
      <c r="B4034" t="s">
        <v>268</v>
      </c>
    </row>
    <row r="4035">
      <c r="A4035" s="32">
        <f>IFERROR(__xludf.DUMMYFUNCTION("""COMPUTED_VALUE"""),43428.56793561342)</f>
        <v>43428.56794</v>
      </c>
      <c r="B4035" t="s">
        <v>371</v>
      </c>
    </row>
    <row r="4036">
      <c r="A4036" s="32">
        <f>IFERROR(__xludf.DUMMYFUNCTION("""COMPUTED_VALUE"""),43428.584056238426)</f>
        <v>43428.58406</v>
      </c>
      <c r="B4036" t="s">
        <v>80</v>
      </c>
    </row>
    <row r="4037">
      <c r="A4037" s="32">
        <f>IFERROR(__xludf.DUMMYFUNCTION("""COMPUTED_VALUE"""),43428.620927129625)</f>
        <v>43428.62093</v>
      </c>
      <c r="B4037" t="s">
        <v>371</v>
      </c>
    </row>
    <row r="4038">
      <c r="A4038" s="32">
        <f>IFERROR(__xludf.DUMMYFUNCTION("""COMPUTED_VALUE"""),43428.74035839121)</f>
        <v>43428.74036</v>
      </c>
      <c r="B4038" t="s">
        <v>256</v>
      </c>
    </row>
    <row r="4039">
      <c r="A4039" s="32">
        <f>IFERROR(__xludf.DUMMYFUNCTION("""COMPUTED_VALUE"""),43428.83727142361)</f>
        <v>43428.83727</v>
      </c>
      <c r="B4039" t="s">
        <v>80</v>
      </c>
    </row>
    <row r="4040">
      <c r="A4040" s="32">
        <f>IFERROR(__xludf.DUMMYFUNCTION("""COMPUTED_VALUE"""),43428.85996483796)</f>
        <v>43428.85996</v>
      </c>
      <c r="B4040" t="s">
        <v>36</v>
      </c>
    </row>
    <row r="4041">
      <c r="A4041" s="32">
        <f>IFERROR(__xludf.DUMMYFUNCTION("""COMPUTED_VALUE"""),43429.09273733797)</f>
        <v>43429.09274</v>
      </c>
      <c r="B4041" t="s">
        <v>123</v>
      </c>
    </row>
    <row r="4042">
      <c r="A4042" s="32">
        <f>IFERROR(__xludf.DUMMYFUNCTION("""COMPUTED_VALUE"""),43429.151292615745)</f>
        <v>43429.15129</v>
      </c>
      <c r="B4042" t="s">
        <v>658</v>
      </c>
    </row>
    <row r="4043">
      <c r="A4043" s="32">
        <f>IFERROR(__xludf.DUMMYFUNCTION("""COMPUTED_VALUE"""),43429.292632662036)</f>
        <v>43429.29263</v>
      </c>
      <c r="B4043" t="s">
        <v>463</v>
      </c>
    </row>
    <row r="4044">
      <c r="A4044" s="32">
        <f>IFERROR(__xludf.DUMMYFUNCTION("""COMPUTED_VALUE"""),43429.435750439814)</f>
        <v>43429.43575</v>
      </c>
      <c r="B4044" t="s">
        <v>964</v>
      </c>
    </row>
    <row r="4045">
      <c r="A4045" s="32">
        <f>IFERROR(__xludf.DUMMYFUNCTION("""COMPUTED_VALUE"""),43429.44865898148)</f>
        <v>43429.44866</v>
      </c>
      <c r="B4045" t="s">
        <v>170</v>
      </c>
    </row>
    <row r="4046">
      <c r="A4046" s="32">
        <f>IFERROR(__xludf.DUMMYFUNCTION("""COMPUTED_VALUE"""),43429.47060318287)</f>
        <v>43429.4706</v>
      </c>
      <c r="B4046" t="s">
        <v>80</v>
      </c>
    </row>
    <row r="4047">
      <c r="A4047" s="32">
        <f>IFERROR(__xludf.DUMMYFUNCTION("""COMPUTED_VALUE"""),43429.48595828704)</f>
        <v>43429.48596</v>
      </c>
      <c r="B4047" t="s">
        <v>33</v>
      </c>
    </row>
    <row r="4048">
      <c r="A4048" s="32">
        <f>IFERROR(__xludf.DUMMYFUNCTION("""COMPUTED_VALUE"""),43429.556287997686)</f>
        <v>43429.55629</v>
      </c>
      <c r="B4048" t="s">
        <v>80</v>
      </c>
    </row>
    <row r="4049">
      <c r="A4049" s="32">
        <f>IFERROR(__xludf.DUMMYFUNCTION("""COMPUTED_VALUE"""),43429.68556633102)</f>
        <v>43429.68557</v>
      </c>
      <c r="B4049" t="s">
        <v>40</v>
      </c>
    </row>
    <row r="4050">
      <c r="A4050" s="32">
        <f>IFERROR(__xludf.DUMMYFUNCTION("""COMPUTED_VALUE"""),43429.72751141204)</f>
        <v>43429.72751</v>
      </c>
      <c r="B4050" t="s">
        <v>45</v>
      </c>
    </row>
    <row r="4051">
      <c r="A4051" s="32">
        <f>IFERROR(__xludf.DUMMYFUNCTION("""COMPUTED_VALUE"""),43429.750810717596)</f>
        <v>43429.75081</v>
      </c>
      <c r="B4051" t="s">
        <v>33</v>
      </c>
    </row>
    <row r="4052">
      <c r="A4052" s="32">
        <f>IFERROR(__xludf.DUMMYFUNCTION("""COMPUTED_VALUE"""),43429.76513596065)</f>
        <v>43429.76514</v>
      </c>
      <c r="B4052" t="s">
        <v>387</v>
      </c>
    </row>
    <row r="4053">
      <c r="A4053" s="32">
        <f>IFERROR(__xludf.DUMMYFUNCTION("""COMPUTED_VALUE"""),43429.76513596065)</f>
        <v>43429.76514</v>
      </c>
      <c r="B4053" t="s">
        <v>387</v>
      </c>
    </row>
    <row r="4054">
      <c r="A4054" s="32">
        <f>IFERROR(__xludf.DUMMYFUNCTION("""COMPUTED_VALUE"""),43429.82919380787)</f>
        <v>43429.82919</v>
      </c>
      <c r="B4054" t="s">
        <v>45</v>
      </c>
    </row>
    <row r="4055">
      <c r="A4055" s="32">
        <f>IFERROR(__xludf.DUMMYFUNCTION("""COMPUTED_VALUE"""),43429.940499895834)</f>
        <v>43429.9405</v>
      </c>
      <c r="B4055" t="s">
        <v>33</v>
      </c>
    </row>
    <row r="4056">
      <c r="A4056" s="32">
        <f>IFERROR(__xludf.DUMMYFUNCTION("""COMPUTED_VALUE"""),43429.97737153935)</f>
        <v>43429.97737</v>
      </c>
      <c r="B4056" t="s">
        <v>40</v>
      </c>
    </row>
    <row r="4057">
      <c r="A4057" s="32">
        <f>IFERROR(__xludf.DUMMYFUNCTION("""COMPUTED_VALUE"""),43430.391827245374)</f>
        <v>43430.39183</v>
      </c>
      <c r="B4057" t="s">
        <v>33</v>
      </c>
    </row>
    <row r="4058">
      <c r="A4058" s="32">
        <f>IFERROR(__xludf.DUMMYFUNCTION("""COMPUTED_VALUE"""),43430.43131542824)</f>
        <v>43430.43132</v>
      </c>
      <c r="B4058" t="s">
        <v>45</v>
      </c>
    </row>
    <row r="4059">
      <c r="A4059" s="32">
        <f>IFERROR(__xludf.DUMMYFUNCTION("""COMPUTED_VALUE"""),43430.44001314815)</f>
        <v>43430.44001</v>
      </c>
      <c r="B4059" t="s">
        <v>2681</v>
      </c>
    </row>
    <row r="4060">
      <c r="A4060" s="32">
        <f>IFERROR(__xludf.DUMMYFUNCTION("""COMPUTED_VALUE"""),43430.47579484954)</f>
        <v>43430.47579</v>
      </c>
      <c r="B4060" t="s">
        <v>40</v>
      </c>
    </row>
    <row r="4061">
      <c r="A4061" s="32">
        <f>IFERROR(__xludf.DUMMYFUNCTION("""COMPUTED_VALUE"""),43430.492948506944)</f>
        <v>43430.49295</v>
      </c>
      <c r="B4061" t="s">
        <v>80</v>
      </c>
    </row>
    <row r="4062">
      <c r="A4062" s="32">
        <f>IFERROR(__xludf.DUMMYFUNCTION("""COMPUTED_VALUE"""),43430.6950853125)</f>
        <v>43430.69509</v>
      </c>
      <c r="B4062" t="s">
        <v>33</v>
      </c>
    </row>
    <row r="4063">
      <c r="A4063" s="32">
        <f>IFERROR(__xludf.DUMMYFUNCTION("""COMPUTED_VALUE"""),43430.70388804398)</f>
        <v>43430.70389</v>
      </c>
      <c r="B4063" t="s">
        <v>256</v>
      </c>
    </row>
    <row r="4064">
      <c r="A4064" s="32">
        <f>IFERROR(__xludf.DUMMYFUNCTION("""COMPUTED_VALUE"""),43430.72923369213)</f>
        <v>43430.72923</v>
      </c>
      <c r="B4064" t="s">
        <v>268</v>
      </c>
    </row>
    <row r="4065">
      <c r="A4065" s="32">
        <f>IFERROR(__xludf.DUMMYFUNCTION("""COMPUTED_VALUE"""),43430.73423891204)</f>
        <v>43430.73424</v>
      </c>
      <c r="B4065" t="s">
        <v>33</v>
      </c>
    </row>
    <row r="4066">
      <c r="A4066" s="32">
        <f>IFERROR(__xludf.DUMMYFUNCTION("""COMPUTED_VALUE"""),43430.76940326389)</f>
        <v>43430.7694</v>
      </c>
      <c r="B4066" t="s">
        <v>33</v>
      </c>
    </row>
    <row r="4067">
      <c r="A4067" s="32">
        <f>IFERROR(__xludf.DUMMYFUNCTION("""COMPUTED_VALUE"""),43430.78361400463)</f>
        <v>43430.78361</v>
      </c>
      <c r="B4067" t="s">
        <v>33</v>
      </c>
    </row>
    <row r="4068">
      <c r="A4068" s="32">
        <f>IFERROR(__xludf.DUMMYFUNCTION("""COMPUTED_VALUE"""),43430.788480868054)</f>
        <v>43430.78848</v>
      </c>
      <c r="B4068" t="s">
        <v>123</v>
      </c>
    </row>
    <row r="4069">
      <c r="A4069" s="32">
        <f>IFERROR(__xludf.DUMMYFUNCTION("""COMPUTED_VALUE"""),43430.8737215625)</f>
        <v>43430.87372</v>
      </c>
      <c r="B4069" t="s">
        <v>256</v>
      </c>
    </row>
    <row r="4070">
      <c r="A4070" s="32">
        <f>IFERROR(__xludf.DUMMYFUNCTION("""COMPUTED_VALUE"""),43430.898952268515)</f>
        <v>43430.89895</v>
      </c>
      <c r="B4070" t="s">
        <v>33</v>
      </c>
    </row>
    <row r="4071">
      <c r="A4071" s="32">
        <f>IFERROR(__xludf.DUMMYFUNCTION("""COMPUTED_VALUE"""),43430.94277835648)</f>
        <v>43430.94278</v>
      </c>
      <c r="B4071" t="s">
        <v>48</v>
      </c>
    </row>
    <row r="4072">
      <c r="A4072" s="32">
        <f>IFERROR(__xludf.DUMMYFUNCTION("""COMPUTED_VALUE"""),43430.946673831015)</f>
        <v>43430.94667</v>
      </c>
      <c r="B4072" t="s">
        <v>428</v>
      </c>
    </row>
    <row r="4073">
      <c r="A4073" s="32">
        <f>IFERROR(__xludf.DUMMYFUNCTION("""COMPUTED_VALUE"""),43431.007089756946)</f>
        <v>43431.00709</v>
      </c>
      <c r="B4073" t="s">
        <v>40</v>
      </c>
    </row>
    <row r="4074">
      <c r="A4074" s="32">
        <f>IFERROR(__xludf.DUMMYFUNCTION("""COMPUTED_VALUE"""),43431.13427591435)</f>
        <v>43431.13428</v>
      </c>
      <c r="B4074" t="s">
        <v>33</v>
      </c>
    </row>
    <row r="4075">
      <c r="A4075" s="32">
        <f>IFERROR(__xludf.DUMMYFUNCTION("""COMPUTED_VALUE"""),43431.37624677083)</f>
        <v>43431.37625</v>
      </c>
      <c r="B4075" t="s">
        <v>36</v>
      </c>
    </row>
    <row r="4076">
      <c r="A4076" s="32">
        <f>IFERROR(__xludf.DUMMYFUNCTION("""COMPUTED_VALUE"""),43431.37624677083)</f>
        <v>43431.37625</v>
      </c>
      <c r="B4076" t="s">
        <v>36</v>
      </c>
    </row>
    <row r="4077">
      <c r="A4077" s="32">
        <f>IFERROR(__xludf.DUMMYFUNCTION("""COMPUTED_VALUE"""),43431.37624677083)</f>
        <v>43431.37625</v>
      </c>
      <c r="B4077" t="s">
        <v>36</v>
      </c>
    </row>
    <row r="4078">
      <c r="A4078" s="32">
        <f>IFERROR(__xludf.DUMMYFUNCTION("""COMPUTED_VALUE"""),43431.462858506944)</f>
        <v>43431.46286</v>
      </c>
      <c r="B4078" t="s">
        <v>33</v>
      </c>
    </row>
    <row r="4079">
      <c r="A4079" s="32">
        <f>IFERROR(__xludf.DUMMYFUNCTION("""COMPUTED_VALUE"""),43431.467484849534)</f>
        <v>43431.46748</v>
      </c>
      <c r="B4079" t="s">
        <v>2813</v>
      </c>
    </row>
    <row r="4080">
      <c r="A4080" s="32">
        <f>IFERROR(__xludf.DUMMYFUNCTION("""COMPUTED_VALUE"""),43431.54366458333)</f>
        <v>43431.54366</v>
      </c>
      <c r="B4080" t="s">
        <v>2147</v>
      </c>
    </row>
    <row r="4081">
      <c r="A4081" s="32">
        <f>IFERROR(__xludf.DUMMYFUNCTION("""COMPUTED_VALUE"""),43431.58448902778)</f>
        <v>43431.58449</v>
      </c>
      <c r="B4081" t="s">
        <v>48</v>
      </c>
    </row>
    <row r="4082">
      <c r="A4082" s="32">
        <f>IFERROR(__xludf.DUMMYFUNCTION("""COMPUTED_VALUE"""),43431.59472184027)</f>
        <v>43431.59472</v>
      </c>
      <c r="B4082" t="s">
        <v>25</v>
      </c>
    </row>
    <row r="4083">
      <c r="A4083" s="32">
        <f>IFERROR(__xludf.DUMMYFUNCTION("""COMPUTED_VALUE"""),43431.663229074074)</f>
        <v>43431.66323</v>
      </c>
      <c r="B4083" t="s">
        <v>2575</v>
      </c>
    </row>
    <row r="4084">
      <c r="A4084" s="32">
        <f>IFERROR(__xludf.DUMMYFUNCTION("""COMPUTED_VALUE"""),43431.682676157405)</f>
        <v>43431.68268</v>
      </c>
      <c r="B4084" s="30" t="s">
        <v>2814</v>
      </c>
    </row>
    <row r="4085">
      <c r="A4085" s="32">
        <f>IFERROR(__xludf.DUMMYFUNCTION("""COMPUTED_VALUE"""),43431.70682471065)</f>
        <v>43431.70682</v>
      </c>
      <c r="B4085" t="s">
        <v>268</v>
      </c>
    </row>
    <row r="4086">
      <c r="A4086" s="32">
        <f>IFERROR(__xludf.DUMMYFUNCTION("""COMPUTED_VALUE"""),43431.710904872685)</f>
        <v>43431.7109</v>
      </c>
      <c r="B4086" t="s">
        <v>45</v>
      </c>
    </row>
    <row r="4087">
      <c r="A4087" s="32">
        <f>IFERROR(__xludf.DUMMYFUNCTION("""COMPUTED_VALUE"""),43431.796176805554)</f>
        <v>43431.79618</v>
      </c>
      <c r="B4087" t="s">
        <v>258</v>
      </c>
    </row>
    <row r="4088">
      <c r="A4088" s="32">
        <f>IFERROR(__xludf.DUMMYFUNCTION("""COMPUTED_VALUE"""),43431.85659138889)</f>
        <v>43431.85659</v>
      </c>
      <c r="B4088" t="s">
        <v>80</v>
      </c>
    </row>
    <row r="4089">
      <c r="A4089" s="32">
        <f>IFERROR(__xludf.DUMMYFUNCTION("""COMPUTED_VALUE"""),43431.884997615736)</f>
        <v>43431.885</v>
      </c>
      <c r="B4089" t="s">
        <v>40</v>
      </c>
    </row>
    <row r="4090">
      <c r="A4090" s="32">
        <f>IFERROR(__xludf.DUMMYFUNCTION("""COMPUTED_VALUE"""),43431.922381944445)</f>
        <v>43431.92238</v>
      </c>
      <c r="B4090" t="s">
        <v>122</v>
      </c>
    </row>
    <row r="4091">
      <c r="A4091" s="32">
        <f>IFERROR(__xludf.DUMMYFUNCTION("""COMPUTED_VALUE"""),43431.9258553588)</f>
        <v>43431.92586</v>
      </c>
      <c r="B4091" t="s">
        <v>2815</v>
      </c>
    </row>
    <row r="4092">
      <c r="A4092" s="32">
        <f>IFERROR(__xludf.DUMMYFUNCTION("""COMPUTED_VALUE"""),43431.92603266204)</f>
        <v>43431.92603</v>
      </c>
      <c r="B4092" t="s">
        <v>80</v>
      </c>
    </row>
    <row r="4093">
      <c r="A4093" s="32">
        <f>IFERROR(__xludf.DUMMYFUNCTION("""COMPUTED_VALUE"""),43431.93298017361)</f>
        <v>43431.93298</v>
      </c>
      <c r="B4093" t="s">
        <v>36</v>
      </c>
    </row>
    <row r="4094">
      <c r="A4094" s="32">
        <f>IFERROR(__xludf.DUMMYFUNCTION("""COMPUTED_VALUE"""),43431.93493346065)</f>
        <v>43431.93493</v>
      </c>
      <c r="B4094" t="s">
        <v>2237</v>
      </c>
    </row>
    <row r="4095">
      <c r="A4095" s="32">
        <f>IFERROR(__xludf.DUMMYFUNCTION("""COMPUTED_VALUE"""),43431.942666539355)</f>
        <v>43431.94267</v>
      </c>
      <c r="B4095" t="s">
        <v>170</v>
      </c>
    </row>
    <row r="4096">
      <c r="A4096" s="32">
        <f>IFERROR(__xludf.DUMMYFUNCTION("""COMPUTED_VALUE"""),43432.05028969907)</f>
        <v>43432.05029</v>
      </c>
      <c r="B4096" t="s">
        <v>80</v>
      </c>
    </row>
    <row r="4097">
      <c r="A4097" s="32">
        <f>IFERROR(__xludf.DUMMYFUNCTION("""COMPUTED_VALUE"""),43432.092748483796)</f>
        <v>43432.09275</v>
      </c>
      <c r="B4097" t="s">
        <v>33</v>
      </c>
    </row>
    <row r="4098">
      <c r="A4098" s="32">
        <f>IFERROR(__xludf.DUMMYFUNCTION("""COMPUTED_VALUE"""),43432.42525357639)</f>
        <v>43432.42525</v>
      </c>
      <c r="B4098" t="s">
        <v>80</v>
      </c>
    </row>
    <row r="4099">
      <c r="A4099" s="32">
        <f>IFERROR(__xludf.DUMMYFUNCTION("""COMPUTED_VALUE"""),43432.42768006945)</f>
        <v>43432.42768</v>
      </c>
      <c r="B4099" t="s">
        <v>2581</v>
      </c>
    </row>
    <row r="4100">
      <c r="A4100" s="32">
        <f>IFERROR(__xludf.DUMMYFUNCTION("""COMPUTED_VALUE"""),43432.5450425)</f>
        <v>43432.54504</v>
      </c>
      <c r="B4100" t="s">
        <v>33</v>
      </c>
    </row>
    <row r="4101">
      <c r="A4101" s="32">
        <f>IFERROR(__xludf.DUMMYFUNCTION("""COMPUTED_VALUE"""),43432.56501496528)</f>
        <v>43432.56501</v>
      </c>
      <c r="B4101" t="s">
        <v>33</v>
      </c>
    </row>
    <row r="4102">
      <c r="A4102" s="32">
        <f>IFERROR(__xludf.DUMMYFUNCTION("""COMPUTED_VALUE"""),43432.72626365741)</f>
        <v>43432.72626</v>
      </c>
      <c r="B4102" t="s">
        <v>33</v>
      </c>
    </row>
    <row r="4103">
      <c r="A4103" s="32">
        <f>IFERROR(__xludf.DUMMYFUNCTION("""COMPUTED_VALUE"""),43432.72875019676)</f>
        <v>43432.72875</v>
      </c>
      <c r="B4103" t="s">
        <v>80</v>
      </c>
    </row>
    <row r="4104">
      <c r="A4104" s="32">
        <f>IFERROR(__xludf.DUMMYFUNCTION("""COMPUTED_VALUE"""),43432.75672262731)</f>
        <v>43432.75672</v>
      </c>
      <c r="B4104" t="s">
        <v>123</v>
      </c>
    </row>
    <row r="4105">
      <c r="A4105" s="32">
        <f>IFERROR(__xludf.DUMMYFUNCTION("""COMPUTED_VALUE"""),43432.79642475695)</f>
        <v>43432.79642</v>
      </c>
      <c r="B4105" t="s">
        <v>33</v>
      </c>
    </row>
    <row r="4106">
      <c r="A4106" s="32">
        <f>IFERROR(__xludf.DUMMYFUNCTION("""COMPUTED_VALUE"""),43432.799734201384)</f>
        <v>43432.79973</v>
      </c>
      <c r="B4106" t="s">
        <v>48</v>
      </c>
    </row>
    <row r="4107">
      <c r="A4107" s="32">
        <f>IFERROR(__xludf.DUMMYFUNCTION("""COMPUTED_VALUE"""),43432.81105846065)</f>
        <v>43432.81106</v>
      </c>
      <c r="B4107" t="s">
        <v>2582</v>
      </c>
    </row>
    <row r="4108">
      <c r="A4108" s="32">
        <f>IFERROR(__xludf.DUMMYFUNCTION("""COMPUTED_VALUE"""),43432.81288087963)</f>
        <v>43432.81288</v>
      </c>
      <c r="B4108" t="s">
        <v>2583</v>
      </c>
    </row>
    <row r="4109">
      <c r="A4109" s="32">
        <f>IFERROR(__xludf.DUMMYFUNCTION("""COMPUTED_VALUE"""),43432.89188858796)</f>
        <v>43432.89189</v>
      </c>
      <c r="B4109" t="s">
        <v>80</v>
      </c>
    </row>
    <row r="4110">
      <c r="A4110" s="32">
        <f>IFERROR(__xludf.DUMMYFUNCTION("""COMPUTED_VALUE"""),43432.90337759259)</f>
        <v>43432.90338</v>
      </c>
      <c r="B4110" t="s">
        <v>2583</v>
      </c>
    </row>
    <row r="4111">
      <c r="A4111" s="32">
        <f>IFERROR(__xludf.DUMMYFUNCTION("""COMPUTED_VALUE"""),43433.01176334491)</f>
        <v>43433.01176</v>
      </c>
      <c r="B4111" t="s">
        <v>48</v>
      </c>
    </row>
    <row r="4112">
      <c r="A4112" s="32">
        <f>IFERROR(__xludf.DUMMYFUNCTION("""COMPUTED_VALUE"""),43433.34247924769)</f>
        <v>43433.34248</v>
      </c>
      <c r="B4112" t="s">
        <v>33</v>
      </c>
    </row>
    <row r="4113">
      <c r="A4113" s="32">
        <f>IFERROR(__xludf.DUMMYFUNCTION("""COMPUTED_VALUE"""),43433.38571270833)</f>
        <v>43433.38571</v>
      </c>
      <c r="B4113" t="s">
        <v>80</v>
      </c>
    </row>
    <row r="4114">
      <c r="A4114" s="32">
        <f>IFERROR(__xludf.DUMMYFUNCTION("""COMPUTED_VALUE"""),43433.38739743056)</f>
        <v>43433.3874</v>
      </c>
      <c r="B4114" t="s">
        <v>33</v>
      </c>
    </row>
    <row r="4115">
      <c r="A4115" s="32">
        <f>IFERROR(__xludf.DUMMYFUNCTION("""COMPUTED_VALUE"""),43433.47260603009)</f>
        <v>43433.47261</v>
      </c>
      <c r="B4115" t="s">
        <v>371</v>
      </c>
    </row>
    <row r="4116">
      <c r="A4116" s="32">
        <f>IFERROR(__xludf.DUMMYFUNCTION("""COMPUTED_VALUE"""),43433.49031680556)</f>
        <v>43433.49032</v>
      </c>
      <c r="B4116" t="s">
        <v>80</v>
      </c>
    </row>
    <row r="4117">
      <c r="A4117" s="32">
        <f>IFERROR(__xludf.DUMMYFUNCTION("""COMPUTED_VALUE"""),43433.50889725694)</f>
        <v>43433.5089</v>
      </c>
      <c r="B4117" t="s">
        <v>350</v>
      </c>
    </row>
    <row r="4118">
      <c r="A4118" s="32">
        <f>IFERROR(__xludf.DUMMYFUNCTION("""COMPUTED_VALUE"""),43433.5124741551)</f>
        <v>43433.51247</v>
      </c>
      <c r="B4118" t="s">
        <v>157</v>
      </c>
    </row>
    <row r="4119">
      <c r="A4119" s="32">
        <f>IFERROR(__xludf.DUMMYFUNCTION("""COMPUTED_VALUE"""),43433.73264217592)</f>
        <v>43433.73264</v>
      </c>
      <c r="B4119" t="s">
        <v>820</v>
      </c>
    </row>
    <row r="4120">
      <c r="A4120" s="32">
        <f>IFERROR(__xludf.DUMMYFUNCTION("""COMPUTED_VALUE"""),43433.891514745366)</f>
        <v>43433.89151</v>
      </c>
      <c r="B4120" t="s">
        <v>170</v>
      </c>
    </row>
    <row r="4121">
      <c r="A4121" s="32">
        <f>IFERROR(__xludf.DUMMYFUNCTION("""COMPUTED_VALUE"""),43433.912707118056)</f>
        <v>43433.91271</v>
      </c>
      <c r="B4121" t="s">
        <v>48</v>
      </c>
    </row>
    <row r="4122">
      <c r="A4122" s="32">
        <f>IFERROR(__xludf.DUMMYFUNCTION("""COMPUTED_VALUE"""),43433.91838916666)</f>
        <v>43433.91839</v>
      </c>
      <c r="B4122" t="s">
        <v>2588</v>
      </c>
    </row>
    <row r="4123">
      <c r="A4123" s="32">
        <f>IFERROR(__xludf.DUMMYFUNCTION("""COMPUTED_VALUE"""),43433.96458788194)</f>
        <v>43433.96459</v>
      </c>
      <c r="B4123" t="s">
        <v>48</v>
      </c>
    </row>
    <row r="4124">
      <c r="A4124" s="32">
        <f>IFERROR(__xludf.DUMMYFUNCTION("""COMPUTED_VALUE"""),43433.97944052084)</f>
        <v>43433.97944</v>
      </c>
      <c r="B4124" t="s">
        <v>2590</v>
      </c>
    </row>
    <row r="4125">
      <c r="A4125" s="32">
        <f>IFERROR(__xludf.DUMMYFUNCTION("""COMPUTED_VALUE"""),43434.013420891206)</f>
        <v>43434.01342</v>
      </c>
      <c r="B4125" t="s">
        <v>380</v>
      </c>
    </row>
    <row r="4126">
      <c r="A4126" s="32">
        <f>IFERROR(__xludf.DUMMYFUNCTION("""COMPUTED_VALUE"""),43434.05619883102)</f>
        <v>43434.0562</v>
      </c>
      <c r="B4126" t="s">
        <v>45</v>
      </c>
    </row>
    <row r="4127">
      <c r="A4127" s="32">
        <f>IFERROR(__xludf.DUMMYFUNCTION("""COMPUTED_VALUE"""),43434.07119650463)</f>
        <v>43434.0712</v>
      </c>
      <c r="B4127" t="s">
        <v>36</v>
      </c>
    </row>
    <row r="4128">
      <c r="A4128" s="32">
        <f>IFERROR(__xludf.DUMMYFUNCTION("""COMPUTED_VALUE"""),43434.27173434028)</f>
        <v>43434.27173</v>
      </c>
      <c r="B4128" t="s">
        <v>80</v>
      </c>
    </row>
    <row r="4129">
      <c r="A4129" s="32">
        <f>IFERROR(__xludf.DUMMYFUNCTION("""COMPUTED_VALUE"""),43434.37295230324)</f>
        <v>43434.37295</v>
      </c>
      <c r="B4129" t="s">
        <v>2592</v>
      </c>
    </row>
    <row r="4130">
      <c r="A4130" s="32">
        <f>IFERROR(__xludf.DUMMYFUNCTION("""COMPUTED_VALUE"""),43434.48688195602)</f>
        <v>43434.48688</v>
      </c>
      <c r="B4130" t="s">
        <v>40</v>
      </c>
    </row>
    <row r="4131">
      <c r="A4131" s="32">
        <f>IFERROR(__xludf.DUMMYFUNCTION("""COMPUTED_VALUE"""),43434.511847002315)</f>
        <v>43434.51185</v>
      </c>
      <c r="B4131" t="s">
        <v>204</v>
      </c>
    </row>
    <row r="4132">
      <c r="A4132" s="32">
        <f>IFERROR(__xludf.DUMMYFUNCTION("""COMPUTED_VALUE"""),43434.5634574537)</f>
        <v>43434.56346</v>
      </c>
      <c r="B4132" t="s">
        <v>1160</v>
      </c>
    </row>
    <row r="4133">
      <c r="A4133" s="32">
        <f>IFERROR(__xludf.DUMMYFUNCTION("""COMPUTED_VALUE"""),43434.564945300925)</f>
        <v>43434.56495</v>
      </c>
      <c r="B4133" t="s">
        <v>1160</v>
      </c>
    </row>
    <row r="4134">
      <c r="A4134" s="32">
        <f>IFERROR(__xludf.DUMMYFUNCTION("""COMPUTED_VALUE"""),43434.580261979165)</f>
        <v>43434.58026</v>
      </c>
      <c r="B4134" t="s">
        <v>40</v>
      </c>
    </row>
    <row r="4135">
      <c r="A4135" s="32">
        <f>IFERROR(__xludf.DUMMYFUNCTION("""COMPUTED_VALUE"""),43434.6417760301)</f>
        <v>43434.64178</v>
      </c>
      <c r="B4135" t="s">
        <v>40</v>
      </c>
    </row>
    <row r="4136">
      <c r="A4136" s="32">
        <f>IFERROR(__xludf.DUMMYFUNCTION("""COMPUTED_VALUE"""),43434.65176359954)</f>
        <v>43434.65176</v>
      </c>
      <c r="B4136" t="s">
        <v>40</v>
      </c>
    </row>
    <row r="4137">
      <c r="A4137" s="32">
        <f>IFERROR(__xludf.DUMMYFUNCTION("""COMPUTED_VALUE"""),43434.659234618055)</f>
        <v>43434.65923</v>
      </c>
      <c r="B4137" t="s">
        <v>48</v>
      </c>
    </row>
    <row r="4138">
      <c r="A4138" s="32">
        <f>IFERROR(__xludf.DUMMYFUNCTION("""COMPUTED_VALUE"""),43434.750043101856)</f>
        <v>43434.75004</v>
      </c>
      <c r="B4138" t="s">
        <v>45</v>
      </c>
    </row>
    <row r="4139">
      <c r="A4139" s="32">
        <f>IFERROR(__xludf.DUMMYFUNCTION("""COMPUTED_VALUE"""),43434.796746875)</f>
        <v>43434.79675</v>
      </c>
      <c r="B4139" t="s">
        <v>40</v>
      </c>
    </row>
    <row r="4140">
      <c r="A4140" s="32">
        <f>IFERROR(__xludf.DUMMYFUNCTION("""COMPUTED_VALUE"""),43434.82483887731)</f>
        <v>43434.82484</v>
      </c>
      <c r="B4140" t="s">
        <v>33</v>
      </c>
    </row>
    <row r="4141">
      <c r="A4141" s="32">
        <f>IFERROR(__xludf.DUMMYFUNCTION("""COMPUTED_VALUE"""),43434.87157184028)</f>
        <v>43434.87157</v>
      </c>
      <c r="B4141" t="s">
        <v>2816</v>
      </c>
    </row>
    <row r="4142">
      <c r="A4142" s="32">
        <f>IFERROR(__xludf.DUMMYFUNCTION("""COMPUTED_VALUE"""),43434.872272106484)</f>
        <v>43434.87227</v>
      </c>
      <c r="B4142" t="s">
        <v>1957</v>
      </c>
    </row>
    <row r="4143">
      <c r="A4143" s="32">
        <f>IFERROR(__xludf.DUMMYFUNCTION("""COMPUTED_VALUE"""),43434.876837013886)</f>
        <v>43434.87684</v>
      </c>
      <c r="B4143" t="s">
        <v>658</v>
      </c>
    </row>
    <row r="4144">
      <c r="A4144" s="32">
        <f>IFERROR(__xludf.DUMMYFUNCTION("""COMPUTED_VALUE"""),43434.88707849537)</f>
        <v>43434.88708</v>
      </c>
      <c r="B4144" t="s">
        <v>2817</v>
      </c>
    </row>
    <row r="4145">
      <c r="A4145" s="32">
        <f>IFERROR(__xludf.DUMMYFUNCTION("""COMPUTED_VALUE"""),43434.90277240741)</f>
        <v>43434.90277</v>
      </c>
      <c r="B4145" t="s">
        <v>48</v>
      </c>
    </row>
    <row r="4146">
      <c r="A4146" s="32">
        <f>IFERROR(__xludf.DUMMYFUNCTION("""COMPUTED_VALUE"""),43434.9065238426)</f>
        <v>43434.90652</v>
      </c>
      <c r="B4146" t="s">
        <v>123</v>
      </c>
    </row>
    <row r="4147">
      <c r="A4147" s="32">
        <f>IFERROR(__xludf.DUMMYFUNCTION("""COMPUTED_VALUE"""),43434.92654236111)</f>
        <v>43434.92654</v>
      </c>
      <c r="B4147" t="s">
        <v>1276</v>
      </c>
    </row>
    <row r="4148">
      <c r="A4148" s="32">
        <f>IFERROR(__xludf.DUMMYFUNCTION("""COMPUTED_VALUE"""),43434.943992939814)</f>
        <v>43434.94399</v>
      </c>
      <c r="B4148" t="s">
        <v>45</v>
      </c>
    </row>
    <row r="4149">
      <c r="A4149" s="32">
        <f>IFERROR(__xludf.DUMMYFUNCTION("""COMPUTED_VALUE"""),43434.95712476852)</f>
        <v>43434.95712</v>
      </c>
      <c r="B4149" t="s">
        <v>36</v>
      </c>
    </row>
    <row r="4150">
      <c r="A4150" s="32">
        <f>IFERROR(__xludf.DUMMYFUNCTION("""COMPUTED_VALUE"""),43435.514134780096)</f>
        <v>43435.51413</v>
      </c>
      <c r="B4150" t="s">
        <v>80</v>
      </c>
    </row>
    <row r="4151">
      <c r="A4151" s="32">
        <f>IFERROR(__xludf.DUMMYFUNCTION("""COMPUTED_VALUE"""),43435.52977300926)</f>
        <v>43435.52977</v>
      </c>
      <c r="B4151" t="s">
        <v>188</v>
      </c>
    </row>
    <row r="4152">
      <c r="A4152" s="32">
        <f>IFERROR(__xludf.DUMMYFUNCTION("""COMPUTED_VALUE"""),43435.53251574074)</f>
        <v>43435.53252</v>
      </c>
      <c r="B4152" t="s">
        <v>119</v>
      </c>
    </row>
    <row r="4153">
      <c r="A4153" s="32">
        <f>IFERROR(__xludf.DUMMYFUNCTION("""COMPUTED_VALUE"""),43435.56862440972)</f>
        <v>43435.56862</v>
      </c>
      <c r="B4153" t="s">
        <v>40</v>
      </c>
    </row>
    <row r="4154">
      <c r="A4154" s="32">
        <f>IFERROR(__xludf.DUMMYFUNCTION("""COMPUTED_VALUE"""),43435.61842362268)</f>
        <v>43435.61842</v>
      </c>
      <c r="B4154" t="s">
        <v>33</v>
      </c>
    </row>
    <row r="4155">
      <c r="A4155" s="32">
        <f>IFERROR(__xludf.DUMMYFUNCTION("""COMPUTED_VALUE"""),43435.73429552083)</f>
        <v>43435.7343</v>
      </c>
      <c r="B4155" t="s">
        <v>45</v>
      </c>
    </row>
    <row r="4156">
      <c r="A4156" s="32">
        <f>IFERROR(__xludf.DUMMYFUNCTION("""COMPUTED_VALUE"""),43435.76486407407)</f>
        <v>43435.76486</v>
      </c>
      <c r="B4156" t="s">
        <v>33</v>
      </c>
    </row>
    <row r="4157">
      <c r="A4157" s="32">
        <f>IFERROR(__xludf.DUMMYFUNCTION("""COMPUTED_VALUE"""),43435.796895)</f>
        <v>43435.7969</v>
      </c>
      <c r="B4157" t="s">
        <v>33</v>
      </c>
    </row>
    <row r="4158">
      <c r="A4158" s="32">
        <f>IFERROR(__xludf.DUMMYFUNCTION("""COMPUTED_VALUE"""),43435.88263626157)</f>
        <v>43435.88264</v>
      </c>
      <c r="B4158" t="s">
        <v>80</v>
      </c>
    </row>
    <row r="4159">
      <c r="A4159" s="32">
        <f>IFERROR(__xludf.DUMMYFUNCTION("""COMPUTED_VALUE"""),43435.927255902774)</f>
        <v>43435.92726</v>
      </c>
      <c r="B4159" t="s">
        <v>188</v>
      </c>
    </row>
    <row r="4160">
      <c r="A4160" s="32">
        <f>IFERROR(__xludf.DUMMYFUNCTION("""COMPUTED_VALUE"""),43435.94439405092)</f>
        <v>43435.94439</v>
      </c>
      <c r="B4160" t="s">
        <v>268</v>
      </c>
    </row>
    <row r="4161">
      <c r="A4161" s="32">
        <f>IFERROR(__xludf.DUMMYFUNCTION("""COMPUTED_VALUE"""),43436.03279471065)</f>
        <v>43436.03279</v>
      </c>
      <c r="B4161" t="s">
        <v>45</v>
      </c>
    </row>
    <row r="4162">
      <c r="A4162" s="32">
        <f>IFERROR(__xludf.DUMMYFUNCTION("""COMPUTED_VALUE"""),43436.314054710645)</f>
        <v>43436.31405</v>
      </c>
      <c r="B4162" t="s">
        <v>371</v>
      </c>
    </row>
    <row r="4163">
      <c r="A4163" s="32">
        <f>IFERROR(__xludf.DUMMYFUNCTION("""COMPUTED_VALUE"""),43436.40885383102)</f>
        <v>43436.40885</v>
      </c>
      <c r="B4163" t="s">
        <v>80</v>
      </c>
    </row>
    <row r="4164">
      <c r="A4164" s="32">
        <f>IFERROR(__xludf.DUMMYFUNCTION("""COMPUTED_VALUE"""),43436.420129791666)</f>
        <v>43436.42013</v>
      </c>
      <c r="B4164" t="s">
        <v>722</v>
      </c>
    </row>
    <row r="4165">
      <c r="A4165" s="32">
        <f>IFERROR(__xludf.DUMMYFUNCTION("""COMPUTED_VALUE"""),43436.46622261574)</f>
        <v>43436.46622</v>
      </c>
      <c r="B4165" t="s">
        <v>36</v>
      </c>
    </row>
    <row r="4166">
      <c r="A4166" s="32">
        <f>IFERROR(__xludf.DUMMYFUNCTION("""COMPUTED_VALUE"""),43436.57198184028)</f>
        <v>43436.57198</v>
      </c>
      <c r="B4166" t="s">
        <v>33</v>
      </c>
    </row>
    <row r="4167">
      <c r="A4167" s="32">
        <f>IFERROR(__xludf.DUMMYFUNCTION("""COMPUTED_VALUE"""),43436.63767087963)</f>
        <v>43436.63767</v>
      </c>
      <c r="B4167" t="s">
        <v>48</v>
      </c>
    </row>
    <row r="4168">
      <c r="A4168" s="32">
        <f>IFERROR(__xludf.DUMMYFUNCTION("""COMPUTED_VALUE"""),43436.674015428245)</f>
        <v>43436.67402</v>
      </c>
      <c r="B4168" t="s">
        <v>139</v>
      </c>
    </row>
    <row r="4169">
      <c r="A4169" s="32">
        <f>IFERROR(__xludf.DUMMYFUNCTION("""COMPUTED_VALUE"""),43436.6958659838)</f>
        <v>43436.69587</v>
      </c>
      <c r="B4169" t="s">
        <v>48</v>
      </c>
    </row>
    <row r="4170">
      <c r="A4170" s="32">
        <f>IFERROR(__xludf.DUMMYFUNCTION("""COMPUTED_VALUE"""),43436.73620584491)</f>
        <v>43436.73621</v>
      </c>
      <c r="B4170" t="s">
        <v>2606</v>
      </c>
    </row>
    <row r="4171">
      <c r="A4171" s="32">
        <f>IFERROR(__xludf.DUMMYFUNCTION("""COMPUTED_VALUE"""),43436.82036326389)</f>
        <v>43436.82036</v>
      </c>
      <c r="B4171" t="s">
        <v>109</v>
      </c>
    </row>
    <row r="4172">
      <c r="A4172" s="32">
        <f>IFERROR(__xludf.DUMMYFUNCTION("""COMPUTED_VALUE"""),43436.82559436343)</f>
        <v>43436.82559</v>
      </c>
      <c r="B4172" t="s">
        <v>263</v>
      </c>
    </row>
    <row r="4173">
      <c r="A4173" s="32">
        <f>IFERROR(__xludf.DUMMYFUNCTION("""COMPUTED_VALUE"""),43436.857752916665)</f>
        <v>43436.85775</v>
      </c>
      <c r="B4173" t="s">
        <v>33</v>
      </c>
    </row>
    <row r="4174">
      <c r="A4174" s="32">
        <f>IFERROR(__xludf.DUMMYFUNCTION("""COMPUTED_VALUE"""),43436.89998818287)</f>
        <v>43436.89999</v>
      </c>
      <c r="B4174" t="s">
        <v>40</v>
      </c>
    </row>
    <row r="4175">
      <c r="A4175" s="32">
        <f>IFERROR(__xludf.DUMMYFUNCTION("""COMPUTED_VALUE"""),43437.269550729165)</f>
        <v>43437.26955</v>
      </c>
      <c r="B4175" t="s">
        <v>387</v>
      </c>
    </row>
    <row r="4176">
      <c r="A4176" s="32">
        <f>IFERROR(__xludf.DUMMYFUNCTION("""COMPUTED_VALUE"""),43437.39518244213)</f>
        <v>43437.39518</v>
      </c>
      <c r="B4176" t="s">
        <v>139</v>
      </c>
    </row>
    <row r="4177">
      <c r="A4177" s="32">
        <f>IFERROR(__xludf.DUMMYFUNCTION("""COMPUTED_VALUE"""),43437.41220359954)</f>
        <v>43437.4122</v>
      </c>
      <c r="B4177" t="s">
        <v>170</v>
      </c>
    </row>
    <row r="4178">
      <c r="A4178" s="32">
        <f>IFERROR(__xludf.DUMMYFUNCTION("""COMPUTED_VALUE"""),43437.52335675926)</f>
        <v>43437.52336</v>
      </c>
      <c r="B4178" t="s">
        <v>452</v>
      </c>
    </row>
    <row r="4179">
      <c r="A4179" s="32">
        <f>IFERROR(__xludf.DUMMYFUNCTION("""COMPUTED_VALUE"""),43437.60197059027)</f>
        <v>43437.60197</v>
      </c>
      <c r="B4179" t="s">
        <v>80</v>
      </c>
    </row>
    <row r="4180">
      <c r="A4180" s="32">
        <f>IFERROR(__xludf.DUMMYFUNCTION("""COMPUTED_VALUE"""),43437.61028501157)</f>
        <v>43437.61029</v>
      </c>
      <c r="B4180" t="s">
        <v>36</v>
      </c>
    </row>
    <row r="4181">
      <c r="A4181" s="32">
        <f>IFERROR(__xludf.DUMMYFUNCTION("""COMPUTED_VALUE"""),43437.61028569445)</f>
        <v>43437.61029</v>
      </c>
      <c r="B4181" t="s">
        <v>36</v>
      </c>
    </row>
    <row r="4182">
      <c r="A4182" s="32">
        <f>IFERROR(__xludf.DUMMYFUNCTION("""COMPUTED_VALUE"""),43437.61247158565)</f>
        <v>43437.61247</v>
      </c>
      <c r="B4182" t="s">
        <v>2760</v>
      </c>
    </row>
    <row r="4183">
      <c r="A4183" s="32">
        <f>IFERROR(__xludf.DUMMYFUNCTION("""COMPUTED_VALUE"""),43437.71972245371)</f>
        <v>43437.71972</v>
      </c>
      <c r="B4183" t="s">
        <v>2614</v>
      </c>
    </row>
    <row r="4184">
      <c r="A4184" s="32">
        <f>IFERROR(__xludf.DUMMYFUNCTION("""COMPUTED_VALUE"""),43437.748969803244)</f>
        <v>43437.74897</v>
      </c>
      <c r="B4184" t="s">
        <v>2424</v>
      </c>
    </row>
    <row r="4185">
      <c r="A4185" s="32">
        <f>IFERROR(__xludf.DUMMYFUNCTION("""COMPUTED_VALUE"""),43437.83445042824)</f>
        <v>43437.83445</v>
      </c>
      <c r="B4185" t="s">
        <v>40</v>
      </c>
    </row>
    <row r="4186">
      <c r="A4186" s="32">
        <f>IFERROR(__xludf.DUMMYFUNCTION("""COMPUTED_VALUE"""),43437.97602238426)</f>
        <v>43437.97602</v>
      </c>
      <c r="B4186" t="s">
        <v>80</v>
      </c>
    </row>
    <row r="4187">
      <c r="A4187" s="32">
        <f>IFERROR(__xludf.DUMMYFUNCTION("""COMPUTED_VALUE"""),43437.980099016204)</f>
        <v>43437.9801</v>
      </c>
      <c r="B4187" t="s">
        <v>658</v>
      </c>
    </row>
    <row r="4188">
      <c r="A4188" s="32">
        <f>IFERROR(__xludf.DUMMYFUNCTION("""COMPUTED_VALUE"""),43437.996522013884)</f>
        <v>43437.99652</v>
      </c>
      <c r="B4188" t="s">
        <v>33</v>
      </c>
    </row>
    <row r="4189">
      <c r="A4189" s="32">
        <f>IFERROR(__xludf.DUMMYFUNCTION("""COMPUTED_VALUE"""),43438.165406875)</f>
        <v>43438.16541</v>
      </c>
      <c r="B4189" t="s">
        <v>2618</v>
      </c>
    </row>
    <row r="4190">
      <c r="A4190" s="32">
        <f>IFERROR(__xludf.DUMMYFUNCTION("""COMPUTED_VALUE"""),43438.29054987269)</f>
        <v>43438.29055</v>
      </c>
      <c r="B4190" t="s">
        <v>40</v>
      </c>
    </row>
    <row r="4191">
      <c r="A4191" s="32">
        <f>IFERROR(__xludf.DUMMYFUNCTION("""COMPUTED_VALUE"""),43438.41416460648)</f>
        <v>43438.41416</v>
      </c>
      <c r="B4191" t="s">
        <v>80</v>
      </c>
    </row>
    <row r="4192">
      <c r="A4192" s="32">
        <f>IFERROR(__xludf.DUMMYFUNCTION("""COMPUTED_VALUE"""),43438.42248201389)</f>
        <v>43438.42248</v>
      </c>
      <c r="B4192" t="s">
        <v>371</v>
      </c>
    </row>
    <row r="4193">
      <c r="A4193" s="32">
        <f>IFERROR(__xludf.DUMMYFUNCTION("""COMPUTED_VALUE"""),43438.422949687505)</f>
        <v>43438.42295</v>
      </c>
      <c r="B4193" t="s">
        <v>371</v>
      </c>
    </row>
    <row r="4194">
      <c r="A4194" s="32">
        <f>IFERROR(__xludf.DUMMYFUNCTION("""COMPUTED_VALUE"""),43438.43045869213)</f>
        <v>43438.43046</v>
      </c>
      <c r="B4194" t="s">
        <v>2818</v>
      </c>
    </row>
    <row r="4195">
      <c r="A4195" s="32">
        <f>IFERROR(__xludf.DUMMYFUNCTION("""COMPUTED_VALUE"""),43438.478886192126)</f>
        <v>43438.47889</v>
      </c>
      <c r="B4195" t="s">
        <v>80</v>
      </c>
    </row>
    <row r="4196">
      <c r="A4196" s="32">
        <f>IFERROR(__xludf.DUMMYFUNCTION("""COMPUTED_VALUE"""),43438.49609619213)</f>
        <v>43438.4961</v>
      </c>
      <c r="B4196" t="s">
        <v>33</v>
      </c>
    </row>
    <row r="4197">
      <c r="A4197" s="32">
        <f>IFERROR(__xludf.DUMMYFUNCTION("""COMPUTED_VALUE"""),43438.512106828704)</f>
        <v>43438.51211</v>
      </c>
      <c r="B4197" t="s">
        <v>80</v>
      </c>
    </row>
    <row r="4198">
      <c r="A4198" s="32">
        <f>IFERROR(__xludf.DUMMYFUNCTION("""COMPUTED_VALUE"""),43438.54936701389)</f>
        <v>43438.54937</v>
      </c>
      <c r="B4198" t="s">
        <v>25</v>
      </c>
    </row>
    <row r="4199">
      <c r="A4199" s="32">
        <f>IFERROR(__xludf.DUMMYFUNCTION("""COMPUTED_VALUE"""),43438.63915152778)</f>
        <v>43438.63915</v>
      </c>
      <c r="B4199" t="s">
        <v>80</v>
      </c>
    </row>
    <row r="4200">
      <c r="A4200" s="32">
        <f>IFERROR(__xludf.DUMMYFUNCTION("""COMPUTED_VALUE"""),43438.685873124996)</f>
        <v>43438.68587</v>
      </c>
      <c r="B4200" t="s">
        <v>33</v>
      </c>
    </row>
    <row r="4201">
      <c r="A4201" s="32">
        <f>IFERROR(__xludf.DUMMYFUNCTION("""COMPUTED_VALUE"""),43438.74397015046)</f>
        <v>43438.74397</v>
      </c>
      <c r="B4201" t="s">
        <v>80</v>
      </c>
    </row>
    <row r="4202">
      <c r="A4202" s="32">
        <f>IFERROR(__xludf.DUMMYFUNCTION("""COMPUTED_VALUE"""),43438.766405925926)</f>
        <v>43438.76641</v>
      </c>
      <c r="B4202" t="s">
        <v>40</v>
      </c>
    </row>
    <row r="4203">
      <c r="A4203" s="32">
        <f>IFERROR(__xludf.DUMMYFUNCTION("""COMPUTED_VALUE"""),43438.79207947917)</f>
        <v>43438.79208</v>
      </c>
      <c r="B4203" t="s">
        <v>2819</v>
      </c>
    </row>
    <row r="4204">
      <c r="A4204" s="32">
        <f>IFERROR(__xludf.DUMMYFUNCTION("""COMPUTED_VALUE"""),43438.828930752316)</f>
        <v>43438.82893</v>
      </c>
      <c r="B4204" t="s">
        <v>80</v>
      </c>
    </row>
    <row r="4205">
      <c r="A4205" s="32">
        <f>IFERROR(__xludf.DUMMYFUNCTION("""COMPUTED_VALUE"""),43438.8510899074)</f>
        <v>43438.85109</v>
      </c>
      <c r="B4205" t="s">
        <v>80</v>
      </c>
    </row>
    <row r="4206">
      <c r="A4206" s="32">
        <f>IFERROR(__xludf.DUMMYFUNCTION("""COMPUTED_VALUE"""),43438.85331340278)</f>
        <v>43438.85331</v>
      </c>
      <c r="B4206" t="s">
        <v>2628</v>
      </c>
    </row>
    <row r="4207">
      <c r="A4207" s="32">
        <f>IFERROR(__xludf.DUMMYFUNCTION("""COMPUTED_VALUE"""),43438.86084849537)</f>
        <v>43438.86085</v>
      </c>
      <c r="B4207" t="s">
        <v>33</v>
      </c>
    </row>
    <row r="4208">
      <c r="A4208" s="32">
        <f>IFERROR(__xludf.DUMMYFUNCTION("""COMPUTED_VALUE"""),43438.867697685186)</f>
        <v>43438.8677</v>
      </c>
      <c r="B4208" t="s">
        <v>2424</v>
      </c>
    </row>
    <row r="4209">
      <c r="A4209" s="32">
        <f>IFERROR(__xludf.DUMMYFUNCTION("""COMPUTED_VALUE"""),43438.87342509259)</f>
        <v>43438.87343</v>
      </c>
      <c r="B4209" t="s">
        <v>80</v>
      </c>
    </row>
    <row r="4210">
      <c r="A4210" s="32">
        <f>IFERROR(__xludf.DUMMYFUNCTION("""COMPUTED_VALUE"""),43438.88340502315)</f>
        <v>43438.88341</v>
      </c>
      <c r="B4210" t="s">
        <v>187</v>
      </c>
    </row>
    <row r="4211">
      <c r="A4211" s="32">
        <f>IFERROR(__xludf.DUMMYFUNCTION("""COMPUTED_VALUE"""),43438.939952835644)</f>
        <v>43438.93995</v>
      </c>
      <c r="B4211" t="s">
        <v>33</v>
      </c>
    </row>
    <row r="4212">
      <c r="A4212" s="32">
        <f>IFERROR(__xludf.DUMMYFUNCTION("""COMPUTED_VALUE"""),43438.94292670139)</f>
        <v>43438.94293</v>
      </c>
      <c r="B4212" t="s">
        <v>1935</v>
      </c>
    </row>
    <row r="4213">
      <c r="A4213" s="32">
        <f>IFERROR(__xludf.DUMMYFUNCTION("""COMPUTED_VALUE"""),43439.02361888889)</f>
        <v>43439.02362</v>
      </c>
      <c r="B4213" t="s">
        <v>2746</v>
      </c>
    </row>
    <row r="4214">
      <c r="A4214" s="32">
        <f>IFERROR(__xludf.DUMMYFUNCTION("""COMPUTED_VALUE"""),43439.37828365741)</f>
        <v>43439.37828</v>
      </c>
      <c r="B4214" t="s">
        <v>80</v>
      </c>
    </row>
    <row r="4215">
      <c r="A4215" s="32">
        <f>IFERROR(__xludf.DUMMYFUNCTION("""COMPUTED_VALUE"""),43439.4787621412)</f>
        <v>43439.47876</v>
      </c>
      <c r="B4215" t="s">
        <v>119</v>
      </c>
    </row>
    <row r="4216">
      <c r="A4216" s="32">
        <f>IFERROR(__xludf.DUMMYFUNCTION("""COMPUTED_VALUE"""),43439.49127414352)</f>
        <v>43439.49127</v>
      </c>
      <c r="B4216" t="s">
        <v>33</v>
      </c>
    </row>
    <row r="4217">
      <c r="A4217" s="32">
        <f>IFERROR(__xludf.DUMMYFUNCTION("""COMPUTED_VALUE"""),43439.56869774306)</f>
        <v>43439.5687</v>
      </c>
      <c r="B4217" t="s">
        <v>48</v>
      </c>
    </row>
    <row r="4218">
      <c r="A4218" s="32">
        <f>IFERROR(__xludf.DUMMYFUNCTION("""COMPUTED_VALUE"""),43439.59974746528)</f>
        <v>43439.59975</v>
      </c>
      <c r="B4218" t="s">
        <v>142</v>
      </c>
    </row>
    <row r="4219">
      <c r="A4219" s="32">
        <f>IFERROR(__xludf.DUMMYFUNCTION("""COMPUTED_VALUE"""),43439.602376006944)</f>
        <v>43439.60238</v>
      </c>
      <c r="B4219" t="s">
        <v>25</v>
      </c>
    </row>
    <row r="4220">
      <c r="A4220" s="32">
        <f>IFERROR(__xludf.DUMMYFUNCTION("""COMPUTED_VALUE"""),43439.66303460648)</f>
        <v>43439.66303</v>
      </c>
      <c r="B4220" t="s">
        <v>2638</v>
      </c>
    </row>
    <row r="4221">
      <c r="A4221" s="32">
        <f>IFERROR(__xludf.DUMMYFUNCTION("""COMPUTED_VALUE"""),43439.68679601852)</f>
        <v>43439.6868</v>
      </c>
      <c r="B4221" t="s">
        <v>40</v>
      </c>
    </row>
    <row r="4222">
      <c r="A4222" s="32">
        <f>IFERROR(__xludf.DUMMYFUNCTION("""COMPUTED_VALUE"""),43439.701976192126)</f>
        <v>43439.70198</v>
      </c>
      <c r="B4222" t="s">
        <v>25</v>
      </c>
    </row>
    <row r="4223">
      <c r="A4223" s="32">
        <f>IFERROR(__xludf.DUMMYFUNCTION("""COMPUTED_VALUE"""),43439.73867436343)</f>
        <v>43439.73867</v>
      </c>
      <c r="B4223" t="s">
        <v>371</v>
      </c>
    </row>
    <row r="4224">
      <c r="A4224" s="32">
        <f>IFERROR(__xludf.DUMMYFUNCTION("""COMPUTED_VALUE"""),43439.84468731481)</f>
        <v>43439.84469</v>
      </c>
      <c r="B4224" t="s">
        <v>2159</v>
      </c>
    </row>
    <row r="4225">
      <c r="A4225" s="32">
        <f>IFERROR(__xludf.DUMMYFUNCTION("""COMPUTED_VALUE"""),43439.91852114583)</f>
        <v>43439.91852</v>
      </c>
      <c r="B4225" t="s">
        <v>123</v>
      </c>
    </row>
    <row r="4226">
      <c r="A4226" s="32">
        <f>IFERROR(__xludf.DUMMYFUNCTION("""COMPUTED_VALUE"""),43439.92786199074)</f>
        <v>43439.92786</v>
      </c>
      <c r="B4226" t="s">
        <v>258</v>
      </c>
    </row>
    <row r="4227">
      <c r="A4227" s="32">
        <f>IFERROR(__xludf.DUMMYFUNCTION("""COMPUTED_VALUE"""),43439.97699039352)</f>
        <v>43439.97699</v>
      </c>
      <c r="B4227" t="s">
        <v>1012</v>
      </c>
    </row>
    <row r="4228">
      <c r="A4228" s="32">
        <f>IFERROR(__xludf.DUMMYFUNCTION("""COMPUTED_VALUE"""),43440.00183609954)</f>
        <v>43440.00184</v>
      </c>
      <c r="B4228" t="s">
        <v>33</v>
      </c>
    </row>
    <row r="4229">
      <c r="A4229" s="32">
        <f>IFERROR(__xludf.DUMMYFUNCTION("""COMPUTED_VALUE"""),43440.049294675926)</f>
        <v>43440.04929</v>
      </c>
      <c r="B4229" t="s">
        <v>48</v>
      </c>
    </row>
    <row r="4230">
      <c r="A4230" s="32">
        <f>IFERROR(__xludf.DUMMYFUNCTION("""COMPUTED_VALUE"""),43440.16904699074)</f>
        <v>43440.16905</v>
      </c>
      <c r="B4230" t="s">
        <v>80</v>
      </c>
    </row>
    <row r="4231">
      <c r="A4231" s="32">
        <f>IFERROR(__xludf.DUMMYFUNCTION("""COMPUTED_VALUE"""),43440.28755273148)</f>
        <v>43440.28755</v>
      </c>
      <c r="B4231" t="s">
        <v>40</v>
      </c>
    </row>
    <row r="4232">
      <c r="A4232" s="32">
        <f>IFERROR(__xludf.DUMMYFUNCTION("""COMPUTED_VALUE"""),43440.430310474534)</f>
        <v>43440.43031</v>
      </c>
      <c r="B4232" t="s">
        <v>157</v>
      </c>
    </row>
    <row r="4233">
      <c r="A4233" s="32">
        <f>IFERROR(__xludf.DUMMYFUNCTION("""COMPUTED_VALUE"""),43440.44251724537)</f>
        <v>43440.44252</v>
      </c>
      <c r="B4233" t="s">
        <v>258</v>
      </c>
    </row>
    <row r="4234">
      <c r="A4234" s="32">
        <f>IFERROR(__xludf.DUMMYFUNCTION("""COMPUTED_VALUE"""),43440.50439851852)</f>
        <v>43440.5044</v>
      </c>
      <c r="B4234" t="s">
        <v>80</v>
      </c>
    </row>
    <row r="4235">
      <c r="A4235" s="32">
        <f>IFERROR(__xludf.DUMMYFUNCTION("""COMPUTED_VALUE"""),43440.56369362268)</f>
        <v>43440.56369</v>
      </c>
      <c r="B4235" t="s">
        <v>45</v>
      </c>
    </row>
    <row r="4236">
      <c r="A4236" s="32">
        <f>IFERROR(__xludf.DUMMYFUNCTION("""COMPUTED_VALUE"""),43440.57851303241)</f>
        <v>43440.57851</v>
      </c>
      <c r="B4236" t="s">
        <v>380</v>
      </c>
    </row>
    <row r="4237">
      <c r="A4237" s="32">
        <f>IFERROR(__xludf.DUMMYFUNCTION("""COMPUTED_VALUE"""),43440.668629872685)</f>
        <v>43440.66863</v>
      </c>
      <c r="B4237" t="s">
        <v>1769</v>
      </c>
    </row>
    <row r="4238">
      <c r="A4238" s="32">
        <f>IFERROR(__xludf.DUMMYFUNCTION("""COMPUTED_VALUE"""),43440.78387895833)</f>
        <v>43440.78388</v>
      </c>
      <c r="B4238" t="s">
        <v>33</v>
      </c>
    </row>
    <row r="4239">
      <c r="A4239" s="32">
        <f>IFERROR(__xludf.DUMMYFUNCTION("""COMPUTED_VALUE"""),43440.86747265046)</f>
        <v>43440.86747</v>
      </c>
      <c r="B4239" t="s">
        <v>80</v>
      </c>
    </row>
    <row r="4240">
      <c r="A4240" s="32">
        <f>IFERROR(__xludf.DUMMYFUNCTION("""COMPUTED_VALUE"""),43440.87271952546)</f>
        <v>43440.87272</v>
      </c>
      <c r="B4240" t="s">
        <v>80</v>
      </c>
    </row>
    <row r="4241">
      <c r="A4241" s="32">
        <f>IFERROR(__xludf.DUMMYFUNCTION("""COMPUTED_VALUE"""),43440.90641976852)</f>
        <v>43440.90642</v>
      </c>
      <c r="B4241" t="s">
        <v>80</v>
      </c>
    </row>
    <row r="4242">
      <c r="A4242" s="32">
        <f>IFERROR(__xludf.DUMMYFUNCTION("""COMPUTED_VALUE"""),43440.924345520834)</f>
        <v>43440.92435</v>
      </c>
      <c r="B4242" t="s">
        <v>268</v>
      </c>
    </row>
    <row r="4243">
      <c r="A4243" s="32">
        <f>IFERROR(__xludf.DUMMYFUNCTION("""COMPUTED_VALUE"""),43440.950433715276)</f>
        <v>43440.95043</v>
      </c>
      <c r="B4243" t="s">
        <v>123</v>
      </c>
    </row>
    <row r="4244">
      <c r="A4244" s="32">
        <f>IFERROR(__xludf.DUMMYFUNCTION("""COMPUTED_VALUE"""),43440.95045520834)</f>
        <v>43440.95046</v>
      </c>
      <c r="B4244" t="s">
        <v>282</v>
      </c>
    </row>
    <row r="4245">
      <c r="A4245" s="32">
        <f>IFERROR(__xludf.DUMMYFUNCTION("""COMPUTED_VALUE"""),43440.95220364584)</f>
        <v>43440.9522</v>
      </c>
      <c r="B4245" t="s">
        <v>40</v>
      </c>
    </row>
    <row r="4246">
      <c r="A4246" s="32">
        <f>IFERROR(__xludf.DUMMYFUNCTION("""COMPUTED_VALUE"""),43440.95346739583)</f>
        <v>43440.95347</v>
      </c>
      <c r="B4246" t="s">
        <v>33</v>
      </c>
    </row>
    <row r="4247">
      <c r="A4247" s="32">
        <f>IFERROR(__xludf.DUMMYFUNCTION("""COMPUTED_VALUE"""),43440.965303715275)</f>
        <v>43440.9653</v>
      </c>
      <c r="B4247" t="s">
        <v>25</v>
      </c>
    </row>
    <row r="4248">
      <c r="A4248" s="32">
        <f>IFERROR(__xludf.DUMMYFUNCTION("""COMPUTED_VALUE"""),43440.97671643519)</f>
        <v>43440.97672</v>
      </c>
      <c r="B4248" t="s">
        <v>119</v>
      </c>
    </row>
    <row r="4249">
      <c r="A4249" s="32">
        <f>IFERROR(__xludf.DUMMYFUNCTION("""COMPUTED_VALUE"""),43440.98888258102)</f>
        <v>43440.98888</v>
      </c>
      <c r="B4249" t="s">
        <v>944</v>
      </c>
    </row>
    <row r="4250">
      <c r="A4250" s="32">
        <f>IFERROR(__xludf.DUMMYFUNCTION("""COMPUTED_VALUE"""),43441.07503033565)</f>
        <v>43441.07503</v>
      </c>
      <c r="B4250" t="s">
        <v>40</v>
      </c>
    </row>
    <row r="4251">
      <c r="A4251" s="32">
        <f>IFERROR(__xludf.DUMMYFUNCTION("""COMPUTED_VALUE"""),43441.3295597338)</f>
        <v>43441.32956</v>
      </c>
      <c r="B4251" t="s">
        <v>2644</v>
      </c>
    </row>
    <row r="4252">
      <c r="A4252" s="32">
        <f>IFERROR(__xludf.DUMMYFUNCTION("""COMPUTED_VALUE"""),43441.39472295139)</f>
        <v>43441.39472</v>
      </c>
      <c r="B4252" t="s">
        <v>1276</v>
      </c>
    </row>
    <row r="4253">
      <c r="A4253" s="32">
        <f>IFERROR(__xludf.DUMMYFUNCTION("""COMPUTED_VALUE"""),43441.54063391204)</f>
        <v>43441.54063</v>
      </c>
      <c r="B4253" t="s">
        <v>819</v>
      </c>
    </row>
    <row r="4254">
      <c r="A4254" s="32">
        <f>IFERROR(__xludf.DUMMYFUNCTION("""COMPUTED_VALUE"""),43441.54576201389)</f>
        <v>43441.54576</v>
      </c>
      <c r="B4254" t="s">
        <v>2801</v>
      </c>
    </row>
    <row r="4255">
      <c r="A4255" s="32">
        <f>IFERROR(__xludf.DUMMYFUNCTION("""COMPUTED_VALUE"""),43441.595712106486)</f>
        <v>43441.59571</v>
      </c>
      <c r="B4255" t="s">
        <v>2820</v>
      </c>
    </row>
    <row r="4256">
      <c r="A4256" s="32">
        <f>IFERROR(__xludf.DUMMYFUNCTION("""COMPUTED_VALUE"""),43441.633499965275)</f>
        <v>43441.6335</v>
      </c>
      <c r="B4256" t="s">
        <v>428</v>
      </c>
    </row>
    <row r="4257">
      <c r="A4257" s="32">
        <f>IFERROR(__xludf.DUMMYFUNCTION("""COMPUTED_VALUE"""),43441.66733940972)</f>
        <v>43441.66734</v>
      </c>
      <c r="B4257" t="s">
        <v>80</v>
      </c>
    </row>
    <row r="4258">
      <c r="A4258" s="32">
        <f>IFERROR(__xludf.DUMMYFUNCTION("""COMPUTED_VALUE"""),43441.7187481713)</f>
        <v>43441.71875</v>
      </c>
      <c r="B4258" t="s">
        <v>2638</v>
      </c>
    </row>
    <row r="4259">
      <c r="A4259" s="32">
        <f>IFERROR(__xludf.DUMMYFUNCTION("""COMPUTED_VALUE"""),43441.72383736111)</f>
        <v>43441.72384</v>
      </c>
      <c r="B4259" t="s">
        <v>119</v>
      </c>
    </row>
    <row r="4260">
      <c r="A4260" s="32">
        <f>IFERROR(__xludf.DUMMYFUNCTION("""COMPUTED_VALUE"""),43441.73671222222)</f>
        <v>43441.73671</v>
      </c>
      <c r="B4260" t="s">
        <v>36</v>
      </c>
    </row>
    <row r="4261">
      <c r="A4261" s="32">
        <f>IFERROR(__xludf.DUMMYFUNCTION("""COMPUTED_VALUE"""),43441.73788527778)</f>
        <v>43441.73789</v>
      </c>
      <c r="B4261" t="s">
        <v>48</v>
      </c>
    </row>
    <row r="4262">
      <c r="A4262" s="32">
        <f>IFERROR(__xludf.DUMMYFUNCTION("""COMPUTED_VALUE"""),43441.74509024306)</f>
        <v>43441.74509</v>
      </c>
      <c r="B4262" t="s">
        <v>40</v>
      </c>
    </row>
    <row r="4263">
      <c r="A4263" s="32">
        <f>IFERROR(__xludf.DUMMYFUNCTION("""COMPUTED_VALUE"""),43441.75243458334)</f>
        <v>43441.75243</v>
      </c>
      <c r="B4263" t="s">
        <v>48</v>
      </c>
    </row>
    <row r="4264">
      <c r="A4264" s="32">
        <f>IFERROR(__xludf.DUMMYFUNCTION("""COMPUTED_VALUE"""),43441.76072185185)</f>
        <v>43441.76072</v>
      </c>
      <c r="B4264" t="s">
        <v>1968</v>
      </c>
    </row>
    <row r="4265">
      <c r="A4265" s="32">
        <f>IFERROR(__xludf.DUMMYFUNCTION("""COMPUTED_VALUE"""),43441.78577928241)</f>
        <v>43441.78578</v>
      </c>
      <c r="B4265" t="s">
        <v>974</v>
      </c>
    </row>
    <row r="4266">
      <c r="A4266" s="32">
        <f>IFERROR(__xludf.DUMMYFUNCTION("""COMPUTED_VALUE"""),43441.78984755787)</f>
        <v>43441.78985</v>
      </c>
      <c r="B4266" t="s">
        <v>80</v>
      </c>
    </row>
    <row r="4267">
      <c r="A4267" s="32">
        <f>IFERROR(__xludf.DUMMYFUNCTION("""COMPUTED_VALUE"""),43441.815970717595)</f>
        <v>43441.81597</v>
      </c>
      <c r="B4267" t="s">
        <v>204</v>
      </c>
    </row>
    <row r="4268">
      <c r="A4268" s="32">
        <f>IFERROR(__xludf.DUMMYFUNCTION("""COMPUTED_VALUE"""),43441.81661113426)</f>
        <v>43441.81661</v>
      </c>
      <c r="B4268" t="s">
        <v>204</v>
      </c>
    </row>
    <row r="4269">
      <c r="A4269" s="32" t="str">
        <f>IFERROR(__xludf.DUMMYFUNCTION("""COMPUTED_VALUE"""),"")</f>
        <v/>
      </c>
      <c r="B4269" t="s">
        <v>15</v>
      </c>
    </row>
    <row r="4270">
      <c r="A4270" s="32" t="str">
        <f>IFERROR(__xludf.DUMMYFUNCTION("""COMPUTED_VALUE"""),"")</f>
        <v/>
      </c>
      <c r="B4270" t="s">
        <v>15</v>
      </c>
    </row>
    <row r="4271">
      <c r="A4271" s="32" t="str">
        <f>IFERROR(__xludf.DUMMYFUNCTION("""COMPUTED_VALUE"""),"")</f>
        <v/>
      </c>
      <c r="B4271" t="s">
        <v>15</v>
      </c>
    </row>
    <row r="4272">
      <c r="A4272" s="32" t="str">
        <f>IFERROR(__xludf.DUMMYFUNCTION("""COMPUTED_VALUE"""),"")</f>
        <v/>
      </c>
      <c r="B4272" t="s">
        <v>15</v>
      </c>
    </row>
    <row r="4273">
      <c r="A4273" s="32" t="str">
        <f>IFERROR(__xludf.DUMMYFUNCTION("""COMPUTED_VALUE"""),"")</f>
        <v/>
      </c>
      <c r="B4273" t="s">
        <v>15</v>
      </c>
    </row>
    <row r="4274">
      <c r="A4274" s="32" t="str">
        <f>IFERROR(__xludf.DUMMYFUNCTION("""COMPUTED_VALUE"""),"")</f>
        <v/>
      </c>
      <c r="B4274" t="s">
        <v>15</v>
      </c>
    </row>
    <row r="4275">
      <c r="A4275" s="32" t="str">
        <f>IFERROR(__xludf.DUMMYFUNCTION("""COMPUTED_VALUE"""),"")</f>
        <v/>
      </c>
      <c r="B4275" t="s">
        <v>15</v>
      </c>
    </row>
    <row r="4276">
      <c r="A4276" s="32" t="str">
        <f>IFERROR(__xludf.DUMMYFUNCTION("""COMPUTED_VALUE"""),"")</f>
        <v/>
      </c>
      <c r="B4276" t="s">
        <v>15</v>
      </c>
    </row>
    <row r="4277">
      <c r="A4277" s="32" t="str">
        <f>IFERROR(__xludf.DUMMYFUNCTION("""COMPUTED_VALUE"""),"")</f>
        <v/>
      </c>
      <c r="B4277" t="s">
        <v>15</v>
      </c>
    </row>
    <row r="4278">
      <c r="A4278" s="32" t="str">
        <f>IFERROR(__xludf.DUMMYFUNCTION("""COMPUTED_VALUE"""),"")</f>
        <v/>
      </c>
      <c r="B4278" t="s">
        <v>15</v>
      </c>
    </row>
    <row r="4279">
      <c r="A4279" s="32" t="str">
        <f>IFERROR(__xludf.DUMMYFUNCTION("""COMPUTED_VALUE"""),"")</f>
        <v/>
      </c>
      <c r="B4279" t="s">
        <v>15</v>
      </c>
    </row>
    <row r="4280">
      <c r="A4280" s="32" t="str">
        <f>IFERROR(__xludf.DUMMYFUNCTION("""COMPUTED_VALUE"""),"")</f>
        <v/>
      </c>
      <c r="B4280" t="s">
        <v>15</v>
      </c>
    </row>
    <row r="4281">
      <c r="A4281" s="32" t="str">
        <f>IFERROR(__xludf.DUMMYFUNCTION("""COMPUTED_VALUE"""),"")</f>
        <v/>
      </c>
      <c r="B4281" t="s">
        <v>15</v>
      </c>
    </row>
    <row r="4282">
      <c r="A4282" s="32" t="str">
        <f>IFERROR(__xludf.DUMMYFUNCTION("""COMPUTED_VALUE"""),"")</f>
        <v/>
      </c>
      <c r="B4282" t="s">
        <v>15</v>
      </c>
    </row>
    <row r="4283">
      <c r="A4283" s="32" t="str">
        <f>IFERROR(__xludf.DUMMYFUNCTION("""COMPUTED_VALUE"""),"")</f>
        <v/>
      </c>
      <c r="B4283" t="s">
        <v>15</v>
      </c>
    </row>
    <row r="4284">
      <c r="A4284" s="32" t="str">
        <f>IFERROR(__xludf.DUMMYFUNCTION("""COMPUTED_VALUE"""),"")</f>
        <v/>
      </c>
      <c r="B4284" t="s">
        <v>15</v>
      </c>
    </row>
    <row r="4285">
      <c r="A4285" s="32" t="str">
        <f>IFERROR(__xludf.DUMMYFUNCTION("""COMPUTED_VALUE"""),"")</f>
        <v/>
      </c>
      <c r="B4285" t="s">
        <v>15</v>
      </c>
    </row>
    <row r="4286">
      <c r="A4286" s="32" t="str">
        <f>IFERROR(__xludf.DUMMYFUNCTION("""COMPUTED_VALUE"""),"")</f>
        <v/>
      </c>
      <c r="B4286" t="s">
        <v>15</v>
      </c>
    </row>
    <row r="4287">
      <c r="A4287" s="32" t="str">
        <f>IFERROR(__xludf.DUMMYFUNCTION("""COMPUTED_VALUE"""),"")</f>
        <v/>
      </c>
      <c r="B4287" t="s">
        <v>15</v>
      </c>
    </row>
    <row r="4288">
      <c r="A4288" s="32" t="str">
        <f>IFERROR(__xludf.DUMMYFUNCTION("""COMPUTED_VALUE"""),"")</f>
        <v/>
      </c>
      <c r="B4288" t="s">
        <v>15</v>
      </c>
    </row>
    <row r="4289">
      <c r="A4289" s="32" t="str">
        <f>IFERROR(__xludf.DUMMYFUNCTION("""COMPUTED_VALUE"""),"")</f>
        <v/>
      </c>
      <c r="B4289" t="s">
        <v>15</v>
      </c>
    </row>
    <row r="4290">
      <c r="A4290" s="32" t="str">
        <f>IFERROR(__xludf.DUMMYFUNCTION("""COMPUTED_VALUE"""),"")</f>
        <v/>
      </c>
      <c r="B4290" t="s">
        <v>15</v>
      </c>
    </row>
    <row r="4291">
      <c r="A4291" s="32" t="str">
        <f>IFERROR(__xludf.DUMMYFUNCTION("""COMPUTED_VALUE"""),"")</f>
        <v/>
      </c>
      <c r="B4291" t="s">
        <v>15</v>
      </c>
    </row>
    <row r="4292">
      <c r="A4292" s="32" t="str">
        <f>IFERROR(__xludf.DUMMYFUNCTION("""COMPUTED_VALUE"""),"")</f>
        <v/>
      </c>
      <c r="B4292" t="s">
        <v>15</v>
      </c>
    </row>
    <row r="4293">
      <c r="A4293" s="32" t="str">
        <f>IFERROR(__xludf.DUMMYFUNCTION("""COMPUTED_VALUE"""),"")</f>
        <v/>
      </c>
      <c r="B4293" t="s">
        <v>15</v>
      </c>
    </row>
    <row r="4294">
      <c r="A4294" s="32" t="str">
        <f>IFERROR(__xludf.DUMMYFUNCTION("""COMPUTED_VALUE"""),"")</f>
        <v/>
      </c>
      <c r="B4294" t="s">
        <v>15</v>
      </c>
    </row>
    <row r="4295">
      <c r="A4295" s="32" t="str">
        <f>IFERROR(__xludf.DUMMYFUNCTION("""COMPUTED_VALUE"""),"")</f>
        <v/>
      </c>
      <c r="B4295" t="s">
        <v>15</v>
      </c>
    </row>
    <row r="4296">
      <c r="A4296" s="32" t="str">
        <f>IFERROR(__xludf.DUMMYFUNCTION("""COMPUTED_VALUE"""),"")</f>
        <v/>
      </c>
      <c r="B4296" t="s">
        <v>15</v>
      </c>
    </row>
    <row r="4297">
      <c r="A4297" s="32" t="str">
        <f>IFERROR(__xludf.DUMMYFUNCTION("""COMPUTED_VALUE"""),"")</f>
        <v/>
      </c>
      <c r="B4297" t="s">
        <v>15</v>
      </c>
    </row>
    <row r="4298">
      <c r="A4298" s="32" t="str">
        <f>IFERROR(__xludf.DUMMYFUNCTION("""COMPUTED_VALUE"""),"")</f>
        <v/>
      </c>
      <c r="B4298" t="s">
        <v>15</v>
      </c>
    </row>
    <row r="4299">
      <c r="A4299" s="32" t="str">
        <f>IFERROR(__xludf.DUMMYFUNCTION("""COMPUTED_VALUE"""),"")</f>
        <v/>
      </c>
      <c r="B4299" t="s">
        <v>15</v>
      </c>
    </row>
    <row r="4300">
      <c r="A4300" s="32" t="str">
        <f>IFERROR(__xludf.DUMMYFUNCTION("""COMPUTED_VALUE"""),"")</f>
        <v/>
      </c>
      <c r="B4300" t="s">
        <v>15</v>
      </c>
    </row>
    <row r="4301">
      <c r="A4301" s="32" t="str">
        <f>IFERROR(__xludf.DUMMYFUNCTION("""COMPUTED_VALUE"""),"")</f>
        <v/>
      </c>
      <c r="B4301" t="s">
        <v>15</v>
      </c>
    </row>
    <row r="4302">
      <c r="A4302" s="32" t="str">
        <f>IFERROR(__xludf.DUMMYFUNCTION("""COMPUTED_VALUE"""),"")</f>
        <v/>
      </c>
      <c r="B4302" t="s">
        <v>15</v>
      </c>
    </row>
    <row r="4303">
      <c r="A4303" s="32" t="str">
        <f>IFERROR(__xludf.DUMMYFUNCTION("""COMPUTED_VALUE"""),"")</f>
        <v/>
      </c>
      <c r="B4303" t="s">
        <v>15</v>
      </c>
    </row>
    <row r="4304">
      <c r="A4304" s="32" t="str">
        <f>IFERROR(__xludf.DUMMYFUNCTION("""COMPUTED_VALUE"""),"")</f>
        <v/>
      </c>
      <c r="B4304" t="s">
        <v>15</v>
      </c>
    </row>
    <row r="4305">
      <c r="A4305" s="32" t="str">
        <f>IFERROR(__xludf.DUMMYFUNCTION("""COMPUTED_VALUE"""),"")</f>
        <v/>
      </c>
      <c r="B4305" t="s">
        <v>15</v>
      </c>
    </row>
    <row r="4306">
      <c r="A4306" s="32" t="str">
        <f>IFERROR(__xludf.DUMMYFUNCTION("""COMPUTED_VALUE"""),"")</f>
        <v/>
      </c>
      <c r="B4306" t="s">
        <v>15</v>
      </c>
    </row>
    <row r="4307">
      <c r="A4307" s="32" t="str">
        <f>IFERROR(__xludf.DUMMYFUNCTION("""COMPUTED_VALUE"""),"")</f>
        <v/>
      </c>
      <c r="B4307" t="s">
        <v>15</v>
      </c>
    </row>
    <row r="4308">
      <c r="A4308" s="32" t="str">
        <f>IFERROR(__xludf.DUMMYFUNCTION("""COMPUTED_VALUE"""),"")</f>
        <v/>
      </c>
      <c r="B4308" t="s">
        <v>15</v>
      </c>
    </row>
    <row r="4309">
      <c r="A4309" s="32" t="str">
        <f>IFERROR(__xludf.DUMMYFUNCTION("""COMPUTED_VALUE"""),"")</f>
        <v/>
      </c>
      <c r="B4309" t="s">
        <v>15</v>
      </c>
    </row>
    <row r="4310">
      <c r="A4310" s="32" t="str">
        <f>IFERROR(__xludf.DUMMYFUNCTION("""COMPUTED_VALUE"""),"")</f>
        <v/>
      </c>
      <c r="B4310" t="s">
        <v>15</v>
      </c>
    </row>
    <row r="4311">
      <c r="A4311" s="32" t="str">
        <f>IFERROR(__xludf.DUMMYFUNCTION("""COMPUTED_VALUE"""),"")</f>
        <v/>
      </c>
      <c r="B4311" t="s">
        <v>15</v>
      </c>
    </row>
    <row r="4312">
      <c r="A4312" s="32" t="str">
        <f>IFERROR(__xludf.DUMMYFUNCTION("""COMPUTED_VALUE"""),"")</f>
        <v/>
      </c>
      <c r="B4312" t="s">
        <v>15</v>
      </c>
    </row>
    <row r="4313">
      <c r="A4313" s="32" t="str">
        <f>IFERROR(__xludf.DUMMYFUNCTION("""COMPUTED_VALUE"""),"")</f>
        <v/>
      </c>
      <c r="B4313" t="s">
        <v>15</v>
      </c>
    </row>
    <row r="4314">
      <c r="A4314" s="32" t="str">
        <f>IFERROR(__xludf.DUMMYFUNCTION("""COMPUTED_VALUE"""),"")</f>
        <v/>
      </c>
      <c r="B4314" t="s">
        <v>15</v>
      </c>
    </row>
    <row r="4315">
      <c r="A4315" s="32" t="str">
        <f>IFERROR(__xludf.DUMMYFUNCTION("""COMPUTED_VALUE"""),"")</f>
        <v/>
      </c>
      <c r="B4315" t="s">
        <v>15</v>
      </c>
    </row>
    <row r="4316">
      <c r="A4316" s="32" t="str">
        <f>IFERROR(__xludf.DUMMYFUNCTION("""COMPUTED_VALUE"""),"")</f>
        <v/>
      </c>
      <c r="B4316" t="s">
        <v>15</v>
      </c>
    </row>
    <row r="4317">
      <c r="A4317" s="32" t="str">
        <f>IFERROR(__xludf.DUMMYFUNCTION("""COMPUTED_VALUE"""),"")</f>
        <v/>
      </c>
      <c r="B4317" t="s">
        <v>15</v>
      </c>
    </row>
    <row r="4318">
      <c r="A4318" s="32" t="str">
        <f>IFERROR(__xludf.DUMMYFUNCTION("""COMPUTED_VALUE"""),"")</f>
        <v/>
      </c>
      <c r="B4318" t="s">
        <v>15</v>
      </c>
    </row>
    <row r="4319">
      <c r="A4319" s="32" t="str">
        <f>IFERROR(__xludf.DUMMYFUNCTION("""COMPUTED_VALUE"""),"")</f>
        <v/>
      </c>
      <c r="B4319" t="s">
        <v>15</v>
      </c>
    </row>
    <row r="4320">
      <c r="A4320" s="32" t="str">
        <f>IFERROR(__xludf.DUMMYFUNCTION("""COMPUTED_VALUE"""),"")</f>
        <v/>
      </c>
      <c r="B4320" t="s">
        <v>15</v>
      </c>
    </row>
    <row r="4321">
      <c r="A4321" s="32" t="str">
        <f>IFERROR(__xludf.DUMMYFUNCTION("""COMPUTED_VALUE"""),"")</f>
        <v/>
      </c>
      <c r="B4321" t="s">
        <v>15</v>
      </c>
    </row>
    <row r="4322">
      <c r="A4322" s="32" t="str">
        <f>IFERROR(__xludf.DUMMYFUNCTION("""COMPUTED_VALUE"""),"")</f>
        <v/>
      </c>
      <c r="B4322" t="s">
        <v>15</v>
      </c>
    </row>
    <row r="4323">
      <c r="A4323" s="32" t="str">
        <f>IFERROR(__xludf.DUMMYFUNCTION("""COMPUTED_VALUE"""),"")</f>
        <v/>
      </c>
      <c r="B4323" t="s">
        <v>15</v>
      </c>
    </row>
    <row r="4324">
      <c r="A4324" s="32" t="str">
        <f>IFERROR(__xludf.DUMMYFUNCTION("""COMPUTED_VALUE"""),"")</f>
        <v/>
      </c>
      <c r="B4324" t="s">
        <v>15</v>
      </c>
    </row>
    <row r="4325">
      <c r="A4325" s="32" t="str">
        <f>IFERROR(__xludf.DUMMYFUNCTION("""COMPUTED_VALUE"""),"")</f>
        <v/>
      </c>
      <c r="B4325" t="s">
        <v>15</v>
      </c>
    </row>
    <row r="4326">
      <c r="A4326" s="32" t="str">
        <f>IFERROR(__xludf.DUMMYFUNCTION("""COMPUTED_VALUE"""),"")</f>
        <v/>
      </c>
      <c r="B4326" t="s">
        <v>15</v>
      </c>
    </row>
    <row r="4327">
      <c r="A4327" s="32" t="str">
        <f>IFERROR(__xludf.DUMMYFUNCTION("""COMPUTED_VALUE"""),"")</f>
        <v/>
      </c>
      <c r="B4327" t="s">
        <v>15</v>
      </c>
    </row>
    <row r="4328">
      <c r="A4328" s="32" t="str">
        <f>IFERROR(__xludf.DUMMYFUNCTION("""COMPUTED_VALUE"""),"")</f>
        <v/>
      </c>
      <c r="B4328" t="s">
        <v>15</v>
      </c>
    </row>
    <row r="4329">
      <c r="A4329" s="32" t="str">
        <f>IFERROR(__xludf.DUMMYFUNCTION("""COMPUTED_VALUE"""),"")</f>
        <v/>
      </c>
      <c r="B4329" t="s">
        <v>15</v>
      </c>
    </row>
    <row r="4330">
      <c r="A4330" s="32" t="str">
        <f>IFERROR(__xludf.DUMMYFUNCTION("""COMPUTED_VALUE"""),"")</f>
        <v/>
      </c>
      <c r="B4330" t="s">
        <v>15</v>
      </c>
    </row>
    <row r="4331">
      <c r="A4331" s="32" t="str">
        <f>IFERROR(__xludf.DUMMYFUNCTION("""COMPUTED_VALUE"""),"")</f>
        <v/>
      </c>
      <c r="B4331" t="s">
        <v>15</v>
      </c>
    </row>
    <row r="4332">
      <c r="A4332" s="32" t="str">
        <f>IFERROR(__xludf.DUMMYFUNCTION("""COMPUTED_VALUE"""),"")</f>
        <v/>
      </c>
      <c r="B4332" t="s">
        <v>15</v>
      </c>
    </row>
    <row r="4333">
      <c r="A4333" s="32" t="str">
        <f>IFERROR(__xludf.DUMMYFUNCTION("""COMPUTED_VALUE"""),"")</f>
        <v/>
      </c>
      <c r="B4333" t="s">
        <v>15</v>
      </c>
    </row>
    <row r="4334">
      <c r="A4334" s="32" t="str">
        <f>IFERROR(__xludf.DUMMYFUNCTION("""COMPUTED_VALUE"""),"")</f>
        <v/>
      </c>
      <c r="B4334" t="s">
        <v>15</v>
      </c>
    </row>
    <row r="4335">
      <c r="A4335" s="32" t="str">
        <f>IFERROR(__xludf.DUMMYFUNCTION("""COMPUTED_VALUE"""),"")</f>
        <v/>
      </c>
      <c r="B4335" t="s">
        <v>15</v>
      </c>
    </row>
    <row r="4336">
      <c r="A4336" s="32" t="str">
        <f>IFERROR(__xludf.DUMMYFUNCTION("""COMPUTED_VALUE"""),"")</f>
        <v/>
      </c>
      <c r="B4336" t="s">
        <v>15</v>
      </c>
    </row>
    <row r="4337">
      <c r="A4337" s="32" t="str">
        <f>IFERROR(__xludf.DUMMYFUNCTION("""COMPUTED_VALUE"""),"")</f>
        <v/>
      </c>
      <c r="B4337" t="s">
        <v>15</v>
      </c>
    </row>
    <row r="4338">
      <c r="A4338" s="32" t="str">
        <f>IFERROR(__xludf.DUMMYFUNCTION("""COMPUTED_VALUE"""),"")</f>
        <v/>
      </c>
      <c r="B4338" t="s">
        <v>15</v>
      </c>
    </row>
    <row r="4339">
      <c r="A4339" s="32" t="str">
        <f>IFERROR(__xludf.DUMMYFUNCTION("""COMPUTED_VALUE"""),"")</f>
        <v/>
      </c>
      <c r="B4339" t="s">
        <v>15</v>
      </c>
    </row>
    <row r="4340">
      <c r="A4340" s="32" t="str">
        <f>IFERROR(__xludf.DUMMYFUNCTION("""COMPUTED_VALUE"""),"")</f>
        <v/>
      </c>
      <c r="B4340" t="s">
        <v>15</v>
      </c>
    </row>
    <row r="4341">
      <c r="A4341" s="32" t="str">
        <f>IFERROR(__xludf.DUMMYFUNCTION("""COMPUTED_VALUE"""),"")</f>
        <v/>
      </c>
      <c r="B4341" t="s">
        <v>15</v>
      </c>
    </row>
    <row r="4342">
      <c r="A4342" s="32" t="str">
        <f>IFERROR(__xludf.DUMMYFUNCTION("""COMPUTED_VALUE"""),"")</f>
        <v/>
      </c>
      <c r="B4342" t="s">
        <v>15</v>
      </c>
    </row>
    <row r="4343">
      <c r="A4343" s="32" t="str">
        <f>IFERROR(__xludf.DUMMYFUNCTION("""COMPUTED_VALUE"""),"")</f>
        <v/>
      </c>
      <c r="B4343" t="s">
        <v>15</v>
      </c>
    </row>
    <row r="4344">
      <c r="A4344" s="32" t="str">
        <f>IFERROR(__xludf.DUMMYFUNCTION("""COMPUTED_VALUE"""),"")</f>
        <v/>
      </c>
      <c r="B4344" t="s">
        <v>15</v>
      </c>
    </row>
    <row r="4345">
      <c r="A4345" s="32" t="str">
        <f>IFERROR(__xludf.DUMMYFUNCTION("""COMPUTED_VALUE"""),"")</f>
        <v/>
      </c>
      <c r="B4345" t="s">
        <v>15</v>
      </c>
    </row>
    <row r="4346">
      <c r="A4346" s="32" t="str">
        <f>IFERROR(__xludf.DUMMYFUNCTION("""COMPUTED_VALUE"""),"")</f>
        <v/>
      </c>
      <c r="B4346" t="s">
        <v>15</v>
      </c>
    </row>
    <row r="4347">
      <c r="A4347" s="32" t="str">
        <f>IFERROR(__xludf.DUMMYFUNCTION("""COMPUTED_VALUE"""),"")</f>
        <v/>
      </c>
      <c r="B4347" t="s">
        <v>15</v>
      </c>
    </row>
    <row r="4348">
      <c r="A4348" s="32" t="str">
        <f>IFERROR(__xludf.DUMMYFUNCTION("""COMPUTED_VALUE"""),"")</f>
        <v/>
      </c>
      <c r="B4348" t="s">
        <v>15</v>
      </c>
    </row>
    <row r="4349">
      <c r="A4349" s="32" t="str">
        <f>IFERROR(__xludf.DUMMYFUNCTION("""COMPUTED_VALUE"""),"")</f>
        <v/>
      </c>
      <c r="B4349" t="s">
        <v>15</v>
      </c>
    </row>
    <row r="4350">
      <c r="A4350" s="32" t="str">
        <f>IFERROR(__xludf.DUMMYFUNCTION("""COMPUTED_VALUE"""),"")</f>
        <v/>
      </c>
      <c r="B4350" t="s">
        <v>15</v>
      </c>
    </row>
    <row r="4351">
      <c r="A4351" s="32" t="str">
        <f>IFERROR(__xludf.DUMMYFUNCTION("""COMPUTED_VALUE"""),"")</f>
        <v/>
      </c>
      <c r="B4351" t="s">
        <v>15</v>
      </c>
    </row>
    <row r="4352">
      <c r="A4352" s="32" t="str">
        <f>IFERROR(__xludf.DUMMYFUNCTION("""COMPUTED_VALUE"""),"")</f>
        <v/>
      </c>
      <c r="B4352" t="s">
        <v>15</v>
      </c>
    </row>
    <row r="4353">
      <c r="A4353" s="32" t="str">
        <f>IFERROR(__xludf.DUMMYFUNCTION("""COMPUTED_VALUE"""),"")</f>
        <v/>
      </c>
      <c r="B4353" t="s">
        <v>15</v>
      </c>
    </row>
    <row r="4354">
      <c r="A4354" s="32" t="str">
        <f>IFERROR(__xludf.DUMMYFUNCTION("""COMPUTED_VALUE"""),"")</f>
        <v/>
      </c>
      <c r="B4354" t="s">
        <v>15</v>
      </c>
    </row>
    <row r="4355">
      <c r="A4355" s="32" t="str">
        <f>IFERROR(__xludf.DUMMYFUNCTION("""COMPUTED_VALUE"""),"")</f>
        <v/>
      </c>
      <c r="B4355" t="s">
        <v>15</v>
      </c>
    </row>
    <row r="4356">
      <c r="A4356" s="32" t="str">
        <f>IFERROR(__xludf.DUMMYFUNCTION("""COMPUTED_VALUE"""),"")</f>
        <v/>
      </c>
      <c r="B4356" t="s">
        <v>15</v>
      </c>
    </row>
    <row r="4357">
      <c r="A4357" s="32" t="str">
        <f>IFERROR(__xludf.DUMMYFUNCTION("""COMPUTED_VALUE"""),"")</f>
        <v/>
      </c>
      <c r="B4357" t="s">
        <v>15</v>
      </c>
    </row>
    <row r="4358">
      <c r="A4358" s="32" t="str">
        <f>IFERROR(__xludf.DUMMYFUNCTION("""COMPUTED_VALUE"""),"")</f>
        <v/>
      </c>
      <c r="B4358" t="s">
        <v>15</v>
      </c>
    </row>
    <row r="4359">
      <c r="A4359" s="32" t="str">
        <f>IFERROR(__xludf.DUMMYFUNCTION("""COMPUTED_VALUE"""),"")</f>
        <v/>
      </c>
      <c r="B4359" t="s">
        <v>15</v>
      </c>
    </row>
    <row r="4360">
      <c r="A4360" s="32" t="str">
        <f>IFERROR(__xludf.DUMMYFUNCTION("""COMPUTED_VALUE"""),"")</f>
        <v/>
      </c>
      <c r="B4360" t="s">
        <v>15</v>
      </c>
    </row>
    <row r="4361">
      <c r="A4361" s="32" t="str">
        <f>IFERROR(__xludf.DUMMYFUNCTION("""COMPUTED_VALUE"""),"")</f>
        <v/>
      </c>
      <c r="B4361" t="s">
        <v>15</v>
      </c>
    </row>
    <row r="4362">
      <c r="A4362" s="32" t="str">
        <f>IFERROR(__xludf.DUMMYFUNCTION("""COMPUTED_VALUE"""),"")</f>
        <v/>
      </c>
      <c r="B4362" t="s">
        <v>15</v>
      </c>
    </row>
    <row r="4363">
      <c r="A4363" s="32" t="str">
        <f>IFERROR(__xludf.DUMMYFUNCTION("""COMPUTED_VALUE"""),"")</f>
        <v/>
      </c>
      <c r="B4363" t="s">
        <v>15</v>
      </c>
    </row>
    <row r="4364">
      <c r="A4364" s="32" t="str">
        <f>IFERROR(__xludf.DUMMYFUNCTION("""COMPUTED_VALUE"""),"")</f>
        <v/>
      </c>
      <c r="B4364" t="s">
        <v>15</v>
      </c>
    </row>
    <row r="4365">
      <c r="A4365" s="32" t="str">
        <f>IFERROR(__xludf.DUMMYFUNCTION("""COMPUTED_VALUE"""),"")</f>
        <v/>
      </c>
      <c r="B4365" t="s">
        <v>15</v>
      </c>
    </row>
    <row r="4366">
      <c r="A4366" s="32" t="str">
        <f>IFERROR(__xludf.DUMMYFUNCTION("""COMPUTED_VALUE"""),"")</f>
        <v/>
      </c>
      <c r="B4366" t="s">
        <v>15</v>
      </c>
    </row>
    <row r="4367">
      <c r="A4367" s="32" t="str">
        <f>IFERROR(__xludf.DUMMYFUNCTION("""COMPUTED_VALUE"""),"")</f>
        <v/>
      </c>
      <c r="B4367" t="s">
        <v>15</v>
      </c>
    </row>
    <row r="4368">
      <c r="A4368" s="34"/>
    </row>
    <row r="4369">
      <c r="A4369" s="34"/>
    </row>
    <row r="4370">
      <c r="A4370" s="34"/>
    </row>
    <row r="4371">
      <c r="A4371" s="34"/>
    </row>
    <row r="4372">
      <c r="A4372" s="34"/>
    </row>
    <row r="4373">
      <c r="A4373" s="34"/>
    </row>
    <row r="4374">
      <c r="A4374" s="34"/>
    </row>
    <row r="4375">
      <c r="A4375" s="34"/>
    </row>
    <row r="4376">
      <c r="A4376" s="34"/>
    </row>
    <row r="4377">
      <c r="A4377" s="34"/>
    </row>
    <row r="4378">
      <c r="A4378" s="34"/>
    </row>
    <row r="4379">
      <c r="A4379" s="34"/>
    </row>
    <row r="4380">
      <c r="A4380" s="34"/>
    </row>
    <row r="4381">
      <c r="A4381" s="34"/>
    </row>
    <row r="4382">
      <c r="A4382" s="34"/>
    </row>
    <row r="4383">
      <c r="A4383" s="34"/>
    </row>
    <row r="4384">
      <c r="A4384" s="34"/>
    </row>
    <row r="4385">
      <c r="A4385" s="34"/>
    </row>
    <row r="4386">
      <c r="A4386" s="34"/>
    </row>
    <row r="4387">
      <c r="A4387" s="34"/>
    </row>
    <row r="4388">
      <c r="A4388" s="34"/>
    </row>
    <row r="4389">
      <c r="A4389" s="34"/>
    </row>
    <row r="4390">
      <c r="A4390" s="34"/>
    </row>
    <row r="4391">
      <c r="A4391" s="34"/>
    </row>
    <row r="4392">
      <c r="A4392" s="34"/>
    </row>
    <row r="4393">
      <c r="A4393" s="34"/>
    </row>
    <row r="4394">
      <c r="A4394" s="34"/>
    </row>
    <row r="4395">
      <c r="A4395" s="34"/>
    </row>
    <row r="4396">
      <c r="A4396" s="34"/>
    </row>
    <row r="4397">
      <c r="A4397" s="34"/>
    </row>
    <row r="4398">
      <c r="A4398" s="34"/>
    </row>
    <row r="4399">
      <c r="A4399" s="34"/>
    </row>
    <row r="4400">
      <c r="A4400" s="34"/>
    </row>
    <row r="4401">
      <c r="A4401" s="34"/>
    </row>
    <row r="4402">
      <c r="A4402" s="34"/>
    </row>
    <row r="4403">
      <c r="A4403" s="34"/>
    </row>
    <row r="4404">
      <c r="A4404" s="34"/>
    </row>
    <row r="4405">
      <c r="A4405" s="34"/>
    </row>
    <row r="4406">
      <c r="A4406" s="34"/>
    </row>
    <row r="4407">
      <c r="A4407" s="34"/>
    </row>
    <row r="4408">
      <c r="A4408" s="34"/>
    </row>
    <row r="4409">
      <c r="A4409" s="34"/>
    </row>
    <row r="4410">
      <c r="A4410" s="34"/>
    </row>
    <row r="4411">
      <c r="A4411" s="34"/>
    </row>
    <row r="4412">
      <c r="A4412" s="34"/>
    </row>
    <row r="4413">
      <c r="A4413" s="34"/>
    </row>
    <row r="4414">
      <c r="A4414" s="34"/>
    </row>
    <row r="4415">
      <c r="A4415" s="34"/>
    </row>
    <row r="4416">
      <c r="A4416" s="34"/>
    </row>
    <row r="4417">
      <c r="A4417" s="34"/>
    </row>
    <row r="4418">
      <c r="A4418" s="34"/>
    </row>
    <row r="4419">
      <c r="A4419" s="34"/>
    </row>
    <row r="4420">
      <c r="A4420" s="34"/>
    </row>
    <row r="4421">
      <c r="A4421" s="34"/>
    </row>
    <row r="4422">
      <c r="A4422" s="34"/>
    </row>
    <row r="4423">
      <c r="A4423" s="34"/>
    </row>
    <row r="4424">
      <c r="A4424" s="34"/>
    </row>
    <row r="4425">
      <c r="A4425" s="34"/>
    </row>
    <row r="4426">
      <c r="A4426" s="34"/>
    </row>
    <row r="4427">
      <c r="A4427" s="34"/>
    </row>
    <row r="4428">
      <c r="A4428" s="34"/>
    </row>
    <row r="4429">
      <c r="A4429" s="34"/>
    </row>
    <row r="4430">
      <c r="A4430" s="34"/>
    </row>
    <row r="4431">
      <c r="A4431" s="34"/>
    </row>
    <row r="4432">
      <c r="A4432" s="34"/>
    </row>
    <row r="4433">
      <c r="A4433" s="34"/>
    </row>
    <row r="4434">
      <c r="A4434" s="34"/>
    </row>
    <row r="4435">
      <c r="A4435" s="34"/>
    </row>
    <row r="4436">
      <c r="A4436" s="34"/>
    </row>
    <row r="4437">
      <c r="A4437" s="34"/>
    </row>
    <row r="4438">
      <c r="A4438" s="34"/>
    </row>
    <row r="4439">
      <c r="A4439" s="34"/>
    </row>
    <row r="4440">
      <c r="A4440" s="34"/>
    </row>
    <row r="4441">
      <c r="A4441" s="34"/>
    </row>
    <row r="4442">
      <c r="A4442" s="34"/>
    </row>
    <row r="4443">
      <c r="A4443" s="34"/>
    </row>
    <row r="4444">
      <c r="A4444" s="34"/>
    </row>
    <row r="4445">
      <c r="A4445" s="34"/>
    </row>
    <row r="4446">
      <c r="A4446" s="34"/>
    </row>
    <row r="4447">
      <c r="A4447" s="34"/>
    </row>
    <row r="4448">
      <c r="A4448" s="34"/>
    </row>
    <row r="4449">
      <c r="A4449" s="34"/>
    </row>
    <row r="4450">
      <c r="A4450" s="34"/>
    </row>
    <row r="4451">
      <c r="A4451" s="34"/>
    </row>
    <row r="4452">
      <c r="A4452" s="34"/>
    </row>
    <row r="4453">
      <c r="A4453" s="34"/>
    </row>
    <row r="4454">
      <c r="A4454" s="34"/>
    </row>
    <row r="4455">
      <c r="A4455" s="34"/>
    </row>
    <row r="4456">
      <c r="A4456" s="34"/>
    </row>
    <row r="4457">
      <c r="A4457" s="34"/>
    </row>
    <row r="4458">
      <c r="A4458" s="34"/>
    </row>
    <row r="4459">
      <c r="A4459" s="34"/>
    </row>
    <row r="4460">
      <c r="A4460" s="34"/>
    </row>
    <row r="4461">
      <c r="A4461" s="34"/>
    </row>
    <row r="4462">
      <c r="A4462" s="34"/>
    </row>
    <row r="4463">
      <c r="A4463" s="34"/>
    </row>
    <row r="4464">
      <c r="A4464" s="34"/>
    </row>
    <row r="4465">
      <c r="A4465" s="34"/>
    </row>
    <row r="4466">
      <c r="A4466" s="34"/>
    </row>
    <row r="4467">
      <c r="A4467" s="34"/>
    </row>
    <row r="4468">
      <c r="A4468" s="34"/>
    </row>
    <row r="4469">
      <c r="A4469" s="34"/>
    </row>
    <row r="4470">
      <c r="A4470" s="34"/>
    </row>
    <row r="4471">
      <c r="A4471" s="34"/>
    </row>
    <row r="4472">
      <c r="A4472" s="34"/>
    </row>
    <row r="4473">
      <c r="A4473" s="34"/>
    </row>
    <row r="4474">
      <c r="A4474" s="34"/>
    </row>
    <row r="4475">
      <c r="A4475" s="34"/>
    </row>
    <row r="4476">
      <c r="A4476" s="34"/>
    </row>
    <row r="4477">
      <c r="A4477" s="34"/>
    </row>
    <row r="4478">
      <c r="A4478" s="34"/>
    </row>
    <row r="4479">
      <c r="A4479" s="34"/>
    </row>
    <row r="4480">
      <c r="A4480" s="34"/>
    </row>
    <row r="4481">
      <c r="A4481" s="34"/>
    </row>
    <row r="4482">
      <c r="A4482" s="34"/>
    </row>
    <row r="4483">
      <c r="A4483" s="34"/>
    </row>
    <row r="4484">
      <c r="A4484" s="34"/>
    </row>
    <row r="4485">
      <c r="A4485" s="34"/>
    </row>
    <row r="4486">
      <c r="A4486" s="34"/>
    </row>
    <row r="4487">
      <c r="A4487" s="34"/>
    </row>
    <row r="4488">
      <c r="A4488" s="34"/>
    </row>
    <row r="4489">
      <c r="A4489" s="34"/>
    </row>
    <row r="4490">
      <c r="A4490" s="34"/>
    </row>
    <row r="4491">
      <c r="A4491" s="34"/>
    </row>
    <row r="4492">
      <c r="A4492" s="34"/>
    </row>
    <row r="4493">
      <c r="A4493" s="34"/>
    </row>
    <row r="4494">
      <c r="A4494" s="34"/>
    </row>
    <row r="4495">
      <c r="A4495" s="34"/>
    </row>
    <row r="4496">
      <c r="A4496" s="34"/>
    </row>
    <row r="4497">
      <c r="A4497" s="34"/>
    </row>
    <row r="4498">
      <c r="A4498" s="34"/>
    </row>
    <row r="4499">
      <c r="A4499" s="34"/>
    </row>
    <row r="4500">
      <c r="A4500" s="34"/>
    </row>
    <row r="4501">
      <c r="A4501" s="34"/>
    </row>
    <row r="4502">
      <c r="A4502" s="34"/>
    </row>
    <row r="4503">
      <c r="A4503" s="34"/>
    </row>
    <row r="4504">
      <c r="A4504" s="34"/>
    </row>
    <row r="4505">
      <c r="A4505" s="34"/>
    </row>
    <row r="4506">
      <c r="A4506" s="34"/>
    </row>
  </sheetData>
  <autoFilter ref="$A$1:$B$1933"/>
  <hyperlinks>
    <hyperlink r:id="rId1" ref="B4084"/>
  </hyperlinks>
  <drawing r:id="rId2"/>
</worksheet>
</file>