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W\Desktop\"/>
    </mc:Choice>
  </mc:AlternateContent>
  <xr:revisionPtr revIDLastSave="0" documentId="13_ncr:1_{0CC30B7A-6080-4A4F-8F8F-DFE7C5DC9925}" xr6:coauthVersionLast="45" xr6:coauthVersionMax="45" xr10:uidLastSave="{00000000-0000-0000-0000-000000000000}"/>
  <bookViews>
    <workbookView xWindow="-120" yWindow="-120" windowWidth="20730" windowHeight="11160" activeTab="1" xr2:uid="{8333BBDC-D224-4F3E-9002-2366AC456894}"/>
  </bookViews>
  <sheets>
    <sheet name="Material" sheetId="2" r:id="rId1"/>
    <sheet name="3-stage compres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5" i="3" l="1"/>
  <c r="B195" i="3" s="1"/>
  <c r="F193" i="3"/>
  <c r="B193" i="3" s="1"/>
  <c r="B191" i="3"/>
  <c r="B179" i="3"/>
  <c r="B183" i="3"/>
  <c r="D183" i="3"/>
  <c r="D171" i="3"/>
  <c r="B171" i="3" s="1"/>
  <c r="D147" i="3"/>
  <c r="D159" i="3"/>
  <c r="F181" i="3"/>
  <c r="B169" i="3"/>
  <c r="B167" i="3"/>
  <c r="F169" i="3"/>
  <c r="B155" i="3"/>
  <c r="B159" i="3"/>
  <c r="F157" i="3"/>
  <c r="B157" i="3" s="1"/>
  <c r="B143" i="3"/>
  <c r="B147" i="3"/>
  <c r="F145" i="3"/>
  <c r="F133" i="3"/>
  <c r="B133" i="3" s="1"/>
  <c r="C129" i="3" s="1"/>
  <c r="B135" i="3"/>
  <c r="B131" i="3"/>
  <c r="B145" i="3" l="1"/>
  <c r="C189" i="3"/>
  <c r="B181" i="3"/>
  <c r="C177" i="3" s="1"/>
  <c r="C153" i="3"/>
  <c r="C141" i="3"/>
  <c r="C165" i="3"/>
  <c r="AF93" i="3"/>
  <c r="AF92" i="3"/>
  <c r="AF91" i="3"/>
  <c r="F59" i="2" l="1"/>
  <c r="F57" i="2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V31" i="3" l="1"/>
  <c r="W31" i="3"/>
  <c r="X31" i="3"/>
  <c r="Y31" i="3"/>
  <c r="Z31" i="3"/>
  <c r="AA31" i="3"/>
  <c r="AB31" i="3"/>
  <c r="AC31" i="3"/>
  <c r="K31" i="3"/>
  <c r="L31" i="3"/>
  <c r="M31" i="3"/>
  <c r="N31" i="3"/>
  <c r="O31" i="3"/>
  <c r="P31" i="3"/>
  <c r="Q31" i="3"/>
  <c r="R31" i="3"/>
  <c r="S31" i="3"/>
  <c r="T31" i="3"/>
  <c r="U31" i="3"/>
  <c r="G31" i="3"/>
  <c r="H31" i="3"/>
  <c r="I31" i="3"/>
  <c r="J31" i="3"/>
  <c r="E31" i="3"/>
  <c r="D48" i="3"/>
  <c r="D47" i="3"/>
  <c r="D46" i="3"/>
  <c r="D45" i="3"/>
  <c r="D44" i="3"/>
  <c r="D43" i="3"/>
  <c r="AC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I6" i="3"/>
  <c r="J6" i="3"/>
  <c r="F6" i="3"/>
  <c r="G6" i="3"/>
  <c r="E6" i="3"/>
  <c r="U32" i="3" l="1"/>
  <c r="Q32" i="3"/>
  <c r="M32" i="3"/>
  <c r="S32" i="3"/>
  <c r="O32" i="3"/>
  <c r="K32" i="3"/>
  <c r="G23" i="3"/>
  <c r="G25" i="3"/>
  <c r="J25" i="3"/>
  <c r="J23" i="3"/>
  <c r="AB25" i="3"/>
  <c r="AB23" i="3"/>
  <c r="Z25" i="3"/>
  <c r="Z23" i="3"/>
  <c r="X25" i="3"/>
  <c r="X23" i="3"/>
  <c r="V25" i="3"/>
  <c r="V23" i="3"/>
  <c r="T25" i="3"/>
  <c r="T23" i="3"/>
  <c r="R25" i="3"/>
  <c r="R23" i="3"/>
  <c r="P25" i="3"/>
  <c r="P23" i="3"/>
  <c r="N25" i="3"/>
  <c r="N23" i="3"/>
  <c r="L25" i="3"/>
  <c r="L23" i="3"/>
  <c r="AC23" i="3"/>
  <c r="AC25" i="3"/>
  <c r="J32" i="3"/>
  <c r="AB32" i="3"/>
  <c r="Z32" i="3"/>
  <c r="X32" i="3"/>
  <c r="V32" i="3"/>
  <c r="E23" i="3"/>
  <c r="E29" i="3" s="1"/>
  <c r="E30" i="3" s="1"/>
  <c r="E34" i="3" s="1"/>
  <c r="F45" i="3" s="1"/>
  <c r="E25" i="3"/>
  <c r="F25" i="3"/>
  <c r="F23" i="3"/>
  <c r="I23" i="3"/>
  <c r="I29" i="3" s="1"/>
  <c r="I30" i="3" s="1"/>
  <c r="I34" i="3" s="1"/>
  <c r="F47" i="3" s="1"/>
  <c r="I25" i="3"/>
  <c r="AA23" i="3"/>
  <c r="AA25" i="3"/>
  <c r="Y23" i="3"/>
  <c r="Y29" i="3" s="1"/>
  <c r="Y30" i="3" s="1"/>
  <c r="Y34" i="3" s="1"/>
  <c r="F56" i="3" s="1"/>
  <c r="AF90" i="3" s="1"/>
  <c r="Y25" i="3"/>
  <c r="W23" i="3"/>
  <c r="W25" i="3"/>
  <c r="U23" i="3"/>
  <c r="U29" i="3" s="1"/>
  <c r="U30" i="3" s="1"/>
  <c r="U34" i="3" s="1"/>
  <c r="F54" i="3" s="1"/>
  <c r="U25" i="3"/>
  <c r="S23" i="3"/>
  <c r="S25" i="3"/>
  <c r="Q23" i="3"/>
  <c r="Q29" i="3" s="1"/>
  <c r="Q30" i="3" s="1"/>
  <c r="Q34" i="3" s="1"/>
  <c r="F52" i="3" s="1"/>
  <c r="Q25" i="3"/>
  <c r="O23" i="3"/>
  <c r="O25" i="3"/>
  <c r="M23" i="3"/>
  <c r="M29" i="3" s="1"/>
  <c r="M30" i="3" s="1"/>
  <c r="M34" i="3" s="1"/>
  <c r="F49" i="3" s="1"/>
  <c r="M25" i="3"/>
  <c r="K23" i="3"/>
  <c r="K25" i="3"/>
  <c r="E32" i="3"/>
  <c r="I32" i="3"/>
  <c r="G32" i="3"/>
  <c r="T32" i="3"/>
  <c r="R32" i="3"/>
  <c r="P32" i="3"/>
  <c r="N32" i="3"/>
  <c r="L32" i="3"/>
  <c r="AC32" i="3"/>
  <c r="AA32" i="3"/>
  <c r="Y32" i="3"/>
  <c r="W32" i="3"/>
  <c r="D6" i="3"/>
  <c r="D23" i="3" s="1"/>
  <c r="H6" i="3"/>
  <c r="D31" i="3"/>
  <c r="F31" i="3"/>
  <c r="F32" i="3" s="1"/>
  <c r="D33" i="3"/>
  <c r="G29" i="3" l="1"/>
  <c r="G30" i="3" s="1"/>
  <c r="G34" i="3" s="1"/>
  <c r="F46" i="3" s="1"/>
  <c r="B53" i="3" s="1"/>
  <c r="D25" i="3"/>
  <c r="K29" i="3"/>
  <c r="K30" i="3" s="1"/>
  <c r="K34" i="3" s="1"/>
  <c r="F48" i="3" s="1"/>
  <c r="B55" i="3" s="1"/>
  <c r="O29" i="3"/>
  <c r="O30" i="3" s="1"/>
  <c r="O34" i="3" s="1"/>
  <c r="F51" i="3" s="1"/>
  <c r="B58" i="3" s="1"/>
  <c r="S29" i="3"/>
  <c r="S30" i="3" s="1"/>
  <c r="S34" i="3" s="1"/>
  <c r="F53" i="3" s="1"/>
  <c r="AF89" i="3" s="1"/>
  <c r="W29" i="3"/>
  <c r="W30" i="3" s="1"/>
  <c r="W34" i="3" s="1"/>
  <c r="F55" i="3" s="1"/>
  <c r="R98" i="3" s="1"/>
  <c r="I102" i="3" s="1" a="1"/>
  <c r="AA29" i="3"/>
  <c r="AA30" i="3" s="1"/>
  <c r="AA34" i="3" s="1"/>
  <c r="F57" i="3" s="1"/>
  <c r="B60" i="3"/>
  <c r="AC29" i="3"/>
  <c r="AC30" i="3" s="1"/>
  <c r="AC34" i="3" s="1"/>
  <c r="F58" i="3" s="1"/>
  <c r="D29" i="3"/>
  <c r="D30" i="3" s="1"/>
  <c r="D34" i="3" s="1"/>
  <c r="B54" i="3"/>
  <c r="AF88" i="3"/>
  <c r="B52" i="3"/>
  <c r="D32" i="3"/>
  <c r="H25" i="3"/>
  <c r="H23" i="3"/>
  <c r="F29" i="3"/>
  <c r="F30" i="3" s="1"/>
  <c r="F34" i="3" s="1"/>
  <c r="H32" i="3"/>
  <c r="L29" i="3"/>
  <c r="L30" i="3" s="1"/>
  <c r="L34" i="3" s="1"/>
  <c r="N29" i="3"/>
  <c r="N30" i="3" s="1"/>
  <c r="N34" i="3" s="1"/>
  <c r="F50" i="3" s="1"/>
  <c r="P29" i="3"/>
  <c r="P30" i="3" s="1"/>
  <c r="P34" i="3" s="1"/>
  <c r="R29" i="3"/>
  <c r="R30" i="3" s="1"/>
  <c r="R34" i="3" s="1"/>
  <c r="T29" i="3"/>
  <c r="T30" i="3" s="1"/>
  <c r="T34" i="3" s="1"/>
  <c r="V29" i="3"/>
  <c r="V30" i="3" s="1"/>
  <c r="V34" i="3" s="1"/>
  <c r="X29" i="3"/>
  <c r="X30" i="3" s="1"/>
  <c r="X34" i="3" s="1"/>
  <c r="Z29" i="3"/>
  <c r="Z30" i="3" s="1"/>
  <c r="Z34" i="3" s="1"/>
  <c r="AB29" i="3"/>
  <c r="AB30" i="3" s="1"/>
  <c r="AB34" i="3" s="1"/>
  <c r="J29" i="3"/>
  <c r="J30" i="3" s="1"/>
  <c r="J34" i="3" s="1"/>
  <c r="C120" i="2"/>
  <c r="D120" i="2" s="1"/>
  <c r="F122" i="2" s="1"/>
  <c r="C121" i="2"/>
  <c r="D121" i="2" s="1"/>
  <c r="F123" i="2" s="1"/>
  <c r="C122" i="2"/>
  <c r="D122" i="2" s="1"/>
  <c r="F124" i="2" s="1"/>
  <c r="C123" i="2"/>
  <c r="D123" i="2" s="1"/>
  <c r="F125" i="2" s="1"/>
  <c r="C124" i="2"/>
  <c r="D124" i="2" s="1"/>
  <c r="F126" i="2" s="1"/>
  <c r="C125" i="2"/>
  <c r="D125" i="2" s="1"/>
  <c r="F127" i="2" s="1"/>
  <c r="C126" i="2"/>
  <c r="D126" i="2" s="1"/>
  <c r="F128" i="2" s="1"/>
  <c r="C127" i="2"/>
  <c r="D127" i="2" s="1"/>
  <c r="F129" i="2" s="1"/>
  <c r="C119" i="2"/>
  <c r="D119" i="2" s="1"/>
  <c r="F121" i="2" s="1"/>
  <c r="B62" i="3" l="1"/>
  <c r="H29" i="3"/>
  <c r="H30" i="3" s="1"/>
  <c r="H34" i="3" s="1"/>
  <c r="B57" i="3"/>
  <c r="B61" i="3"/>
  <c r="B59" i="3"/>
  <c r="I102" i="3"/>
  <c r="J102" i="3"/>
  <c r="N102" i="3"/>
  <c r="R102" i="3"/>
  <c r="V102" i="3"/>
  <c r="Z102" i="3"/>
  <c r="AD102" i="3"/>
  <c r="L103" i="3"/>
  <c r="P103" i="3"/>
  <c r="T103" i="3"/>
  <c r="X103" i="3"/>
  <c r="AB103" i="3"/>
  <c r="J104" i="3"/>
  <c r="N104" i="3"/>
  <c r="R104" i="3"/>
  <c r="V104" i="3"/>
  <c r="Z104" i="3"/>
  <c r="AD104" i="3"/>
  <c r="L105" i="3"/>
  <c r="P105" i="3"/>
  <c r="T105" i="3"/>
  <c r="X105" i="3"/>
  <c r="AB105" i="3"/>
  <c r="J106" i="3"/>
  <c r="N106" i="3"/>
  <c r="R106" i="3"/>
  <c r="V106" i="3"/>
  <c r="Z106" i="3"/>
  <c r="AD106" i="3"/>
  <c r="L107" i="3"/>
  <c r="P107" i="3"/>
  <c r="T107" i="3"/>
  <c r="X107" i="3"/>
  <c r="AB107" i="3"/>
  <c r="J108" i="3"/>
  <c r="N108" i="3"/>
  <c r="R108" i="3"/>
  <c r="V108" i="3"/>
  <c r="Z108" i="3"/>
  <c r="AD108" i="3"/>
  <c r="L109" i="3"/>
  <c r="P109" i="3"/>
  <c r="T109" i="3"/>
  <c r="X109" i="3"/>
  <c r="Z109" i="3"/>
  <c r="AB109" i="3"/>
  <c r="AD109" i="3"/>
  <c r="J110" i="3"/>
  <c r="L110" i="3"/>
  <c r="N110" i="3"/>
  <c r="P110" i="3"/>
  <c r="R110" i="3"/>
  <c r="T110" i="3"/>
  <c r="V110" i="3"/>
  <c r="X110" i="3"/>
  <c r="Z110" i="3"/>
  <c r="AB110" i="3"/>
  <c r="AD110" i="3"/>
  <c r="J111" i="3"/>
  <c r="L111" i="3"/>
  <c r="N111" i="3"/>
  <c r="P111" i="3"/>
  <c r="R111" i="3"/>
  <c r="T111" i="3"/>
  <c r="V111" i="3"/>
  <c r="X111" i="3"/>
  <c r="Z111" i="3"/>
  <c r="AB111" i="3"/>
  <c r="AD111" i="3"/>
  <c r="J112" i="3"/>
  <c r="L112" i="3"/>
  <c r="N112" i="3"/>
  <c r="P112" i="3"/>
  <c r="R112" i="3"/>
  <c r="T112" i="3"/>
  <c r="V112" i="3"/>
  <c r="X112" i="3"/>
  <c r="Z112" i="3"/>
  <c r="AB112" i="3"/>
  <c r="AD112" i="3"/>
  <c r="J113" i="3"/>
  <c r="L113" i="3"/>
  <c r="N113" i="3"/>
  <c r="P113" i="3"/>
  <c r="R113" i="3"/>
  <c r="L102" i="3"/>
  <c r="T102" i="3"/>
  <c r="AB102" i="3"/>
  <c r="N103" i="3"/>
  <c r="V103" i="3"/>
  <c r="AD103" i="3"/>
  <c r="P104" i="3"/>
  <c r="X104" i="3"/>
  <c r="J105" i="3"/>
  <c r="R105" i="3"/>
  <c r="Z105" i="3"/>
  <c r="L106" i="3"/>
  <c r="T106" i="3"/>
  <c r="AB106" i="3"/>
  <c r="N107" i="3"/>
  <c r="V107" i="3"/>
  <c r="AD107" i="3"/>
  <c r="P108" i="3"/>
  <c r="X108" i="3"/>
  <c r="J109" i="3"/>
  <c r="R109" i="3"/>
  <c r="Y109" i="3"/>
  <c r="AC109" i="3"/>
  <c r="K110" i="3"/>
  <c r="O110" i="3"/>
  <c r="S110" i="3"/>
  <c r="W110" i="3"/>
  <c r="AA110" i="3"/>
  <c r="I111" i="3"/>
  <c r="M111" i="3"/>
  <c r="Q111" i="3"/>
  <c r="U111" i="3"/>
  <c r="Y111" i="3"/>
  <c r="AC111" i="3"/>
  <c r="K112" i="3"/>
  <c r="O112" i="3"/>
  <c r="S112" i="3"/>
  <c r="W112" i="3"/>
  <c r="AA112" i="3"/>
  <c r="I113" i="3"/>
  <c r="M113" i="3"/>
  <c r="Q113" i="3"/>
  <c r="T113" i="3"/>
  <c r="V113" i="3"/>
  <c r="X113" i="3"/>
  <c r="Z113" i="3"/>
  <c r="AB113" i="3"/>
  <c r="AD113" i="3"/>
  <c r="J114" i="3"/>
  <c r="L114" i="3"/>
  <c r="N114" i="3"/>
  <c r="P114" i="3"/>
  <c r="R114" i="3"/>
  <c r="T114" i="3"/>
  <c r="V114" i="3"/>
  <c r="X114" i="3"/>
  <c r="Z114" i="3"/>
  <c r="AB114" i="3"/>
  <c r="AD114" i="3"/>
  <c r="J115" i="3"/>
  <c r="L115" i="3"/>
  <c r="N115" i="3"/>
  <c r="P115" i="3"/>
  <c r="R115" i="3"/>
  <c r="T115" i="3"/>
  <c r="V115" i="3"/>
  <c r="X115" i="3"/>
  <c r="Z115" i="3"/>
  <c r="AB115" i="3"/>
  <c r="AD115" i="3"/>
  <c r="J116" i="3"/>
  <c r="L116" i="3"/>
  <c r="N116" i="3"/>
  <c r="P116" i="3"/>
  <c r="R116" i="3"/>
  <c r="T116" i="3"/>
  <c r="V116" i="3"/>
  <c r="X116" i="3"/>
  <c r="Z116" i="3"/>
  <c r="AB116" i="3"/>
  <c r="AD116" i="3"/>
  <c r="J117" i="3"/>
  <c r="L117" i="3"/>
  <c r="N117" i="3"/>
  <c r="P117" i="3"/>
  <c r="P102" i="3"/>
  <c r="J103" i="3"/>
  <c r="Z103" i="3"/>
  <c r="T104" i="3"/>
  <c r="N105" i="3"/>
  <c r="AD105" i="3"/>
  <c r="X106" i="3"/>
  <c r="R107" i="3"/>
  <c r="L108" i="3"/>
  <c r="AB108" i="3"/>
  <c r="V109" i="3"/>
  <c r="I110" i="3"/>
  <c r="Q110" i="3"/>
  <c r="Y110" i="3"/>
  <c r="K111" i="3"/>
  <c r="S111" i="3"/>
  <c r="AA111" i="3"/>
  <c r="M112" i="3"/>
  <c r="U112" i="3"/>
  <c r="AC112" i="3"/>
  <c r="O113" i="3"/>
  <c r="U113" i="3"/>
  <c r="Y113" i="3"/>
  <c r="AC113" i="3"/>
  <c r="K114" i="3"/>
  <c r="O114" i="3"/>
  <c r="S114" i="3"/>
  <c r="W114" i="3"/>
  <c r="AA114" i="3"/>
  <c r="I115" i="3"/>
  <c r="M115" i="3"/>
  <c r="Q115" i="3"/>
  <c r="U115" i="3"/>
  <c r="Y115" i="3"/>
  <c r="AC115" i="3"/>
  <c r="K116" i="3"/>
  <c r="O116" i="3"/>
  <c r="S116" i="3"/>
  <c r="W116" i="3"/>
  <c r="AA116" i="3"/>
  <c r="I117" i="3"/>
  <c r="M117" i="3"/>
  <c r="Q117" i="3"/>
  <c r="S117" i="3"/>
  <c r="U117" i="3"/>
  <c r="W117" i="3"/>
  <c r="Y117" i="3"/>
  <c r="AA117" i="3"/>
  <c r="AC117" i="3"/>
  <c r="I118" i="3"/>
  <c r="K118" i="3"/>
  <c r="M118" i="3"/>
  <c r="O118" i="3"/>
  <c r="Q118" i="3"/>
  <c r="S118" i="3"/>
  <c r="U118" i="3"/>
  <c r="W118" i="3"/>
  <c r="Y118" i="3"/>
  <c r="AA118" i="3"/>
  <c r="AC118" i="3"/>
  <c r="I119" i="3"/>
  <c r="K119" i="3"/>
  <c r="M119" i="3"/>
  <c r="O119" i="3"/>
  <c r="Q119" i="3"/>
  <c r="S119" i="3"/>
  <c r="U119" i="3"/>
  <c r="W119" i="3"/>
  <c r="Y119" i="3"/>
  <c r="AA119" i="3"/>
  <c r="AC119" i="3"/>
  <c r="I120" i="3"/>
  <c r="K120" i="3"/>
  <c r="M120" i="3"/>
  <c r="O120" i="3"/>
  <c r="Q120" i="3"/>
  <c r="S120" i="3"/>
  <c r="U120" i="3"/>
  <c r="W120" i="3"/>
  <c r="Y120" i="3"/>
  <c r="AA120" i="3"/>
  <c r="AC120" i="3"/>
  <c r="I121" i="3"/>
  <c r="K121" i="3"/>
  <c r="M121" i="3"/>
  <c r="O121" i="3"/>
  <c r="Q121" i="3"/>
  <c r="S121" i="3"/>
  <c r="U121" i="3"/>
  <c r="W121" i="3"/>
  <c r="Y121" i="3"/>
  <c r="AA121" i="3"/>
  <c r="AC121" i="3"/>
  <c r="I122" i="3"/>
  <c r="K122" i="3"/>
  <c r="M122" i="3"/>
  <c r="O122" i="3"/>
  <c r="Q122" i="3"/>
  <c r="S122" i="3"/>
  <c r="U122" i="3"/>
  <c r="W122" i="3"/>
  <c r="Y122" i="3"/>
  <c r="AA122" i="3"/>
  <c r="AC122" i="3"/>
  <c r="I123" i="3"/>
  <c r="K123" i="3"/>
  <c r="M123" i="3"/>
  <c r="O123" i="3"/>
  <c r="Q123" i="3"/>
  <c r="S123" i="3"/>
  <c r="U123" i="3"/>
  <c r="W123" i="3"/>
  <c r="Y123" i="3"/>
  <c r="AA123" i="3"/>
  <c r="AC123" i="3"/>
  <c r="X102" i="3"/>
  <c r="R103" i="3"/>
  <c r="L104" i="3"/>
  <c r="AB104" i="3"/>
  <c r="V105" i="3"/>
  <c r="P106" i="3"/>
  <c r="J107" i="3"/>
  <c r="Z107" i="3"/>
  <c r="T108" i="3"/>
  <c r="N109" i="3"/>
  <c r="AA109" i="3"/>
  <c r="M110" i="3"/>
  <c r="U110" i="3"/>
  <c r="AC110" i="3"/>
  <c r="O111" i="3"/>
  <c r="W111" i="3"/>
  <c r="I112" i="3"/>
  <c r="Q112" i="3"/>
  <c r="Y112" i="3"/>
  <c r="K113" i="3"/>
  <c r="S113" i="3"/>
  <c r="W113" i="3"/>
  <c r="AA113" i="3"/>
  <c r="I114" i="3"/>
  <c r="M114" i="3"/>
  <c r="Q114" i="3"/>
  <c r="U114" i="3"/>
  <c r="Y114" i="3"/>
  <c r="AC114" i="3"/>
  <c r="K115" i="3"/>
  <c r="O115" i="3"/>
  <c r="S115" i="3"/>
  <c r="W115" i="3"/>
  <c r="AA115" i="3"/>
  <c r="I116" i="3"/>
  <c r="M116" i="3"/>
  <c r="Q116" i="3"/>
  <c r="U116" i="3"/>
  <c r="Y116" i="3"/>
  <c r="AC116" i="3"/>
  <c r="K117" i="3"/>
  <c r="O117" i="3"/>
  <c r="R117" i="3"/>
  <c r="T117" i="3"/>
  <c r="V117" i="3"/>
  <c r="X117" i="3"/>
  <c r="Z117" i="3"/>
  <c r="AB117" i="3"/>
  <c r="AD117" i="3"/>
  <c r="J118" i="3"/>
  <c r="L118" i="3"/>
  <c r="N118" i="3"/>
  <c r="R118" i="3"/>
  <c r="V118" i="3"/>
  <c r="Z118" i="3"/>
  <c r="AD118" i="3"/>
  <c r="L119" i="3"/>
  <c r="P119" i="3"/>
  <c r="T119" i="3"/>
  <c r="X119" i="3"/>
  <c r="AB119" i="3"/>
  <c r="J120" i="3"/>
  <c r="N120" i="3"/>
  <c r="R120" i="3"/>
  <c r="V120" i="3"/>
  <c r="Z120" i="3"/>
  <c r="AD120" i="3"/>
  <c r="L121" i="3"/>
  <c r="P121" i="3"/>
  <c r="T121" i="3"/>
  <c r="X121" i="3"/>
  <c r="AB121" i="3"/>
  <c r="J122" i="3"/>
  <c r="N122" i="3"/>
  <c r="R122" i="3"/>
  <c r="V122" i="3"/>
  <c r="Z122" i="3"/>
  <c r="AD122" i="3"/>
  <c r="L123" i="3"/>
  <c r="P123" i="3"/>
  <c r="T123" i="3"/>
  <c r="X123" i="3"/>
  <c r="AB123" i="3"/>
  <c r="P118" i="3"/>
  <c r="T118" i="3"/>
  <c r="X118" i="3"/>
  <c r="AB118" i="3"/>
  <c r="J119" i="3"/>
  <c r="N119" i="3"/>
  <c r="R119" i="3"/>
  <c r="V119" i="3"/>
  <c r="Z119" i="3"/>
  <c r="AD119" i="3"/>
  <c r="L120" i="3"/>
  <c r="P120" i="3"/>
  <c r="T120" i="3"/>
  <c r="X120" i="3"/>
  <c r="AB120" i="3"/>
  <c r="J121" i="3"/>
  <c r="N121" i="3"/>
  <c r="R121" i="3"/>
  <c r="V121" i="3"/>
  <c r="Z121" i="3"/>
  <c r="AD121" i="3"/>
  <c r="L122" i="3"/>
  <c r="P122" i="3"/>
  <c r="T122" i="3"/>
  <c r="X122" i="3"/>
  <c r="AB122" i="3"/>
  <c r="J123" i="3"/>
  <c r="N123" i="3"/>
  <c r="R123" i="3"/>
  <c r="V123" i="3"/>
  <c r="Z123" i="3"/>
  <c r="AD123" i="3"/>
  <c r="W109" i="3"/>
  <c r="S109" i="3"/>
  <c r="O109" i="3"/>
  <c r="K109" i="3"/>
  <c r="AC108" i="3"/>
  <c r="Y108" i="3"/>
  <c r="U108" i="3"/>
  <c r="Q108" i="3"/>
  <c r="M108" i="3"/>
  <c r="I108" i="3"/>
  <c r="AA107" i="3"/>
  <c r="W107" i="3"/>
  <c r="S107" i="3"/>
  <c r="O107" i="3"/>
  <c r="K107" i="3"/>
  <c r="AC106" i="3"/>
  <c r="Y106" i="3"/>
  <c r="U106" i="3"/>
  <c r="Q106" i="3"/>
  <c r="M106" i="3"/>
  <c r="I106" i="3"/>
  <c r="AA105" i="3"/>
  <c r="W105" i="3"/>
  <c r="S105" i="3"/>
  <c r="O105" i="3"/>
  <c r="K105" i="3"/>
  <c r="AC104" i="3"/>
  <c r="Y104" i="3"/>
  <c r="U104" i="3"/>
  <c r="Q104" i="3"/>
  <c r="M104" i="3"/>
  <c r="I104" i="3"/>
  <c r="AA103" i="3"/>
  <c r="W103" i="3"/>
  <c r="S103" i="3"/>
  <c r="O103" i="3"/>
  <c r="K103" i="3"/>
  <c r="AC102" i="3"/>
  <c r="Y102" i="3"/>
  <c r="U102" i="3"/>
  <c r="Q102" i="3"/>
  <c r="M102" i="3"/>
  <c r="U109" i="3"/>
  <c r="Q109" i="3"/>
  <c r="M109" i="3"/>
  <c r="I109" i="3"/>
  <c r="AA108" i="3"/>
  <c r="W108" i="3"/>
  <c r="S108" i="3"/>
  <c r="O108" i="3"/>
  <c r="K108" i="3"/>
  <c r="AC107" i="3"/>
  <c r="Y107" i="3"/>
  <c r="U107" i="3"/>
  <c r="Q107" i="3"/>
  <c r="M107" i="3"/>
  <c r="I107" i="3"/>
  <c r="AA106" i="3"/>
  <c r="W106" i="3"/>
  <c r="S106" i="3"/>
  <c r="O106" i="3"/>
  <c r="K106" i="3"/>
  <c r="AC105" i="3"/>
  <c r="Y105" i="3"/>
  <c r="U105" i="3"/>
  <c r="Q105" i="3"/>
  <c r="M105" i="3"/>
  <c r="I105" i="3"/>
  <c r="AA104" i="3"/>
  <c r="W104" i="3"/>
  <c r="S104" i="3"/>
  <c r="O104" i="3"/>
  <c r="K104" i="3"/>
  <c r="AC103" i="3"/>
  <c r="Y103" i="3"/>
  <c r="U103" i="3"/>
  <c r="Q103" i="3"/>
  <c r="M103" i="3"/>
  <c r="I103" i="3"/>
  <c r="AA102" i="3"/>
  <c r="W102" i="3"/>
  <c r="S102" i="3"/>
  <c r="O102" i="3"/>
  <c r="K102" i="3"/>
  <c r="B56" i="3"/>
  <c r="F62" i="2"/>
  <c r="F61" i="2"/>
  <c r="R127" i="3" l="1" a="1"/>
  <c r="B64" i="3"/>
  <c r="AA58" i="2"/>
  <c r="C133" i="2"/>
  <c r="D133" i="2" s="1"/>
  <c r="F133" i="2" s="1"/>
  <c r="AA59" i="2"/>
  <c r="C134" i="2"/>
  <c r="D134" i="2" s="1"/>
  <c r="F134" i="2" s="1"/>
  <c r="E31" i="2"/>
  <c r="F31" i="2"/>
  <c r="G31" i="2"/>
  <c r="H31" i="2"/>
  <c r="I31" i="2"/>
  <c r="J31" i="2"/>
  <c r="K31" i="2"/>
  <c r="L31" i="2"/>
  <c r="M31" i="2"/>
  <c r="N31" i="2"/>
  <c r="O31" i="2"/>
  <c r="D31" i="2"/>
  <c r="D33" i="2"/>
  <c r="L33" i="2"/>
  <c r="M33" i="2"/>
  <c r="N33" i="2"/>
  <c r="O33" i="2"/>
  <c r="F33" i="2"/>
  <c r="G33" i="2"/>
  <c r="H33" i="2"/>
  <c r="I33" i="2"/>
  <c r="J33" i="2"/>
  <c r="K33" i="2"/>
  <c r="E33" i="2"/>
  <c r="C55" i="3" l="1"/>
  <c r="C58" i="3"/>
  <c r="C60" i="3"/>
  <c r="C59" i="3"/>
  <c r="C62" i="3"/>
  <c r="C53" i="3"/>
  <c r="C54" i="3"/>
  <c r="C57" i="3"/>
  <c r="C52" i="3"/>
  <c r="C61" i="3"/>
  <c r="C56" i="3"/>
  <c r="R127" i="3"/>
  <c r="T127" i="3" s="1"/>
  <c r="R146" i="3"/>
  <c r="R142" i="3"/>
  <c r="R138" i="3"/>
  <c r="T138" i="3" s="1"/>
  <c r="R134" i="3"/>
  <c r="T134" i="3" s="1"/>
  <c r="R130" i="3"/>
  <c r="T130" i="3" s="1"/>
  <c r="R147" i="3"/>
  <c r="R143" i="3"/>
  <c r="T143" i="3" s="1"/>
  <c r="R139" i="3"/>
  <c r="T139" i="3" s="1"/>
  <c r="R135" i="3"/>
  <c r="T135" i="3" s="1"/>
  <c r="R131" i="3"/>
  <c r="T131" i="3" s="1"/>
  <c r="R148" i="3"/>
  <c r="R144" i="3"/>
  <c r="R140" i="3"/>
  <c r="T140" i="3" s="1"/>
  <c r="R136" i="3"/>
  <c r="T136" i="3" s="1"/>
  <c r="R132" i="3"/>
  <c r="T132" i="3" s="1"/>
  <c r="R128" i="3"/>
  <c r="T128" i="3" s="1"/>
  <c r="R145" i="3"/>
  <c r="T145" i="3" s="1"/>
  <c r="R141" i="3"/>
  <c r="T141" i="3" s="1"/>
  <c r="R137" i="3"/>
  <c r="T137" i="3" s="1"/>
  <c r="R133" i="3"/>
  <c r="T133" i="3" s="1"/>
  <c r="R129" i="3"/>
  <c r="T129" i="3" s="1"/>
  <c r="D45" i="2"/>
  <c r="D47" i="2"/>
  <c r="D46" i="2"/>
  <c r="D48" i="2"/>
  <c r="D44" i="2"/>
  <c r="D43" i="2"/>
  <c r="C64" i="3" l="1"/>
  <c r="E6" i="2"/>
  <c r="F6" i="2"/>
  <c r="G6" i="2"/>
  <c r="H6" i="2"/>
  <c r="I6" i="2"/>
  <c r="J6" i="2"/>
  <c r="K6" i="2"/>
  <c r="L6" i="2"/>
  <c r="M6" i="2"/>
  <c r="N6" i="2"/>
  <c r="O6" i="2"/>
  <c r="D6" i="2"/>
  <c r="D25" i="2" l="1"/>
  <c r="D32" i="2"/>
  <c r="O25" i="2"/>
  <c r="O32" i="2"/>
  <c r="G25" i="2"/>
  <c r="G32" i="2"/>
  <c r="H23" i="2"/>
  <c r="H32" i="2"/>
  <c r="F23" i="2"/>
  <c r="F32" i="2"/>
  <c r="L23" i="2"/>
  <c r="L32" i="2"/>
  <c r="K25" i="2"/>
  <c r="K32" i="2"/>
  <c r="N23" i="2"/>
  <c r="N32" i="2"/>
  <c r="J23" i="2"/>
  <c r="J32" i="2"/>
  <c r="M23" i="2"/>
  <c r="M32" i="2"/>
  <c r="I23" i="2"/>
  <c r="I32" i="2"/>
  <c r="E23" i="2"/>
  <c r="E32" i="2"/>
  <c r="L25" i="2"/>
  <c r="N25" i="2"/>
  <c r="I25" i="2"/>
  <c r="I29" i="2" s="1"/>
  <c r="I30" i="2" s="1"/>
  <c r="I34" i="2" s="1"/>
  <c r="F50" i="2" s="1"/>
  <c r="M25" i="2"/>
  <c r="H25" i="2"/>
  <c r="F25" i="2"/>
  <c r="J25" i="2"/>
  <c r="J29" i="2" s="1"/>
  <c r="J30" i="2" s="1"/>
  <c r="J34" i="2" s="1"/>
  <c r="F51" i="2" s="1"/>
  <c r="E25" i="2"/>
  <c r="O23" i="2"/>
  <c r="O29" i="2" s="1"/>
  <c r="O30" i="2" s="1"/>
  <c r="O34" i="2" s="1"/>
  <c r="F56" i="2" s="1"/>
  <c r="K23" i="2"/>
  <c r="G23" i="2"/>
  <c r="G29" i="2" s="1"/>
  <c r="G30" i="2" s="1"/>
  <c r="G34" i="2" s="1"/>
  <c r="F48" i="2" s="1"/>
  <c r="D23" i="2"/>
  <c r="AA56" i="2" l="1"/>
  <c r="C131" i="2"/>
  <c r="D131" i="2" s="1"/>
  <c r="F131" i="2" s="1"/>
  <c r="D29" i="2"/>
  <c r="D30" i="2" s="1"/>
  <c r="D34" i="2" s="1"/>
  <c r="F45" i="2" s="1"/>
  <c r="C130" i="2" s="1"/>
  <c r="D130" i="2" s="1"/>
  <c r="F130" i="2" s="1"/>
  <c r="F29" i="2"/>
  <c r="F30" i="2" s="1"/>
  <c r="F34" i="2" s="1"/>
  <c r="F47" i="2" s="1"/>
  <c r="E70" i="2" s="1"/>
  <c r="H29" i="2"/>
  <c r="H30" i="2" s="1"/>
  <c r="H34" i="2" s="1"/>
  <c r="F49" i="2" s="1"/>
  <c r="E72" i="2" s="1"/>
  <c r="L29" i="2"/>
  <c r="L30" i="2" s="1"/>
  <c r="L34" i="2" s="1"/>
  <c r="F53" i="2" s="1"/>
  <c r="K29" i="2"/>
  <c r="K30" i="2" s="1"/>
  <c r="K34" i="2" s="1"/>
  <c r="F52" i="2" s="1"/>
  <c r="E29" i="2"/>
  <c r="E30" i="2" s="1"/>
  <c r="E34" i="2" s="1"/>
  <c r="F46" i="2" s="1"/>
  <c r="M29" i="2"/>
  <c r="M30" i="2" s="1"/>
  <c r="M34" i="2" s="1"/>
  <c r="F54" i="2" s="1"/>
  <c r="N29" i="2"/>
  <c r="N30" i="2" s="1"/>
  <c r="N34" i="2" s="1"/>
  <c r="F55" i="2" s="1"/>
  <c r="E76" i="2" s="1"/>
  <c r="AA55" i="2" l="1"/>
  <c r="E69" i="2"/>
  <c r="AA57" i="2"/>
  <c r="C132" i="2"/>
  <c r="D132" i="2" s="1"/>
  <c r="F132" i="2" s="1"/>
  <c r="E71" i="2"/>
  <c r="E74" i="2"/>
  <c r="E68" i="2"/>
  <c r="E73" i="2"/>
  <c r="O63" i="2"/>
  <c r="H67" i="2" s="1" a="1"/>
  <c r="E75" i="2"/>
  <c r="H67" i="2" l="1"/>
  <c r="K67" i="2"/>
  <c r="O67" i="2"/>
  <c r="S67" i="2"/>
  <c r="W67" i="2"/>
  <c r="I68" i="2"/>
  <c r="M68" i="2"/>
  <c r="Q68" i="2"/>
  <c r="U68" i="2"/>
  <c r="Y68" i="2"/>
  <c r="K69" i="2"/>
  <c r="O69" i="2"/>
  <c r="S69" i="2"/>
  <c r="W69" i="2"/>
  <c r="I70" i="2"/>
  <c r="M70" i="2"/>
  <c r="Q70" i="2"/>
  <c r="U70" i="2"/>
  <c r="Y70" i="2"/>
  <c r="K71" i="2"/>
  <c r="O71" i="2"/>
  <c r="S71" i="2"/>
  <c r="W71" i="2"/>
  <c r="I72" i="2"/>
  <c r="M72" i="2"/>
  <c r="Q72" i="2"/>
  <c r="U72" i="2"/>
  <c r="Y72" i="2"/>
  <c r="K73" i="2"/>
  <c r="O73" i="2"/>
  <c r="S73" i="2"/>
  <c r="W73" i="2"/>
  <c r="I74" i="2"/>
  <c r="M74" i="2"/>
  <c r="Q74" i="2"/>
  <c r="U74" i="2"/>
  <c r="Y74" i="2"/>
  <c r="K75" i="2"/>
  <c r="O75" i="2"/>
  <c r="S75" i="2"/>
  <c r="W75" i="2"/>
  <c r="I76" i="2"/>
  <c r="M76" i="2"/>
  <c r="P76" i="2"/>
  <c r="R76" i="2"/>
  <c r="T76" i="2"/>
  <c r="V76" i="2"/>
  <c r="X76" i="2"/>
  <c r="H77" i="2"/>
  <c r="J77" i="2"/>
  <c r="L77" i="2"/>
  <c r="N77" i="2"/>
  <c r="P77" i="2"/>
  <c r="R77" i="2"/>
  <c r="T77" i="2"/>
  <c r="V77" i="2"/>
  <c r="X77" i="2"/>
  <c r="H78" i="2"/>
  <c r="J78" i="2"/>
  <c r="L78" i="2"/>
  <c r="N78" i="2"/>
  <c r="P78" i="2"/>
  <c r="R78" i="2"/>
  <c r="T78" i="2"/>
  <c r="V78" i="2"/>
  <c r="X78" i="2"/>
  <c r="H79" i="2"/>
  <c r="J79" i="2"/>
  <c r="L79" i="2"/>
  <c r="N79" i="2"/>
  <c r="P79" i="2"/>
  <c r="R79" i="2"/>
  <c r="T79" i="2"/>
  <c r="V79" i="2"/>
  <c r="X79" i="2"/>
  <c r="H80" i="2"/>
  <c r="J80" i="2"/>
  <c r="L80" i="2"/>
  <c r="N80" i="2"/>
  <c r="P80" i="2"/>
  <c r="R80" i="2"/>
  <c r="T80" i="2"/>
  <c r="V80" i="2"/>
  <c r="X80" i="2"/>
  <c r="H81" i="2"/>
  <c r="M67" i="2"/>
  <c r="U67" i="2"/>
  <c r="K68" i="2"/>
  <c r="S68" i="2"/>
  <c r="I69" i="2"/>
  <c r="Q69" i="2"/>
  <c r="Y69" i="2"/>
  <c r="O70" i="2"/>
  <c r="W70" i="2"/>
  <c r="M71" i="2"/>
  <c r="U71" i="2"/>
  <c r="K72" i="2"/>
  <c r="S72" i="2"/>
  <c r="I73" i="2"/>
  <c r="Q73" i="2"/>
  <c r="Y73" i="2"/>
  <c r="O74" i="2"/>
  <c r="W74" i="2"/>
  <c r="M75" i="2"/>
  <c r="U75" i="2"/>
  <c r="K76" i="2"/>
  <c r="Q76" i="2"/>
  <c r="U76" i="2"/>
  <c r="Y76" i="2"/>
  <c r="K77" i="2"/>
  <c r="O77" i="2"/>
  <c r="S77" i="2"/>
  <c r="W77" i="2"/>
  <c r="I78" i="2"/>
  <c r="M78" i="2"/>
  <c r="Q78" i="2"/>
  <c r="U78" i="2"/>
  <c r="Y78" i="2"/>
  <c r="K79" i="2"/>
  <c r="O79" i="2"/>
  <c r="S79" i="2"/>
  <c r="W79" i="2"/>
  <c r="I80" i="2"/>
  <c r="M80" i="2"/>
  <c r="Q80" i="2"/>
  <c r="U80" i="2"/>
  <c r="Y80" i="2"/>
  <c r="J81" i="2"/>
  <c r="L81" i="2"/>
  <c r="N81" i="2"/>
  <c r="P81" i="2"/>
  <c r="R81" i="2"/>
  <c r="T81" i="2"/>
  <c r="V81" i="2"/>
  <c r="X81" i="2"/>
  <c r="H82" i="2"/>
  <c r="J82" i="2"/>
  <c r="L82" i="2"/>
  <c r="N82" i="2"/>
  <c r="P82" i="2"/>
  <c r="R82" i="2"/>
  <c r="T82" i="2"/>
  <c r="V82" i="2"/>
  <c r="X82" i="2"/>
  <c r="H83" i="2"/>
  <c r="J83" i="2"/>
  <c r="L83" i="2"/>
  <c r="N83" i="2"/>
  <c r="P83" i="2"/>
  <c r="R83" i="2"/>
  <c r="T83" i="2"/>
  <c r="V83" i="2"/>
  <c r="X83" i="2"/>
  <c r="H84" i="2"/>
  <c r="J84" i="2"/>
  <c r="L84" i="2"/>
  <c r="N84" i="2"/>
  <c r="P84" i="2"/>
  <c r="R84" i="2"/>
  <c r="T84" i="2"/>
  <c r="V84" i="2"/>
  <c r="X84" i="2"/>
  <c r="I67" i="2"/>
  <c r="Q67" i="2"/>
  <c r="Y67" i="2"/>
  <c r="O68" i="2"/>
  <c r="W68" i="2"/>
  <c r="M69" i="2"/>
  <c r="U69" i="2"/>
  <c r="K70" i="2"/>
  <c r="I71" i="2"/>
  <c r="Y71" i="2"/>
  <c r="W72" i="2"/>
  <c r="U73" i="2"/>
  <c r="S74" i="2"/>
  <c r="Q75" i="2"/>
  <c r="O76" i="2"/>
  <c r="W76" i="2"/>
  <c r="M77" i="2"/>
  <c r="U77" i="2"/>
  <c r="K78" i="2"/>
  <c r="S78" i="2"/>
  <c r="I79" i="2"/>
  <c r="Q79" i="2"/>
  <c r="Y79" i="2"/>
  <c r="O80" i="2"/>
  <c r="W80" i="2"/>
  <c r="K81" i="2"/>
  <c r="O81" i="2"/>
  <c r="S81" i="2"/>
  <c r="W81" i="2"/>
  <c r="I82" i="2"/>
  <c r="M82" i="2"/>
  <c r="Q82" i="2"/>
  <c r="U82" i="2"/>
  <c r="Y82" i="2"/>
  <c r="K83" i="2"/>
  <c r="O83" i="2"/>
  <c r="S83" i="2"/>
  <c r="W83" i="2"/>
  <c r="I84" i="2"/>
  <c r="M84" i="2"/>
  <c r="Q84" i="2"/>
  <c r="U84" i="2"/>
  <c r="Y84" i="2"/>
  <c r="S70" i="2"/>
  <c r="Q71" i="2"/>
  <c r="O72" i="2"/>
  <c r="M73" i="2"/>
  <c r="K74" i="2"/>
  <c r="I75" i="2"/>
  <c r="Y75" i="2"/>
  <c r="S76" i="2"/>
  <c r="I77" i="2"/>
  <c r="Q77" i="2"/>
  <c r="Y77" i="2"/>
  <c r="O78" i="2"/>
  <c r="W78" i="2"/>
  <c r="M79" i="2"/>
  <c r="U79" i="2"/>
  <c r="K80" i="2"/>
  <c r="S80" i="2"/>
  <c r="I81" i="2"/>
  <c r="M81" i="2"/>
  <c r="Q81" i="2"/>
  <c r="U81" i="2"/>
  <c r="Y81" i="2"/>
  <c r="K82" i="2"/>
  <c r="O82" i="2"/>
  <c r="S82" i="2"/>
  <c r="W82" i="2"/>
  <c r="I83" i="2"/>
  <c r="M83" i="2"/>
  <c r="Q83" i="2"/>
  <c r="U83" i="2"/>
  <c r="Y83" i="2"/>
  <c r="K84" i="2"/>
  <c r="O84" i="2"/>
  <c r="S84" i="2"/>
  <c r="W84" i="2"/>
  <c r="L76" i="2"/>
  <c r="H76" i="2"/>
  <c r="V75" i="2"/>
  <c r="R75" i="2"/>
  <c r="N75" i="2"/>
  <c r="J75" i="2"/>
  <c r="X74" i="2"/>
  <c r="T74" i="2"/>
  <c r="P74" i="2"/>
  <c r="L74" i="2"/>
  <c r="H74" i="2"/>
  <c r="V73" i="2"/>
  <c r="R73" i="2"/>
  <c r="N73" i="2"/>
  <c r="J73" i="2"/>
  <c r="X72" i="2"/>
  <c r="T72" i="2"/>
  <c r="P72" i="2"/>
  <c r="L72" i="2"/>
  <c r="H72" i="2"/>
  <c r="V71" i="2"/>
  <c r="R71" i="2"/>
  <c r="N71" i="2"/>
  <c r="J71" i="2"/>
  <c r="X70" i="2"/>
  <c r="T70" i="2"/>
  <c r="P70" i="2"/>
  <c r="L70" i="2"/>
  <c r="H70" i="2"/>
  <c r="V69" i="2"/>
  <c r="R69" i="2"/>
  <c r="N69" i="2"/>
  <c r="J69" i="2"/>
  <c r="X68" i="2"/>
  <c r="T68" i="2"/>
  <c r="P68" i="2"/>
  <c r="L68" i="2"/>
  <c r="H68" i="2"/>
  <c r="V67" i="2"/>
  <c r="R67" i="2"/>
  <c r="N67" i="2"/>
  <c r="J67" i="2"/>
  <c r="N76" i="2"/>
  <c r="J76" i="2"/>
  <c r="X75" i="2"/>
  <c r="T75" i="2"/>
  <c r="P75" i="2"/>
  <c r="L75" i="2"/>
  <c r="H75" i="2"/>
  <c r="V74" i="2"/>
  <c r="R74" i="2"/>
  <c r="N74" i="2"/>
  <c r="J74" i="2"/>
  <c r="X73" i="2"/>
  <c r="T73" i="2"/>
  <c r="P73" i="2"/>
  <c r="L73" i="2"/>
  <c r="H73" i="2"/>
  <c r="V72" i="2"/>
  <c r="R72" i="2"/>
  <c r="N72" i="2"/>
  <c r="J72" i="2"/>
  <c r="X71" i="2"/>
  <c r="T71" i="2"/>
  <c r="P71" i="2"/>
  <c r="L71" i="2"/>
  <c r="H71" i="2"/>
  <c r="V70" i="2"/>
  <c r="R70" i="2"/>
  <c r="N70" i="2"/>
  <c r="J70" i="2"/>
  <c r="X69" i="2"/>
  <c r="T69" i="2"/>
  <c r="P69" i="2"/>
  <c r="L69" i="2"/>
  <c r="H69" i="2"/>
  <c r="V68" i="2"/>
  <c r="R68" i="2"/>
  <c r="N68" i="2"/>
  <c r="J68" i="2"/>
  <c r="X67" i="2"/>
  <c r="T67" i="2"/>
  <c r="P67" i="2"/>
  <c r="L67" i="2"/>
  <c r="E78" i="2"/>
  <c r="K121" i="2" l="1" a="1"/>
  <c r="N88" i="2" a="1"/>
  <c r="N88" i="2" s="1"/>
  <c r="P88" i="2" s="1"/>
  <c r="F72" i="2"/>
  <c r="F71" i="2"/>
  <c r="F76" i="2"/>
  <c r="F74" i="2"/>
  <c r="F69" i="2"/>
  <c r="F70" i="2"/>
  <c r="F68" i="2"/>
  <c r="F73" i="2"/>
  <c r="F75" i="2"/>
  <c r="K121" i="2" l="1"/>
  <c r="K123" i="2"/>
  <c r="K122" i="2"/>
  <c r="K138" i="2"/>
  <c r="K137" i="2"/>
  <c r="K136" i="2"/>
  <c r="K131" i="2"/>
  <c r="K130" i="2"/>
  <c r="K129" i="2"/>
  <c r="K128" i="2"/>
  <c r="K135" i="2"/>
  <c r="K134" i="2"/>
  <c r="K133" i="2"/>
  <c r="K132" i="2"/>
  <c r="K127" i="2"/>
  <c r="K126" i="2"/>
  <c r="K125" i="2"/>
  <c r="K124" i="2"/>
  <c r="N103" i="2"/>
  <c r="N99" i="2"/>
  <c r="P99" i="2" s="1"/>
  <c r="N92" i="2"/>
  <c r="P92" i="2" s="1"/>
  <c r="N102" i="2"/>
  <c r="P102" i="2" s="1"/>
  <c r="N104" i="2"/>
  <c r="P104" i="2" s="1"/>
  <c r="N90" i="2"/>
  <c r="P90" i="2" s="1"/>
  <c r="N100" i="2"/>
  <c r="P100" i="2" s="1"/>
  <c r="N93" i="2"/>
  <c r="P93" i="2" s="1"/>
  <c r="N95" i="2"/>
  <c r="P95" i="2" s="1"/>
  <c r="N98" i="2"/>
  <c r="P98" i="2" s="1"/>
  <c r="N89" i="2"/>
  <c r="P89" i="2" s="1"/>
  <c r="N91" i="2"/>
  <c r="P91" i="2" s="1"/>
  <c r="N101" i="2"/>
  <c r="N105" i="2"/>
  <c r="P105" i="2" s="1"/>
  <c r="N97" i="2"/>
  <c r="P97" i="2" s="1"/>
  <c r="N94" i="2"/>
  <c r="P94" i="2" s="1"/>
  <c r="N96" i="2"/>
  <c r="P9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SYW</author>
  </authors>
  <commentList>
    <comment ref="M30" authorId="0" shapeId="0" xr:uid="{A6AC357E-AE85-4640-979C-E50D8F6910A6}">
      <text>
        <r>
          <rPr>
            <b/>
            <sz val="9"/>
            <color indexed="81"/>
            <rFont val="宋体"/>
            <family val="3"/>
            <charset val="134"/>
          </rPr>
          <t>SYW:</t>
        </r>
        <r>
          <rPr>
            <sz val="9"/>
            <color indexed="81"/>
            <rFont val="宋体"/>
            <family val="3"/>
            <charset val="134"/>
          </rPr>
          <t xml:space="preserve">
different from the reference excel file
because of the different pressure
11 bar in reference simulation
</t>
        </r>
      </text>
    </comment>
    <comment ref="L38" authorId="0" shapeId="0" xr:uid="{21BDECAD-CCD7-41C4-B3D4-D695B0C332BA}">
      <text>
        <r>
          <rPr>
            <b/>
            <sz val="9"/>
            <color indexed="81"/>
            <rFont val="宋体"/>
            <family val="3"/>
            <charset val="134"/>
          </rPr>
          <t>SYW: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38" authorId="0" shapeId="0" xr:uid="{054873BD-266A-4F69-8872-9C9F6DC9EA16}">
      <text>
        <r>
          <rPr>
            <b/>
            <sz val="9"/>
            <color indexed="81"/>
            <rFont val="宋体"/>
            <family val="3"/>
            <charset val="134"/>
          </rPr>
          <t>SYW: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SYW</author>
  </authors>
  <commentList>
    <comment ref="X30" authorId="0" shapeId="0" xr:uid="{9CBB4D49-9BD4-4FE2-9455-7056E1AD8358}">
      <text>
        <r>
          <rPr>
            <b/>
            <sz val="9"/>
            <color indexed="81"/>
            <rFont val="宋体"/>
            <family val="3"/>
            <charset val="134"/>
          </rPr>
          <t>SYW:</t>
        </r>
        <r>
          <rPr>
            <sz val="9"/>
            <color indexed="81"/>
            <rFont val="宋体"/>
            <family val="3"/>
            <charset val="134"/>
          </rPr>
          <t xml:space="preserve">
different from the reference excel file
because of the different pressure
11 bar in reference simulation
</t>
        </r>
      </text>
    </comment>
    <comment ref="N38" authorId="0" shapeId="0" xr:uid="{16A38578-869A-40B4-A193-766384A9BB77}">
      <text>
        <r>
          <rPr>
            <b/>
            <sz val="9"/>
            <color indexed="81"/>
            <rFont val="宋体"/>
            <family val="3"/>
            <charset val="134"/>
          </rPr>
          <t>SYW: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38" authorId="0" shapeId="0" xr:uid="{89577009-B6B1-4DEF-BD46-0C7C0AC3CFE7}">
      <text>
        <r>
          <rPr>
            <b/>
            <sz val="9"/>
            <color indexed="81"/>
            <rFont val="宋体"/>
            <family val="3"/>
            <charset val="134"/>
          </rPr>
          <t>SYW: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65" authorId="0" shapeId="0" xr:uid="{4574946B-64AD-4DD1-B347-540C4AEC4C6A}">
      <text>
        <r>
          <rPr>
            <b/>
            <sz val="9"/>
            <color indexed="81"/>
            <rFont val="宋体"/>
            <family val="3"/>
            <charset val="134"/>
          </rPr>
          <t>SYW: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66" authorId="0" shapeId="0" xr:uid="{5094E677-AF7F-45C6-958D-4EEED12C5958}">
      <text>
        <r>
          <rPr>
            <b/>
            <sz val="9"/>
            <color indexed="81"/>
            <rFont val="宋体"/>
            <family val="3"/>
            <charset val="134"/>
          </rPr>
          <t>SYW: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<sst xmlns="http://schemas.openxmlformats.org/spreadsheetml/2006/main" count="491" uniqueCount="211">
  <si>
    <t>Stream Name</t>
  </si>
  <si>
    <t>Temperature</t>
  </si>
  <si>
    <t>Pressure</t>
  </si>
  <si>
    <t>Molar Enthalpy</t>
  </si>
  <si>
    <t>Mass Enthalpy</t>
  </si>
  <si>
    <t>Molar Entropy</t>
  </si>
  <si>
    <t>Mass Entropy</t>
  </si>
  <si>
    <t>Molar Density</t>
  </si>
  <si>
    <t>Mass Density</t>
  </si>
  <si>
    <t>Mole Flows</t>
  </si>
  <si>
    <t>O2</t>
  </si>
  <si>
    <t>N2</t>
  </si>
  <si>
    <t>CH4</t>
  </si>
  <si>
    <t>H2O</t>
  </si>
  <si>
    <t>CO2</t>
  </si>
  <si>
    <t>Mole Fractions</t>
  </si>
  <si>
    <t>Mass Flows</t>
  </si>
  <si>
    <t>Volume Flow</t>
  </si>
  <si>
    <t>Units</t>
  </si>
  <si>
    <t>K</t>
  </si>
  <si>
    <t>bar</t>
  </si>
  <si>
    <t>kJ/kmol</t>
  </si>
  <si>
    <t>kJ/kg</t>
  </si>
  <si>
    <t>kJ/kmol-K</t>
  </si>
  <si>
    <t>kJ/kg-K</t>
  </si>
  <si>
    <t>kmol/cum</t>
  </si>
  <si>
    <t>kg/cum</t>
  </si>
  <si>
    <t>kmol/sec</t>
  </si>
  <si>
    <t>kg/sec</t>
  </si>
  <si>
    <t>cum/sec</t>
  </si>
  <si>
    <t>NG1</t>
  </si>
  <si>
    <t>NG2</t>
  </si>
  <si>
    <t>dead state</t>
    <phoneticPr fontId="1" type="noConversion"/>
  </si>
  <si>
    <t>T=25(C) P=1(bar)</t>
    <phoneticPr fontId="1" type="noConversion"/>
  </si>
  <si>
    <t>PS-S0_Entropy, mixture</t>
  </si>
  <si>
    <t>PS-S0_Entropy, mixture</t>
    <phoneticPr fontId="1" type="noConversion"/>
  </si>
  <si>
    <t xml:space="preserve">PS-H0_Enthalpy, mixture </t>
  </si>
  <si>
    <t xml:space="preserve">PS-H0_Enthalpy, mixture </t>
    <phoneticPr fontId="1" type="noConversion"/>
  </si>
  <si>
    <r>
      <t xml:space="preserve">Molar exergy </t>
    </r>
    <r>
      <rPr>
        <sz val="11"/>
        <color rgb="FFFF0000"/>
        <rFont val="等线"/>
        <family val="3"/>
        <charset val="134"/>
        <scheme val="minor"/>
      </rPr>
      <t>(from Aspen)</t>
    </r>
    <phoneticPr fontId="1" type="noConversion"/>
  </si>
  <si>
    <r>
      <t xml:space="preserve">Mass exergy </t>
    </r>
    <r>
      <rPr>
        <sz val="11"/>
        <color rgb="FFFF0000"/>
        <rFont val="等线"/>
        <family val="3"/>
        <charset val="134"/>
        <scheme val="minor"/>
      </rPr>
      <t>(from Aspen)</t>
    </r>
    <phoneticPr fontId="1" type="noConversion"/>
  </si>
  <si>
    <t>physical exergy</t>
    <phoneticPr fontId="1" type="noConversion"/>
  </si>
  <si>
    <t>chemical exergy</t>
    <phoneticPr fontId="1" type="noConversion"/>
  </si>
  <si>
    <r>
      <t xml:space="preserve">enthalpy </t>
    </r>
    <r>
      <rPr>
        <sz val="11"/>
        <color rgb="FFFF0000"/>
        <rFont val="等线"/>
        <family val="3"/>
        <charset val="134"/>
        <scheme val="minor"/>
      </rPr>
      <t>(h)</t>
    </r>
    <phoneticPr fontId="1" type="noConversion"/>
  </si>
  <si>
    <r>
      <t xml:space="preserve">enthropy </t>
    </r>
    <r>
      <rPr>
        <sz val="11"/>
        <color rgb="FFFF0000"/>
        <rFont val="等线"/>
        <family val="3"/>
        <charset val="134"/>
        <scheme val="minor"/>
      </rPr>
      <t>(s)</t>
    </r>
    <phoneticPr fontId="1" type="noConversion"/>
  </si>
  <si>
    <r>
      <t xml:space="preserve">dead state </t>
    </r>
    <r>
      <rPr>
        <sz val="11"/>
        <color rgb="FFFF0000"/>
        <rFont val="等线"/>
        <family val="3"/>
        <charset val="134"/>
        <scheme val="minor"/>
      </rPr>
      <t>(h0) &amp; (s0)</t>
    </r>
    <phoneticPr fontId="1" type="noConversion"/>
  </si>
  <si>
    <t>Enthalpy</t>
    <phoneticPr fontId="1" type="noConversion"/>
  </si>
  <si>
    <t>MW</t>
  </si>
  <si>
    <t>Mass Molar</t>
    <phoneticPr fontId="1" type="noConversion"/>
  </si>
  <si>
    <t>kg/kmol</t>
    <phoneticPr fontId="1" type="noConversion"/>
  </si>
  <si>
    <r>
      <t>exergy</t>
    </r>
    <r>
      <rPr>
        <b/>
        <sz val="11"/>
        <color rgb="FFFF0000"/>
        <rFont val="等线"/>
        <family val="3"/>
        <charset val="134"/>
        <scheme val="minor"/>
      </rPr>
      <t xml:space="preserve"> (h-h0-T(s-s0))</t>
    </r>
    <phoneticPr fontId="1" type="noConversion"/>
  </si>
  <si>
    <t xml:space="preserve">exergy </t>
  </si>
  <si>
    <t xml:space="preserve">exergy </t>
    <phoneticPr fontId="1" type="noConversion"/>
  </si>
  <si>
    <t>MW</t>
    <phoneticPr fontId="1" type="noConversion"/>
  </si>
  <si>
    <r>
      <t>exergy</t>
    </r>
    <r>
      <rPr>
        <b/>
        <sz val="11"/>
        <color rgb="FFFF0000"/>
        <rFont val="等线"/>
        <family val="3"/>
        <charset val="134"/>
        <scheme val="minor"/>
      </rPr>
      <t xml:space="preserve"> </t>
    </r>
    <phoneticPr fontId="1" type="noConversion"/>
  </si>
  <si>
    <t>Thermodynamic properties of pure components at 15 °C, 1 bar</t>
  </si>
  <si>
    <t>MW (kg/kmol)</t>
  </si>
  <si>
    <t>b_0 (J/kmol)</t>
  </si>
  <si>
    <t>b_0 (J/kg)</t>
  </si>
  <si>
    <t>H2O (l)</t>
  </si>
  <si>
    <t>H2O (v)</t>
  </si>
  <si>
    <t>Tips: b_0  standar molar chemical exergy</t>
    <phoneticPr fontId="1" type="noConversion"/>
  </si>
  <si>
    <t>Reference temperature (K), T0</t>
  </si>
  <si>
    <t>Universal Gas Constant (J/kmolK), R</t>
  </si>
  <si>
    <t>kJ/kmol</t>
    <phoneticPr fontId="1" type="noConversion"/>
  </si>
  <si>
    <t>kJ/kg</t>
    <phoneticPr fontId="1" type="noConversion"/>
  </si>
  <si>
    <t>total</t>
    <phoneticPr fontId="1" type="noConversion"/>
  </si>
  <si>
    <t>componment</t>
    <phoneticPr fontId="1" type="noConversion"/>
  </si>
  <si>
    <t>CMPR1</t>
    <phoneticPr fontId="1" type="noConversion"/>
  </si>
  <si>
    <t>COOLER1</t>
    <phoneticPr fontId="1" type="noConversion"/>
  </si>
  <si>
    <t>CMOR2</t>
    <phoneticPr fontId="1" type="noConversion"/>
  </si>
  <si>
    <t>COOLER2</t>
    <phoneticPr fontId="1" type="noConversion"/>
  </si>
  <si>
    <t>HPTURB</t>
    <phoneticPr fontId="1" type="noConversion"/>
  </si>
  <si>
    <t>LPTURB</t>
    <phoneticPr fontId="1" type="noConversion"/>
  </si>
  <si>
    <t>NET WORK  required  kW</t>
    <phoneticPr fontId="1" type="noConversion"/>
  </si>
  <si>
    <t>heat  out</t>
    <phoneticPr fontId="1" type="noConversion"/>
  </si>
  <si>
    <t>power  in</t>
    <phoneticPr fontId="1" type="noConversion"/>
  </si>
  <si>
    <t>power   in</t>
    <phoneticPr fontId="1" type="noConversion"/>
  </si>
  <si>
    <t>heat   out</t>
    <phoneticPr fontId="1" type="noConversion"/>
  </si>
  <si>
    <t>power   out</t>
    <phoneticPr fontId="1" type="noConversion"/>
  </si>
  <si>
    <t>power  out</t>
    <phoneticPr fontId="1" type="noConversion"/>
  </si>
  <si>
    <t>streams</t>
    <phoneticPr fontId="1" type="noConversion"/>
  </si>
  <si>
    <t>NG1</t>
    <phoneticPr fontId="1" type="noConversion"/>
  </si>
  <si>
    <t>NG2</t>
    <phoneticPr fontId="1" type="noConversion"/>
  </si>
  <si>
    <t>CMPR1</t>
    <phoneticPr fontId="1" type="noConversion"/>
  </si>
  <si>
    <t>COOLER1</t>
    <phoneticPr fontId="1" type="noConversion"/>
  </si>
  <si>
    <t>CMPR2</t>
    <phoneticPr fontId="1" type="noConversion"/>
  </si>
  <si>
    <t>COOLER2</t>
    <phoneticPr fontId="1" type="noConversion"/>
  </si>
  <si>
    <t>VALVE</t>
    <phoneticPr fontId="1" type="noConversion"/>
  </si>
  <si>
    <t>HPTURB</t>
    <phoneticPr fontId="1" type="noConversion"/>
  </si>
  <si>
    <t>HPCC</t>
    <phoneticPr fontId="1" type="noConversion"/>
  </si>
  <si>
    <t>LPCC</t>
    <phoneticPr fontId="1" type="noConversion"/>
  </si>
  <si>
    <t>LPTURB</t>
    <phoneticPr fontId="1" type="noConversion"/>
  </si>
  <si>
    <t>INCIDENCE MATRIX</t>
    <phoneticPr fontId="1" type="noConversion"/>
  </si>
  <si>
    <t>input</t>
    <phoneticPr fontId="1" type="noConversion"/>
  </si>
  <si>
    <t>loss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</si>
  <si>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</si>
  <si>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</si>
  <si>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</si>
  <si>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r>
      <t>A</t>
    </r>
    <r>
      <rPr>
        <sz val="6"/>
        <rFont val="等线"/>
        <family val="3"/>
        <charset val="134"/>
        <scheme val="minor"/>
      </rPr>
      <t>C</t>
    </r>
    <phoneticPr fontId="1" type="noConversion"/>
  </si>
  <si>
    <t>Ye</t>
    <phoneticPr fontId="1" type="noConversion"/>
  </si>
  <si>
    <t>E (WM)</t>
    <phoneticPr fontId="1" type="noConversion"/>
  </si>
  <si>
    <t>irr (WM)</t>
    <phoneticPr fontId="1" type="noConversion"/>
  </si>
  <si>
    <t>percent</t>
    <phoneticPr fontId="1" type="noConversion"/>
  </si>
  <si>
    <t>7 NG1</t>
    <phoneticPr fontId="1" type="noConversion"/>
  </si>
  <si>
    <t>10 NG2</t>
    <phoneticPr fontId="1" type="noConversion"/>
  </si>
  <si>
    <t>SUM</t>
    <phoneticPr fontId="1" type="noConversion"/>
  </si>
  <si>
    <r>
      <t>A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</si>
  <si>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(A x E* = Ye; A-1 x Ye = E*)</t>
    <phoneticPr fontId="1" type="noConversion"/>
  </si>
  <si>
    <r>
      <t>E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" type="noConversion"/>
  </si>
  <si>
    <t>-E9÷E8</t>
    <phoneticPr fontId="1" type="noConversion"/>
  </si>
  <si>
    <t>E7</t>
    <phoneticPr fontId="1" type="noConversion"/>
  </si>
  <si>
    <t>E1</t>
    <phoneticPr fontId="1" type="noConversion"/>
  </si>
  <si>
    <t>E10</t>
    <phoneticPr fontId="1" type="noConversion"/>
  </si>
  <si>
    <t>E13</t>
    <phoneticPr fontId="1" type="noConversion"/>
  </si>
  <si>
    <t>E15</t>
    <phoneticPr fontId="1" type="noConversion"/>
  </si>
  <si>
    <t>Exergy Cost</t>
    <phoneticPr fontId="1" type="noConversion"/>
  </si>
  <si>
    <t>Unit Exergy Cost</t>
    <phoneticPr fontId="1" type="noConversion"/>
  </si>
  <si>
    <t>k</t>
    <phoneticPr fontId="1" type="noConversion"/>
  </si>
  <si>
    <t>task 4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</si>
  <si>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</si>
  <si>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</si>
  <si>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</si>
  <si>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E7</t>
    <phoneticPr fontId="1" type="noConversion"/>
  </si>
  <si>
    <t>E10</t>
    <phoneticPr fontId="1" type="noConversion"/>
  </si>
  <si>
    <t>E13</t>
    <phoneticPr fontId="1" type="noConversion"/>
  </si>
  <si>
    <t>E1</t>
    <phoneticPr fontId="1" type="noConversion"/>
  </si>
  <si>
    <t>E15</t>
    <phoneticPr fontId="1" type="noConversion"/>
  </si>
  <si>
    <t>E12</t>
    <phoneticPr fontId="1" type="noConversion"/>
  </si>
  <si>
    <t>E14</t>
    <phoneticPr fontId="1" type="noConversion"/>
  </si>
  <si>
    <t>E16</t>
    <phoneticPr fontId="1" type="noConversion"/>
  </si>
  <si>
    <t>E8</t>
    <phoneticPr fontId="1" type="noConversion"/>
  </si>
  <si>
    <t>Ze</t>
    <phoneticPr fontId="1" type="noConversion"/>
  </si>
  <si>
    <t>CMPR1</t>
    <phoneticPr fontId="1" type="noConversion"/>
  </si>
  <si>
    <t>INTERCOOLER1</t>
    <phoneticPr fontId="1" type="noConversion"/>
  </si>
  <si>
    <t>CMPR2</t>
    <phoneticPr fontId="1" type="noConversion"/>
  </si>
  <si>
    <t>INTERCOOLER2</t>
    <phoneticPr fontId="1" type="noConversion"/>
  </si>
  <si>
    <t>VALVE</t>
    <phoneticPr fontId="1" type="noConversion"/>
  </si>
  <si>
    <t>HPCC</t>
    <phoneticPr fontId="1" type="noConversion"/>
  </si>
  <si>
    <t>HPTURB</t>
    <phoneticPr fontId="1" type="noConversion"/>
  </si>
  <si>
    <t>LPCC</t>
    <phoneticPr fontId="1" type="noConversion"/>
  </si>
  <si>
    <t>LPTURB</t>
    <phoneticPr fontId="1" type="noConversion"/>
  </si>
  <si>
    <t xml:space="preserve"> -Z</t>
    <phoneticPr fontId="1" type="noConversion"/>
  </si>
  <si>
    <t>Ci=Ci×Ei  ($/sec)</t>
    <phoneticPr fontId="1" type="noConversion"/>
  </si>
  <si>
    <t>Ci</t>
    <phoneticPr fontId="1" type="noConversion"/>
  </si>
  <si>
    <t>Ei</t>
    <phoneticPr fontId="1" type="noConversion"/>
  </si>
  <si>
    <t>value</t>
    <phoneticPr fontId="1" type="noConversion"/>
  </si>
  <si>
    <t>Z</t>
    <phoneticPr fontId="1" type="noConversion"/>
  </si>
  <si>
    <t>Z=Ai÷(8760×80%)÷3600 ($/sec)</t>
    <phoneticPr fontId="1" type="noConversion"/>
  </si>
  <si>
    <t>Ai (annuity)</t>
    <phoneticPr fontId="1" type="noConversion"/>
  </si>
  <si>
    <t>A-1 x Ze = C</t>
    <phoneticPr fontId="1" type="noConversion"/>
  </si>
  <si>
    <t>BEC</t>
    <phoneticPr fontId="1" type="noConversion"/>
  </si>
  <si>
    <t>EPCC</t>
    <phoneticPr fontId="1" type="noConversion"/>
  </si>
  <si>
    <t>TPC</t>
    <phoneticPr fontId="1" type="noConversion"/>
  </si>
  <si>
    <t>TOC</t>
    <phoneticPr fontId="1" type="noConversion"/>
  </si>
  <si>
    <t>TASC</t>
    <phoneticPr fontId="1" type="noConversion"/>
  </si>
  <si>
    <t>Annuity</t>
    <phoneticPr fontId="1" type="noConversion"/>
  </si>
  <si>
    <t>5--1</t>
    <phoneticPr fontId="1" type="noConversion"/>
  </si>
  <si>
    <t>5--2</t>
    <phoneticPr fontId="1" type="noConversion"/>
  </si>
  <si>
    <t>5--3</t>
    <phoneticPr fontId="1" type="noConversion"/>
  </si>
  <si>
    <t>enthalpy (h)</t>
    <phoneticPr fontId="1" type="noConversion"/>
  </si>
  <si>
    <t>enthropy (s)</t>
    <phoneticPr fontId="1" type="noConversion"/>
  </si>
  <si>
    <t>dead state (h0) &amp; (s0)</t>
    <phoneticPr fontId="1" type="noConversion"/>
  </si>
  <si>
    <t>Molar exergy (from Aspen)</t>
    <phoneticPr fontId="1" type="noConversion"/>
  </si>
  <si>
    <t>Mass exergy (from Aspen)</t>
    <phoneticPr fontId="1" type="noConversion"/>
  </si>
  <si>
    <t>exergy (h-h0-T(s-s0))</t>
    <phoneticPr fontId="1" type="noConversion"/>
  </si>
  <si>
    <t>CMOR3</t>
    <phoneticPr fontId="1" type="noConversion"/>
  </si>
  <si>
    <t>COOLER3</t>
    <phoneticPr fontId="1" type="noConversion"/>
  </si>
  <si>
    <t>5--1</t>
    <phoneticPr fontId="1" type="noConversion"/>
  </si>
  <si>
    <t>5--2</t>
    <phoneticPr fontId="1" type="noConversion"/>
  </si>
  <si>
    <t>5--3</t>
    <phoneticPr fontId="1" type="noConversion"/>
  </si>
  <si>
    <t>CMPR3</t>
    <phoneticPr fontId="1" type="noConversion"/>
  </si>
  <si>
    <t>loss</t>
    <phoneticPr fontId="1" type="noConversion"/>
  </si>
  <si>
    <t>power</t>
    <phoneticPr fontId="1" type="noConversion"/>
  </si>
  <si>
    <t>total</t>
    <phoneticPr fontId="1" type="noConversion"/>
  </si>
  <si>
    <t>Incidence Matrix</t>
    <phoneticPr fontId="1" type="noConversion"/>
  </si>
  <si>
    <t>5--1</t>
    <phoneticPr fontId="1" type="noConversion"/>
  </si>
  <si>
    <t>5--2</t>
    <phoneticPr fontId="1" type="noConversion"/>
  </si>
  <si>
    <t>5--3</t>
    <phoneticPr fontId="1" type="noConversion"/>
  </si>
  <si>
    <t>Ac</t>
    <phoneticPr fontId="1" type="noConversion"/>
  </si>
  <si>
    <t>NG1</t>
    <phoneticPr fontId="1" type="noConversion"/>
  </si>
  <si>
    <t>NG2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</si>
  <si>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</si>
  <si>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</si>
  <si>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</si>
  <si>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Ye</t>
    <phoneticPr fontId="1" type="noConversion"/>
  </si>
  <si>
    <t>A-1</t>
    <phoneticPr fontId="1" type="noConversion"/>
  </si>
  <si>
    <t>Exergo Economic</t>
    <phoneticPr fontId="1" type="noConversion"/>
  </si>
  <si>
    <t>CMPR1</t>
    <phoneticPr fontId="1" type="noConversion"/>
  </si>
  <si>
    <t>Reference</t>
    <phoneticPr fontId="1" type="noConversion"/>
  </si>
  <si>
    <t>A (kW)</t>
    <phoneticPr fontId="1" type="noConversion"/>
  </si>
  <si>
    <r>
      <t>C</t>
    </r>
    <r>
      <rPr>
        <vertAlign val="subscript"/>
        <sz val="11"/>
        <color theme="1"/>
        <rFont val="等线"/>
        <family val="3"/>
        <charset val="134"/>
        <scheme val="minor"/>
      </rPr>
      <t>P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</si>
  <si>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t>K1</t>
    <phoneticPr fontId="1" type="noConversion"/>
  </si>
  <si>
    <t>K2</t>
  </si>
  <si>
    <t>K3</t>
  </si>
  <si>
    <t>n</t>
    <phoneticPr fontId="1" type="noConversion"/>
  </si>
  <si>
    <t>Fp</t>
    <phoneticPr fontId="1" type="noConversion"/>
  </si>
  <si>
    <t>operating pressure</t>
    <phoneticPr fontId="1" type="noConversion"/>
  </si>
  <si>
    <t>C1</t>
    <phoneticPr fontId="1" type="noConversion"/>
  </si>
  <si>
    <t>C2</t>
  </si>
  <si>
    <t>C3</t>
  </si>
  <si>
    <t>Fm</t>
    <phoneticPr fontId="1" type="noConversion"/>
  </si>
  <si>
    <r>
      <t>C</t>
    </r>
    <r>
      <rPr>
        <vertAlign val="subscript"/>
        <sz val="11"/>
        <rFont val="等线"/>
        <family val="3"/>
        <charset val="134"/>
        <scheme val="minor"/>
      </rPr>
      <t>BEC</t>
    </r>
    <r>
      <rPr>
        <sz val="11"/>
        <rFont val="等线"/>
        <family val="3"/>
        <charset val="134"/>
        <scheme val="minor"/>
      </rPr>
      <t>=C</t>
    </r>
    <r>
      <rPr>
        <vertAlign val="subscript"/>
        <sz val="11"/>
        <rFont val="等线"/>
        <family val="3"/>
        <charset val="134"/>
        <scheme val="minor"/>
      </rPr>
      <t>P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*F</t>
    </r>
    <r>
      <rPr>
        <vertAlign val="subscript"/>
        <sz val="11"/>
        <rFont val="等线"/>
        <family val="3"/>
        <charset val="134"/>
        <scheme val="minor"/>
      </rPr>
      <t>M</t>
    </r>
    <r>
      <rPr>
        <sz val="11"/>
        <rFont val="等线"/>
        <family val="3"/>
        <charset val="134"/>
        <scheme val="minor"/>
      </rPr>
      <t>*F</t>
    </r>
    <r>
      <rPr>
        <vertAlign val="subscript"/>
        <sz val="11"/>
        <rFont val="等线"/>
        <family val="3"/>
        <charset val="134"/>
        <scheme val="minor"/>
      </rPr>
      <t xml:space="preserve">P    </t>
    </r>
    <r>
      <rPr>
        <sz val="11"/>
        <rFont val="等线"/>
        <family val="3"/>
        <charset val="134"/>
        <scheme val="minor"/>
      </rPr>
      <t>=</t>
    </r>
    <phoneticPr fontId="1" type="noConversion"/>
  </si>
  <si>
    <t>CMPR2</t>
    <phoneticPr fontId="1" type="noConversion"/>
  </si>
  <si>
    <t>CMPR3</t>
    <phoneticPr fontId="1" type="noConversion"/>
  </si>
  <si>
    <t>LPTURB</t>
    <phoneticPr fontId="1" type="noConversion"/>
  </si>
  <si>
    <t>Wt (kW)</t>
    <phoneticPr fontId="1" type="noConversion"/>
  </si>
  <si>
    <t>COOLER1</t>
    <phoneticPr fontId="1" type="noConversion"/>
  </si>
  <si>
    <t>SIZE(m2)</t>
    <phoneticPr fontId="1" type="noConversion"/>
  </si>
  <si>
    <t>Cold Fluid</t>
    <phoneticPr fontId="1" type="noConversion"/>
  </si>
  <si>
    <t>Water</t>
    <phoneticPr fontId="1" type="noConversion"/>
  </si>
  <si>
    <t>G(t/h)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</si>
</sst>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00_ "/>
    <numFmt numFmtId="178" formatCode="0.000_);[Red]\(0.000\)"/>
    <numFmt numFmtId="179" formatCode="0.0000_ "/>
    <numFmt numFmtId="180" formatCode="0.00000_ "/>
    <numFmt numFmtId="181" formatCode="0.0000000_ "/>
    <numFmt numFmtId="182" formatCode="0.000%"/>
  </numFmts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6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0" fontId="0" fillId="0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10" fontId="0" fillId="0" borderId="3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0" fillId="2" borderId="1" xfId="0" applyNumberFormat="1" applyFill="1" applyBorder="1" applyAlignment="1">
      <alignment horizontal="left" vertical="center"/>
    </xf>
    <xf numFmtId="177" fontId="0" fillId="4" borderId="1" xfId="0" applyNumberForma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177" fontId="0" fillId="3" borderId="0" xfId="0" applyNumberFormat="1" applyFill="1" applyBorder="1" applyAlignment="1">
      <alignment horizontal="center" vertical="center"/>
    </xf>
    <xf numFmtId="177" fontId="0" fillId="3" borderId="0" xfId="0" applyNumberFormat="1" applyFill="1" applyBorder="1" applyAlignment="1">
      <alignment horizontal="left" vertical="center"/>
    </xf>
    <xf numFmtId="177" fontId="0" fillId="3" borderId="0" xfId="0" applyNumberFormat="1" applyFill="1" applyBorder="1">
      <alignment vertical="center"/>
    </xf>
    <xf numFmtId="177" fontId="0" fillId="0" borderId="4" xfId="0" applyNumberFormat="1" applyFill="1" applyBorder="1">
      <alignment vertical="center"/>
    </xf>
    <xf numFmtId="177" fontId="0" fillId="0" borderId="7" xfId="0" applyNumberFormat="1" applyBorder="1" applyAlignment="1">
      <alignment horizontal="left" vertical="center"/>
    </xf>
    <xf numFmtId="177" fontId="0" fillId="0" borderId="4" xfId="0" applyNumberFormat="1" applyBorder="1" applyAlignment="1">
      <alignment horizontal="left" vertical="center"/>
    </xf>
    <xf numFmtId="177" fontId="0" fillId="2" borderId="0" xfId="0" applyNumberFormat="1" applyFill="1" applyBorder="1">
      <alignment vertical="center"/>
    </xf>
    <xf numFmtId="177" fontId="0" fillId="4" borderId="0" xfId="0" applyNumberFormat="1" applyFill="1" applyBorder="1">
      <alignment vertical="center"/>
    </xf>
    <xf numFmtId="177" fontId="5" fillId="0" borderId="1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>
      <alignment vertical="center"/>
    </xf>
    <xf numFmtId="177" fontId="2" fillId="0" borderId="1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9" fillId="0" borderId="10" xfId="0" applyFont="1" applyBorder="1" applyAlignment="1">
      <alignment horizontal="center"/>
    </xf>
    <xf numFmtId="1" fontId="10" fillId="5" borderId="2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left" wrapText="1"/>
    </xf>
    <xf numFmtId="0" fontId="9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11" xfId="0" applyFont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1" fontId="10" fillId="5" borderId="13" xfId="0" applyNumberFormat="1" applyFont="1" applyFill="1" applyBorder="1" applyAlignment="1">
      <alignment horizontal="center"/>
    </xf>
    <xf numFmtId="178" fontId="0" fillId="6" borderId="1" xfId="0" applyNumberFormat="1" applyFill="1" applyBorder="1" applyAlignment="1">
      <alignment horizontal="left" vertical="center"/>
    </xf>
    <xf numFmtId="177" fontId="2" fillId="6" borderId="1" xfId="0" applyNumberFormat="1" applyFont="1" applyFill="1" applyBorder="1" applyAlignment="1">
      <alignment horizontal="left" vertical="center"/>
    </xf>
    <xf numFmtId="177" fontId="2" fillId="6" borderId="0" xfId="0" applyNumberFormat="1" applyFont="1" applyFill="1" applyBorder="1" applyAlignment="1">
      <alignment horizontal="left" vertical="center"/>
    </xf>
    <xf numFmtId="178" fontId="2" fillId="6" borderId="1" xfId="0" applyNumberFormat="1" applyFont="1" applyFill="1" applyBorder="1" applyAlignment="1">
      <alignment horizontal="left" vertical="center"/>
    </xf>
    <xf numFmtId="178" fontId="2" fillId="6" borderId="0" xfId="0" applyNumberFormat="1" applyFont="1" applyFill="1" applyAlignment="1">
      <alignment horizontal="left" vertical="center"/>
    </xf>
    <xf numFmtId="177" fontId="2" fillId="7" borderId="1" xfId="0" applyNumberFormat="1" applyFont="1" applyFill="1" applyBorder="1" applyAlignment="1">
      <alignment horizontal="left" vertical="center"/>
    </xf>
    <xf numFmtId="178" fontId="2" fillId="7" borderId="1" xfId="0" applyNumberFormat="1" applyFont="1" applyFill="1" applyBorder="1" applyAlignment="1">
      <alignment horizontal="left" vertical="center"/>
    </xf>
    <xf numFmtId="0" fontId="0" fillId="7" borderId="0" xfId="0" applyFill="1" applyBorder="1">
      <alignment vertical="center"/>
    </xf>
    <xf numFmtId="177" fontId="2" fillId="8" borderId="1" xfId="0" applyNumberFormat="1" applyFont="1" applyFill="1" applyBorder="1" applyAlignment="1">
      <alignment horizontal="left" vertical="center"/>
    </xf>
    <xf numFmtId="178" fontId="2" fillId="8" borderId="1" xfId="0" applyNumberFormat="1" applyFont="1" applyFill="1" applyBorder="1" applyAlignment="1">
      <alignment horizontal="left" vertical="center"/>
    </xf>
    <xf numFmtId="0" fontId="0" fillId="8" borderId="0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10" borderId="0" xfId="0" applyFill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0" fillId="11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0" fillId="11" borderId="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0" fillId="0" borderId="4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5" fillId="12" borderId="0" xfId="0" applyFont="1" applyFill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7" fontId="0" fillId="0" borderId="27" xfId="0" applyNumberFormat="1" applyBorder="1" applyAlignment="1">
      <alignment horizontal="center" vertical="center"/>
    </xf>
    <xf numFmtId="177" fontId="0" fillId="0" borderId="28" xfId="0" applyNumberFormat="1" applyBorder="1" applyAlignment="1">
      <alignment horizontal="center" vertical="center"/>
    </xf>
    <xf numFmtId="0" fontId="2" fillId="10" borderId="26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78" fontId="15" fillId="0" borderId="0" xfId="0" applyNumberFormat="1" applyFont="1" applyAlignment="1">
      <alignment horizontal="left" vertical="center"/>
    </xf>
    <xf numFmtId="0" fontId="15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8" fontId="2" fillId="7" borderId="1" xfId="0" applyNumberFormat="1" applyFont="1" applyFill="1" applyBorder="1" applyAlignment="1">
      <alignment horizontal="center" vertical="center"/>
    </xf>
    <xf numFmtId="177" fontId="2" fillId="8" borderId="1" xfId="0" applyNumberFormat="1" applyFont="1" applyFill="1" applyBorder="1" applyAlignment="1">
      <alignment horizontal="center" vertical="center"/>
    </xf>
    <xf numFmtId="178" fontId="2" fillId="8" borderId="1" xfId="0" applyNumberFormat="1" applyFont="1" applyFill="1" applyBorder="1" applyAlignment="1">
      <alignment horizontal="center" vertical="center"/>
    </xf>
    <xf numFmtId="178" fontId="2" fillId="6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10" fontId="0" fillId="0" borderId="24" xfId="0" applyNumberFormat="1" applyFill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2" borderId="24" xfId="0" applyNumberFormat="1" applyFill="1" applyBorder="1" applyAlignment="1">
      <alignment horizontal="center" vertical="center"/>
    </xf>
    <xf numFmtId="177" fontId="0" fillId="4" borderId="24" xfId="0" applyNumberFormat="1" applyFill="1" applyBorder="1" applyAlignment="1">
      <alignment horizontal="center" vertical="center"/>
    </xf>
    <xf numFmtId="177" fontId="5" fillId="0" borderId="24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3" fillId="3" borderId="0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178" fontId="4" fillId="6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 vertical="center"/>
    </xf>
    <xf numFmtId="176" fontId="19" fillId="0" borderId="3" xfId="0" applyNumberFormat="1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10" fontId="12" fillId="0" borderId="3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12" fillId="0" borderId="7" xfId="0" applyNumberFormat="1" applyFont="1" applyBorder="1" applyAlignment="1">
      <alignment horizontal="center" vertical="center"/>
    </xf>
    <xf numFmtId="177" fontId="12" fillId="2" borderId="1" xfId="0" applyNumberFormat="1" applyFont="1" applyFill="1" applyBorder="1" applyAlignment="1">
      <alignment horizontal="center" vertical="center"/>
    </xf>
    <xf numFmtId="177" fontId="12" fillId="4" borderId="1" xfId="0" applyNumberFormat="1" applyFont="1" applyFill="1" applyBorder="1" applyAlignment="1">
      <alignment horizontal="center" vertical="center"/>
    </xf>
    <xf numFmtId="177" fontId="12" fillId="3" borderId="0" xfId="0" applyNumberFormat="1" applyFont="1" applyFill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177" fontId="19" fillId="6" borderId="1" xfId="0" applyNumberFormat="1" applyFont="1" applyFill="1" applyBorder="1" applyAlignment="1">
      <alignment horizontal="center" vertical="center"/>
    </xf>
    <xf numFmtId="177" fontId="19" fillId="7" borderId="1" xfId="0" applyNumberFormat="1" applyFont="1" applyFill="1" applyBorder="1" applyAlignment="1">
      <alignment horizontal="center" vertical="center"/>
    </xf>
    <xf numFmtId="177" fontId="19" fillId="8" borderId="1" xfId="0" applyNumberFormat="1" applyFont="1" applyFill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58" fontId="17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7" fontId="12" fillId="5" borderId="1" xfId="0" applyNumberFormat="1" applyFont="1" applyFill="1" applyBorder="1" applyAlignment="1">
      <alignment horizontal="center" vertical="center"/>
    </xf>
    <xf numFmtId="180" fontId="12" fillId="0" borderId="1" xfId="0" applyNumberFormat="1" applyFont="1" applyFill="1" applyBorder="1" applyAlignment="1">
      <alignment horizontal="center" vertical="center"/>
    </xf>
    <xf numFmtId="180" fontId="12" fillId="5" borderId="3" xfId="0" applyNumberFormat="1" applyFon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0" fillId="0" borderId="24" xfId="0" applyNumberFormat="1" applyBorder="1" applyAlignment="1">
      <alignment horizontal="center" vertical="center"/>
    </xf>
    <xf numFmtId="180" fontId="0" fillId="0" borderId="0" xfId="0" applyNumberFormat="1">
      <alignment vertical="center"/>
    </xf>
    <xf numFmtId="181" fontId="12" fillId="0" borderId="1" xfId="0" applyNumberFormat="1" applyFont="1" applyFill="1" applyBorder="1" applyAlignment="1">
      <alignment horizontal="center" vertical="center"/>
    </xf>
    <xf numFmtId="181" fontId="12" fillId="5" borderId="3" xfId="0" applyNumberFormat="1" applyFont="1" applyFill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1" fontId="0" fillId="0" borderId="24" xfId="0" applyNumberFormat="1" applyBorder="1" applyAlignment="1">
      <alignment horizontal="center" vertical="center"/>
    </xf>
    <xf numFmtId="181" fontId="0" fillId="0" borderId="0" xfId="0" applyNumberFormat="1">
      <alignment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" fontId="10" fillId="5" borderId="0" xfId="0" applyNumberFormat="1" applyFont="1" applyFill="1" applyBorder="1" applyAlignment="1">
      <alignment horizontal="center"/>
    </xf>
    <xf numFmtId="1" fontId="10" fillId="5" borderId="12" xfId="0" applyNumberFormat="1" applyFont="1" applyFill="1" applyBorder="1" applyAlignment="1">
      <alignment horizontal="center"/>
    </xf>
    <xf numFmtId="178" fontId="0" fillId="0" borderId="2" xfId="0" applyNumberFormat="1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8" fontId="15" fillId="0" borderId="2" xfId="0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182" fontId="1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78" fontId="0" fillId="0" borderId="27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6" xfId="0" applyFill="1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0" fontId="9" fillId="0" borderId="1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4" xfId="0" applyNumberFormat="1" applyFill="1" applyBorder="1" applyAlignment="1">
      <alignment horizontal="center" vertical="center"/>
    </xf>
    <xf numFmtId="177" fontId="0" fillId="0" borderId="9" xfId="0" applyNumberFormat="1" applyFill="1" applyBorder="1" applyAlignment="1">
      <alignment horizontal="center" vertical="center"/>
    </xf>
    <xf numFmtId="177" fontId="0" fillId="0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12" fillId="0" borderId="9" xfId="0" applyNumberFormat="1" applyFont="1" applyFill="1" applyBorder="1" applyAlignment="1">
      <alignment horizontal="center" vertical="center"/>
    </xf>
    <xf numFmtId="177" fontId="12" fillId="0" borderId="5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 wrapText="1"/>
    </xf>
    <xf numFmtId="177" fontId="12" fillId="0" borderId="9" xfId="0" applyNumberFormat="1" applyFont="1" applyFill="1" applyBorder="1" applyAlignment="1">
      <alignment horizontal="center" vertical="center" wrapText="1"/>
    </xf>
    <xf numFmtId="177" fontId="12" fillId="0" borderId="5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1" u="none" strike="noStrike" cap="all" baseline="0"/>
              <a:t>irrversibilities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460052036165924E-2"/>
          <c:y val="0.23891376459175634"/>
          <c:w val="0.89408373379226802"/>
          <c:h val="0.7115503558012199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5718-4E10-A368-DA2064088C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5718-4E10-A368-DA2064088C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5718-4E10-A368-DA2064088C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5718-4E10-A368-DA2064088C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5718-4E10-A368-DA2064088C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5718-4E10-A368-DA2064088C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5718-4E10-A368-DA2064088C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5718-4E10-A368-DA2064088C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5718-4E10-A368-DA2064088CA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718-4E10-A368-DA2064088CA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718-4E10-A368-DA2064088CA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718-4E10-A368-DA2064088CA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718-4E10-A368-DA2064088CA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718-4E10-A368-DA2064088CA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718-4E10-A368-DA2064088CA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718-4E10-A368-DA2064088CA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5718-4E10-A368-DA2064088CA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718-4E10-A368-DA2064088CA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Material!$D$68:$D$76</c:f>
              <c:strCache>
                <c:ptCount val="9"/>
                <c:pt idx="0">
                  <c:v>CMPR1</c:v>
                </c:pt>
                <c:pt idx="1">
                  <c:v>COOLER1</c:v>
                </c:pt>
                <c:pt idx="2">
                  <c:v>CMPR2</c:v>
                </c:pt>
                <c:pt idx="3">
                  <c:v>COOLER2</c:v>
                </c:pt>
                <c:pt idx="4">
                  <c:v>VALVE</c:v>
                </c:pt>
                <c:pt idx="5">
                  <c:v>HPCC</c:v>
                </c:pt>
                <c:pt idx="6">
                  <c:v>HPTURB</c:v>
                </c:pt>
                <c:pt idx="7">
                  <c:v>LPCC</c:v>
                </c:pt>
                <c:pt idx="8">
                  <c:v>LPTURB</c:v>
                </c:pt>
              </c:strCache>
            </c:strRef>
          </c:cat>
          <c:val>
            <c:numRef>
              <c:f>Material!$F$68:$F$76</c:f>
              <c:numCache>
                <c:formatCode>0.00%</c:formatCode>
                <c:ptCount val="9"/>
                <c:pt idx="0">
                  <c:v>2.3443635035975491E-2</c:v>
                </c:pt>
                <c:pt idx="1">
                  <c:v>9.0580149380311864E-2</c:v>
                </c:pt>
                <c:pt idx="2">
                  <c:v>2.3073153273114176E-2</c:v>
                </c:pt>
                <c:pt idx="3">
                  <c:v>9.9828381337355235E-2</c:v>
                </c:pt>
                <c:pt idx="4">
                  <c:v>4.9969394784039951E-2</c:v>
                </c:pt>
                <c:pt idx="5">
                  <c:v>0.377850973616913</c:v>
                </c:pt>
                <c:pt idx="6">
                  <c:v>2.7908854091381254E-2</c:v>
                </c:pt>
                <c:pt idx="7">
                  <c:v>0.25012536100555144</c:v>
                </c:pt>
                <c:pt idx="8">
                  <c:v>5.7220097475357556E-2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8-4E10-A368-DA2064088CA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E98-4427-9E77-C9F22D6696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E98-4427-9E77-C9F22D6696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E98-4427-9E77-C9F22D6696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E98-4427-9E77-C9F22D6696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E98-4427-9E77-C9F22D6696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E98-4427-9E77-C9F22D66963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86F5-4596-B352-64DCC9DA600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E98-4427-9E77-C9F22D66963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E98-4427-9E77-C9F22D66963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E98-4427-9E77-C9F22D66963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6F5-4596-B352-64DCC9DA600D}"/>
              </c:ext>
            </c:extLst>
          </c:dPt>
          <c:dLbls>
            <c:dLbl>
              <c:idx val="6"/>
              <c:layout>
                <c:manualLayout>
                  <c:x val="6.0850831146107755E-3"/>
                  <c:y val="1.071340040828229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F5-4596-B352-64DCC9DA600D}"/>
                </c:ext>
              </c:extLst>
            </c:dLbl>
            <c:dLbl>
              <c:idx val="10"/>
              <c:layout>
                <c:manualLayout>
                  <c:x val="1.3585192475940507E-2"/>
                  <c:y val="-8.647200349956255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F5-4596-B352-64DCC9DA60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'3-stage compression'!$A$52:$A$62</c:f>
              <c:strCache>
                <c:ptCount val="11"/>
                <c:pt idx="0">
                  <c:v>CMPR1</c:v>
                </c:pt>
                <c:pt idx="1">
                  <c:v>COOLER1</c:v>
                </c:pt>
                <c:pt idx="2">
                  <c:v>CMPR2</c:v>
                </c:pt>
                <c:pt idx="3">
                  <c:v>COOLER2</c:v>
                </c:pt>
                <c:pt idx="4">
                  <c:v>CMPR3</c:v>
                </c:pt>
                <c:pt idx="5">
                  <c:v>COOLER3</c:v>
                </c:pt>
                <c:pt idx="6">
                  <c:v>VALVE</c:v>
                </c:pt>
                <c:pt idx="7">
                  <c:v>HPCC</c:v>
                </c:pt>
                <c:pt idx="8">
                  <c:v>HPTURB</c:v>
                </c:pt>
                <c:pt idx="9">
                  <c:v>LPCC</c:v>
                </c:pt>
                <c:pt idx="10">
                  <c:v>LPTURB</c:v>
                </c:pt>
              </c:strCache>
            </c:strRef>
          </c:cat>
          <c:val>
            <c:numRef>
              <c:f>'3-stage compression'!$B$52:$B$62</c:f>
              <c:numCache>
                <c:formatCode>0.000_);[Red]\(0.000\)</c:formatCode>
                <c:ptCount val="11"/>
                <c:pt idx="0">
                  <c:v>1.5579585456991474</c:v>
                </c:pt>
                <c:pt idx="1">
                  <c:v>3.7182416179550355</c:v>
                </c:pt>
                <c:pt idx="2">
                  <c:v>1.5648010390891258</c:v>
                </c:pt>
                <c:pt idx="3">
                  <c:v>4.0741894862957331</c:v>
                </c:pt>
                <c:pt idx="4">
                  <c:v>1.5769757367651707</c:v>
                </c:pt>
                <c:pt idx="5">
                  <c:v>4.6039526549662142</c:v>
                </c:pt>
                <c:pt idx="6">
                  <c:v>4.9310316922554449</c:v>
                </c:pt>
                <c:pt idx="7">
                  <c:v>37.104176695757232</c:v>
                </c:pt>
                <c:pt idx="8">
                  <c:v>2.735678262526406</c:v>
                </c:pt>
                <c:pt idx="9">
                  <c:v>24.52439797709755</c:v>
                </c:pt>
                <c:pt idx="10">
                  <c:v>5.6093726523446392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5-4596-B352-64DCC9DA60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40822</xdr:rowOff>
    </xdr:from>
    <xdr:to>
      <xdr:col>2</xdr:col>
      <xdr:colOff>728382</xdr:colOff>
      <xdr:row>68</xdr:row>
      <xdr:rowOff>113732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0C6216-148A-421A-AB74-5166183AC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1851"/>
          <a:ext cx="4572000" cy="3341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162443</xdr:rowOff>
    </xdr:from>
    <xdr:to>
      <xdr:col>2</xdr:col>
      <xdr:colOff>721179</xdr:colOff>
      <xdr:row>83</xdr:row>
      <xdr:rowOff>81643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BF88621-A82B-4498-986F-4A3DAF896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65</xdr:row>
      <xdr:rowOff>35982</xdr:rowOff>
    </xdr:from>
    <xdr:to>
      <xdr:col>3</xdr:col>
      <xdr:colOff>571500</xdr:colOff>
      <xdr:row>80</xdr:row>
      <xdr:rowOff>80432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F42B898-141A-4AB1-93EB-B5FBBA837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179917</xdr:colOff>
      <xdr:row>40</xdr:row>
      <xdr:rowOff>190500</xdr:rowOff>
    </xdr:from>
    <xdr:to>
      <xdr:col>14</xdr:col>
      <xdr:colOff>349249</xdr:colOff>
      <xdr:row>55</xdr:row>
      <xdr:rowOff>92953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89FE1BC-D42A-431A-8AD9-03CED183D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8584" y="7387167"/>
          <a:ext cx="7281332" cy="3246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C3B7-3ABB-40B4-817D-7F5EC3B93FD1}">
  <dimension ref="A1:AB141"/>
  <sheetViews>
    <sheetView zoomScale="85" zoomScaleNormal="85" workbookViewId="0">
      <pane ySplit="1" topLeftCell="A15" activePane="bottomLeft" state="frozen"/>
      <selection pane="bottomLeft" activeCell="P99" sqref="P99"/>
    </sheetView>
  </sheetViews>
  <sheetFormatPr defaultRowHeight="14.25" x14ac:dyDescent="0.2"/>
  <cols>
    <col min="1" max="1" width="24.125" customWidth="1"/>
    <col min="2" max="2" width="26.25" customWidth="1"/>
    <col min="3" max="3" width="9.75" bestFit="1" customWidth="1"/>
    <col min="4" max="15" width="11.875" bestFit="1" customWidth="1"/>
  </cols>
  <sheetData>
    <row r="1" spans="1:15" s="33" customFormat="1" ht="22.5" customHeight="1" x14ac:dyDescent="0.2">
      <c r="A1" s="31"/>
      <c r="B1" s="32" t="s">
        <v>0</v>
      </c>
      <c r="C1" s="31" t="s">
        <v>18</v>
      </c>
      <c r="D1" s="31">
        <v>1</v>
      </c>
      <c r="E1" s="31">
        <v>2</v>
      </c>
      <c r="F1" s="31">
        <v>3</v>
      </c>
      <c r="G1" s="31">
        <v>4</v>
      </c>
      <c r="H1" s="31">
        <v>5</v>
      </c>
      <c r="I1" s="31">
        <v>6</v>
      </c>
      <c r="J1" s="31" t="s">
        <v>30</v>
      </c>
      <c r="K1" s="31">
        <v>8</v>
      </c>
      <c r="L1" s="31">
        <v>9</v>
      </c>
      <c r="M1" s="31" t="s">
        <v>31</v>
      </c>
      <c r="N1" s="31">
        <v>11</v>
      </c>
      <c r="O1" s="31">
        <v>12</v>
      </c>
    </row>
    <row r="2" spans="1:15" s="13" customFormat="1" x14ac:dyDescent="0.2">
      <c r="A2" s="10"/>
      <c r="B2" s="11" t="s">
        <v>1</v>
      </c>
      <c r="C2" s="12" t="s">
        <v>19</v>
      </c>
      <c r="D2" s="12">
        <v>298.14999999999998</v>
      </c>
      <c r="E2" s="12">
        <v>571.55999999999995</v>
      </c>
      <c r="F2" s="12">
        <v>303.14999999999998</v>
      </c>
      <c r="G2" s="12">
        <v>582.21699999999998</v>
      </c>
      <c r="H2" s="12">
        <v>313.14999999999998</v>
      </c>
      <c r="I2" s="12">
        <v>307.40300000000002</v>
      </c>
      <c r="J2" s="12">
        <v>298.14999999999998</v>
      </c>
      <c r="K2" s="12">
        <v>823.15</v>
      </c>
      <c r="L2" s="12">
        <v>616.68700000000001</v>
      </c>
      <c r="M2" s="12">
        <v>298.14999999999998</v>
      </c>
      <c r="N2" s="12">
        <v>1098.1500000000001</v>
      </c>
      <c r="O2" s="12">
        <v>680.84699999999998</v>
      </c>
    </row>
    <row r="3" spans="1:15" s="13" customFormat="1" x14ac:dyDescent="0.2">
      <c r="A3" s="10"/>
      <c r="B3" s="11" t="s">
        <v>2</v>
      </c>
      <c r="C3" s="12" t="s">
        <v>20</v>
      </c>
      <c r="D3" s="12">
        <v>1</v>
      </c>
      <c r="E3" s="12">
        <v>8.4849999999999994</v>
      </c>
      <c r="F3" s="12">
        <v>8.4849999999999994</v>
      </c>
      <c r="G3" s="12">
        <v>71.995199999999997</v>
      </c>
      <c r="H3" s="12">
        <v>71.995199999999997</v>
      </c>
      <c r="I3" s="12">
        <v>42</v>
      </c>
      <c r="J3" s="12">
        <v>50</v>
      </c>
      <c r="K3" s="12">
        <v>42</v>
      </c>
      <c r="L3" s="12">
        <v>11</v>
      </c>
      <c r="M3" s="12">
        <v>50</v>
      </c>
      <c r="N3" s="12">
        <v>11</v>
      </c>
      <c r="O3" s="12">
        <v>1</v>
      </c>
    </row>
    <row r="4" spans="1:15" s="13" customFormat="1" x14ac:dyDescent="0.2">
      <c r="A4" s="10"/>
      <c r="B4" s="11" t="s">
        <v>16</v>
      </c>
      <c r="C4" s="12" t="s">
        <v>28</v>
      </c>
      <c r="D4" s="12">
        <v>108</v>
      </c>
      <c r="E4" s="12">
        <v>108</v>
      </c>
      <c r="F4" s="12">
        <v>108</v>
      </c>
      <c r="G4" s="12">
        <v>108</v>
      </c>
      <c r="H4" s="12">
        <v>108</v>
      </c>
      <c r="I4" s="12">
        <v>108</v>
      </c>
      <c r="J4" s="12">
        <v>1.2430311845869799</v>
      </c>
      <c r="K4" s="12">
        <v>109.243031184587</v>
      </c>
      <c r="L4" s="12">
        <v>109.243031184587</v>
      </c>
      <c r="M4" s="12">
        <v>1.2868455175425899</v>
      </c>
      <c r="N4" s="12">
        <v>110.52987670213</v>
      </c>
      <c r="O4" s="12">
        <v>110.52987670213</v>
      </c>
    </row>
    <row r="5" spans="1:15" s="13" customFormat="1" x14ac:dyDescent="0.2">
      <c r="A5" s="10"/>
      <c r="B5" s="11" t="s">
        <v>9</v>
      </c>
      <c r="C5" s="12" t="s">
        <v>27</v>
      </c>
      <c r="D5" s="12">
        <v>3.7434493276231202</v>
      </c>
      <c r="E5" s="12">
        <v>3.7434493276231202</v>
      </c>
      <c r="F5" s="12">
        <v>3.7434493276231202</v>
      </c>
      <c r="G5" s="12">
        <v>3.7434493276231202</v>
      </c>
      <c r="H5" s="12">
        <v>3.7434493276231202</v>
      </c>
      <c r="I5" s="12">
        <v>3.7434493276231202</v>
      </c>
      <c r="J5" s="12">
        <v>7.7482377383129797E-2</v>
      </c>
      <c r="K5" s="12">
        <v>3.8209317050062501</v>
      </c>
      <c r="L5" s="12">
        <v>3.8209317050062501</v>
      </c>
      <c r="M5" s="12">
        <v>8.0213474336248203E-2</v>
      </c>
      <c r="N5" s="12">
        <v>3.9011451793425098</v>
      </c>
      <c r="O5" s="12">
        <v>3.9011451793425098</v>
      </c>
    </row>
    <row r="6" spans="1:15" s="13" customFormat="1" x14ac:dyDescent="0.2">
      <c r="A6" s="10"/>
      <c r="B6" s="11" t="s">
        <v>47</v>
      </c>
      <c r="C6" s="12" t="s">
        <v>48</v>
      </c>
      <c r="D6" s="12">
        <f>D4/D5</f>
        <v>28.850397200000014</v>
      </c>
      <c r="E6" s="12">
        <f t="shared" ref="E6:O6" si="0">E4/E5</f>
        <v>28.850397200000014</v>
      </c>
      <c r="F6" s="12">
        <f t="shared" si="0"/>
        <v>28.850397200000014</v>
      </c>
      <c r="G6" s="12">
        <f t="shared" si="0"/>
        <v>28.850397200000014</v>
      </c>
      <c r="H6" s="12">
        <f t="shared" si="0"/>
        <v>28.850397200000014</v>
      </c>
      <c r="I6" s="12">
        <f t="shared" si="0"/>
        <v>28.850397200000014</v>
      </c>
      <c r="J6" s="12">
        <f t="shared" si="0"/>
        <v>16.042760000000008</v>
      </c>
      <c r="K6" s="12">
        <f t="shared" si="0"/>
        <v>28.5906788235589</v>
      </c>
      <c r="L6" s="12">
        <f t="shared" si="0"/>
        <v>28.5906788235589</v>
      </c>
      <c r="M6" s="12">
        <f t="shared" si="0"/>
        <v>16.042760000000008</v>
      </c>
      <c r="N6" s="12">
        <f t="shared" si="0"/>
        <v>28.332674540648203</v>
      </c>
      <c r="O6" s="12">
        <f t="shared" si="0"/>
        <v>28.332674540648203</v>
      </c>
    </row>
    <row r="7" spans="1:15" x14ac:dyDescent="0.2">
      <c r="A7" s="9"/>
      <c r="B7" s="6" t="s">
        <v>7</v>
      </c>
      <c r="C7" s="1" t="s">
        <v>25</v>
      </c>
      <c r="D7" s="1">
        <v>4.0361800000000003E-2</v>
      </c>
      <c r="E7" s="1">
        <v>0.178088</v>
      </c>
      <c r="F7" s="1">
        <v>0.33795500000000001</v>
      </c>
      <c r="G7" s="1">
        <v>1.4531000000000001</v>
      </c>
      <c r="H7" s="1">
        <v>2.80315</v>
      </c>
      <c r="I7" s="1">
        <v>1.6654100000000001</v>
      </c>
      <c r="J7" s="1">
        <v>2.2421600000000002</v>
      </c>
      <c r="K7" s="1">
        <v>0.60633800000000004</v>
      </c>
      <c r="L7" s="1">
        <v>0.21388799999999999</v>
      </c>
      <c r="M7" s="1">
        <v>2.2421600000000002</v>
      </c>
      <c r="N7" s="1">
        <v>0.120159</v>
      </c>
      <c r="O7" s="1">
        <v>1.76609E-2</v>
      </c>
    </row>
    <row r="8" spans="1:15" x14ac:dyDescent="0.2">
      <c r="A8" s="9"/>
      <c r="B8" s="6" t="s">
        <v>8</v>
      </c>
      <c r="C8" s="1" t="s">
        <v>26</v>
      </c>
      <c r="D8" s="1">
        <v>1.16445</v>
      </c>
      <c r="E8" s="1">
        <v>5.1379099999999998</v>
      </c>
      <c r="F8" s="1">
        <v>9.7501300000000004</v>
      </c>
      <c r="G8" s="1">
        <v>41.922499999999999</v>
      </c>
      <c r="H8" s="1">
        <v>80.872100000000003</v>
      </c>
      <c r="I8" s="1">
        <v>48.047699999999999</v>
      </c>
      <c r="J8" s="1">
        <v>35.970500000000001</v>
      </c>
      <c r="K8" s="1">
        <v>17.335599999999999</v>
      </c>
      <c r="L8" s="1">
        <v>6.1151799999999996</v>
      </c>
      <c r="M8" s="1">
        <v>35.970500000000001</v>
      </c>
      <c r="N8" s="1">
        <v>3.4044300000000001</v>
      </c>
      <c r="O8" s="1">
        <v>0.50038000000000005</v>
      </c>
    </row>
    <row r="9" spans="1:15" s="2" customFormat="1" x14ac:dyDescent="0.2">
      <c r="A9" s="263"/>
      <c r="B9" s="7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s="3" customFormat="1" x14ac:dyDescent="0.2">
      <c r="A10" s="264"/>
      <c r="B10" s="8" t="s">
        <v>10</v>
      </c>
      <c r="C10" s="5"/>
      <c r="D10" s="5">
        <v>0.21</v>
      </c>
      <c r="E10" s="5">
        <v>0.21</v>
      </c>
      <c r="F10" s="5">
        <v>0.21</v>
      </c>
      <c r="G10" s="5">
        <v>0.21</v>
      </c>
      <c r="H10" s="5">
        <v>0.21</v>
      </c>
      <c r="I10" s="5">
        <v>0.21</v>
      </c>
      <c r="J10" s="5">
        <v>9.9999999999999998E-13</v>
      </c>
      <c r="K10" s="5">
        <v>0.16517699999999999</v>
      </c>
      <c r="L10" s="5">
        <v>0.16517699999999999</v>
      </c>
      <c r="M10" s="5">
        <v>9.9999999999999998E-13</v>
      </c>
      <c r="N10" s="5">
        <v>0.120657</v>
      </c>
      <c r="O10" s="5">
        <v>0.120657</v>
      </c>
    </row>
    <row r="11" spans="1:15" s="3" customFormat="1" x14ac:dyDescent="0.2">
      <c r="A11" s="264"/>
      <c r="B11" s="8" t="s">
        <v>11</v>
      </c>
      <c r="C11" s="5"/>
      <c r="D11" s="5">
        <v>0.79</v>
      </c>
      <c r="E11" s="5">
        <v>0.79</v>
      </c>
      <c r="F11" s="5">
        <v>0.79</v>
      </c>
      <c r="G11" s="5">
        <v>0.79</v>
      </c>
      <c r="H11" s="5">
        <v>0.79</v>
      </c>
      <c r="I11" s="5">
        <v>0.79</v>
      </c>
      <c r="J11" s="5">
        <v>9.9999999999999998E-13</v>
      </c>
      <c r="K11" s="5">
        <v>0.77397700000000003</v>
      </c>
      <c r="L11" s="5">
        <v>0.77397700000000003</v>
      </c>
      <c r="M11" s="5">
        <v>9.9999999999999998E-13</v>
      </c>
      <c r="N11" s="5">
        <v>0.75806300000000004</v>
      </c>
      <c r="O11" s="5">
        <v>0.75806300000000004</v>
      </c>
    </row>
    <row r="12" spans="1:15" s="3" customFormat="1" x14ac:dyDescent="0.2">
      <c r="A12" s="264"/>
      <c r="B12" s="8" t="s">
        <v>12</v>
      </c>
      <c r="C12" s="5"/>
      <c r="D12" s="5">
        <v>9.9999999999999998E-13</v>
      </c>
      <c r="E12" s="5">
        <v>9.9999999999999998E-13</v>
      </c>
      <c r="F12" s="5">
        <v>9.9999999999999998E-13</v>
      </c>
      <c r="G12" s="5">
        <v>9.9999999999999998E-13</v>
      </c>
      <c r="H12" s="5">
        <v>9.9999999999999998E-13</v>
      </c>
      <c r="I12" s="5">
        <v>9.9999999999999998E-13</v>
      </c>
      <c r="J12" s="5">
        <v>1</v>
      </c>
      <c r="K12" s="5">
        <v>9.9999999999999998E-13</v>
      </c>
      <c r="L12" s="5">
        <v>9.9999999999999998E-13</v>
      </c>
      <c r="M12" s="5">
        <v>1</v>
      </c>
      <c r="N12" s="5">
        <v>9.9999999999999998E-13</v>
      </c>
      <c r="O12" s="5">
        <v>9.9999999999999998E-13</v>
      </c>
    </row>
    <row r="13" spans="1:15" s="3" customFormat="1" x14ac:dyDescent="0.2">
      <c r="A13" s="264"/>
      <c r="B13" s="8" t="s">
        <v>13</v>
      </c>
      <c r="C13" s="5"/>
      <c r="D13" s="5">
        <v>9.9999999999999998E-13</v>
      </c>
      <c r="E13" s="5">
        <v>9.9999999999999998E-13</v>
      </c>
      <c r="F13" s="5">
        <v>9.9999999999999998E-13</v>
      </c>
      <c r="G13" s="5">
        <v>9.9999999999999998E-13</v>
      </c>
      <c r="H13" s="5">
        <v>9.9999999999999998E-13</v>
      </c>
      <c r="I13" s="5">
        <v>9.9999999999999998E-13</v>
      </c>
      <c r="J13" s="5">
        <v>9.9999999999999998E-13</v>
      </c>
      <c r="K13" s="5">
        <v>4.0564299999999998E-2</v>
      </c>
      <c r="L13" s="5">
        <v>4.0564299999999998E-2</v>
      </c>
      <c r="M13" s="5">
        <v>9.9999999999999998E-13</v>
      </c>
      <c r="N13" s="5">
        <v>8.0853300000000003E-2</v>
      </c>
      <c r="O13" s="5">
        <v>8.0853300000000003E-2</v>
      </c>
    </row>
    <row r="14" spans="1:15" s="3" customFormat="1" x14ac:dyDescent="0.2">
      <c r="A14" s="265"/>
      <c r="B14" s="8" t="s">
        <v>14</v>
      </c>
      <c r="C14" s="5"/>
      <c r="D14" s="5">
        <v>9.9999999999999998E-13</v>
      </c>
      <c r="E14" s="5">
        <v>9.9999999999999998E-13</v>
      </c>
      <c r="F14" s="5">
        <v>9.9999999999999998E-13</v>
      </c>
      <c r="G14" s="5">
        <v>9.9999999999999998E-13</v>
      </c>
      <c r="H14" s="5">
        <v>9.9999999999999998E-13</v>
      </c>
      <c r="I14" s="5">
        <v>9.9999999999999998E-13</v>
      </c>
      <c r="J14" s="5">
        <v>9.9999999999999998E-13</v>
      </c>
      <c r="K14" s="5">
        <v>2.0282100000000001E-2</v>
      </c>
      <c r="L14" s="5">
        <v>2.0282100000000001E-2</v>
      </c>
      <c r="M14" s="5">
        <v>9.9999999999999998E-13</v>
      </c>
      <c r="N14" s="5">
        <v>4.0426700000000003E-2</v>
      </c>
      <c r="O14" s="5">
        <v>4.0426700000000003E-2</v>
      </c>
    </row>
    <row r="15" spans="1:15" s="14" customFormat="1" x14ac:dyDescent="0.2">
      <c r="A15" s="21"/>
      <c r="B15" s="22" t="s">
        <v>17</v>
      </c>
      <c r="C15" s="23" t="s">
        <v>29</v>
      </c>
      <c r="D15" s="23">
        <v>92.747399999999999</v>
      </c>
      <c r="E15" s="23">
        <v>21.020199999999999</v>
      </c>
      <c r="F15" s="23">
        <v>11.0768</v>
      </c>
      <c r="G15" s="23">
        <v>2.5761799999999999</v>
      </c>
      <c r="H15" s="23">
        <v>1.33544</v>
      </c>
      <c r="I15" s="23">
        <v>2.24777</v>
      </c>
      <c r="J15" s="23">
        <v>3.4563499999999997E-2</v>
      </c>
      <c r="K15" s="23">
        <v>6.3016800000000002</v>
      </c>
      <c r="L15" s="23">
        <v>17.8643</v>
      </c>
      <c r="M15" s="23">
        <v>3.5775300000000003E-2</v>
      </c>
      <c r="N15" s="23">
        <v>32.466500000000003</v>
      </c>
      <c r="O15" s="23">
        <v>220.892</v>
      </c>
    </row>
    <row r="16" spans="1:15" s="24" customFormat="1" x14ac:dyDescent="0.2">
      <c r="A16" s="266" t="s">
        <v>42</v>
      </c>
      <c r="B16" s="15" t="s">
        <v>3</v>
      </c>
      <c r="C16" s="15" t="s">
        <v>21</v>
      </c>
      <c r="D16" s="15">
        <v>-8.0400313665215108</v>
      </c>
      <c r="E16" s="15">
        <v>8084.7235616353901</v>
      </c>
      <c r="F16" s="15">
        <v>80.743068456680803</v>
      </c>
      <c r="G16" s="15">
        <v>8373.5879414053397</v>
      </c>
      <c r="H16" s="15">
        <v>-26.355415834497698</v>
      </c>
      <c r="I16" s="15">
        <v>-26.355415834497698</v>
      </c>
      <c r="J16" s="15">
        <v>-75285.1803200758</v>
      </c>
      <c r="K16" s="15">
        <v>-1552.4845770331799</v>
      </c>
      <c r="L16" s="15">
        <v>-8180.7819428042803</v>
      </c>
      <c r="M16" s="15">
        <v>-75430.399119704496</v>
      </c>
      <c r="N16" s="15">
        <v>-9563.5362864368908</v>
      </c>
      <c r="O16" s="15">
        <v>-23652.505615391601</v>
      </c>
    </row>
    <row r="17" spans="1:15" s="25" customFormat="1" x14ac:dyDescent="0.2">
      <c r="A17" s="266"/>
      <c r="B17" s="16" t="s">
        <v>4</v>
      </c>
      <c r="C17" s="16" t="s">
        <v>22</v>
      </c>
      <c r="D17" s="16">
        <v>-0.27868009271364602</v>
      </c>
      <c r="E17" s="16">
        <v>280.22919426687798</v>
      </c>
      <c r="F17" s="16">
        <v>2.7986813455961999</v>
      </c>
      <c r="G17" s="16">
        <v>290.24168656524898</v>
      </c>
      <c r="H17" s="16">
        <v>-0.91352003411924099</v>
      </c>
      <c r="I17" s="16">
        <v>-0.91352003411924099</v>
      </c>
      <c r="J17" s="16">
        <v>-4692.7823092831804</v>
      </c>
      <c r="K17" s="16">
        <v>-54.300374839436103</v>
      </c>
      <c r="L17" s="16">
        <v>-286.134582298314</v>
      </c>
      <c r="M17" s="16">
        <v>-4701.8342928339298</v>
      </c>
      <c r="N17" s="16">
        <v>-337.54442323178199</v>
      </c>
      <c r="O17" s="16">
        <v>-834.81372651416802</v>
      </c>
    </row>
    <row r="18" spans="1:15" s="27" customFormat="1" x14ac:dyDescent="0.2">
      <c r="A18" s="266"/>
      <c r="B18" s="26" t="s">
        <v>45</v>
      </c>
      <c r="C18" s="26" t="s">
        <v>46</v>
      </c>
      <c r="D18" s="26">
        <v>-3.00974500130738E-2</v>
      </c>
      <c r="E18" s="26">
        <v>30.264752980822799</v>
      </c>
      <c r="F18" s="26">
        <v>0.30225758532439001</v>
      </c>
      <c r="G18" s="26">
        <v>31.346102149046899</v>
      </c>
      <c r="H18" s="26">
        <v>-9.8660163684877997E-2</v>
      </c>
      <c r="I18" s="26">
        <v>-9.8660163684877997E-2</v>
      </c>
      <c r="J18" s="26">
        <v>-5.8332747529170899</v>
      </c>
      <c r="K18" s="26">
        <v>-5.9319375419192797</v>
      </c>
      <c r="L18" s="26">
        <v>-31.258209097003501</v>
      </c>
      <c r="M18" s="26">
        <v>-6.0505343839613799</v>
      </c>
      <c r="N18" s="26">
        <v>-37.308743481300397</v>
      </c>
      <c r="O18" s="26">
        <v>-92.271858260856703</v>
      </c>
    </row>
    <row r="19" spans="1:15" s="24" customFormat="1" x14ac:dyDescent="0.2">
      <c r="A19" s="266" t="s">
        <v>43</v>
      </c>
      <c r="B19" s="15" t="s">
        <v>5</v>
      </c>
      <c r="C19" s="15" t="s">
        <v>23</v>
      </c>
      <c r="D19" s="15">
        <v>4.3601378591915596</v>
      </c>
      <c r="E19" s="15">
        <v>5.8108679102930401</v>
      </c>
      <c r="F19" s="15">
        <v>-13.077599332960601</v>
      </c>
      <c r="G19" s="15">
        <v>-11.6188320973275</v>
      </c>
      <c r="H19" s="15">
        <v>-31.022954189289202</v>
      </c>
      <c r="I19" s="15">
        <v>-26.633391793465599</v>
      </c>
      <c r="J19" s="15">
        <v>-113.38346305809</v>
      </c>
      <c r="K19" s="15">
        <v>4.1610305582757299</v>
      </c>
      <c r="L19" s="15">
        <v>6.11777320699764</v>
      </c>
      <c r="M19" s="15">
        <v>-115.18523739835599</v>
      </c>
      <c r="N19" s="15">
        <v>24.731569985112198</v>
      </c>
      <c r="O19" s="15">
        <v>28.609144798352599</v>
      </c>
    </row>
    <row r="20" spans="1:15" s="25" customFormat="1" x14ac:dyDescent="0.2">
      <c r="A20" s="266"/>
      <c r="B20" s="16" t="s">
        <v>6</v>
      </c>
      <c r="C20" s="16" t="s">
        <v>24</v>
      </c>
      <c r="D20" s="16">
        <v>0.15112921423458101</v>
      </c>
      <c r="E20" s="16">
        <v>0.201413792330493</v>
      </c>
      <c r="F20" s="16">
        <v>-0.45329009657310898</v>
      </c>
      <c r="G20" s="16">
        <v>-0.40272693706024598</v>
      </c>
      <c r="H20" s="16">
        <v>-1.07530423148868</v>
      </c>
      <c r="I20" s="16">
        <v>-0.92315511668122097</v>
      </c>
      <c r="J20" s="16">
        <v>-7.0675783380222601</v>
      </c>
      <c r="K20" s="16">
        <v>0.14553801201974301</v>
      </c>
      <c r="L20" s="16">
        <v>0.21397789275141499</v>
      </c>
      <c r="M20" s="16">
        <v>-7.1798890838207301</v>
      </c>
      <c r="N20" s="16">
        <v>0.87289923687333004</v>
      </c>
      <c r="O20" s="16">
        <v>1.0097580006895499</v>
      </c>
    </row>
    <row r="21" spans="1:15" s="20" customFormat="1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s="24" customFormat="1" x14ac:dyDescent="0.2">
      <c r="A22" s="266" t="s">
        <v>44</v>
      </c>
      <c r="B22" s="15" t="s">
        <v>37</v>
      </c>
      <c r="C22" s="15" t="s">
        <v>21</v>
      </c>
      <c r="D22" s="15">
        <v>-8.0400299999999998</v>
      </c>
      <c r="E22" s="15">
        <v>-8.0400299999999998</v>
      </c>
      <c r="F22" s="15">
        <v>-8.0400299999999998</v>
      </c>
      <c r="G22" s="15">
        <v>-8.0400299999999998</v>
      </c>
      <c r="H22" s="15">
        <v>-8.0400299999999998</v>
      </c>
      <c r="I22" s="15">
        <v>-8.0400299999999998</v>
      </c>
      <c r="J22" s="15">
        <v>-74538.100000000006</v>
      </c>
      <c r="K22" s="15">
        <v>-17800.7</v>
      </c>
      <c r="L22" s="15">
        <v>-17800.7</v>
      </c>
      <c r="M22" s="15">
        <v>-74538.100000000006</v>
      </c>
      <c r="N22" s="15">
        <v>-35472.800000000003</v>
      </c>
      <c r="O22" s="15">
        <v>-35472.800000000003</v>
      </c>
    </row>
    <row r="23" spans="1:15" s="25" customFormat="1" x14ac:dyDescent="0.2">
      <c r="A23" s="266"/>
      <c r="B23" s="16" t="s">
        <v>36</v>
      </c>
      <c r="C23" s="16" t="s">
        <v>22</v>
      </c>
      <c r="D23" s="16">
        <f>D22/D6</f>
        <v>-0.27868004534786772</v>
      </c>
      <c r="E23" s="16">
        <f t="shared" ref="E23:O23" si="1">E22/E6</f>
        <v>-0.27868004534786772</v>
      </c>
      <c r="F23" s="16">
        <f t="shared" si="1"/>
        <v>-0.27868004534786772</v>
      </c>
      <c r="G23" s="16">
        <f t="shared" si="1"/>
        <v>-0.27868004534786772</v>
      </c>
      <c r="H23" s="16">
        <f t="shared" si="1"/>
        <v>-0.27868004534786772</v>
      </c>
      <c r="I23" s="16">
        <f t="shared" si="1"/>
        <v>-0.27868004534786772</v>
      </c>
      <c r="J23" s="16">
        <f t="shared" si="1"/>
        <v>-4646.214242437085</v>
      </c>
      <c r="K23" s="16">
        <f t="shared" si="1"/>
        <v>-622.60501437734706</v>
      </c>
      <c r="L23" s="16">
        <f t="shared" si="1"/>
        <v>-622.60501437734706</v>
      </c>
      <c r="M23" s="16">
        <f t="shared" si="1"/>
        <v>-4646.214242437085</v>
      </c>
      <c r="N23" s="16">
        <f t="shared" si="1"/>
        <v>-1252.010287595971</v>
      </c>
      <c r="O23" s="16">
        <f t="shared" si="1"/>
        <v>-1252.010287595971</v>
      </c>
    </row>
    <row r="24" spans="1:15" s="24" customFormat="1" x14ac:dyDescent="0.2">
      <c r="A24" s="266"/>
      <c r="B24" s="15" t="s">
        <v>35</v>
      </c>
      <c r="C24" s="15" t="s">
        <v>23</v>
      </c>
      <c r="D24" s="15">
        <v>4.3601400000000003</v>
      </c>
      <c r="E24" s="15">
        <v>4.3601400000000003</v>
      </c>
      <c r="F24" s="15">
        <v>4.3601400000000003</v>
      </c>
      <c r="G24" s="15">
        <v>4.3601400000000003</v>
      </c>
      <c r="H24" s="15">
        <v>4.3601400000000003</v>
      </c>
      <c r="I24" s="15">
        <v>4.3601400000000003</v>
      </c>
      <c r="J24" s="15">
        <v>-80.529799999999994</v>
      </c>
      <c r="K24" s="15">
        <v>4.1985999999999999</v>
      </c>
      <c r="L24" s="15">
        <v>4.1985999999999999</v>
      </c>
      <c r="M24" s="15">
        <v>-80.529799999999994</v>
      </c>
      <c r="N24" s="15">
        <v>3.2382200000000001</v>
      </c>
      <c r="O24" s="15">
        <v>3.2382200000000001</v>
      </c>
    </row>
    <row r="25" spans="1:15" s="25" customFormat="1" x14ac:dyDescent="0.2">
      <c r="A25" s="266"/>
      <c r="B25" s="16" t="s">
        <v>34</v>
      </c>
      <c r="C25" s="16" t="s">
        <v>24</v>
      </c>
      <c r="D25" s="16">
        <f>D24/D6</f>
        <v>0.15112928843835807</v>
      </c>
      <c r="E25" s="16">
        <f t="shared" ref="E25:N25" si="2">E24/E6</f>
        <v>0.15112928843835807</v>
      </c>
      <c r="F25" s="16">
        <f t="shared" si="2"/>
        <v>0.15112928843835807</v>
      </c>
      <c r="G25" s="16">
        <f t="shared" si="2"/>
        <v>0.15112928843835807</v>
      </c>
      <c r="H25" s="16">
        <f t="shared" si="2"/>
        <v>0.15112928843835807</v>
      </c>
      <c r="I25" s="16">
        <f t="shared" si="2"/>
        <v>0.15112928843835807</v>
      </c>
      <c r="J25" s="16">
        <f t="shared" si="2"/>
        <v>-5.0196973588085809</v>
      </c>
      <c r="K25" s="16">
        <f t="shared" si="2"/>
        <v>0.14685205713060323</v>
      </c>
      <c r="L25" s="16">
        <f t="shared" si="2"/>
        <v>0.14685205713060323</v>
      </c>
      <c r="M25" s="16">
        <f t="shared" si="2"/>
        <v>-5.0196973588085809</v>
      </c>
      <c r="N25" s="16">
        <f t="shared" si="2"/>
        <v>0.11429277512626647</v>
      </c>
      <c r="O25" s="16">
        <f>O24/O6</f>
        <v>0.11429277512626647</v>
      </c>
    </row>
    <row r="26" spans="1:15" s="20" customFormat="1" x14ac:dyDescent="0.2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s="24" customFormat="1" x14ac:dyDescent="0.2">
      <c r="A27" s="267" t="s">
        <v>40</v>
      </c>
      <c r="B27" s="15" t="s">
        <v>38</v>
      </c>
      <c r="C27" s="15" t="s">
        <v>21</v>
      </c>
      <c r="D27" s="15">
        <v>-32.612400000000001</v>
      </c>
      <c r="E27" s="15">
        <v>7636.28</v>
      </c>
      <c r="F27" s="15">
        <v>5259.6</v>
      </c>
      <c r="G27" s="15">
        <v>13126.7</v>
      </c>
      <c r="H27" s="15">
        <v>10507.1</v>
      </c>
      <c r="I27" s="15">
        <v>9189.75</v>
      </c>
      <c r="J27" s="15">
        <v>9407.65</v>
      </c>
      <c r="K27" s="15">
        <v>16231.9</v>
      </c>
      <c r="L27" s="15">
        <v>9020.5400000000009</v>
      </c>
      <c r="M27" s="15">
        <v>9407.65</v>
      </c>
      <c r="N27" s="15">
        <v>19561</v>
      </c>
      <c r="O27" s="15">
        <v>4316.29</v>
      </c>
    </row>
    <row r="28" spans="1:15" s="25" customFormat="1" ht="13.5" customHeight="1" x14ac:dyDescent="0.2">
      <c r="A28" s="268"/>
      <c r="B28" s="16" t="s">
        <v>39</v>
      </c>
      <c r="C28" s="16" t="s">
        <v>22</v>
      </c>
      <c r="D28" s="16">
        <v>-1.1304000000000001</v>
      </c>
      <c r="E28" s="16">
        <v>264.68599999999998</v>
      </c>
      <c r="F28" s="16">
        <v>182.30600000000001</v>
      </c>
      <c r="G28" s="16">
        <v>454.99099999999999</v>
      </c>
      <c r="H28" s="16">
        <v>364.19299999999998</v>
      </c>
      <c r="I28" s="16">
        <v>318.53100000000001</v>
      </c>
      <c r="J28" s="16">
        <v>586.41099999999994</v>
      </c>
      <c r="K28" s="16">
        <v>567.73400000000004</v>
      </c>
      <c r="L28" s="16">
        <v>315.50700000000001</v>
      </c>
      <c r="M28" s="16">
        <v>586.41099999999994</v>
      </c>
      <c r="N28" s="16">
        <v>690.40499999999997</v>
      </c>
      <c r="O28" s="16">
        <v>152.34299999999999</v>
      </c>
    </row>
    <row r="29" spans="1:15" s="29" customFormat="1" x14ac:dyDescent="0.2">
      <c r="A29" s="268"/>
      <c r="B29" s="28" t="s">
        <v>49</v>
      </c>
      <c r="C29" s="17" t="s">
        <v>22</v>
      </c>
      <c r="D29" s="28">
        <f>(D17-D23)-$D$2*(D20-D25)</f>
        <v>2.2076490354330789E-5</v>
      </c>
      <c r="E29" s="28">
        <f t="shared" ref="E29:O29" si="3">(E17-E23)-$D$2*(E20-E25)</f>
        <v>265.51554947678585</v>
      </c>
      <c r="F29" s="28">
        <f t="shared" si="3"/>
        <v>183.28500103211297</v>
      </c>
      <c r="G29" s="28">
        <f t="shared" si="3"/>
        <v>455.65260024300562</v>
      </c>
      <c r="H29" s="28">
        <f t="shared" si="3"/>
        <v>365.02631397747501</v>
      </c>
      <c r="I29" s="28">
        <f t="shared" si="3"/>
        <v>319.66305539763107</v>
      </c>
      <c r="J29" s="28">
        <f t="shared" si="3"/>
        <v>564.00764710646297</v>
      </c>
      <c r="K29" s="28">
        <f t="shared" si="3"/>
        <v>568.69642208771393</v>
      </c>
      <c r="L29" s="28">
        <f t="shared" si="3"/>
        <v>316.45686418868803</v>
      </c>
      <c r="M29" s="28">
        <f t="shared" si="3"/>
        <v>588.44111241552741</v>
      </c>
      <c r="N29" s="28">
        <f t="shared" si="3"/>
        <v>688.28734779430192</v>
      </c>
      <c r="O29" s="28">
        <f t="shared" si="3"/>
        <v>150.21360408011003</v>
      </c>
    </row>
    <row r="30" spans="1:15" s="52" customFormat="1" x14ac:dyDescent="0.2">
      <c r="A30" s="269"/>
      <c r="B30" s="51" t="s">
        <v>51</v>
      </c>
      <c r="C30" s="51" t="s">
        <v>52</v>
      </c>
      <c r="D30" s="51">
        <f>D29*D4/1000</f>
        <v>2.3842609582677253E-6</v>
      </c>
      <c r="E30" s="51">
        <f>E29*E4/1000</f>
        <v>28.675679343492874</v>
      </c>
      <c r="F30" s="51">
        <f t="shared" ref="F30:O30" si="4">F29*F4/1000</f>
        <v>19.794780111468199</v>
      </c>
      <c r="G30" s="51">
        <f t="shared" si="4"/>
        <v>49.210480826244613</v>
      </c>
      <c r="H30" s="51">
        <f t="shared" si="4"/>
        <v>39.422841909567303</v>
      </c>
      <c r="I30" s="51">
        <f t="shared" si="4"/>
        <v>34.523609982944151</v>
      </c>
      <c r="J30" s="51">
        <f t="shared" si="4"/>
        <v>0.70107909369886201</v>
      </c>
      <c r="K30" s="51">
        <f t="shared" si="4"/>
        <v>62.126120972691183</v>
      </c>
      <c r="L30" s="51">
        <f t="shared" si="4"/>
        <v>34.570707083141457</v>
      </c>
      <c r="M30" s="51">
        <f>M29*M4/1000</f>
        <v>0.75723280784969671</v>
      </c>
      <c r="N30" s="51">
        <f t="shared" si="4"/>
        <v>76.076315687340269</v>
      </c>
      <c r="O30" s="51">
        <f t="shared" si="4"/>
        <v>16.603091137957133</v>
      </c>
    </row>
    <row r="31" spans="1:15" s="57" customFormat="1" x14ac:dyDescent="0.2">
      <c r="A31" s="270" t="s">
        <v>41</v>
      </c>
      <c r="B31" s="55" t="s">
        <v>53</v>
      </c>
      <c r="C31" s="55" t="s">
        <v>63</v>
      </c>
      <c r="D31" s="56">
        <f>((D10*$C$43+D11*$C$44+D12*$C$45+D13*$C$47+D14*$C$48)+$B$40*$B$41*(D10*LN(D10)+D11*LN(D11)+D12*LN(D12)+D13*LN(D13)+D14*LN(D14)))/1000</f>
        <v>128.4220614795494</v>
      </c>
      <c r="E31" s="56">
        <f t="shared" ref="E31:O31" si="5">((E10*$C$43+E11*$C$44+E12*$C$45+E13*$C$47+E14*$C$48)+$B$40*$B$41*(E10*LN(E10)+E11*LN(E11)+E12*LN(E12)+E13*LN(E13)+E14*LN(E14)))/1000</f>
        <v>128.4220614795494</v>
      </c>
      <c r="F31" s="56">
        <f t="shared" si="5"/>
        <v>128.4220614795494</v>
      </c>
      <c r="G31" s="56">
        <f t="shared" si="5"/>
        <v>128.4220614795494</v>
      </c>
      <c r="H31" s="56">
        <f t="shared" si="5"/>
        <v>128.4220614795494</v>
      </c>
      <c r="I31" s="56">
        <f t="shared" si="5"/>
        <v>128.4220614795494</v>
      </c>
      <c r="J31" s="56">
        <f t="shared" si="5"/>
        <v>831649.99999976018</v>
      </c>
      <c r="K31" s="56">
        <f t="shared" si="5"/>
        <v>254.19493466795421</v>
      </c>
      <c r="L31" s="56">
        <f t="shared" si="5"/>
        <v>254.19493466795421</v>
      </c>
      <c r="M31" s="56">
        <f t="shared" si="5"/>
        <v>831649.99999976018</v>
      </c>
      <c r="N31" s="56">
        <f t="shared" si="5"/>
        <v>617.50268490611131</v>
      </c>
      <c r="O31" s="56">
        <f t="shared" si="5"/>
        <v>617.50268490611131</v>
      </c>
    </row>
    <row r="32" spans="1:15" s="60" customFormat="1" x14ac:dyDescent="0.2">
      <c r="A32" s="270"/>
      <c r="B32" s="58" t="s">
        <v>53</v>
      </c>
      <c r="C32" s="58" t="s">
        <v>64</v>
      </c>
      <c r="D32" s="59">
        <f>D31/D6</f>
        <v>4.4513099971999459</v>
      </c>
      <c r="E32" s="59">
        <f t="shared" ref="E32:O32" si="6">E31/E6</f>
        <v>4.4513099971999459</v>
      </c>
      <c r="F32" s="59">
        <f t="shared" si="6"/>
        <v>4.4513099971999459</v>
      </c>
      <c r="G32" s="59">
        <f t="shared" si="6"/>
        <v>4.4513099971999459</v>
      </c>
      <c r="H32" s="59">
        <f t="shared" si="6"/>
        <v>4.4513099971999459</v>
      </c>
      <c r="I32" s="59">
        <f t="shared" si="6"/>
        <v>4.4513099971999459</v>
      </c>
      <c r="J32" s="59">
        <f t="shared" si="6"/>
        <v>51839.583712513289</v>
      </c>
      <c r="K32" s="59">
        <f t="shared" si="6"/>
        <v>8.8908324365665639</v>
      </c>
      <c r="L32" s="59">
        <f t="shared" si="6"/>
        <v>8.8908324365665639</v>
      </c>
      <c r="M32" s="59">
        <f t="shared" si="6"/>
        <v>51839.583712513289</v>
      </c>
      <c r="N32" s="59">
        <f t="shared" si="6"/>
        <v>21.794719168506141</v>
      </c>
      <c r="O32" s="59">
        <f t="shared" si="6"/>
        <v>21.794719168506141</v>
      </c>
    </row>
    <row r="33" spans="1:28" s="54" customFormat="1" x14ac:dyDescent="0.2">
      <c r="A33" s="270"/>
      <c r="B33" s="53" t="s">
        <v>51</v>
      </c>
      <c r="C33" s="53" t="s">
        <v>52</v>
      </c>
      <c r="D33" s="53">
        <f>((D10*$C$43+D11*$C$44+D12*$C$45+D13*$C$47+D14*$C$48)+$B$40*$B$41*(D10*LN(D10)+D11*LN(D11)+D12*LN(D12)+D13*LN(D13)+D14*LN(D14)))*D5/10^6</f>
        <v>0.48074147969759418</v>
      </c>
      <c r="E33" s="53">
        <f>((E10*$C$43+E11*$C$44+E12*$C$45+E13*$C$47+E14*$C$48)+$B$40*$B$41*(E10*LN(E10)+E11*LN(E11)+E12*LN(E12)+E13*LN(E13)+E14*LN(E14)))*E5/10^6</f>
        <v>0.48074147969759418</v>
      </c>
      <c r="F33" s="53">
        <f t="shared" ref="F33:K33" si="7">((F10*$C$43+F11*$C$44+F12*$C$45+F13*$C$47+F14*$C$48)+$B$40*$B$41*(F10*LN(F10)+F11*LN(F11)+F12*LN(F12)+F13*LN(F13)+F14*LN(F14)))*F5/10^6</f>
        <v>0.48074147969759418</v>
      </c>
      <c r="G33" s="53">
        <f t="shared" si="7"/>
        <v>0.48074147969759418</v>
      </c>
      <c r="H33" s="53">
        <f t="shared" si="7"/>
        <v>0.48074147969759418</v>
      </c>
      <c r="I33" s="53">
        <f t="shared" si="7"/>
        <v>0.48074147969759418</v>
      </c>
      <c r="J33" s="53">
        <f t="shared" si="7"/>
        <v>64.438219150661311</v>
      </c>
      <c r="K33" s="53">
        <f t="shared" si="7"/>
        <v>0.97126148512477872</v>
      </c>
      <c r="L33" s="53">
        <f>((L10*$C$43+L11*$C$44+L12*$C$45+L13*$C$47+L14*$C$48)+$B$40*$B$41*(L10*LN(L10)+L11*LN(L11)+L12*LN(L12)+L13*LN(L13)+L14*LN(L14)))*L5/10^6</f>
        <v>0.97126148512477872</v>
      </c>
      <c r="M33" s="53">
        <f>((M10*$C$43+M11*$C$44+M12*$C$45+M13*$C$47+M14*$C$48)+$B$40*$B$41*(M10*LN(M10)+M11*LN(M11)+M12*LN(M12)+M13*LN(M13)+M14*LN(M14)))*M5/10^6</f>
        <v>66.709535931721575</v>
      </c>
      <c r="N33" s="53">
        <f t="shared" ref="N33:O33" si="8">((N10*$C$43+N11*$C$44+N12*$C$45+N13*$C$47+N14*$C$48)+$B$40*$B$41*(N10*LN(N10)+N11*LN(N11)+N12*LN(N12)+N13*LN(N13)+N14*LN(N14)))*N5/10^6</f>
        <v>2.4089676224525327</v>
      </c>
      <c r="O33" s="53">
        <f t="shared" si="8"/>
        <v>2.4089676224525327</v>
      </c>
    </row>
    <row r="34" spans="1:28" x14ac:dyDescent="0.2">
      <c r="A34" s="30" t="s">
        <v>65</v>
      </c>
      <c r="B34" s="34" t="s">
        <v>50</v>
      </c>
      <c r="C34" s="34" t="s">
        <v>52</v>
      </c>
      <c r="D34" s="50">
        <f>D33+D30</f>
        <v>0.48074386395855245</v>
      </c>
      <c r="E34" s="50">
        <f t="shared" ref="E34:O34" si="9">E33+E30</f>
        <v>29.156420823190469</v>
      </c>
      <c r="F34" s="50">
        <f t="shared" si="9"/>
        <v>20.275521591165795</v>
      </c>
      <c r="G34" s="50">
        <f t="shared" si="9"/>
        <v>49.691222305942205</v>
      </c>
      <c r="H34" s="50">
        <f t="shared" si="9"/>
        <v>39.903583389264895</v>
      </c>
      <c r="I34" s="50">
        <f t="shared" si="9"/>
        <v>35.004351462641743</v>
      </c>
      <c r="J34" s="50">
        <f t="shared" si="9"/>
        <v>65.139298244360177</v>
      </c>
      <c r="K34" s="50">
        <f t="shared" si="9"/>
        <v>63.097382457815961</v>
      </c>
      <c r="L34" s="50">
        <f t="shared" si="9"/>
        <v>35.541968568266235</v>
      </c>
      <c r="M34" s="50">
        <f t="shared" si="9"/>
        <v>67.466768739571279</v>
      </c>
      <c r="N34" s="50">
        <f t="shared" si="9"/>
        <v>78.485283309792806</v>
      </c>
      <c r="O34" s="50">
        <f t="shared" si="9"/>
        <v>19.012058760409666</v>
      </c>
    </row>
    <row r="35" spans="1:28" s="2" customFormat="1" x14ac:dyDescent="0.2">
      <c r="A35" s="35"/>
      <c r="B35" s="36"/>
      <c r="C35" s="36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Q35" s="76" t="s">
        <v>93</v>
      </c>
      <c r="R35" s="77"/>
      <c r="S35" s="76" t="s">
        <v>94</v>
      </c>
    </row>
    <row r="36" spans="1:28" s="2" customFormat="1" x14ac:dyDescent="0.2">
      <c r="A36" s="35"/>
      <c r="B36" s="36"/>
      <c r="C36" s="36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274" t="s">
        <v>95</v>
      </c>
      <c r="Q36" s="76">
        <v>1</v>
      </c>
      <c r="R36" s="274" t="s">
        <v>96</v>
      </c>
      <c r="S36" s="76">
        <v>12</v>
      </c>
      <c r="T36" s="274" t="s">
        <v>97</v>
      </c>
      <c r="U36" s="76">
        <v>8</v>
      </c>
    </row>
    <row r="37" spans="1:28" x14ac:dyDescent="0.2">
      <c r="B37" t="s">
        <v>32</v>
      </c>
      <c r="F37" s="277" t="s">
        <v>66</v>
      </c>
      <c r="G37" s="278"/>
      <c r="H37" s="61" t="s">
        <v>67</v>
      </c>
      <c r="I37" s="61" t="s">
        <v>68</v>
      </c>
      <c r="J37" s="61" t="s">
        <v>69</v>
      </c>
      <c r="K37" s="61" t="s">
        <v>70</v>
      </c>
      <c r="L37" s="61" t="s">
        <v>71</v>
      </c>
      <c r="M37" s="62" t="s">
        <v>72</v>
      </c>
      <c r="P37" s="274"/>
      <c r="Q37" s="45" t="s">
        <v>81</v>
      </c>
      <c r="R37" s="274"/>
      <c r="S37" s="45">
        <v>14</v>
      </c>
      <c r="T37" s="274"/>
      <c r="U37" s="45">
        <v>9</v>
      </c>
    </row>
    <row r="38" spans="1:28" x14ac:dyDescent="0.2">
      <c r="B38" t="s">
        <v>33</v>
      </c>
      <c r="F38" s="279" t="s">
        <v>73</v>
      </c>
      <c r="G38" s="280"/>
      <c r="H38" s="63">
        <v>30974.2</v>
      </c>
      <c r="I38" s="63">
        <v>-29996.3</v>
      </c>
      <c r="J38" s="63">
        <v>31677.9</v>
      </c>
      <c r="K38" s="63">
        <v>-31447.5</v>
      </c>
      <c r="L38" s="63">
        <v>24819.1</v>
      </c>
      <c r="M38" s="64">
        <v>53863.1</v>
      </c>
      <c r="P38" s="274"/>
      <c r="Q38" s="45" t="s">
        <v>82</v>
      </c>
      <c r="R38" s="274"/>
      <c r="S38" s="45">
        <v>16</v>
      </c>
      <c r="T38" s="274"/>
      <c r="U38" s="45"/>
    </row>
    <row r="39" spans="1:28" x14ac:dyDescent="0.2">
      <c r="H39" s="45" t="s">
        <v>75</v>
      </c>
      <c r="I39" s="45" t="s">
        <v>74</v>
      </c>
      <c r="J39" s="45" t="s">
        <v>76</v>
      </c>
      <c r="K39" s="45" t="s">
        <v>77</v>
      </c>
      <c r="L39" s="45" t="s">
        <v>78</v>
      </c>
      <c r="M39" s="45" t="s">
        <v>79</v>
      </c>
      <c r="P39" s="274"/>
      <c r="Q39" s="45">
        <v>13</v>
      </c>
      <c r="R39" s="274"/>
      <c r="S39" s="45"/>
      <c r="T39" s="274"/>
      <c r="U39" s="45"/>
    </row>
    <row r="40" spans="1:28" x14ac:dyDescent="0.2">
      <c r="A40" s="65" t="s">
        <v>61</v>
      </c>
      <c r="B40" s="62">
        <v>298.14999999999998</v>
      </c>
      <c r="P40" s="274"/>
      <c r="Q40" s="45">
        <v>15</v>
      </c>
      <c r="R40" s="274"/>
      <c r="T40" s="274"/>
      <c r="U40" s="45"/>
    </row>
    <row r="41" spans="1:28" ht="31.5" customHeight="1" x14ac:dyDescent="0.2">
      <c r="A41" s="66" t="s">
        <v>62</v>
      </c>
      <c r="B41" s="64">
        <v>8314.4719999999998</v>
      </c>
      <c r="Q41" s="45"/>
      <c r="R41" s="45"/>
      <c r="S41" s="45"/>
      <c r="U41" s="45"/>
    </row>
    <row r="42" spans="1:28" ht="36.75" customHeight="1" x14ac:dyDescent="0.2">
      <c r="A42" s="40" t="s">
        <v>54</v>
      </c>
      <c r="B42" s="41" t="s">
        <v>55</v>
      </c>
      <c r="C42" s="41" t="s">
        <v>56</v>
      </c>
      <c r="D42" s="42" t="s">
        <v>57</v>
      </c>
    </row>
    <row r="43" spans="1:28" ht="15" thickBot="1" x14ac:dyDescent="0.25">
      <c r="A43" s="38" t="s">
        <v>10</v>
      </c>
      <c r="B43" s="43">
        <v>31.998799999999999</v>
      </c>
      <c r="C43" s="44">
        <v>3970000</v>
      </c>
      <c r="D43" s="39">
        <f>C43/31.9988</f>
        <v>124067.15251821943</v>
      </c>
      <c r="N43" s="261" t="s">
        <v>98</v>
      </c>
      <c r="O43" s="261"/>
      <c r="AA43" s="82" t="s">
        <v>99</v>
      </c>
    </row>
    <row r="44" spans="1:28" x14ac:dyDescent="0.2">
      <c r="A44" s="38" t="s">
        <v>11</v>
      </c>
      <c r="B44" s="43">
        <v>28.013480000000001</v>
      </c>
      <c r="C44" s="44">
        <v>720000</v>
      </c>
      <c r="D44" s="39">
        <f>C44/28.01348</f>
        <v>25701.912079470312</v>
      </c>
      <c r="E44" s="275" t="s">
        <v>100</v>
      </c>
      <c r="F44" s="276"/>
      <c r="G44" s="271" t="s">
        <v>92</v>
      </c>
      <c r="H44" s="272"/>
      <c r="I44" s="272"/>
      <c r="J44" s="272"/>
      <c r="K44" s="272"/>
      <c r="L44" s="272"/>
      <c r="M44" s="272"/>
      <c r="N44" s="272"/>
      <c r="O44" s="272"/>
      <c r="P44" s="272"/>
      <c r="Q44" s="272"/>
      <c r="R44" s="272"/>
      <c r="S44" s="272"/>
      <c r="T44" s="272"/>
      <c r="U44" s="272"/>
      <c r="V44" s="272"/>
      <c r="W44" s="272"/>
      <c r="X44" s="272"/>
      <c r="Y44" s="273"/>
    </row>
    <row r="45" spans="1:28" x14ac:dyDescent="0.2">
      <c r="A45" s="38" t="s">
        <v>12</v>
      </c>
      <c r="B45" s="43">
        <v>16.042760000000001</v>
      </c>
      <c r="C45" s="44">
        <v>831650000</v>
      </c>
      <c r="D45" s="39">
        <f>C45/16.04276</f>
        <v>51839583.712528266</v>
      </c>
      <c r="E45" s="85">
        <v>1</v>
      </c>
      <c r="F45" s="86">
        <f>D34</f>
        <v>0.48074386395855245</v>
      </c>
      <c r="G45" s="91" t="s">
        <v>80</v>
      </c>
      <c r="H45" s="74">
        <v>1</v>
      </c>
      <c r="I45" s="74">
        <v>2</v>
      </c>
      <c r="J45" s="74">
        <v>3</v>
      </c>
      <c r="K45" s="74">
        <v>4</v>
      </c>
      <c r="L45" s="74">
        <v>5</v>
      </c>
      <c r="M45" s="74">
        <v>6</v>
      </c>
      <c r="N45" s="74" t="s">
        <v>81</v>
      </c>
      <c r="O45" s="74">
        <v>8</v>
      </c>
      <c r="P45" s="74">
        <v>9</v>
      </c>
      <c r="Q45" s="74" t="s">
        <v>82</v>
      </c>
      <c r="R45" s="74">
        <v>11</v>
      </c>
      <c r="S45" s="74">
        <v>12</v>
      </c>
      <c r="T45" s="74">
        <v>13</v>
      </c>
      <c r="U45" s="74">
        <v>14</v>
      </c>
      <c r="V45" s="74">
        <v>15</v>
      </c>
      <c r="W45" s="74">
        <v>16</v>
      </c>
      <c r="X45" s="74">
        <v>17</v>
      </c>
      <c r="Y45" s="92">
        <v>18</v>
      </c>
    </row>
    <row r="46" spans="1:28" x14ac:dyDescent="0.2">
      <c r="A46" s="38" t="s">
        <v>58</v>
      </c>
      <c r="B46" s="43">
        <v>18.015280000000001</v>
      </c>
      <c r="C46" s="44">
        <v>900000</v>
      </c>
      <c r="D46" s="39">
        <f>C46/18.01528</f>
        <v>49957.591555612787</v>
      </c>
      <c r="E46" s="85">
        <v>2</v>
      </c>
      <c r="F46" s="86">
        <f>E34</f>
        <v>29.156420823190469</v>
      </c>
      <c r="G46" s="91" t="s">
        <v>83</v>
      </c>
      <c r="H46" s="67">
        <v>1</v>
      </c>
      <c r="I46" s="68">
        <v>-1</v>
      </c>
      <c r="J46" s="68">
        <v>0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  <c r="R46" s="68">
        <v>0</v>
      </c>
      <c r="S46" s="68">
        <v>0</v>
      </c>
      <c r="T46" s="68">
        <v>1</v>
      </c>
      <c r="U46" s="68">
        <v>0</v>
      </c>
      <c r="V46" s="68">
        <v>0</v>
      </c>
      <c r="W46" s="68">
        <v>0</v>
      </c>
      <c r="X46" s="68">
        <v>0</v>
      </c>
      <c r="Y46" s="93">
        <v>0</v>
      </c>
      <c r="AA46" s="71">
        <v>0</v>
      </c>
      <c r="AB46" s="78"/>
    </row>
    <row r="47" spans="1:28" x14ac:dyDescent="0.2">
      <c r="A47" s="38" t="s">
        <v>59</v>
      </c>
      <c r="B47" s="43">
        <v>18.015280000000001</v>
      </c>
      <c r="C47" s="44">
        <v>9500000</v>
      </c>
      <c r="D47" s="39">
        <f>C47/18.01528</f>
        <v>527330.13308702386</v>
      </c>
      <c r="E47" s="85">
        <v>3</v>
      </c>
      <c r="F47" s="86">
        <f>F34</f>
        <v>20.275521591165795</v>
      </c>
      <c r="G47" s="91" t="s">
        <v>84</v>
      </c>
      <c r="H47" s="79">
        <v>0</v>
      </c>
      <c r="I47" s="75">
        <v>1</v>
      </c>
      <c r="J47" s="75">
        <v>-1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-1</v>
      </c>
      <c r="V47" s="75">
        <v>0</v>
      </c>
      <c r="W47" s="75">
        <v>0</v>
      </c>
      <c r="X47" s="75">
        <v>0</v>
      </c>
      <c r="Y47" s="94">
        <v>0</v>
      </c>
      <c r="Z47" s="45"/>
      <c r="AA47" s="72">
        <v>0</v>
      </c>
      <c r="AB47" s="78"/>
    </row>
    <row r="48" spans="1:28" x14ac:dyDescent="0.2">
      <c r="A48" s="46" t="s">
        <v>14</v>
      </c>
      <c r="B48" s="47">
        <v>44.009799999999998</v>
      </c>
      <c r="C48" s="48">
        <v>19870000</v>
      </c>
      <c r="D48" s="49">
        <f>C48/44.0098</f>
        <v>451490.34987661842</v>
      </c>
      <c r="E48" s="85">
        <v>4</v>
      </c>
      <c r="F48" s="86">
        <f>G34</f>
        <v>49.691222305942205</v>
      </c>
      <c r="G48" s="91" t="s">
        <v>85</v>
      </c>
      <c r="H48" s="79">
        <v>0</v>
      </c>
      <c r="I48" s="75">
        <v>0</v>
      </c>
      <c r="J48" s="75">
        <v>1</v>
      </c>
      <c r="K48" s="75">
        <v>-1</v>
      </c>
      <c r="L48" s="75">
        <v>0</v>
      </c>
      <c r="M48" s="75">
        <v>0</v>
      </c>
      <c r="N48" s="75">
        <v>0</v>
      </c>
      <c r="O48" s="75">
        <v>0</v>
      </c>
      <c r="P48" s="75">
        <v>0</v>
      </c>
      <c r="Q48" s="75">
        <v>0</v>
      </c>
      <c r="R48" s="75">
        <v>0</v>
      </c>
      <c r="S48" s="75">
        <v>0</v>
      </c>
      <c r="T48" s="75">
        <v>0</v>
      </c>
      <c r="U48" s="75">
        <v>0</v>
      </c>
      <c r="V48" s="75">
        <v>1</v>
      </c>
      <c r="W48" s="75">
        <v>0</v>
      </c>
      <c r="X48" s="75">
        <v>0</v>
      </c>
      <c r="Y48" s="94">
        <v>0</v>
      </c>
      <c r="Z48" s="45"/>
      <c r="AA48" s="72">
        <v>0</v>
      </c>
      <c r="AB48" s="78"/>
    </row>
    <row r="49" spans="1:28" x14ac:dyDescent="0.2">
      <c r="A49" s="258" t="s">
        <v>60</v>
      </c>
      <c r="B49" s="259"/>
      <c r="E49" s="85">
        <v>5</v>
      </c>
      <c r="F49" s="86">
        <f>H34</f>
        <v>39.903583389264895</v>
      </c>
      <c r="G49" s="91" t="s">
        <v>86</v>
      </c>
      <c r="H49" s="79">
        <v>0</v>
      </c>
      <c r="I49" s="75">
        <v>0</v>
      </c>
      <c r="J49" s="75">
        <v>0</v>
      </c>
      <c r="K49" s="75">
        <v>1</v>
      </c>
      <c r="L49" s="75">
        <v>-1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0</v>
      </c>
      <c r="W49" s="75">
        <v>-1</v>
      </c>
      <c r="X49" s="75">
        <v>0</v>
      </c>
      <c r="Y49" s="94">
        <v>0</v>
      </c>
      <c r="Z49" s="45"/>
      <c r="AA49" s="72">
        <v>0</v>
      </c>
      <c r="AB49" s="78"/>
    </row>
    <row r="50" spans="1:28" x14ac:dyDescent="0.2">
      <c r="E50" s="85">
        <v>6</v>
      </c>
      <c r="F50" s="86">
        <f>I34</f>
        <v>35.004351462641743</v>
      </c>
      <c r="G50" s="91" t="s">
        <v>87</v>
      </c>
      <c r="H50" s="79">
        <v>0</v>
      </c>
      <c r="I50" s="75">
        <v>0</v>
      </c>
      <c r="J50" s="75">
        <v>0</v>
      </c>
      <c r="K50" s="75">
        <v>0</v>
      </c>
      <c r="L50" s="75">
        <v>1</v>
      </c>
      <c r="M50" s="75">
        <v>-1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94">
        <v>0</v>
      </c>
      <c r="Z50" s="45"/>
      <c r="AA50" s="72">
        <v>0</v>
      </c>
      <c r="AB50" s="78"/>
    </row>
    <row r="51" spans="1:28" x14ac:dyDescent="0.2">
      <c r="E51" s="85" t="s">
        <v>103</v>
      </c>
      <c r="F51" s="86">
        <f>J34</f>
        <v>65.139298244360177</v>
      </c>
      <c r="G51" s="91" t="s">
        <v>89</v>
      </c>
      <c r="H51" s="79">
        <v>0</v>
      </c>
      <c r="I51" s="75">
        <v>0</v>
      </c>
      <c r="J51" s="75">
        <v>0</v>
      </c>
      <c r="K51" s="75">
        <v>0</v>
      </c>
      <c r="L51" s="75">
        <v>0</v>
      </c>
      <c r="M51" s="75">
        <v>1</v>
      </c>
      <c r="N51" s="75">
        <v>1</v>
      </c>
      <c r="O51" s="75">
        <v>-1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94">
        <v>0</v>
      </c>
      <c r="AA51" s="72">
        <v>0</v>
      </c>
      <c r="AB51" s="78"/>
    </row>
    <row r="52" spans="1:28" x14ac:dyDescent="0.2">
      <c r="E52" s="85">
        <v>8</v>
      </c>
      <c r="F52" s="86">
        <f>K34</f>
        <v>63.097382457815961</v>
      </c>
      <c r="G52" s="91" t="s">
        <v>88</v>
      </c>
      <c r="H52" s="79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1</v>
      </c>
      <c r="P52" s="75">
        <v>-1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-1</v>
      </c>
      <c r="Y52" s="94">
        <v>0</v>
      </c>
      <c r="AA52" s="72">
        <v>0</v>
      </c>
      <c r="AB52" s="78"/>
    </row>
    <row r="53" spans="1:28" x14ac:dyDescent="0.2">
      <c r="E53" s="85">
        <v>9</v>
      </c>
      <c r="F53" s="86">
        <f>L34</f>
        <v>35.541968568266235</v>
      </c>
      <c r="G53" s="91" t="s">
        <v>90</v>
      </c>
      <c r="H53" s="79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1</v>
      </c>
      <c r="Q53" s="75">
        <v>1</v>
      </c>
      <c r="R53" s="75">
        <v>-1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0</v>
      </c>
      <c r="Y53" s="94">
        <v>0</v>
      </c>
      <c r="AA53" s="72">
        <v>0</v>
      </c>
      <c r="AB53" s="78"/>
    </row>
    <row r="54" spans="1:28" x14ac:dyDescent="0.2">
      <c r="E54" s="85" t="s">
        <v>104</v>
      </c>
      <c r="F54" s="86">
        <f>M34</f>
        <v>67.466768739571279</v>
      </c>
      <c r="G54" s="91" t="s">
        <v>91</v>
      </c>
      <c r="H54" s="79">
        <v>0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1</v>
      </c>
      <c r="S54" s="75">
        <v>-1</v>
      </c>
      <c r="T54" s="75">
        <v>0</v>
      </c>
      <c r="U54" s="75">
        <v>0</v>
      </c>
      <c r="V54" s="75">
        <v>0</v>
      </c>
      <c r="W54" s="75">
        <v>0</v>
      </c>
      <c r="X54" s="75">
        <v>0</v>
      </c>
      <c r="Y54" s="94">
        <v>-1</v>
      </c>
      <c r="AA54" s="72">
        <v>0</v>
      </c>
      <c r="AB54" s="78"/>
    </row>
    <row r="55" spans="1:28" x14ac:dyDescent="0.2">
      <c r="E55" s="131">
        <v>11</v>
      </c>
      <c r="F55" s="132">
        <f>N34</f>
        <v>78.485283309792806</v>
      </c>
      <c r="G55" s="262" t="s">
        <v>95</v>
      </c>
      <c r="H55" s="79">
        <v>1</v>
      </c>
      <c r="I55" s="75">
        <v>0</v>
      </c>
      <c r="J55" s="75">
        <v>0</v>
      </c>
      <c r="K55" s="75">
        <v>0</v>
      </c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0</v>
      </c>
      <c r="R55" s="75">
        <v>0</v>
      </c>
      <c r="S55" s="75">
        <v>0</v>
      </c>
      <c r="T55" s="75">
        <v>0</v>
      </c>
      <c r="U55" s="75">
        <v>0</v>
      </c>
      <c r="V55" s="75">
        <v>0</v>
      </c>
      <c r="W55" s="75">
        <v>0</v>
      </c>
      <c r="X55" s="75">
        <v>0</v>
      </c>
      <c r="Y55" s="94">
        <v>0</v>
      </c>
      <c r="AA55" s="101">
        <f>F45</f>
        <v>0.48074386395855245</v>
      </c>
      <c r="AB55" s="78" t="s">
        <v>111</v>
      </c>
    </row>
    <row r="56" spans="1:28" x14ac:dyDescent="0.2">
      <c r="E56" s="131">
        <v>12</v>
      </c>
      <c r="F56" s="132">
        <f>O34</f>
        <v>19.012058760409666</v>
      </c>
      <c r="G56" s="262"/>
      <c r="H56" s="79">
        <v>0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1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  <c r="X56" s="75">
        <v>0</v>
      </c>
      <c r="Y56" s="94">
        <v>0</v>
      </c>
      <c r="AA56" s="101">
        <f>F51</f>
        <v>65.139298244360177</v>
      </c>
      <c r="AB56" s="78" t="s">
        <v>110</v>
      </c>
    </row>
    <row r="57" spans="1:28" x14ac:dyDescent="0.2">
      <c r="D57" s="45"/>
      <c r="E57" s="131">
        <v>13</v>
      </c>
      <c r="F57" s="131">
        <f>ABS(H38/1000)</f>
        <v>30.9742</v>
      </c>
      <c r="G57" s="262"/>
      <c r="H57" s="79">
        <v>0</v>
      </c>
      <c r="I57" s="75">
        <v>0</v>
      </c>
      <c r="J57" s="75">
        <v>0</v>
      </c>
      <c r="K57" s="75">
        <v>0</v>
      </c>
      <c r="L57" s="75">
        <v>0</v>
      </c>
      <c r="M57" s="75">
        <v>0</v>
      </c>
      <c r="N57" s="75">
        <v>0</v>
      </c>
      <c r="O57" s="75">
        <v>0</v>
      </c>
      <c r="P57" s="75">
        <v>0</v>
      </c>
      <c r="Q57" s="75">
        <v>1</v>
      </c>
      <c r="R57" s="75">
        <v>0</v>
      </c>
      <c r="S57" s="75">
        <v>0</v>
      </c>
      <c r="T57" s="75">
        <v>0</v>
      </c>
      <c r="U57" s="75">
        <v>0</v>
      </c>
      <c r="V57" s="75">
        <v>0</v>
      </c>
      <c r="W57" s="75">
        <v>0</v>
      </c>
      <c r="X57" s="75">
        <v>0</v>
      </c>
      <c r="Y57" s="94">
        <v>0</v>
      </c>
      <c r="AA57" s="101">
        <f>F54</f>
        <v>67.466768739571279</v>
      </c>
      <c r="AB57" s="78" t="s">
        <v>112</v>
      </c>
    </row>
    <row r="58" spans="1:28" x14ac:dyDescent="0.2">
      <c r="D58" s="45" t="s">
        <v>94</v>
      </c>
      <c r="E58" s="131">
        <v>14</v>
      </c>
      <c r="F58" s="131">
        <v>0</v>
      </c>
      <c r="G58" s="262"/>
      <c r="H58" s="79">
        <v>0</v>
      </c>
      <c r="I58" s="75">
        <v>0</v>
      </c>
      <c r="J58" s="75">
        <v>0</v>
      </c>
      <c r="K58" s="75">
        <v>0</v>
      </c>
      <c r="L58" s="75">
        <v>0</v>
      </c>
      <c r="M58" s="75">
        <v>0</v>
      </c>
      <c r="N58" s="75">
        <v>0</v>
      </c>
      <c r="O58" s="75">
        <v>0</v>
      </c>
      <c r="P58" s="75">
        <v>0</v>
      </c>
      <c r="Q58" s="75">
        <v>0</v>
      </c>
      <c r="R58" s="75">
        <v>0</v>
      </c>
      <c r="S58" s="75">
        <v>0</v>
      </c>
      <c r="T58" s="75">
        <v>1</v>
      </c>
      <c r="U58" s="75">
        <v>0</v>
      </c>
      <c r="V58" s="75">
        <v>0</v>
      </c>
      <c r="W58" s="75">
        <v>0</v>
      </c>
      <c r="X58" s="75">
        <v>0</v>
      </c>
      <c r="Y58" s="95">
        <v>0</v>
      </c>
      <c r="AA58" s="102">
        <f>F57</f>
        <v>30.9742</v>
      </c>
      <c r="AB58" s="78" t="s">
        <v>113</v>
      </c>
    </row>
    <row r="59" spans="1:28" x14ac:dyDescent="0.2">
      <c r="D59" s="45"/>
      <c r="E59" s="131">
        <v>15</v>
      </c>
      <c r="F59" s="131">
        <f>ABS(J38/1000)</f>
        <v>31.677900000000001</v>
      </c>
      <c r="G59" s="262"/>
      <c r="H59" s="79">
        <v>0</v>
      </c>
      <c r="I59" s="75">
        <v>0</v>
      </c>
      <c r="J59" s="75">
        <v>0</v>
      </c>
      <c r="K59" s="75">
        <v>0</v>
      </c>
      <c r="L59" s="75">
        <v>0</v>
      </c>
      <c r="M59" s="75">
        <v>0</v>
      </c>
      <c r="N59" s="75">
        <v>0</v>
      </c>
      <c r="O59" s="75">
        <v>0</v>
      </c>
      <c r="P59" s="75">
        <v>0</v>
      </c>
      <c r="Q59" s="75">
        <v>0</v>
      </c>
      <c r="R59" s="75">
        <v>0</v>
      </c>
      <c r="S59" s="75">
        <v>0</v>
      </c>
      <c r="T59" s="75">
        <v>0</v>
      </c>
      <c r="U59" s="75">
        <v>0</v>
      </c>
      <c r="V59" s="75">
        <v>1</v>
      </c>
      <c r="W59" s="75">
        <v>0</v>
      </c>
      <c r="X59" s="75">
        <v>0</v>
      </c>
      <c r="Y59" s="95">
        <v>0</v>
      </c>
      <c r="AA59" s="102">
        <f>F59</f>
        <v>31.677900000000001</v>
      </c>
      <c r="AB59" s="78" t="s">
        <v>114</v>
      </c>
    </row>
    <row r="60" spans="1:28" x14ac:dyDescent="0.2">
      <c r="D60" s="45" t="s">
        <v>94</v>
      </c>
      <c r="E60" s="131">
        <v>16</v>
      </c>
      <c r="F60" s="131">
        <v>0</v>
      </c>
      <c r="G60" s="262" t="s">
        <v>96</v>
      </c>
      <c r="H60" s="79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0</v>
      </c>
      <c r="R60" s="75">
        <v>0</v>
      </c>
      <c r="S60" s="75">
        <v>1</v>
      </c>
      <c r="T60" s="75">
        <v>0</v>
      </c>
      <c r="U60" s="75">
        <v>0</v>
      </c>
      <c r="V60" s="75">
        <v>0</v>
      </c>
      <c r="W60" s="75">
        <v>0</v>
      </c>
      <c r="X60" s="75">
        <v>0</v>
      </c>
      <c r="Y60" s="94">
        <v>0</v>
      </c>
      <c r="AA60" s="72">
        <v>0</v>
      </c>
      <c r="AB60" s="78"/>
    </row>
    <row r="61" spans="1:28" x14ac:dyDescent="0.2">
      <c r="D61" s="45"/>
      <c r="E61" s="131">
        <v>17</v>
      </c>
      <c r="F61" s="131">
        <f>ABS(L38/1000)</f>
        <v>24.819099999999999</v>
      </c>
      <c r="G61" s="262"/>
      <c r="H61" s="79">
        <v>0</v>
      </c>
      <c r="I61" s="75">
        <v>0</v>
      </c>
      <c r="J61" s="75">
        <v>0</v>
      </c>
      <c r="K61" s="75">
        <v>0</v>
      </c>
      <c r="L61" s="75">
        <v>0</v>
      </c>
      <c r="M61" s="75">
        <v>0</v>
      </c>
      <c r="N61" s="75">
        <v>0</v>
      </c>
      <c r="O61" s="75">
        <v>0</v>
      </c>
      <c r="P61" s="75">
        <v>0</v>
      </c>
      <c r="Q61" s="75">
        <v>0</v>
      </c>
      <c r="R61" s="75">
        <v>0</v>
      </c>
      <c r="S61" s="75">
        <v>0</v>
      </c>
      <c r="T61" s="75">
        <v>0</v>
      </c>
      <c r="U61" s="75">
        <v>1</v>
      </c>
      <c r="V61" s="75">
        <v>0</v>
      </c>
      <c r="W61" s="75">
        <v>0</v>
      </c>
      <c r="X61" s="75">
        <v>0</v>
      </c>
      <c r="Y61" s="95">
        <v>0</v>
      </c>
      <c r="AA61" s="72">
        <v>0</v>
      </c>
      <c r="AB61" s="78"/>
    </row>
    <row r="62" spans="1:28" x14ac:dyDescent="0.2">
      <c r="D62" s="45"/>
      <c r="E62" s="131">
        <v>18</v>
      </c>
      <c r="F62" s="131">
        <f>ABS(M38/1000)</f>
        <v>53.863099999999996</v>
      </c>
      <c r="G62" s="262"/>
      <c r="H62" s="79">
        <v>0</v>
      </c>
      <c r="I62" s="75">
        <v>0</v>
      </c>
      <c r="J62" s="75">
        <v>0</v>
      </c>
      <c r="K62" s="75">
        <v>0</v>
      </c>
      <c r="L62" s="75">
        <v>0</v>
      </c>
      <c r="M62" s="75">
        <v>0</v>
      </c>
      <c r="N62" s="75">
        <v>0</v>
      </c>
      <c r="O62" s="75">
        <v>0</v>
      </c>
      <c r="P62" s="75">
        <v>0</v>
      </c>
      <c r="Q62" s="75">
        <v>0</v>
      </c>
      <c r="R62" s="75">
        <v>0</v>
      </c>
      <c r="S62" s="75">
        <v>0</v>
      </c>
      <c r="T62" s="75">
        <v>0</v>
      </c>
      <c r="U62" s="75">
        <v>0</v>
      </c>
      <c r="V62" s="75">
        <v>0</v>
      </c>
      <c r="W62" s="75">
        <v>1</v>
      </c>
      <c r="X62" s="75">
        <v>0</v>
      </c>
      <c r="Y62" s="95">
        <v>0</v>
      </c>
      <c r="AA62" s="72">
        <v>0</v>
      </c>
      <c r="AB62" s="78"/>
    </row>
    <row r="63" spans="1:28" ht="15" thickBot="1" x14ac:dyDescent="0.25">
      <c r="E63" s="133"/>
      <c r="F63" s="133"/>
      <c r="G63" s="96" t="s">
        <v>97</v>
      </c>
      <c r="H63" s="97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9">
        <f>-F53/F52</f>
        <v>-0.56328752768829959</v>
      </c>
      <c r="P63" s="98">
        <v>1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100">
        <v>0</v>
      </c>
      <c r="AA63" s="73">
        <v>0</v>
      </c>
      <c r="AB63" s="78"/>
    </row>
    <row r="64" spans="1:28" x14ac:dyDescent="0.2">
      <c r="O64" s="106" t="s">
        <v>109</v>
      </c>
    </row>
    <row r="65" spans="4:25" x14ac:dyDescent="0.2">
      <c r="G65" s="260" t="s">
        <v>107</v>
      </c>
      <c r="H65" s="260"/>
    </row>
    <row r="66" spans="4:25" ht="16.5" x14ac:dyDescent="0.2">
      <c r="N66" s="261" t="s">
        <v>106</v>
      </c>
      <c r="O66" s="261"/>
    </row>
    <row r="67" spans="4:25" x14ac:dyDescent="0.2">
      <c r="E67" s="87" t="s">
        <v>101</v>
      </c>
      <c r="F67" s="89" t="s">
        <v>102</v>
      </c>
      <c r="G67" s="90"/>
      <c r="H67" s="67">
        <f t="array" ref="H67:Y84">MINVERSE(H46:Y63)</f>
        <v>0</v>
      </c>
      <c r="I67" s="68">
        <v>0</v>
      </c>
      <c r="J67" s="68">
        <v>0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1</v>
      </c>
      <c r="R67" s="68">
        <v>0</v>
      </c>
      <c r="S67" s="68">
        <v>0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2">
        <v>0</v>
      </c>
    </row>
    <row r="68" spans="4:25" x14ac:dyDescent="0.2">
      <c r="D68" s="74" t="s">
        <v>83</v>
      </c>
      <c r="E68" s="83">
        <f>F45+F57-F46</f>
        <v>2.2985230407680817</v>
      </c>
      <c r="F68" s="88">
        <f>E68/$E$78</f>
        <v>2.3443635035975491E-2</v>
      </c>
      <c r="G68" s="90"/>
      <c r="H68" s="79">
        <v>-1</v>
      </c>
      <c r="I68" s="75">
        <v>0</v>
      </c>
      <c r="J68" s="75">
        <v>0</v>
      </c>
      <c r="K68" s="75">
        <v>0</v>
      </c>
      <c r="L68" s="75">
        <v>0</v>
      </c>
      <c r="M68" s="75">
        <v>0</v>
      </c>
      <c r="N68" s="75">
        <v>0</v>
      </c>
      <c r="O68" s="75">
        <v>0</v>
      </c>
      <c r="P68" s="75">
        <v>0</v>
      </c>
      <c r="Q68" s="75">
        <v>1</v>
      </c>
      <c r="R68" s="75">
        <v>0</v>
      </c>
      <c r="S68" s="75">
        <v>0</v>
      </c>
      <c r="T68" s="75">
        <v>1</v>
      </c>
      <c r="U68" s="75">
        <v>0</v>
      </c>
      <c r="V68" s="75">
        <v>0</v>
      </c>
      <c r="W68" s="75">
        <v>0</v>
      </c>
      <c r="X68" s="75">
        <v>0</v>
      </c>
      <c r="Y68" s="84">
        <v>0</v>
      </c>
    </row>
    <row r="69" spans="4:25" x14ac:dyDescent="0.2">
      <c r="D69" s="74" t="s">
        <v>84</v>
      </c>
      <c r="E69" s="83">
        <f>F46-F47</f>
        <v>8.8808992320246745</v>
      </c>
      <c r="F69" s="88">
        <f t="shared" ref="F69:F76" si="10">E69/$E$78</f>
        <v>9.0580149380311864E-2</v>
      </c>
      <c r="G69" s="90"/>
      <c r="H69" s="79">
        <v>-1</v>
      </c>
      <c r="I69" s="75">
        <v>-1</v>
      </c>
      <c r="J69" s="75">
        <v>0</v>
      </c>
      <c r="K69" s="75">
        <v>0</v>
      </c>
      <c r="L69" s="75">
        <v>0</v>
      </c>
      <c r="M69" s="75">
        <v>0</v>
      </c>
      <c r="N69" s="75">
        <v>0</v>
      </c>
      <c r="O69" s="75">
        <v>0</v>
      </c>
      <c r="P69" s="75">
        <v>0</v>
      </c>
      <c r="Q69" s="75">
        <v>1</v>
      </c>
      <c r="R69" s="75">
        <v>0</v>
      </c>
      <c r="S69" s="75">
        <v>0</v>
      </c>
      <c r="T69" s="75">
        <v>1</v>
      </c>
      <c r="U69" s="75">
        <v>0</v>
      </c>
      <c r="V69" s="75">
        <v>0</v>
      </c>
      <c r="W69" s="75">
        <v>-1</v>
      </c>
      <c r="X69" s="75">
        <v>0</v>
      </c>
      <c r="Y69" s="84">
        <v>0</v>
      </c>
    </row>
    <row r="70" spans="4:25" x14ac:dyDescent="0.2">
      <c r="D70" s="74" t="s">
        <v>85</v>
      </c>
      <c r="E70" s="83">
        <f>F47+F59-F48</f>
        <v>2.2621992852235877</v>
      </c>
      <c r="F70" s="88">
        <f t="shared" si="10"/>
        <v>2.3073153273114176E-2</v>
      </c>
      <c r="G70" s="90"/>
      <c r="H70" s="79">
        <v>-1</v>
      </c>
      <c r="I70" s="75">
        <v>-1</v>
      </c>
      <c r="J70" s="75">
        <v>-1</v>
      </c>
      <c r="K70" s="75">
        <v>0</v>
      </c>
      <c r="L70" s="75">
        <v>0</v>
      </c>
      <c r="M70" s="75">
        <v>0</v>
      </c>
      <c r="N70" s="75">
        <v>0</v>
      </c>
      <c r="O70" s="75">
        <v>0</v>
      </c>
      <c r="P70" s="75">
        <v>0</v>
      </c>
      <c r="Q70" s="75">
        <v>1</v>
      </c>
      <c r="R70" s="75">
        <v>0</v>
      </c>
      <c r="S70" s="75">
        <v>0</v>
      </c>
      <c r="T70" s="75">
        <v>1</v>
      </c>
      <c r="U70" s="75">
        <v>1</v>
      </c>
      <c r="V70" s="75">
        <v>0</v>
      </c>
      <c r="W70" s="75">
        <v>-1</v>
      </c>
      <c r="X70" s="75">
        <v>0</v>
      </c>
      <c r="Y70" s="84">
        <v>0</v>
      </c>
    </row>
    <row r="71" spans="4:25" x14ac:dyDescent="0.2">
      <c r="D71" s="74" t="s">
        <v>86</v>
      </c>
      <c r="E71" s="83">
        <f>F48-F49</f>
        <v>9.7876389166773095</v>
      </c>
      <c r="F71" s="88">
        <f t="shared" si="10"/>
        <v>9.9828381337355235E-2</v>
      </c>
      <c r="G71" s="90"/>
      <c r="H71" s="79">
        <v>-1</v>
      </c>
      <c r="I71" s="75">
        <v>-1</v>
      </c>
      <c r="J71" s="75">
        <v>-1</v>
      </c>
      <c r="K71" s="75">
        <v>-1</v>
      </c>
      <c r="L71" s="75">
        <v>0</v>
      </c>
      <c r="M71" s="75">
        <v>0</v>
      </c>
      <c r="N71" s="75">
        <v>0</v>
      </c>
      <c r="O71" s="75">
        <v>0</v>
      </c>
      <c r="P71" s="75">
        <v>0</v>
      </c>
      <c r="Q71" s="75">
        <v>1</v>
      </c>
      <c r="R71" s="75">
        <v>0</v>
      </c>
      <c r="S71" s="75">
        <v>0</v>
      </c>
      <c r="T71" s="75">
        <v>1</v>
      </c>
      <c r="U71" s="75">
        <v>1</v>
      </c>
      <c r="V71" s="75">
        <v>0</v>
      </c>
      <c r="W71" s="75">
        <v>-1</v>
      </c>
      <c r="X71" s="75">
        <v>-1</v>
      </c>
      <c r="Y71" s="84">
        <v>0</v>
      </c>
    </row>
    <row r="72" spans="4:25" x14ac:dyDescent="0.2">
      <c r="D72" s="74" t="s">
        <v>87</v>
      </c>
      <c r="E72" s="83">
        <f>F49-F50</f>
        <v>4.8992319266231519</v>
      </c>
      <c r="F72" s="88">
        <f t="shared" si="10"/>
        <v>4.9969394784039951E-2</v>
      </c>
      <c r="G72" s="90"/>
      <c r="H72" s="79">
        <v>-1</v>
      </c>
      <c r="I72" s="75">
        <v>-1</v>
      </c>
      <c r="J72" s="75">
        <v>-1</v>
      </c>
      <c r="K72" s="75">
        <v>-1</v>
      </c>
      <c r="L72" s="75">
        <v>-1</v>
      </c>
      <c r="M72" s="75">
        <v>0</v>
      </c>
      <c r="N72" s="75">
        <v>0</v>
      </c>
      <c r="O72" s="75">
        <v>0</v>
      </c>
      <c r="P72" s="75">
        <v>0</v>
      </c>
      <c r="Q72" s="75">
        <v>1</v>
      </c>
      <c r="R72" s="75">
        <v>0</v>
      </c>
      <c r="S72" s="75">
        <v>0</v>
      </c>
      <c r="T72" s="75">
        <v>1</v>
      </c>
      <c r="U72" s="75">
        <v>1</v>
      </c>
      <c r="V72" s="75">
        <v>0</v>
      </c>
      <c r="W72" s="75">
        <v>-1</v>
      </c>
      <c r="X72" s="75">
        <v>-1</v>
      </c>
      <c r="Y72" s="84">
        <v>0</v>
      </c>
    </row>
    <row r="73" spans="4:25" x14ac:dyDescent="0.2">
      <c r="D73" s="74" t="s">
        <v>89</v>
      </c>
      <c r="E73" s="83">
        <f>F50+F51-F52</f>
        <v>37.046267249185952</v>
      </c>
      <c r="F73" s="88">
        <f t="shared" si="10"/>
        <v>0.377850973616913</v>
      </c>
      <c r="G73" s="90"/>
      <c r="H73" s="79">
        <v>0</v>
      </c>
      <c r="I73" s="75">
        <v>0</v>
      </c>
      <c r="J73" s="75">
        <v>0</v>
      </c>
      <c r="K73" s="75">
        <v>0</v>
      </c>
      <c r="L73" s="75">
        <v>0</v>
      </c>
      <c r="M73" s="75">
        <v>0</v>
      </c>
      <c r="N73" s="75">
        <v>0</v>
      </c>
      <c r="O73" s="75">
        <v>0</v>
      </c>
      <c r="P73" s="75">
        <v>0</v>
      </c>
      <c r="Q73" s="75">
        <v>0</v>
      </c>
      <c r="R73" s="75">
        <v>1</v>
      </c>
      <c r="S73" s="75">
        <v>0</v>
      </c>
      <c r="T73" s="75">
        <v>0</v>
      </c>
      <c r="U73" s="75">
        <v>0</v>
      </c>
      <c r="V73" s="75">
        <v>0</v>
      </c>
      <c r="W73" s="75">
        <v>0</v>
      </c>
      <c r="X73" s="75">
        <v>0</v>
      </c>
      <c r="Y73" s="84">
        <v>0</v>
      </c>
    </row>
    <row r="74" spans="4:25" x14ac:dyDescent="0.2">
      <c r="D74" s="74" t="s">
        <v>88</v>
      </c>
      <c r="E74" s="83">
        <f>F52-F61-F53</f>
        <v>2.7363138895497272</v>
      </c>
      <c r="F74" s="88">
        <f t="shared" si="10"/>
        <v>2.7908854091381254E-2</v>
      </c>
      <c r="G74" s="90"/>
      <c r="H74" s="79">
        <v>-1</v>
      </c>
      <c r="I74" s="75">
        <v>-1</v>
      </c>
      <c r="J74" s="75">
        <v>-1</v>
      </c>
      <c r="K74" s="75">
        <v>-1</v>
      </c>
      <c r="L74" s="75">
        <v>-1</v>
      </c>
      <c r="M74" s="75">
        <v>-1</v>
      </c>
      <c r="N74" s="75">
        <v>0</v>
      </c>
      <c r="O74" s="75">
        <v>0</v>
      </c>
      <c r="P74" s="75">
        <v>0</v>
      </c>
      <c r="Q74" s="75">
        <v>1</v>
      </c>
      <c r="R74" s="75">
        <v>1</v>
      </c>
      <c r="S74" s="75">
        <v>0</v>
      </c>
      <c r="T74" s="75">
        <v>1</v>
      </c>
      <c r="U74" s="75">
        <v>1</v>
      </c>
      <c r="V74" s="75">
        <v>0</v>
      </c>
      <c r="W74" s="75">
        <v>-1</v>
      </c>
      <c r="X74" s="75">
        <v>-1</v>
      </c>
      <c r="Y74" s="84">
        <v>0</v>
      </c>
    </row>
    <row r="75" spans="4:25" x14ac:dyDescent="0.2">
      <c r="D75" s="74" t="s">
        <v>90</v>
      </c>
      <c r="E75" s="83">
        <f>F53+F54-F55</f>
        <v>24.523453998044715</v>
      </c>
      <c r="F75" s="88">
        <f t="shared" si="10"/>
        <v>0.25012536100555144</v>
      </c>
      <c r="G75" s="90"/>
      <c r="H75" s="79">
        <v>-0.56328752768829959</v>
      </c>
      <c r="I75" s="75">
        <v>-0.56328752768829959</v>
      </c>
      <c r="J75" s="75">
        <v>-0.56328752768829959</v>
      </c>
      <c r="K75" s="75">
        <v>-0.56328752768829959</v>
      </c>
      <c r="L75" s="75">
        <v>-0.56328752768829959</v>
      </c>
      <c r="M75" s="75">
        <v>-0.56328752768829959</v>
      </c>
      <c r="N75" s="75">
        <v>0</v>
      </c>
      <c r="O75" s="75">
        <v>0</v>
      </c>
      <c r="P75" s="75">
        <v>0</v>
      </c>
      <c r="Q75" s="75">
        <v>0.56328752768829959</v>
      </c>
      <c r="R75" s="75">
        <v>0.56328752768829959</v>
      </c>
      <c r="S75" s="75">
        <v>0</v>
      </c>
      <c r="T75" s="75">
        <v>0.56328752768829959</v>
      </c>
      <c r="U75" s="75">
        <v>0.56328752768829959</v>
      </c>
      <c r="V75" s="75">
        <v>0</v>
      </c>
      <c r="W75" s="75">
        <v>-0.56328752768829959</v>
      </c>
      <c r="X75" s="75">
        <v>-0.56328752768829959</v>
      </c>
      <c r="Y75" s="84">
        <v>1</v>
      </c>
    </row>
    <row r="76" spans="4:25" x14ac:dyDescent="0.2">
      <c r="D76" s="74" t="s">
        <v>91</v>
      </c>
      <c r="E76" s="83">
        <f>F55-F62-F56</f>
        <v>5.6101245493831442</v>
      </c>
      <c r="F76" s="88">
        <f t="shared" si="10"/>
        <v>5.7220097475357556E-2</v>
      </c>
      <c r="G76" s="90"/>
      <c r="H76" s="79">
        <v>0</v>
      </c>
      <c r="I76" s="75">
        <v>0</v>
      </c>
      <c r="J76" s="75">
        <v>0</v>
      </c>
      <c r="K76" s="75">
        <v>0</v>
      </c>
      <c r="L76" s="75">
        <v>0</v>
      </c>
      <c r="M76" s="75">
        <v>0</v>
      </c>
      <c r="N76" s="75">
        <v>0</v>
      </c>
      <c r="O76" s="75">
        <v>0</v>
      </c>
      <c r="P76" s="75">
        <v>0</v>
      </c>
      <c r="Q76" s="75">
        <v>0</v>
      </c>
      <c r="R76" s="75">
        <v>0</v>
      </c>
      <c r="S76" s="75">
        <v>1</v>
      </c>
      <c r="T76" s="75">
        <v>0</v>
      </c>
      <c r="U76" s="75">
        <v>0</v>
      </c>
      <c r="V76" s="75">
        <v>0</v>
      </c>
      <c r="W76" s="75">
        <v>0</v>
      </c>
      <c r="X76" s="75">
        <v>0</v>
      </c>
      <c r="Y76" s="84">
        <v>0</v>
      </c>
    </row>
    <row r="77" spans="4:25" x14ac:dyDescent="0.2">
      <c r="G77" s="90"/>
      <c r="H77" s="79">
        <v>-0.56328752768829959</v>
      </c>
      <c r="I77" s="75">
        <v>-0.56328752768829959</v>
      </c>
      <c r="J77" s="75">
        <v>-0.56328752768829959</v>
      </c>
      <c r="K77" s="75">
        <v>-0.56328752768829959</v>
      </c>
      <c r="L77" s="75">
        <v>-0.56328752768829959</v>
      </c>
      <c r="M77" s="75">
        <v>-0.56328752768829959</v>
      </c>
      <c r="N77" s="75">
        <v>0</v>
      </c>
      <c r="O77" s="75">
        <v>-1</v>
      </c>
      <c r="P77" s="75">
        <v>0</v>
      </c>
      <c r="Q77" s="75">
        <v>0.56328752768829959</v>
      </c>
      <c r="R77" s="75">
        <v>0.56328752768829959</v>
      </c>
      <c r="S77" s="75">
        <v>1</v>
      </c>
      <c r="T77" s="75">
        <v>0.56328752768829959</v>
      </c>
      <c r="U77" s="75">
        <v>0.56328752768829959</v>
      </c>
      <c r="V77" s="75">
        <v>0</v>
      </c>
      <c r="W77" s="75">
        <v>-0.56328752768829959</v>
      </c>
      <c r="X77" s="75">
        <v>-0.56328752768829959</v>
      </c>
      <c r="Y77" s="84">
        <v>1</v>
      </c>
    </row>
    <row r="78" spans="4:25" x14ac:dyDescent="0.2">
      <c r="D78" s="35" t="s">
        <v>105</v>
      </c>
      <c r="E78" s="83">
        <f>SUM(E68:E76)</f>
        <v>98.044652087480344</v>
      </c>
      <c r="G78" s="90"/>
      <c r="H78" s="79">
        <v>0</v>
      </c>
      <c r="I78" s="75">
        <v>0</v>
      </c>
      <c r="J78" s="75">
        <v>0</v>
      </c>
      <c r="K78" s="75">
        <v>0</v>
      </c>
      <c r="L78" s="75">
        <v>0</v>
      </c>
      <c r="M78" s="75">
        <v>0</v>
      </c>
      <c r="N78" s="75">
        <v>0</v>
      </c>
      <c r="O78" s="75">
        <v>0</v>
      </c>
      <c r="P78" s="75">
        <v>0</v>
      </c>
      <c r="Q78" s="75">
        <v>0</v>
      </c>
      <c r="R78" s="75">
        <v>0</v>
      </c>
      <c r="S78" s="75">
        <v>0</v>
      </c>
      <c r="T78" s="75">
        <v>0</v>
      </c>
      <c r="U78" s="75">
        <v>0</v>
      </c>
      <c r="V78" s="75">
        <v>1</v>
      </c>
      <c r="W78" s="75">
        <v>0</v>
      </c>
      <c r="X78" s="75">
        <v>0</v>
      </c>
      <c r="Y78" s="84">
        <v>0</v>
      </c>
    </row>
    <row r="79" spans="4:25" x14ac:dyDescent="0.2">
      <c r="G79" s="90"/>
      <c r="H79" s="79">
        <v>0</v>
      </c>
      <c r="I79" s="75">
        <v>0</v>
      </c>
      <c r="J79" s="75">
        <v>0</v>
      </c>
      <c r="K79" s="75">
        <v>0</v>
      </c>
      <c r="L79" s="75">
        <v>0</v>
      </c>
      <c r="M79" s="75">
        <v>0</v>
      </c>
      <c r="N79" s="75">
        <v>0</v>
      </c>
      <c r="O79" s="75">
        <v>0</v>
      </c>
      <c r="P79" s="75">
        <v>0</v>
      </c>
      <c r="Q79" s="75">
        <v>0</v>
      </c>
      <c r="R79" s="75">
        <v>0</v>
      </c>
      <c r="S79" s="75">
        <v>0</v>
      </c>
      <c r="T79" s="75">
        <v>1</v>
      </c>
      <c r="U79" s="75">
        <v>0</v>
      </c>
      <c r="V79" s="75">
        <v>0</v>
      </c>
      <c r="W79" s="75">
        <v>0</v>
      </c>
      <c r="X79" s="75">
        <v>0</v>
      </c>
      <c r="Y79" s="80">
        <v>0</v>
      </c>
    </row>
    <row r="80" spans="4:25" x14ac:dyDescent="0.2">
      <c r="G80" s="90"/>
      <c r="H80" s="79">
        <v>0</v>
      </c>
      <c r="I80" s="75">
        <v>0</v>
      </c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0</v>
      </c>
      <c r="Q80" s="75">
        <v>0</v>
      </c>
      <c r="R80" s="75">
        <v>0</v>
      </c>
      <c r="S80" s="75">
        <v>0</v>
      </c>
      <c r="T80" s="75">
        <v>0</v>
      </c>
      <c r="U80" s="75">
        <v>0</v>
      </c>
      <c r="V80" s="75">
        <v>0</v>
      </c>
      <c r="W80" s="75">
        <v>1</v>
      </c>
      <c r="X80" s="75">
        <v>0</v>
      </c>
      <c r="Y80" s="80">
        <v>0</v>
      </c>
    </row>
    <row r="81" spans="1:25" x14ac:dyDescent="0.2">
      <c r="G81" s="90"/>
      <c r="H81" s="79">
        <v>0</v>
      </c>
      <c r="I81" s="75">
        <v>0</v>
      </c>
      <c r="J81" s="75">
        <v>0</v>
      </c>
      <c r="K81" s="75">
        <v>0</v>
      </c>
      <c r="L81" s="75">
        <v>0</v>
      </c>
      <c r="M81" s="75">
        <v>0</v>
      </c>
      <c r="N81" s="75">
        <v>0</v>
      </c>
      <c r="O81" s="75">
        <v>0</v>
      </c>
      <c r="P81" s="75">
        <v>0</v>
      </c>
      <c r="Q81" s="75">
        <v>0</v>
      </c>
      <c r="R81" s="75">
        <v>0</v>
      </c>
      <c r="S81" s="75">
        <v>0</v>
      </c>
      <c r="T81" s="75">
        <v>0</v>
      </c>
      <c r="U81" s="75">
        <v>1</v>
      </c>
      <c r="V81" s="75">
        <v>0</v>
      </c>
      <c r="W81" s="75">
        <v>0</v>
      </c>
      <c r="X81" s="75">
        <v>0</v>
      </c>
      <c r="Y81" s="84">
        <v>0</v>
      </c>
    </row>
    <row r="82" spans="1:25" x14ac:dyDescent="0.2">
      <c r="G82" s="90"/>
      <c r="H82" s="79">
        <v>0</v>
      </c>
      <c r="I82" s="75">
        <v>0</v>
      </c>
      <c r="J82" s="75">
        <v>0</v>
      </c>
      <c r="K82" s="75">
        <v>0</v>
      </c>
      <c r="L82" s="75">
        <v>0</v>
      </c>
      <c r="M82" s="75">
        <v>0</v>
      </c>
      <c r="N82" s="75">
        <v>0</v>
      </c>
      <c r="O82" s="75">
        <v>0</v>
      </c>
      <c r="P82" s="75">
        <v>0</v>
      </c>
      <c r="Q82" s="75">
        <v>0</v>
      </c>
      <c r="R82" s="75">
        <v>0</v>
      </c>
      <c r="S82" s="75">
        <v>0</v>
      </c>
      <c r="T82" s="75">
        <v>0</v>
      </c>
      <c r="U82" s="75">
        <v>0</v>
      </c>
      <c r="V82" s="75">
        <v>0</v>
      </c>
      <c r="W82" s="75">
        <v>0</v>
      </c>
      <c r="X82" s="75">
        <v>1</v>
      </c>
      <c r="Y82" s="80">
        <v>0</v>
      </c>
    </row>
    <row r="83" spans="1:25" x14ac:dyDescent="0.2">
      <c r="G83" s="90"/>
      <c r="H83" s="79">
        <v>-0.43671247231170041</v>
      </c>
      <c r="I83" s="75">
        <v>-0.43671247231170041</v>
      </c>
      <c r="J83" s="75">
        <v>-0.43671247231170041</v>
      </c>
      <c r="K83" s="75">
        <v>-0.43671247231170041</v>
      </c>
      <c r="L83" s="75">
        <v>-0.43671247231170041</v>
      </c>
      <c r="M83" s="75">
        <v>-0.43671247231170041</v>
      </c>
      <c r="N83" s="75">
        <v>-1</v>
      </c>
      <c r="O83" s="75">
        <v>0</v>
      </c>
      <c r="P83" s="75">
        <v>0</v>
      </c>
      <c r="Q83" s="75">
        <v>0.43671247231170041</v>
      </c>
      <c r="R83" s="75">
        <v>0.43671247231170041</v>
      </c>
      <c r="S83" s="75">
        <v>0</v>
      </c>
      <c r="T83" s="75">
        <v>0.43671247231170041</v>
      </c>
      <c r="U83" s="75">
        <v>0.43671247231170041</v>
      </c>
      <c r="V83" s="75">
        <v>0</v>
      </c>
      <c r="W83" s="75">
        <v>-0.43671247231170041</v>
      </c>
      <c r="X83" s="75">
        <v>-0.43671247231170041</v>
      </c>
      <c r="Y83" s="80">
        <v>-1</v>
      </c>
    </row>
    <row r="84" spans="1:25" x14ac:dyDescent="0.2">
      <c r="G84" s="90"/>
      <c r="H84" s="69">
        <v>-0.56328752768829959</v>
      </c>
      <c r="I84" s="70">
        <v>-0.56328752768829959</v>
      </c>
      <c r="J84" s="70">
        <v>-0.56328752768829959</v>
      </c>
      <c r="K84" s="70">
        <v>-0.56328752768829959</v>
      </c>
      <c r="L84" s="70">
        <v>-0.56328752768829959</v>
      </c>
      <c r="M84" s="70">
        <v>-0.56328752768829959</v>
      </c>
      <c r="N84" s="70">
        <v>0</v>
      </c>
      <c r="O84" s="81">
        <v>-1</v>
      </c>
      <c r="P84" s="70">
        <v>-1</v>
      </c>
      <c r="Q84" s="70">
        <v>0.56328752768829959</v>
      </c>
      <c r="R84" s="70">
        <v>0.56328752768829959</v>
      </c>
      <c r="S84" s="70">
        <v>1</v>
      </c>
      <c r="T84" s="70">
        <v>0.56328752768829959</v>
      </c>
      <c r="U84" s="70">
        <v>0.56328752768829959</v>
      </c>
      <c r="V84" s="70">
        <v>-1</v>
      </c>
      <c r="W84" s="70">
        <v>-0.56328752768829959</v>
      </c>
      <c r="X84" s="70">
        <v>-0.56328752768829959</v>
      </c>
      <c r="Y84" s="64">
        <v>1</v>
      </c>
    </row>
    <row r="86" spans="1:25" x14ac:dyDescent="0.2">
      <c r="N86" s="45" t="s">
        <v>115</v>
      </c>
      <c r="P86" t="s">
        <v>116</v>
      </c>
    </row>
    <row r="87" spans="1:25" ht="16.5" x14ac:dyDescent="0.2">
      <c r="N87" s="82" t="s">
        <v>108</v>
      </c>
      <c r="O87" s="77"/>
      <c r="P87" s="82" t="s">
        <v>117</v>
      </c>
    </row>
    <row r="88" spans="1:25" x14ac:dyDescent="0.2">
      <c r="N88" s="103">
        <f t="array" ref="N88:N105">MMULT(H67:Y84,AA46:AA63)</f>
        <v>0.48074386395855245</v>
      </c>
      <c r="P88" s="103">
        <f>N88/F45</f>
        <v>1</v>
      </c>
    </row>
    <row r="89" spans="1:25" x14ac:dyDescent="0.2">
      <c r="N89" s="104">
        <v>31.454943863958551</v>
      </c>
      <c r="P89" s="104">
        <f t="shared" ref="P89:P105" si="11">N89/F46</f>
        <v>1.0788341976097382</v>
      </c>
    </row>
    <row r="90" spans="1:25" x14ac:dyDescent="0.2">
      <c r="N90" s="104">
        <v>31.454943863958551</v>
      </c>
      <c r="P90" s="104">
        <f t="shared" si="11"/>
        <v>1.5513753233191159</v>
      </c>
    </row>
    <row r="91" spans="1:25" x14ac:dyDescent="0.2">
      <c r="N91" s="104">
        <v>63.132843863958556</v>
      </c>
      <c r="P91" s="104">
        <f t="shared" si="11"/>
        <v>1.2705029366204375</v>
      </c>
    </row>
    <row r="92" spans="1:25" x14ac:dyDescent="0.2">
      <c r="B92" s="45"/>
      <c r="C92" s="45"/>
      <c r="N92" s="104">
        <v>63.132843863958556</v>
      </c>
      <c r="P92" s="104">
        <f t="shared" si="11"/>
        <v>1.5821346982322129</v>
      </c>
    </row>
    <row r="93" spans="1:25" x14ac:dyDescent="0.2">
      <c r="A93" s="45"/>
      <c r="B93" s="45"/>
      <c r="C93" s="45"/>
      <c r="N93" s="104">
        <v>63.132843863958556</v>
      </c>
      <c r="P93" s="104">
        <f t="shared" si="11"/>
        <v>1.8035713054514617</v>
      </c>
    </row>
    <row r="94" spans="1:25" x14ac:dyDescent="0.2">
      <c r="A94" s="45"/>
      <c r="B94" s="45"/>
      <c r="N94" s="104">
        <v>65.139298244360177</v>
      </c>
      <c r="P94" s="104">
        <f t="shared" si="11"/>
        <v>1</v>
      </c>
    </row>
    <row r="95" spans="1:25" x14ac:dyDescent="0.2">
      <c r="A95" s="45"/>
      <c r="B95" s="45"/>
      <c r="N95" s="104">
        <v>128.27214210831872</v>
      </c>
      <c r="P95" s="104">
        <f t="shared" si="11"/>
        <v>2.0329233497772372</v>
      </c>
    </row>
    <row r="96" spans="1:25" x14ac:dyDescent="0.2">
      <c r="A96" s="45"/>
      <c r="B96" s="45"/>
      <c r="C96" s="45"/>
      <c r="N96" s="104">
        <v>72.25409779947708</v>
      </c>
      <c r="P96" s="104">
        <f t="shared" si="11"/>
        <v>2.0329233497772377</v>
      </c>
    </row>
    <row r="97" spans="1:16" x14ac:dyDescent="0.2">
      <c r="A97" s="45"/>
      <c r="B97" s="45"/>
      <c r="C97" s="45"/>
      <c r="N97" s="104">
        <v>67.466768739571279</v>
      </c>
      <c r="P97" s="104">
        <f t="shared" si="11"/>
        <v>1</v>
      </c>
    </row>
    <row r="98" spans="1:16" x14ac:dyDescent="0.2">
      <c r="B98" s="45"/>
      <c r="C98" s="45"/>
      <c r="N98" s="104">
        <v>139.72086653904839</v>
      </c>
      <c r="P98" s="104">
        <f t="shared" si="11"/>
        <v>1.780217394228544</v>
      </c>
    </row>
    <row r="99" spans="1:16" x14ac:dyDescent="0.2">
      <c r="A99" s="112" t="s">
        <v>118</v>
      </c>
      <c r="N99" s="104">
        <v>0</v>
      </c>
      <c r="P99" s="104">
        <f t="shared" si="11"/>
        <v>0</v>
      </c>
    </row>
    <row r="100" spans="1:16" x14ac:dyDescent="0.2">
      <c r="C100" s="45" t="s">
        <v>150</v>
      </c>
      <c r="D100" s="45" t="s">
        <v>151</v>
      </c>
      <c r="E100" s="45" t="s">
        <v>152</v>
      </c>
      <c r="F100" s="45" t="s">
        <v>153</v>
      </c>
      <c r="G100" s="45" t="s">
        <v>154</v>
      </c>
      <c r="H100" s="45" t="s">
        <v>155</v>
      </c>
      <c r="I100" s="45"/>
      <c r="N100" s="104">
        <v>30.9742</v>
      </c>
      <c r="P100" s="104">
        <f t="shared" si="11"/>
        <v>1</v>
      </c>
    </row>
    <row r="101" spans="1:16" x14ac:dyDescent="0.2">
      <c r="B101" s="125" t="s">
        <v>67</v>
      </c>
      <c r="C101" s="45"/>
      <c r="N101" s="104">
        <v>0</v>
      </c>
      <c r="P101" s="104">
        <v>0</v>
      </c>
    </row>
    <row r="102" spans="1:16" x14ac:dyDescent="0.2">
      <c r="B102" s="125" t="s">
        <v>133</v>
      </c>
      <c r="C102" s="45"/>
      <c r="N102" s="104">
        <v>31.677900000000001</v>
      </c>
      <c r="P102" s="104">
        <f t="shared" si="11"/>
        <v>1</v>
      </c>
    </row>
    <row r="103" spans="1:16" x14ac:dyDescent="0.2">
      <c r="B103" s="125" t="s">
        <v>85</v>
      </c>
      <c r="N103" s="104">
        <v>0</v>
      </c>
      <c r="P103" s="104">
        <v>0</v>
      </c>
    </row>
    <row r="104" spans="1:16" x14ac:dyDescent="0.2">
      <c r="B104" s="125" t="s">
        <v>135</v>
      </c>
      <c r="N104" s="104">
        <v>56.018044308841645</v>
      </c>
      <c r="P104" s="104">
        <f t="shared" si="11"/>
        <v>2.2570538137499607</v>
      </c>
    </row>
    <row r="105" spans="1:16" x14ac:dyDescent="0.2">
      <c r="B105" s="125" t="s">
        <v>87</v>
      </c>
      <c r="N105" s="105">
        <v>139.72086653904839</v>
      </c>
      <c r="P105" s="105">
        <f t="shared" si="11"/>
        <v>2.5939997240977291</v>
      </c>
    </row>
    <row r="106" spans="1:16" x14ac:dyDescent="0.2">
      <c r="B106" s="125" t="s">
        <v>89</v>
      </c>
    </row>
    <row r="107" spans="1:16" x14ac:dyDescent="0.2">
      <c r="B107" s="125" t="s">
        <v>71</v>
      </c>
    </row>
    <row r="108" spans="1:16" x14ac:dyDescent="0.2">
      <c r="B108" s="125" t="s">
        <v>90</v>
      </c>
    </row>
    <row r="109" spans="1:16" x14ac:dyDescent="0.2">
      <c r="B109" s="125" t="s">
        <v>72</v>
      </c>
    </row>
    <row r="114" spans="1:13" x14ac:dyDescent="0.2">
      <c r="E114" s="113" t="s">
        <v>119</v>
      </c>
      <c r="F114" s="114" t="s">
        <v>120</v>
      </c>
      <c r="G114" s="115" t="s">
        <v>121</v>
      </c>
    </row>
    <row r="115" spans="1:13" x14ac:dyDescent="0.2">
      <c r="E115" s="107" t="s">
        <v>125</v>
      </c>
      <c r="F115" s="108" t="s">
        <v>127</v>
      </c>
      <c r="G115" s="84" t="s">
        <v>130</v>
      </c>
    </row>
    <row r="116" spans="1:13" x14ac:dyDescent="0.2">
      <c r="E116" s="107" t="s">
        <v>122</v>
      </c>
      <c r="F116" s="108" t="s">
        <v>128</v>
      </c>
      <c r="G116" s="84"/>
    </row>
    <row r="117" spans="1:13" x14ac:dyDescent="0.2">
      <c r="B117" s="286" t="s">
        <v>147</v>
      </c>
      <c r="C117" s="287"/>
      <c r="D117" s="288"/>
      <c r="E117" s="107" t="s">
        <v>123</v>
      </c>
      <c r="F117" s="108" t="s">
        <v>129</v>
      </c>
      <c r="G117" s="84"/>
    </row>
    <row r="118" spans="1:13" x14ac:dyDescent="0.2">
      <c r="B118" s="107" t="s">
        <v>148</v>
      </c>
      <c r="C118" s="108" t="s">
        <v>146</v>
      </c>
      <c r="D118" s="62" t="s">
        <v>141</v>
      </c>
      <c r="E118" s="107" t="s">
        <v>124</v>
      </c>
      <c r="F118" s="108"/>
      <c r="G118" s="84"/>
    </row>
    <row r="119" spans="1:13" ht="15" thickBot="1" x14ac:dyDescent="0.25">
      <c r="A119" s="108" t="s">
        <v>132</v>
      </c>
      <c r="B119" s="119">
        <v>862827</v>
      </c>
      <c r="C119" s="108">
        <f>B119/8760/0.8/3600</f>
        <v>3.4200080859969555E-2</v>
      </c>
      <c r="D119" s="126">
        <f>-C119</f>
        <v>-3.4200080859969555E-2</v>
      </c>
      <c r="E119" s="110" t="s">
        <v>126</v>
      </c>
      <c r="F119" s="111"/>
      <c r="G119" s="64"/>
      <c r="L119" s="37"/>
      <c r="M119" s="37"/>
    </row>
    <row r="120" spans="1:13" ht="14.25" customHeight="1" thickBot="1" x14ac:dyDescent="0.25">
      <c r="A120" s="108" t="s">
        <v>133</v>
      </c>
      <c r="B120" s="119">
        <v>436305</v>
      </c>
      <c r="C120" s="108">
        <f t="shared" ref="C120:C127" si="12">B120/8760/0.8/3600</f>
        <v>1.729392598934551E-2</v>
      </c>
      <c r="D120" s="126">
        <f t="shared" ref="D120:D127" si="13">-C120</f>
        <v>-1.729392598934551E-2</v>
      </c>
      <c r="E120" s="45"/>
      <c r="F120" s="45"/>
      <c r="G120" s="45"/>
      <c r="K120" s="124" t="s">
        <v>149</v>
      </c>
      <c r="L120" s="121"/>
      <c r="M120" s="121"/>
    </row>
    <row r="121" spans="1:13" ht="14.25" customHeight="1" x14ac:dyDescent="0.2">
      <c r="A121" s="108" t="s">
        <v>134</v>
      </c>
      <c r="B121" s="119">
        <v>862827</v>
      </c>
      <c r="C121" s="108">
        <f t="shared" si="12"/>
        <v>3.4200080859969555E-2</v>
      </c>
      <c r="D121" s="126">
        <f t="shared" si="13"/>
        <v>-3.4200080859969555E-2</v>
      </c>
      <c r="E121" s="281" t="s">
        <v>131</v>
      </c>
      <c r="F121" s="127">
        <f>D119</f>
        <v>-3.4200080859969555E-2</v>
      </c>
      <c r="G121" s="109" t="s">
        <v>132</v>
      </c>
      <c r="H121" s="284" t="s">
        <v>141</v>
      </c>
      <c r="K121" s="122">
        <f t="array" ref="K121:K138">MMULT(H67:Y84,F121:F138)</f>
        <v>0</v>
      </c>
      <c r="L121" s="37"/>
      <c r="M121" s="37"/>
    </row>
    <row r="122" spans="1:13" ht="14.25" customHeight="1" x14ac:dyDescent="0.2">
      <c r="A122" s="108" t="s">
        <v>135</v>
      </c>
      <c r="B122" s="119">
        <v>2194382</v>
      </c>
      <c r="C122" s="108">
        <f t="shared" si="12"/>
        <v>8.697924594114663E-2</v>
      </c>
      <c r="D122" s="126">
        <f t="shared" si="13"/>
        <v>-8.697924594114663E-2</v>
      </c>
      <c r="E122" s="282"/>
      <c r="F122" s="128">
        <f t="shared" ref="F122:F129" si="14">D120</f>
        <v>-1.729392598934551E-2</v>
      </c>
      <c r="G122" s="108" t="s">
        <v>133</v>
      </c>
      <c r="H122" s="285"/>
      <c r="K122" s="122">
        <v>0.69842459197108064</v>
      </c>
    </row>
    <row r="123" spans="1:13" ht="14.25" customHeight="1" x14ac:dyDescent="0.2">
      <c r="A123" s="108" t="s">
        <v>136</v>
      </c>
      <c r="B123" s="119">
        <v>0</v>
      </c>
      <c r="C123" s="108">
        <f t="shared" si="12"/>
        <v>0</v>
      </c>
      <c r="D123" s="126">
        <f t="shared" si="13"/>
        <v>0</v>
      </c>
      <c r="E123" s="282"/>
      <c r="F123" s="128">
        <f t="shared" si="14"/>
        <v>-3.4200080859969555E-2</v>
      </c>
      <c r="G123" s="108" t="s">
        <v>134</v>
      </c>
      <c r="H123" s="285"/>
      <c r="K123" s="122">
        <v>0.71571851796042618</v>
      </c>
    </row>
    <row r="124" spans="1:13" ht="14.25" customHeight="1" x14ac:dyDescent="0.2">
      <c r="A124" s="108" t="s">
        <v>137</v>
      </c>
      <c r="B124" s="119">
        <v>117341</v>
      </c>
      <c r="C124" s="108">
        <f t="shared" si="12"/>
        <v>4.6510733764586502E-3</v>
      </c>
      <c r="D124" s="126">
        <f t="shared" si="13"/>
        <v>-4.6510733764586502E-3</v>
      </c>
      <c r="E124" s="282"/>
      <c r="F124" s="128">
        <f t="shared" si="14"/>
        <v>-8.697924594114663E-2</v>
      </c>
      <c r="G124" s="108" t="s">
        <v>135</v>
      </c>
      <c r="H124" s="285"/>
      <c r="K124" s="122">
        <v>1.4292335654870625</v>
      </c>
    </row>
    <row r="125" spans="1:13" ht="14.25" customHeight="1" x14ac:dyDescent="0.2">
      <c r="A125" s="108" t="s">
        <v>138</v>
      </c>
      <c r="B125" s="119">
        <v>2630609</v>
      </c>
      <c r="C125" s="108">
        <f t="shared" si="12"/>
        <v>0.10427008022577372</v>
      </c>
      <c r="D125" s="126">
        <f t="shared" si="13"/>
        <v>-0.10427008022577372</v>
      </c>
      <c r="E125" s="282"/>
      <c r="F125" s="128">
        <f t="shared" si="14"/>
        <v>0</v>
      </c>
      <c r="G125" s="108" t="s">
        <v>136</v>
      </c>
      <c r="H125" s="285"/>
      <c r="K125" s="122">
        <v>1.516212811428209</v>
      </c>
    </row>
    <row r="126" spans="1:13" ht="14.25" customHeight="1" x14ac:dyDescent="0.2">
      <c r="A126" s="108" t="s">
        <v>139</v>
      </c>
      <c r="B126" s="119">
        <v>11915</v>
      </c>
      <c r="C126" s="108">
        <f t="shared" si="12"/>
        <v>4.7227771435819375E-4</v>
      </c>
      <c r="D126" s="126">
        <f t="shared" si="13"/>
        <v>-4.7227771435819375E-4</v>
      </c>
      <c r="E126" s="282"/>
      <c r="F126" s="128">
        <f t="shared" si="14"/>
        <v>-4.6510733764586502E-3</v>
      </c>
      <c r="G126" s="108" t="s">
        <v>137</v>
      </c>
      <c r="H126" s="285"/>
      <c r="K126" s="122">
        <v>1.516212811428209</v>
      </c>
    </row>
    <row r="127" spans="1:13" ht="14.25" customHeight="1" x14ac:dyDescent="0.2">
      <c r="A127" s="108" t="s">
        <v>140</v>
      </c>
      <c r="B127" s="120">
        <v>2630609</v>
      </c>
      <c r="C127" s="108">
        <f t="shared" si="12"/>
        <v>0.10427008022577372</v>
      </c>
      <c r="D127" s="126">
        <f t="shared" si="13"/>
        <v>-0.10427008022577372</v>
      </c>
      <c r="E127" s="282"/>
      <c r="F127" s="128">
        <f t="shared" si="14"/>
        <v>-0.10427008022577372</v>
      </c>
      <c r="G127" s="108" t="s">
        <v>138</v>
      </c>
      <c r="H127" s="285"/>
      <c r="K127" s="122">
        <v>0.32569649122180083</v>
      </c>
    </row>
    <row r="128" spans="1:13" ht="14.25" customHeight="1" x14ac:dyDescent="0.2">
      <c r="B128" s="286" t="s">
        <v>142</v>
      </c>
      <c r="C128" s="287"/>
      <c r="D128" s="288"/>
      <c r="E128" s="282"/>
      <c r="F128" s="128">
        <f t="shared" si="14"/>
        <v>-4.7227771435819375E-4</v>
      </c>
      <c r="G128" s="108" t="s">
        <v>139</v>
      </c>
      <c r="H128" s="285"/>
      <c r="K128" s="122">
        <v>1.8465603760264686</v>
      </c>
    </row>
    <row r="129" spans="1:11" ht="14.25" customHeight="1" x14ac:dyDescent="0.2">
      <c r="B129" s="107" t="s">
        <v>143</v>
      </c>
      <c r="C129" s="108" t="s">
        <v>144</v>
      </c>
      <c r="D129" s="108" t="s">
        <v>145</v>
      </c>
      <c r="E129" s="282"/>
      <c r="F129" s="128">
        <f t="shared" si="14"/>
        <v>-0.10427008022577372</v>
      </c>
      <c r="G129" s="108" t="s">
        <v>140</v>
      </c>
      <c r="H129" s="285"/>
      <c r="K129" s="122">
        <v>1.0401444289391262</v>
      </c>
    </row>
    <row r="130" spans="1:11" ht="14.25" customHeight="1" x14ac:dyDescent="0.2">
      <c r="A130" s="108">
        <v>1</v>
      </c>
      <c r="B130" s="107">
        <v>0</v>
      </c>
      <c r="C130" s="116">
        <f>F45</f>
        <v>0.48074386395855245</v>
      </c>
      <c r="D130" s="117">
        <f>B130*C130/3600</f>
        <v>0</v>
      </c>
      <c r="E130" s="282"/>
      <c r="F130" s="128">
        <f>D130</f>
        <v>0</v>
      </c>
      <c r="G130" s="108">
        <v>1</v>
      </c>
      <c r="H130" s="285" t="s">
        <v>119</v>
      </c>
      <c r="K130" s="122">
        <v>0.33733384369785641</v>
      </c>
    </row>
    <row r="131" spans="1:11" ht="14.25" customHeight="1" x14ac:dyDescent="0.2">
      <c r="A131" s="108">
        <v>7</v>
      </c>
      <c r="B131" s="107">
        <v>18</v>
      </c>
      <c r="C131" s="116">
        <f>F51</f>
        <v>65.139298244360177</v>
      </c>
      <c r="D131" s="117">
        <f t="shared" ref="D131:D134" si="15">B131*C131/3600</f>
        <v>0.32569649122180083</v>
      </c>
      <c r="E131" s="282"/>
      <c r="F131" s="128">
        <f t="shared" ref="F131:F134" si="16">D131</f>
        <v>0.32569649122180083</v>
      </c>
      <c r="G131" s="108">
        <v>7</v>
      </c>
      <c r="H131" s="285"/>
      <c r="K131" s="122">
        <v>1.377950550351341</v>
      </c>
    </row>
    <row r="132" spans="1:11" ht="14.25" customHeight="1" x14ac:dyDescent="0.2">
      <c r="A132" s="108">
        <v>10</v>
      </c>
      <c r="B132" s="107">
        <v>18</v>
      </c>
      <c r="C132" s="116">
        <f>F54</f>
        <v>67.466768739571279</v>
      </c>
      <c r="D132" s="117">
        <f t="shared" si="15"/>
        <v>0.33733384369785641</v>
      </c>
      <c r="E132" s="282"/>
      <c r="F132" s="128">
        <f t="shared" si="16"/>
        <v>0.33733384369785641</v>
      </c>
      <c r="G132" s="108">
        <v>10</v>
      </c>
      <c r="H132" s="285"/>
      <c r="K132" s="122">
        <v>0</v>
      </c>
    </row>
    <row r="133" spans="1:11" ht="14.25" customHeight="1" x14ac:dyDescent="0.2">
      <c r="A133" s="108">
        <v>13</v>
      </c>
      <c r="B133" s="107">
        <v>77.2</v>
      </c>
      <c r="C133" s="108">
        <f>F57</f>
        <v>30.9742</v>
      </c>
      <c r="D133" s="117">
        <f t="shared" si="15"/>
        <v>0.66422451111111114</v>
      </c>
      <c r="E133" s="282"/>
      <c r="F133" s="128">
        <f t="shared" si="16"/>
        <v>0.66422451111111114</v>
      </c>
      <c r="G133" s="108">
        <v>13</v>
      </c>
      <c r="H133" s="285"/>
      <c r="K133" s="122">
        <v>0.66422451111111114</v>
      </c>
    </row>
    <row r="134" spans="1:11" ht="14.25" customHeight="1" x14ac:dyDescent="0.2">
      <c r="A134" s="108">
        <v>15</v>
      </c>
      <c r="B134" s="110">
        <v>77.2</v>
      </c>
      <c r="C134" s="111">
        <f>F59</f>
        <v>31.677900000000001</v>
      </c>
      <c r="D134" s="118">
        <f t="shared" si="15"/>
        <v>0.67931496666666669</v>
      </c>
      <c r="E134" s="282"/>
      <c r="F134" s="128">
        <f t="shared" si="16"/>
        <v>0.67931496666666669</v>
      </c>
      <c r="G134" s="108">
        <v>15</v>
      </c>
      <c r="H134" s="285"/>
      <c r="K134" s="122">
        <v>0</v>
      </c>
    </row>
    <row r="135" spans="1:11" ht="14.25" customHeight="1" x14ac:dyDescent="0.2">
      <c r="E135" s="282"/>
      <c r="F135" s="108">
        <v>0</v>
      </c>
      <c r="G135" s="108">
        <v>12</v>
      </c>
      <c r="H135" s="285" t="s">
        <v>120</v>
      </c>
      <c r="K135" s="122">
        <v>0.67931496666666669</v>
      </c>
    </row>
    <row r="136" spans="1:11" ht="14.25" customHeight="1" x14ac:dyDescent="0.2">
      <c r="E136" s="282"/>
      <c r="F136" s="108">
        <v>0</v>
      </c>
      <c r="G136" s="108">
        <v>14</v>
      </c>
      <c r="H136" s="285"/>
      <c r="K136" s="122">
        <v>0</v>
      </c>
    </row>
    <row r="137" spans="1:11" ht="14.25" customHeight="1" x14ac:dyDescent="0.2">
      <c r="E137" s="282"/>
      <c r="F137" s="108">
        <v>0</v>
      </c>
      <c r="G137" s="108">
        <v>16</v>
      </c>
      <c r="H137" s="285"/>
      <c r="K137" s="122">
        <v>0.91068602731311599</v>
      </c>
    </row>
    <row r="138" spans="1:11" ht="16.5" customHeight="1" thickBot="1" x14ac:dyDescent="0.25">
      <c r="E138" s="283"/>
      <c r="F138" s="111">
        <v>0</v>
      </c>
      <c r="G138" s="111">
        <v>8</v>
      </c>
      <c r="H138" s="64" t="s">
        <v>121</v>
      </c>
      <c r="K138" s="123">
        <v>1.4822206305771146</v>
      </c>
    </row>
    <row r="139" spans="1:11" x14ac:dyDescent="0.2">
      <c r="F139" s="45"/>
    </row>
    <row r="140" spans="1:11" x14ac:dyDescent="0.2">
      <c r="F140" s="45"/>
    </row>
    <row r="141" spans="1:11" x14ac:dyDescent="0.2">
      <c r="F141" s="45"/>
    </row>
  </sheetData>
  <mergeCells count="25">
    <mergeCell ref="E121:E138"/>
    <mergeCell ref="H121:H129"/>
    <mergeCell ref="H130:H134"/>
    <mergeCell ref="H135:H137"/>
    <mergeCell ref="B117:D117"/>
    <mergeCell ref="B128:D128"/>
    <mergeCell ref="A31:A33"/>
    <mergeCell ref="G44:Y44"/>
    <mergeCell ref="P36:P40"/>
    <mergeCell ref="R36:R40"/>
    <mergeCell ref="T36:T40"/>
    <mergeCell ref="E44:F44"/>
    <mergeCell ref="F37:G37"/>
    <mergeCell ref="F38:G38"/>
    <mergeCell ref="N43:O43"/>
    <mergeCell ref="A9:A14"/>
    <mergeCell ref="A16:A18"/>
    <mergeCell ref="A19:A20"/>
    <mergeCell ref="A22:A25"/>
    <mergeCell ref="A27:A30"/>
    <mergeCell ref="A49:B49"/>
    <mergeCell ref="G65:H65"/>
    <mergeCell ref="N66:O66"/>
    <mergeCell ref="G55:G59"/>
    <mergeCell ref="G60:G6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CF27-F554-4F69-8B7D-99CBDDE7629B}">
  <dimension ref="A1:AH198"/>
  <sheetViews>
    <sheetView tabSelected="1" zoomScale="25" zoomScaleNormal="25" workbookViewId="0">
      <selection activeCell="I128" sqref="I128"/>
    </sheetView>
  </sheetViews>
  <sheetFormatPr defaultRowHeight="14.25" x14ac:dyDescent="0.2"/>
  <cols>
    <col min="1" max="1" width="19.5" style="193" customWidth="1"/>
    <col min="2" max="2" width="21.625" style="193" customWidth="1"/>
    <col min="3" max="17" width="11.625" style="45" customWidth="1"/>
    <col min="18" max="18" width="12.5" style="45" customWidth="1"/>
    <col min="19" max="29" width="11.625" style="45" customWidth="1"/>
    <col min="30" max="30" width="9" style="45"/>
    <col min="32" max="32" width="9" style="45"/>
  </cols>
  <sheetData>
    <row r="1" spans="1:32" x14ac:dyDescent="0.2">
      <c r="A1" s="176"/>
      <c r="B1" s="177" t="s">
        <v>0</v>
      </c>
      <c r="C1" s="31" t="s">
        <v>18</v>
      </c>
      <c r="D1" s="31">
        <v>1</v>
      </c>
      <c r="E1" s="162">
        <v>1</v>
      </c>
      <c r="F1" s="31">
        <v>2</v>
      </c>
      <c r="G1" s="162">
        <v>2</v>
      </c>
      <c r="H1" s="31">
        <v>3</v>
      </c>
      <c r="I1" s="162">
        <v>3</v>
      </c>
      <c r="J1" s="31">
        <v>4</v>
      </c>
      <c r="K1" s="162">
        <v>4</v>
      </c>
      <c r="L1" s="31">
        <v>5</v>
      </c>
      <c r="M1" s="194" t="s">
        <v>156</v>
      </c>
      <c r="N1" s="162" t="s">
        <v>157</v>
      </c>
      <c r="O1" s="162" t="s">
        <v>158</v>
      </c>
      <c r="P1" s="31">
        <v>6</v>
      </c>
      <c r="Q1" s="162">
        <v>6</v>
      </c>
      <c r="R1" s="31" t="s">
        <v>30</v>
      </c>
      <c r="S1" s="162" t="s">
        <v>81</v>
      </c>
      <c r="T1" s="31">
        <v>8</v>
      </c>
      <c r="U1" s="162">
        <v>8</v>
      </c>
      <c r="V1" s="31">
        <v>9</v>
      </c>
      <c r="W1" s="162">
        <v>9</v>
      </c>
      <c r="X1" s="31" t="s">
        <v>31</v>
      </c>
      <c r="Y1" s="162" t="s">
        <v>82</v>
      </c>
      <c r="Z1" s="31">
        <v>11</v>
      </c>
      <c r="AA1" s="162">
        <v>11</v>
      </c>
      <c r="AB1" s="154">
        <v>12</v>
      </c>
      <c r="AC1" s="162">
        <v>12</v>
      </c>
    </row>
    <row r="2" spans="1:32" x14ac:dyDescent="0.2">
      <c r="A2" s="178"/>
      <c r="B2" s="179" t="s">
        <v>1</v>
      </c>
      <c r="C2" s="140" t="s">
        <v>19</v>
      </c>
      <c r="D2" s="140">
        <v>298.14999999999998</v>
      </c>
      <c r="E2" s="163">
        <v>298.14999999999998</v>
      </c>
      <c r="F2" s="140">
        <v>571.55999999999995</v>
      </c>
      <c r="G2" s="163">
        <v>462.999390283411</v>
      </c>
      <c r="H2" s="140">
        <v>303.14999999999998</v>
      </c>
      <c r="I2" s="163">
        <v>303.14999999999998</v>
      </c>
      <c r="J2" s="140">
        <v>582.21699999999998</v>
      </c>
      <c r="K2" s="163">
        <v>470.97481566075101</v>
      </c>
      <c r="L2" s="140">
        <v>313.14999999999998</v>
      </c>
      <c r="M2" s="163">
        <v>308.14999999999998</v>
      </c>
      <c r="N2" s="163">
        <v>479.63060219724298</v>
      </c>
      <c r="O2" s="163">
        <v>313.14999999999998</v>
      </c>
      <c r="P2" s="140">
        <v>307.40300000000002</v>
      </c>
      <c r="Q2" s="163">
        <v>307.40344908688098</v>
      </c>
      <c r="R2" s="140">
        <v>298.14999999999998</v>
      </c>
      <c r="S2" s="163">
        <v>298.14999999999998</v>
      </c>
      <c r="T2" s="140">
        <v>823.15</v>
      </c>
      <c r="U2" s="163">
        <v>823.15046736578097</v>
      </c>
      <c r="V2" s="140">
        <v>616.68700000000001</v>
      </c>
      <c r="W2" s="163">
        <v>616.68737472814496</v>
      </c>
      <c r="X2" s="140">
        <v>298.14999999999998</v>
      </c>
      <c r="Y2" s="163">
        <v>298.14999999999998</v>
      </c>
      <c r="Z2" s="140">
        <v>1098.1500000000001</v>
      </c>
      <c r="AA2" s="163">
        <v>1098.15097097329</v>
      </c>
      <c r="AB2" s="155">
        <v>680.84699999999998</v>
      </c>
      <c r="AC2" s="163">
        <v>680.84712817257696</v>
      </c>
    </row>
    <row r="3" spans="1:32" x14ac:dyDescent="0.2">
      <c r="A3" s="178"/>
      <c r="B3" s="179" t="s">
        <v>2</v>
      </c>
      <c r="C3" s="140" t="s">
        <v>20</v>
      </c>
      <c r="D3" s="140">
        <v>1</v>
      </c>
      <c r="E3" s="163">
        <v>1</v>
      </c>
      <c r="F3" s="140">
        <v>8.4849999999999994</v>
      </c>
      <c r="G3" s="163">
        <v>4.16</v>
      </c>
      <c r="H3" s="140">
        <v>8.4849999999999994</v>
      </c>
      <c r="I3" s="163">
        <v>4.16</v>
      </c>
      <c r="J3" s="140">
        <v>71.995199999999997</v>
      </c>
      <c r="K3" s="163">
        <v>17.305599999999998</v>
      </c>
      <c r="L3" s="140">
        <v>71.995199999999997</v>
      </c>
      <c r="M3" s="163">
        <v>17.305599999999998</v>
      </c>
      <c r="N3" s="163">
        <v>71.991296000000006</v>
      </c>
      <c r="O3" s="163">
        <v>71.991296000000006</v>
      </c>
      <c r="P3" s="140">
        <v>42</v>
      </c>
      <c r="Q3" s="163">
        <v>42</v>
      </c>
      <c r="R3" s="140">
        <v>50</v>
      </c>
      <c r="S3" s="163">
        <v>50</v>
      </c>
      <c r="T3" s="140">
        <v>42</v>
      </c>
      <c r="U3" s="163">
        <v>42</v>
      </c>
      <c r="V3" s="140">
        <v>11</v>
      </c>
      <c r="W3" s="163">
        <v>11</v>
      </c>
      <c r="X3" s="140">
        <v>50</v>
      </c>
      <c r="Y3" s="163">
        <v>50</v>
      </c>
      <c r="Z3" s="140">
        <v>11</v>
      </c>
      <c r="AA3" s="163">
        <v>11</v>
      </c>
      <c r="AB3" s="155">
        <v>1</v>
      </c>
      <c r="AC3" s="163">
        <v>1</v>
      </c>
    </row>
    <row r="4" spans="1:32" x14ac:dyDescent="0.2">
      <c r="A4" s="178"/>
      <c r="B4" s="179" t="s">
        <v>16</v>
      </c>
      <c r="C4" s="140" t="s">
        <v>28</v>
      </c>
      <c r="D4" s="140">
        <v>108</v>
      </c>
      <c r="E4" s="163">
        <v>108</v>
      </c>
      <c r="F4" s="140">
        <v>108</v>
      </c>
      <c r="G4" s="163">
        <v>108</v>
      </c>
      <c r="H4" s="140">
        <v>108</v>
      </c>
      <c r="I4" s="163">
        <v>108</v>
      </c>
      <c r="J4" s="140">
        <v>108</v>
      </c>
      <c r="K4" s="163">
        <v>108</v>
      </c>
      <c r="L4" s="140">
        <v>108</v>
      </c>
      <c r="M4" s="163">
        <v>108</v>
      </c>
      <c r="N4" s="163">
        <v>108</v>
      </c>
      <c r="O4" s="163">
        <v>108</v>
      </c>
      <c r="P4" s="140">
        <v>108</v>
      </c>
      <c r="Q4" s="163">
        <v>108</v>
      </c>
      <c r="R4" s="140">
        <v>1.2430311845869799</v>
      </c>
      <c r="S4" s="163">
        <v>1.2432627006516499</v>
      </c>
      <c r="T4" s="140">
        <v>109.243031184587</v>
      </c>
      <c r="U4" s="163">
        <v>109.243262700652</v>
      </c>
      <c r="V4" s="140">
        <v>109.243031184587</v>
      </c>
      <c r="W4" s="163">
        <v>109.243262700652</v>
      </c>
      <c r="X4" s="140">
        <v>1.2868455175425899</v>
      </c>
      <c r="Y4" s="163">
        <v>1.2868535317462899</v>
      </c>
      <c r="Z4" s="140">
        <v>110.52987670213</v>
      </c>
      <c r="AA4" s="163">
        <v>110.530116232398</v>
      </c>
      <c r="AB4" s="155">
        <v>110.52987670213</v>
      </c>
      <c r="AC4" s="163">
        <v>110.530116232398</v>
      </c>
    </row>
    <row r="5" spans="1:32" x14ac:dyDescent="0.2">
      <c r="A5" s="178"/>
      <c r="B5" s="179" t="s">
        <v>9</v>
      </c>
      <c r="C5" s="140" t="s">
        <v>27</v>
      </c>
      <c r="D5" s="140">
        <v>3.7434493276231202</v>
      </c>
      <c r="E5" s="163">
        <v>3.7434493276231202</v>
      </c>
      <c r="F5" s="140">
        <v>3.7434493276231202</v>
      </c>
      <c r="G5" s="163">
        <v>3.7434493276231202</v>
      </c>
      <c r="H5" s="140">
        <v>3.7434493276231202</v>
      </c>
      <c r="I5" s="163">
        <v>3.7434493276231202</v>
      </c>
      <c r="J5" s="140">
        <v>3.7434493276231202</v>
      </c>
      <c r="K5" s="163">
        <v>3.7434493276231202</v>
      </c>
      <c r="L5" s="140">
        <v>3.7434493276231202</v>
      </c>
      <c r="M5" s="163">
        <v>3.7434493276231202</v>
      </c>
      <c r="N5" s="163">
        <v>3.7434493276231202</v>
      </c>
      <c r="O5" s="163">
        <v>3.7434493276231202</v>
      </c>
      <c r="P5" s="140">
        <v>3.7434493276231202</v>
      </c>
      <c r="Q5" s="163">
        <v>3.7434493276231202</v>
      </c>
      <c r="R5" s="140">
        <v>7.7482377383129797E-2</v>
      </c>
      <c r="S5" s="163">
        <v>7.7496808569825298E-2</v>
      </c>
      <c r="T5" s="140">
        <v>3.8209317050062501</v>
      </c>
      <c r="U5" s="163">
        <v>3.8209461361929602</v>
      </c>
      <c r="V5" s="140">
        <v>3.8209317050062501</v>
      </c>
      <c r="W5" s="163">
        <v>3.8209461361929602</v>
      </c>
      <c r="X5" s="140">
        <v>8.0213474336248203E-2</v>
      </c>
      <c r="Y5" s="163">
        <v>8.0213973888924997E-2</v>
      </c>
      <c r="Z5" s="140">
        <v>3.9011451793425098</v>
      </c>
      <c r="AA5" s="163">
        <v>3.9011601100818698</v>
      </c>
      <c r="AB5" s="155">
        <v>3.9011451793425098</v>
      </c>
      <c r="AC5" s="163">
        <v>3.9011601100818698</v>
      </c>
    </row>
    <row r="6" spans="1:32" x14ac:dyDescent="0.2">
      <c r="A6" s="178"/>
      <c r="B6" s="179" t="s">
        <v>47</v>
      </c>
      <c r="C6" s="140" t="s">
        <v>48</v>
      </c>
      <c r="D6" s="140">
        <f>D4/D5</f>
        <v>28.850397200000014</v>
      </c>
      <c r="E6" s="163">
        <f>E4/E5</f>
        <v>28.850397200000014</v>
      </c>
      <c r="F6" s="140">
        <f t="shared" ref="F6:G6" si="0">F4/F5</f>
        <v>28.850397200000014</v>
      </c>
      <c r="G6" s="163">
        <f t="shared" si="0"/>
        <v>28.850397200000014</v>
      </c>
      <c r="H6" s="140">
        <f t="shared" ref="H6:AC6" si="1">H4/H5</f>
        <v>28.850397200000014</v>
      </c>
      <c r="I6" s="163">
        <f t="shared" si="1"/>
        <v>28.850397200000014</v>
      </c>
      <c r="J6" s="140">
        <f t="shared" si="1"/>
        <v>28.850397200000014</v>
      </c>
      <c r="K6" s="163">
        <f t="shared" si="1"/>
        <v>28.850397200000014</v>
      </c>
      <c r="L6" s="140">
        <f t="shared" si="1"/>
        <v>28.850397200000014</v>
      </c>
      <c r="M6" s="163">
        <f t="shared" si="1"/>
        <v>28.850397200000014</v>
      </c>
      <c r="N6" s="163">
        <f t="shared" si="1"/>
        <v>28.850397200000014</v>
      </c>
      <c r="O6" s="163">
        <f t="shared" si="1"/>
        <v>28.850397200000014</v>
      </c>
      <c r="P6" s="140">
        <f t="shared" si="1"/>
        <v>28.850397200000014</v>
      </c>
      <c r="Q6" s="163">
        <f t="shared" si="1"/>
        <v>28.850397200000014</v>
      </c>
      <c r="R6" s="140">
        <f t="shared" si="1"/>
        <v>16.042760000000008</v>
      </c>
      <c r="S6" s="163">
        <f t="shared" si="1"/>
        <v>16.042759999999991</v>
      </c>
      <c r="T6" s="140">
        <f t="shared" si="1"/>
        <v>28.5906788235589</v>
      </c>
      <c r="U6" s="163">
        <f t="shared" si="1"/>
        <v>28.590631431799682</v>
      </c>
      <c r="V6" s="140">
        <f t="shared" si="1"/>
        <v>28.5906788235589</v>
      </c>
      <c r="W6" s="163">
        <f t="shared" si="1"/>
        <v>28.590631431799682</v>
      </c>
      <c r="X6" s="140">
        <f t="shared" si="1"/>
        <v>16.042760000000008</v>
      </c>
      <c r="Y6" s="163">
        <f t="shared" si="1"/>
        <v>16.042759999999994</v>
      </c>
      <c r="Z6" s="140">
        <f t="shared" si="1"/>
        <v>28.332674540648203</v>
      </c>
      <c r="AA6" s="163">
        <f t="shared" si="1"/>
        <v>28.33262750399609</v>
      </c>
      <c r="AB6" s="140">
        <f t="shared" si="1"/>
        <v>28.332674540648203</v>
      </c>
      <c r="AC6" s="163">
        <f t="shared" si="1"/>
        <v>28.33262750399609</v>
      </c>
    </row>
    <row r="7" spans="1:32" s="212" customFormat="1" x14ac:dyDescent="0.2">
      <c r="A7" s="207"/>
      <c r="B7" s="208" t="s">
        <v>7</v>
      </c>
      <c r="C7" s="209" t="s">
        <v>25</v>
      </c>
      <c r="D7" s="209">
        <v>4.0361800000000003E-2</v>
      </c>
      <c r="E7" s="210">
        <v>4.0361760585989101E-2</v>
      </c>
      <c r="F7" s="209">
        <v>0.178088</v>
      </c>
      <c r="G7" s="210">
        <v>0.107965942822754</v>
      </c>
      <c r="H7" s="209">
        <v>0.33795500000000001</v>
      </c>
      <c r="I7" s="210">
        <v>0.16537195589955</v>
      </c>
      <c r="J7" s="209">
        <v>1.4531000000000001</v>
      </c>
      <c r="K7" s="210">
        <v>0.44010292455022099</v>
      </c>
      <c r="L7" s="209">
        <v>2.80315</v>
      </c>
      <c r="M7" s="210">
        <v>0.67996818040959595</v>
      </c>
      <c r="N7" s="210">
        <v>1.76913741370916</v>
      </c>
      <c r="O7" s="210">
        <v>2.8030016276594401</v>
      </c>
      <c r="P7" s="209">
        <v>1.6654100000000001</v>
      </c>
      <c r="Q7" s="210">
        <v>1.6654044572345501</v>
      </c>
      <c r="R7" s="209">
        <v>2.2421600000000002</v>
      </c>
      <c r="S7" s="210">
        <v>2.2421618427707801</v>
      </c>
      <c r="T7" s="209">
        <v>0.60633800000000004</v>
      </c>
      <c r="U7" s="210">
        <v>0.606337705090222</v>
      </c>
      <c r="V7" s="209">
        <v>0.21388799999999999</v>
      </c>
      <c r="W7" s="210">
        <v>0.213887586433301</v>
      </c>
      <c r="X7" s="209">
        <v>2.2421600000000002</v>
      </c>
      <c r="Y7" s="210">
        <v>2.2421618427707801</v>
      </c>
      <c r="Z7" s="209">
        <v>0.120159</v>
      </c>
      <c r="AA7" s="210">
        <v>1.7660901923633301E-2</v>
      </c>
      <c r="AB7" s="211">
        <v>1.76609E-2</v>
      </c>
      <c r="AC7" s="210">
        <v>1.7660901923633301E-2</v>
      </c>
      <c r="AD7" s="242"/>
      <c r="AF7" s="242"/>
    </row>
    <row r="8" spans="1:32" s="206" customFormat="1" x14ac:dyDescent="0.2">
      <c r="A8" s="201"/>
      <c r="B8" s="202" t="s">
        <v>8</v>
      </c>
      <c r="C8" s="203" t="s">
        <v>26</v>
      </c>
      <c r="D8" s="203">
        <v>1.16445</v>
      </c>
      <c r="E8" s="204">
        <v>1.16445282459709</v>
      </c>
      <c r="F8" s="203">
        <v>5.1379099999999998</v>
      </c>
      <c r="G8" s="204">
        <v>3.1148603345089501</v>
      </c>
      <c r="H8" s="203">
        <v>9.7501300000000004</v>
      </c>
      <c r="I8" s="204">
        <v>4.7710466134429099</v>
      </c>
      <c r="J8" s="203">
        <v>41.922499999999999</v>
      </c>
      <c r="K8" s="204">
        <v>12.697144182155499</v>
      </c>
      <c r="L8" s="203">
        <v>80.872100000000003</v>
      </c>
      <c r="M8" s="204">
        <v>19.617352088178102</v>
      </c>
      <c r="N8" s="204">
        <v>51.040317086889999</v>
      </c>
      <c r="O8" s="204">
        <v>80.867710310221298</v>
      </c>
      <c r="P8" s="203">
        <v>48.047699999999999</v>
      </c>
      <c r="Q8" s="204">
        <v>48.047580089867303</v>
      </c>
      <c r="R8" s="203">
        <v>35.970500000000001</v>
      </c>
      <c r="S8" s="204">
        <v>35.970464324729299</v>
      </c>
      <c r="T8" s="203">
        <v>17.335599999999999</v>
      </c>
      <c r="U8" s="204">
        <v>17.335577849437801</v>
      </c>
      <c r="V8" s="203">
        <v>6.1151799999999996</v>
      </c>
      <c r="W8" s="204">
        <v>6.1151811515516998</v>
      </c>
      <c r="X8" s="203">
        <v>35.970500000000001</v>
      </c>
      <c r="Y8" s="204">
        <v>35.970464324729299</v>
      </c>
      <c r="Z8" s="203">
        <v>3.4044300000000001</v>
      </c>
      <c r="AA8" s="204">
        <v>0.50037975558690995</v>
      </c>
      <c r="AB8" s="205">
        <v>0.50038000000000005</v>
      </c>
      <c r="AC8" s="204">
        <v>0.50037975558690995</v>
      </c>
      <c r="AD8" s="243"/>
      <c r="AF8" s="243"/>
    </row>
    <row r="9" spans="1:32" x14ac:dyDescent="0.2">
      <c r="A9" s="295"/>
      <c r="B9" s="180" t="s">
        <v>15</v>
      </c>
      <c r="C9" s="129"/>
      <c r="D9" s="129"/>
      <c r="E9" s="164"/>
      <c r="F9" s="129"/>
      <c r="G9" s="164"/>
      <c r="H9" s="129"/>
      <c r="I9" s="164"/>
      <c r="J9" s="129"/>
      <c r="K9" s="164"/>
      <c r="L9" s="129"/>
      <c r="M9" s="164"/>
      <c r="N9" s="164"/>
      <c r="O9" s="164"/>
      <c r="P9" s="129"/>
      <c r="Q9" s="164"/>
      <c r="R9" s="129"/>
      <c r="S9" s="164"/>
      <c r="T9" s="129"/>
      <c r="U9" s="164"/>
      <c r="V9" s="129"/>
      <c r="W9" s="164"/>
      <c r="X9" s="129"/>
      <c r="Y9" s="164"/>
      <c r="Z9" s="129"/>
      <c r="AA9" s="164"/>
      <c r="AB9" s="156"/>
      <c r="AC9" s="164"/>
    </row>
    <row r="10" spans="1:32" x14ac:dyDescent="0.2">
      <c r="A10" s="296"/>
      <c r="B10" s="181" t="s">
        <v>10</v>
      </c>
      <c r="C10" s="5"/>
      <c r="D10" s="5">
        <v>0.21</v>
      </c>
      <c r="E10" s="165">
        <v>0.21</v>
      </c>
      <c r="F10" s="5">
        <v>0.21</v>
      </c>
      <c r="G10" s="165">
        <v>0.21</v>
      </c>
      <c r="H10" s="5">
        <v>0.21</v>
      </c>
      <c r="I10" s="165">
        <v>0.21</v>
      </c>
      <c r="J10" s="5">
        <v>0.21</v>
      </c>
      <c r="K10" s="165">
        <v>0.21</v>
      </c>
      <c r="L10" s="5">
        <v>0.21</v>
      </c>
      <c r="M10" s="165">
        <v>0.21</v>
      </c>
      <c r="N10" s="165">
        <v>0.21</v>
      </c>
      <c r="O10" s="165">
        <v>0.21</v>
      </c>
      <c r="P10" s="5">
        <v>0.21</v>
      </c>
      <c r="Q10" s="165">
        <v>0.21</v>
      </c>
      <c r="R10" s="5">
        <v>9.9999999999999998E-13</v>
      </c>
      <c r="S10" s="165">
        <v>9.9999999999999998E-13</v>
      </c>
      <c r="T10" s="5">
        <v>0.16517699999999999</v>
      </c>
      <c r="U10" s="165">
        <v>0.16517656076932799</v>
      </c>
      <c r="V10" s="5">
        <v>0.16517699999999999</v>
      </c>
      <c r="W10" s="165">
        <v>0.16517656076932799</v>
      </c>
      <c r="X10" s="5">
        <v>9.9999999999999998E-13</v>
      </c>
      <c r="Y10" s="165">
        <v>9.9999999999999998E-13</v>
      </c>
      <c r="Z10" s="5">
        <v>0.120657</v>
      </c>
      <c r="AA10" s="165">
        <v>0.120657132904365</v>
      </c>
      <c r="AB10" s="157">
        <v>0.120657</v>
      </c>
      <c r="AC10" s="165">
        <v>0.120657132904365</v>
      </c>
    </row>
    <row r="11" spans="1:32" x14ac:dyDescent="0.2">
      <c r="A11" s="296"/>
      <c r="B11" s="181" t="s">
        <v>11</v>
      </c>
      <c r="C11" s="5"/>
      <c r="D11" s="5">
        <v>0.79</v>
      </c>
      <c r="E11" s="165">
        <v>0.79</v>
      </c>
      <c r="F11" s="5">
        <v>0.79</v>
      </c>
      <c r="G11" s="165">
        <v>0.79</v>
      </c>
      <c r="H11" s="5">
        <v>0.79</v>
      </c>
      <c r="I11" s="165">
        <v>0.79</v>
      </c>
      <c r="J11" s="5">
        <v>0.79</v>
      </c>
      <c r="K11" s="165">
        <v>0.79</v>
      </c>
      <c r="L11" s="5">
        <v>0.79</v>
      </c>
      <c r="M11" s="165">
        <v>0.79</v>
      </c>
      <c r="N11" s="165">
        <v>0.79</v>
      </c>
      <c r="O11" s="165">
        <v>0.79</v>
      </c>
      <c r="P11" s="5">
        <v>0.79</v>
      </c>
      <c r="Q11" s="165">
        <v>0.79</v>
      </c>
      <c r="R11" s="5">
        <v>9.9999999999999998E-13</v>
      </c>
      <c r="S11" s="165">
        <v>9.9999999999999998E-13</v>
      </c>
      <c r="T11" s="5">
        <v>0.77397700000000003</v>
      </c>
      <c r="U11" s="165">
        <v>0.773977141632475</v>
      </c>
      <c r="V11" s="5">
        <v>0.77397700000000003</v>
      </c>
      <c r="W11" s="165">
        <v>0.773977141632475</v>
      </c>
      <c r="X11" s="5">
        <v>9.9999999999999998E-13</v>
      </c>
      <c r="Y11" s="165">
        <v>9.9999999999999998E-13</v>
      </c>
      <c r="Z11" s="5">
        <v>0.75806300000000004</v>
      </c>
      <c r="AA11" s="165">
        <v>0.75806295701106297</v>
      </c>
      <c r="AB11" s="157">
        <v>0.75806300000000004</v>
      </c>
      <c r="AC11" s="165">
        <v>0.75806295701106297</v>
      </c>
    </row>
    <row r="12" spans="1:32" x14ac:dyDescent="0.2">
      <c r="A12" s="296"/>
      <c r="B12" s="181" t="s">
        <v>12</v>
      </c>
      <c r="C12" s="5"/>
      <c r="D12" s="5">
        <v>9.9999999999999998E-13</v>
      </c>
      <c r="E12" s="165">
        <v>9.9999999999999998E-13</v>
      </c>
      <c r="F12" s="5">
        <v>9.9999999999999998E-13</v>
      </c>
      <c r="G12" s="165">
        <v>9.9999999999999998E-13</v>
      </c>
      <c r="H12" s="5">
        <v>9.9999999999999998E-13</v>
      </c>
      <c r="I12" s="165">
        <v>9.9999999999999998E-13</v>
      </c>
      <c r="J12" s="5">
        <v>9.9999999999999998E-13</v>
      </c>
      <c r="K12" s="165">
        <v>9.9999999999999998E-13</v>
      </c>
      <c r="L12" s="5">
        <v>9.9999999999999998E-13</v>
      </c>
      <c r="M12" s="165">
        <v>9.9999999999999998E-13</v>
      </c>
      <c r="N12" s="165">
        <v>9.9999999999999998E-13</v>
      </c>
      <c r="O12" s="165">
        <v>9.9999999999999998E-13</v>
      </c>
      <c r="P12" s="5">
        <v>9.9999999999999998E-13</v>
      </c>
      <c r="Q12" s="165">
        <v>9.9999999999999998E-13</v>
      </c>
      <c r="R12" s="5">
        <v>1</v>
      </c>
      <c r="S12" s="165">
        <v>1</v>
      </c>
      <c r="T12" s="5">
        <v>9.9999999999999998E-13</v>
      </c>
      <c r="U12" s="165">
        <v>9.9999999999999998E-13</v>
      </c>
      <c r="V12" s="5">
        <v>9.9999999999999998E-13</v>
      </c>
      <c r="W12" s="165">
        <v>9.9999999999999998E-13</v>
      </c>
      <c r="X12" s="5">
        <v>1</v>
      </c>
      <c r="Y12" s="165">
        <v>1</v>
      </c>
      <c r="Z12" s="5">
        <v>9.9999999999999998E-13</v>
      </c>
      <c r="AA12" s="165">
        <v>9.9999999999999998E-13</v>
      </c>
      <c r="AB12" s="157">
        <v>9.9999999999999998E-13</v>
      </c>
      <c r="AC12" s="165">
        <v>9.9999999999999998E-13</v>
      </c>
    </row>
    <row r="13" spans="1:32" x14ac:dyDescent="0.2">
      <c r="A13" s="296"/>
      <c r="B13" s="181" t="s">
        <v>13</v>
      </c>
      <c r="C13" s="5"/>
      <c r="D13" s="5">
        <v>9.9999999999999998E-13</v>
      </c>
      <c r="E13" s="165">
        <v>9.9999999999999998E-13</v>
      </c>
      <c r="F13" s="5">
        <v>9.9999999999999998E-13</v>
      </c>
      <c r="G13" s="165">
        <v>9.9999999999999998E-13</v>
      </c>
      <c r="H13" s="5">
        <v>9.9999999999999998E-13</v>
      </c>
      <c r="I13" s="165">
        <v>9.9999999999999998E-13</v>
      </c>
      <c r="J13" s="5">
        <v>9.9999999999999998E-13</v>
      </c>
      <c r="K13" s="165">
        <v>9.9999999999999998E-13</v>
      </c>
      <c r="L13" s="5">
        <v>9.9999999999999998E-13</v>
      </c>
      <c r="M13" s="165">
        <v>9.9999999999999998E-13</v>
      </c>
      <c r="N13" s="165">
        <v>9.9999999999999998E-13</v>
      </c>
      <c r="O13" s="165">
        <v>9.9999999999999998E-13</v>
      </c>
      <c r="P13" s="5">
        <v>9.9999999999999998E-13</v>
      </c>
      <c r="Q13" s="165">
        <v>9.9999999999999998E-13</v>
      </c>
      <c r="R13" s="5">
        <v>9.9999999999999998E-13</v>
      </c>
      <c r="S13" s="165">
        <v>9.9999999999999998E-13</v>
      </c>
      <c r="T13" s="5">
        <v>4.0564299999999998E-2</v>
      </c>
      <c r="U13" s="165">
        <v>4.0564198398797699E-2</v>
      </c>
      <c r="V13" s="5">
        <v>4.0564299999999998E-2</v>
      </c>
      <c r="W13" s="165">
        <v>4.0564198398797699E-2</v>
      </c>
      <c r="X13" s="5">
        <v>9.9999999999999998E-13</v>
      </c>
      <c r="Y13" s="165">
        <v>9.9999999999999998E-13</v>
      </c>
      <c r="Z13" s="5">
        <v>8.0853300000000003E-2</v>
      </c>
      <c r="AA13" s="165">
        <v>8.0853273389714805E-2</v>
      </c>
      <c r="AB13" s="157">
        <v>8.0853300000000003E-2</v>
      </c>
      <c r="AC13" s="165">
        <v>8.0853273389714805E-2</v>
      </c>
    </row>
    <row r="14" spans="1:32" x14ac:dyDescent="0.2">
      <c r="A14" s="297"/>
      <c r="B14" s="181" t="s">
        <v>14</v>
      </c>
      <c r="C14" s="5"/>
      <c r="D14" s="5">
        <v>9.9999999999999998E-13</v>
      </c>
      <c r="E14" s="165">
        <v>9.9999999999999998E-13</v>
      </c>
      <c r="F14" s="5">
        <v>9.9999999999999998E-13</v>
      </c>
      <c r="G14" s="165">
        <v>9.9999999999999998E-13</v>
      </c>
      <c r="H14" s="5">
        <v>9.9999999999999998E-13</v>
      </c>
      <c r="I14" s="165">
        <v>9.9999999999999998E-13</v>
      </c>
      <c r="J14" s="5">
        <v>9.9999999999999998E-13</v>
      </c>
      <c r="K14" s="165">
        <v>9.9999999999999998E-13</v>
      </c>
      <c r="L14" s="5">
        <v>9.9999999999999998E-13</v>
      </c>
      <c r="M14" s="165">
        <v>9.9999999999999998E-13</v>
      </c>
      <c r="N14" s="165">
        <v>9.9999999999999998E-13</v>
      </c>
      <c r="O14" s="165">
        <v>9.9999999999999998E-13</v>
      </c>
      <c r="P14" s="5">
        <v>9.9999999999999998E-13</v>
      </c>
      <c r="Q14" s="165">
        <v>9.9999999999999998E-13</v>
      </c>
      <c r="R14" s="5">
        <v>9.9999999999999998E-13</v>
      </c>
      <c r="S14" s="165">
        <v>9.9999999999999998E-13</v>
      </c>
      <c r="T14" s="5">
        <v>2.0282100000000001E-2</v>
      </c>
      <c r="U14" s="165">
        <v>2.0282099199398902E-2</v>
      </c>
      <c r="V14" s="5">
        <v>2.0282100000000001E-2</v>
      </c>
      <c r="W14" s="165">
        <v>2.0282099199398902E-2</v>
      </c>
      <c r="X14" s="5">
        <v>9.9999999999999998E-13</v>
      </c>
      <c r="Y14" s="165">
        <v>9.9999999999999998E-13</v>
      </c>
      <c r="Z14" s="5">
        <v>4.0426700000000003E-2</v>
      </c>
      <c r="AA14" s="165">
        <v>4.0426636694857299E-2</v>
      </c>
      <c r="AB14" s="157">
        <v>4.0426700000000003E-2</v>
      </c>
      <c r="AC14" s="165">
        <v>4.0426636694857299E-2</v>
      </c>
    </row>
    <row r="15" spans="1:32" x14ac:dyDescent="0.2">
      <c r="A15" s="182"/>
      <c r="B15" s="183" t="s">
        <v>17</v>
      </c>
      <c r="C15" s="141" t="s">
        <v>29</v>
      </c>
      <c r="D15" s="141">
        <v>92.747399999999999</v>
      </c>
      <c r="E15" s="166">
        <v>92.747424128039199</v>
      </c>
      <c r="F15" s="141">
        <v>21.020199999999999</v>
      </c>
      <c r="G15" s="166">
        <v>34.672501621818597</v>
      </c>
      <c r="H15" s="141">
        <v>11.0768</v>
      </c>
      <c r="I15" s="166">
        <v>22.636542618489401</v>
      </c>
      <c r="J15" s="141">
        <v>2.5761799999999999</v>
      </c>
      <c r="K15" s="166">
        <v>8.5058496974289994</v>
      </c>
      <c r="L15" s="141">
        <v>1.33544</v>
      </c>
      <c r="M15" s="166">
        <v>5.5053301543730502</v>
      </c>
      <c r="N15" s="166">
        <v>2.11597431528772</v>
      </c>
      <c r="O15" s="166">
        <v>1.33551450369616</v>
      </c>
      <c r="P15" s="141">
        <v>2.24777</v>
      </c>
      <c r="Q15" s="166">
        <v>2.2477718919037901</v>
      </c>
      <c r="R15" s="141">
        <v>3.4563499999999997E-2</v>
      </c>
      <c r="S15" s="166">
        <v>3.4563432082162997E-2</v>
      </c>
      <c r="T15" s="141">
        <v>6.3016800000000002</v>
      </c>
      <c r="U15" s="166">
        <v>6.3016799122271197</v>
      </c>
      <c r="V15" s="141">
        <v>17.8643</v>
      </c>
      <c r="W15" s="166">
        <v>17.864272536379701</v>
      </c>
      <c r="X15" s="141">
        <v>3.5775300000000003E-2</v>
      </c>
      <c r="Y15" s="166">
        <v>3.57752827466725E-2</v>
      </c>
      <c r="Z15" s="141">
        <v>32.466500000000003</v>
      </c>
      <c r="AA15" s="166">
        <v>32.4665161391653</v>
      </c>
      <c r="AB15" s="158">
        <v>220.892</v>
      </c>
      <c r="AC15" s="195">
        <v>220.89246217156401</v>
      </c>
    </row>
    <row r="16" spans="1:32" x14ac:dyDescent="0.2">
      <c r="A16" s="298" t="s">
        <v>159</v>
      </c>
      <c r="B16" s="184" t="s">
        <v>3</v>
      </c>
      <c r="C16" s="142" t="s">
        <v>21</v>
      </c>
      <c r="D16" s="142">
        <v>-8.0400313665215108</v>
      </c>
      <c r="E16" s="167">
        <v>-8.0400313665215108</v>
      </c>
      <c r="F16" s="142">
        <v>8084.7235616353901</v>
      </c>
      <c r="G16" s="167">
        <v>4833.4104525623998</v>
      </c>
      <c r="H16" s="142">
        <v>80.743068456680803</v>
      </c>
      <c r="I16" s="167">
        <v>113.69005469529399</v>
      </c>
      <c r="J16" s="142">
        <v>8373.5879414053397</v>
      </c>
      <c r="K16" s="167">
        <v>5040.5849592304403</v>
      </c>
      <c r="L16" s="142">
        <v>-26.355415834497698</v>
      </c>
      <c r="M16" s="167">
        <v>164.85845359957901</v>
      </c>
      <c r="N16" s="167">
        <v>5200.9244247994402</v>
      </c>
      <c r="O16" s="167">
        <v>-27.766475629325299</v>
      </c>
      <c r="P16" s="142">
        <v>-26.355415834497698</v>
      </c>
      <c r="Q16" s="167">
        <v>-27.7662008166097</v>
      </c>
      <c r="R16" s="142">
        <v>-75285.1803200758</v>
      </c>
      <c r="S16" s="167">
        <v>-75430.399119704496</v>
      </c>
      <c r="T16" s="142">
        <v>-1552.4845770331799</v>
      </c>
      <c r="U16" s="167">
        <v>-1557.09084017546</v>
      </c>
      <c r="V16" s="142">
        <v>-8180.7819428042803</v>
      </c>
      <c r="W16" s="167">
        <v>-8185.03714812209</v>
      </c>
      <c r="X16" s="142">
        <v>-75430.399119704496</v>
      </c>
      <c r="Y16" s="167">
        <v>-75430.399119704496</v>
      </c>
      <c r="Z16" s="142">
        <v>-9563.5362864368908</v>
      </c>
      <c r="AA16" s="167">
        <v>-9567.7073048025104</v>
      </c>
      <c r="AB16" s="159">
        <v>-23652.505615391601</v>
      </c>
      <c r="AC16" s="167">
        <v>-23656.296273773201</v>
      </c>
    </row>
    <row r="17" spans="1:29" x14ac:dyDescent="0.2">
      <c r="A17" s="299"/>
      <c r="B17" s="185" t="s">
        <v>4</v>
      </c>
      <c r="C17" s="143" t="s">
        <v>22</v>
      </c>
      <c r="D17" s="143">
        <v>-0.27868009271364602</v>
      </c>
      <c r="E17" s="168">
        <v>-0.27868009271364602</v>
      </c>
      <c r="F17" s="143">
        <v>280.22919426687798</v>
      </c>
      <c r="G17" s="168">
        <v>167.53358434047499</v>
      </c>
      <c r="H17" s="143">
        <v>2.7986813455961999</v>
      </c>
      <c r="I17" s="168">
        <v>3.9406755445049502</v>
      </c>
      <c r="J17" s="143">
        <v>290.24168656524898</v>
      </c>
      <c r="K17" s="168">
        <v>174.71457755980001</v>
      </c>
      <c r="L17" s="143">
        <v>-0.91352003411924099</v>
      </c>
      <c r="M17" s="168">
        <v>5.7142524748178998</v>
      </c>
      <c r="N17" s="168">
        <v>180.27219482439</v>
      </c>
      <c r="O17" s="168">
        <v>-0.96242957893575398</v>
      </c>
      <c r="P17" s="143">
        <v>-0.91352003411924099</v>
      </c>
      <c r="Q17" s="168">
        <v>-0.96242005349616899</v>
      </c>
      <c r="R17" s="143">
        <v>-4692.7823092831804</v>
      </c>
      <c r="S17" s="168">
        <v>-4701.8342928339298</v>
      </c>
      <c r="T17" s="143">
        <v>-54.300374839436103</v>
      </c>
      <c r="U17" s="168">
        <v>-54.461575774909299</v>
      </c>
      <c r="V17" s="143">
        <v>-286.134582298314</v>
      </c>
      <c r="W17" s="168">
        <v>-286.28388875029702</v>
      </c>
      <c r="X17" s="143">
        <v>-4701.8342928339298</v>
      </c>
      <c r="Y17" s="168">
        <v>-4701.8342928339298</v>
      </c>
      <c r="Z17" s="143">
        <v>-337.54442323178199</v>
      </c>
      <c r="AA17" s="168">
        <v>-337.69219968931799</v>
      </c>
      <c r="AB17" s="160">
        <v>-834.81372651416802</v>
      </c>
      <c r="AC17" s="168">
        <v>-834.94890371310203</v>
      </c>
    </row>
    <row r="18" spans="1:29" x14ac:dyDescent="0.2">
      <c r="A18" s="300"/>
      <c r="B18" s="200" t="s">
        <v>45</v>
      </c>
      <c r="C18" s="144" t="s">
        <v>46</v>
      </c>
      <c r="D18" s="144">
        <v>-3.00974500130738E-2</v>
      </c>
      <c r="E18" s="169">
        <v>-3.00974500130738E-2</v>
      </c>
      <c r="F18" s="144">
        <v>30.264752980822799</v>
      </c>
      <c r="G18" s="169">
        <v>18.093627161618301</v>
      </c>
      <c r="H18" s="144">
        <v>0.30225758532439001</v>
      </c>
      <c r="I18" s="169">
        <v>0.42559295880653503</v>
      </c>
      <c r="J18" s="144">
        <v>31.346102149046899</v>
      </c>
      <c r="K18" s="169">
        <v>18.8691744305147</v>
      </c>
      <c r="L18" s="144">
        <v>-9.8660163684877997E-2</v>
      </c>
      <c r="M18" s="169">
        <v>0.61713926728033297</v>
      </c>
      <c r="N18" s="169">
        <v>19.469397024690601</v>
      </c>
      <c r="O18" s="169">
        <v>-0.103942394525061</v>
      </c>
      <c r="P18" s="144">
        <v>-9.8660163684877997E-2</v>
      </c>
      <c r="Q18" s="169">
        <v>-0.103942394525061</v>
      </c>
      <c r="R18" s="144">
        <v>-5.8332747529170899</v>
      </c>
      <c r="S18" s="169">
        <v>-5.8456152009252502</v>
      </c>
      <c r="T18" s="144">
        <v>-5.9319375419192797</v>
      </c>
      <c r="U18" s="169">
        <v>-5.9495602294698804</v>
      </c>
      <c r="V18" s="144">
        <v>-31.258209097003501</v>
      </c>
      <c r="W18" s="169">
        <v>-31.274586016681301</v>
      </c>
      <c r="X18" s="144">
        <v>-6.0505343839613799</v>
      </c>
      <c r="Y18" s="169">
        <v>-6.0505720654191597</v>
      </c>
      <c r="Z18" s="144">
        <v>-37.308743481300397</v>
      </c>
      <c r="AA18" s="169">
        <v>-37.325158082434498</v>
      </c>
      <c r="AB18" s="161">
        <v>-92.271858260856703</v>
      </c>
      <c r="AC18" s="169">
        <v>-92.286995700688806</v>
      </c>
    </row>
    <row r="19" spans="1:29" x14ac:dyDescent="0.2">
      <c r="A19" s="298" t="s">
        <v>160</v>
      </c>
      <c r="B19" s="184" t="s">
        <v>5</v>
      </c>
      <c r="C19" s="142" t="s">
        <v>23</v>
      </c>
      <c r="D19" s="142">
        <v>4.3601378591915596</v>
      </c>
      <c r="E19" s="167">
        <v>4.3601378591915596</v>
      </c>
      <c r="F19" s="142">
        <v>5.8108679102930401</v>
      </c>
      <c r="G19" s="167">
        <v>5.4246240881888497</v>
      </c>
      <c r="H19" s="142">
        <v>-13.077599332960601</v>
      </c>
      <c r="I19" s="167">
        <v>-7.0739645977843599</v>
      </c>
      <c r="J19" s="142">
        <v>-11.6188320973275</v>
      </c>
      <c r="K19" s="167">
        <v>-6.0092101582936204</v>
      </c>
      <c r="L19" s="142">
        <v>-31.022954189289202</v>
      </c>
      <c r="M19" s="167">
        <v>-18.712127458820898</v>
      </c>
      <c r="N19" s="167">
        <v>-17.643922592589501</v>
      </c>
      <c r="O19" s="167">
        <v>-31.056036631028299</v>
      </c>
      <c r="P19" s="142">
        <v>-26.633391793465599</v>
      </c>
      <c r="Q19" s="167">
        <v>-26.637981693259899</v>
      </c>
      <c r="R19" s="142">
        <v>-113.38346305809</v>
      </c>
      <c r="S19" s="167">
        <v>-115.18523739835599</v>
      </c>
      <c r="T19" s="142">
        <v>4.1610305582757299</v>
      </c>
      <c r="U19" s="167">
        <v>4.1592787591306903</v>
      </c>
      <c r="V19" s="142">
        <v>6.11777320699764</v>
      </c>
      <c r="W19" s="167">
        <v>6.1160228760764896</v>
      </c>
      <c r="X19" s="142">
        <v>-115.18523739835599</v>
      </c>
      <c r="Y19" s="167">
        <v>-115.18523739835599</v>
      </c>
      <c r="Z19" s="142">
        <v>24.731569985112198</v>
      </c>
      <c r="AA19" s="167">
        <v>24.730539749850799</v>
      </c>
      <c r="AB19" s="159">
        <v>28.609144798352599</v>
      </c>
      <c r="AC19" s="167">
        <v>28.608118284098001</v>
      </c>
    </row>
    <row r="20" spans="1:29" x14ac:dyDescent="0.2">
      <c r="A20" s="300"/>
      <c r="B20" s="185" t="s">
        <v>6</v>
      </c>
      <c r="C20" s="143" t="s">
        <v>24</v>
      </c>
      <c r="D20" s="143">
        <v>0.15112921423458101</v>
      </c>
      <c r="E20" s="168">
        <v>0.15112921423458101</v>
      </c>
      <c r="F20" s="143">
        <v>0.201413792330493</v>
      </c>
      <c r="G20" s="168">
        <v>0.188025975884618</v>
      </c>
      <c r="H20" s="143">
        <v>-0.45329009657310898</v>
      </c>
      <c r="I20" s="168">
        <v>-0.24519470386301501</v>
      </c>
      <c r="J20" s="143">
        <v>-0.40272693706024598</v>
      </c>
      <c r="K20" s="168">
        <v>-0.208288645616762</v>
      </c>
      <c r="L20" s="143">
        <v>-1.07530423148868</v>
      </c>
      <c r="M20" s="168">
        <v>-0.64859167550112096</v>
      </c>
      <c r="N20" s="168">
        <v>-0.61156602005429295</v>
      </c>
      <c r="O20" s="168">
        <v>-1.0764509207876101</v>
      </c>
      <c r="P20" s="143">
        <v>-0.92315511668122097</v>
      </c>
      <c r="Q20" s="168">
        <v>-0.92331420980435797</v>
      </c>
      <c r="R20" s="143">
        <v>-7.0675783380222601</v>
      </c>
      <c r="S20" s="168">
        <v>-7.1798890838207301</v>
      </c>
      <c r="T20" s="143">
        <v>0.14553801201974301</v>
      </c>
      <c r="U20" s="168">
        <v>0.14547698147388799</v>
      </c>
      <c r="V20" s="143">
        <v>0.21397789275141499</v>
      </c>
      <c r="W20" s="168">
        <v>0.21391702700465701</v>
      </c>
      <c r="X20" s="143">
        <v>-7.1798890838207301</v>
      </c>
      <c r="Y20" s="168">
        <v>-7.1798890838207301</v>
      </c>
      <c r="Z20" s="143">
        <v>0.87289923687333004</v>
      </c>
      <c r="AA20" s="168">
        <v>0.872864323874048</v>
      </c>
      <c r="AB20" s="160">
        <v>1.0097580006895499</v>
      </c>
      <c r="AC20" s="168">
        <v>1.0097234462304301</v>
      </c>
    </row>
    <row r="21" spans="1:29" x14ac:dyDescent="0.2">
      <c r="A21" s="186"/>
      <c r="B21" s="186"/>
      <c r="C21" s="18"/>
      <c r="D21" s="18"/>
      <c r="E21" s="170"/>
      <c r="F21" s="18"/>
      <c r="G21" s="170"/>
      <c r="H21" s="18"/>
      <c r="I21" s="170"/>
      <c r="J21" s="18"/>
      <c r="K21" s="170"/>
      <c r="L21" s="18"/>
      <c r="M21" s="170"/>
      <c r="N21" s="170"/>
      <c r="O21" s="170"/>
      <c r="P21" s="18"/>
      <c r="Q21" s="170"/>
      <c r="R21" s="18"/>
      <c r="S21" s="170"/>
      <c r="T21" s="18"/>
      <c r="U21" s="170"/>
      <c r="V21" s="18"/>
      <c r="W21" s="170"/>
      <c r="X21" s="18"/>
      <c r="Y21" s="170"/>
      <c r="Z21" s="18"/>
      <c r="AA21" s="170"/>
      <c r="AB21" s="18"/>
      <c r="AC21" s="196"/>
    </row>
    <row r="22" spans="1:29" x14ac:dyDescent="0.2">
      <c r="A22" s="301" t="s">
        <v>161</v>
      </c>
      <c r="B22" s="184" t="s">
        <v>37</v>
      </c>
      <c r="C22" s="142" t="s">
        <v>21</v>
      </c>
      <c r="D22" s="142">
        <v>-8.0400299999999998</v>
      </c>
      <c r="E22" s="167">
        <v>-8.0400313665207293</v>
      </c>
      <c r="F22" s="142">
        <v>-8.0400299999999998</v>
      </c>
      <c r="G22" s="167">
        <v>-8.0400313665207293</v>
      </c>
      <c r="H22" s="142">
        <v>-8.0400299999999998</v>
      </c>
      <c r="I22" s="167">
        <v>-8.0400313665207293</v>
      </c>
      <c r="J22" s="142">
        <v>-8.0400299999999998</v>
      </c>
      <c r="K22" s="167">
        <v>-8.0400313665207293</v>
      </c>
      <c r="L22" s="142">
        <v>-8.0400299999999998</v>
      </c>
      <c r="M22" s="167">
        <v>-8.0400313665207293</v>
      </c>
      <c r="N22" s="167">
        <v>-8.0400313665207293</v>
      </c>
      <c r="O22" s="167">
        <v>-8.0400313665207293</v>
      </c>
      <c r="P22" s="142">
        <v>-8.0400299999999998</v>
      </c>
      <c r="Q22" s="167">
        <v>-8.0400313665207293</v>
      </c>
      <c r="R22" s="142">
        <v>-74538.100000000006</v>
      </c>
      <c r="S22" s="167">
        <v>-74538.091890561205</v>
      </c>
      <c r="T22" s="142">
        <v>-17800.7</v>
      </c>
      <c r="U22" s="167">
        <v>-17800.650008386699</v>
      </c>
      <c r="V22" s="142">
        <v>-17800.7</v>
      </c>
      <c r="W22" s="167">
        <v>-17800.650008386699</v>
      </c>
      <c r="X22" s="142">
        <v>-74538.100000000006</v>
      </c>
      <c r="Y22" s="167">
        <v>-74538.091890561205</v>
      </c>
      <c r="Z22" s="142">
        <v>-35472.800000000003</v>
      </c>
      <c r="AA22" s="167">
        <v>-35472.779413796998</v>
      </c>
      <c r="AB22" s="159">
        <v>-35472.800000000003</v>
      </c>
      <c r="AC22" s="167">
        <v>-35472.779413796998</v>
      </c>
    </row>
    <row r="23" spans="1:29" x14ac:dyDescent="0.2">
      <c r="A23" s="302"/>
      <c r="B23" s="185" t="s">
        <v>36</v>
      </c>
      <c r="C23" s="143" t="s">
        <v>22</v>
      </c>
      <c r="D23" s="143">
        <f>D22/D6</f>
        <v>-0.27868004534786772</v>
      </c>
      <c r="E23" s="143">
        <f t="shared" ref="E23:F23" si="2">E22/E6</f>
        <v>-0.27868009271361871</v>
      </c>
      <c r="F23" s="143">
        <f t="shared" si="2"/>
        <v>-0.27868004534786772</v>
      </c>
      <c r="G23" s="143">
        <f t="shared" ref="G23:H23" si="3">G22/G6</f>
        <v>-0.27868009271361871</v>
      </c>
      <c r="H23" s="143">
        <f t="shared" si="3"/>
        <v>-0.27868004534786772</v>
      </c>
      <c r="I23" s="143">
        <f t="shared" ref="I23:J23" si="4">I22/I6</f>
        <v>-0.27868009271361871</v>
      </c>
      <c r="J23" s="143">
        <f t="shared" si="4"/>
        <v>-0.27868004534786772</v>
      </c>
      <c r="K23" s="143">
        <f t="shared" ref="K23:L23" si="5">K22/K6</f>
        <v>-0.27868009271361871</v>
      </c>
      <c r="L23" s="143">
        <f t="shared" si="5"/>
        <v>-0.27868004534786772</v>
      </c>
      <c r="M23" s="143">
        <f t="shared" ref="M23" si="6">M22/M6</f>
        <v>-0.27868009271361871</v>
      </c>
      <c r="N23" s="143">
        <f t="shared" ref="N23" si="7">N22/N6</f>
        <v>-0.27868009271361871</v>
      </c>
      <c r="O23" s="143">
        <f t="shared" ref="O23" si="8">O22/O6</f>
        <v>-0.27868009271361871</v>
      </c>
      <c r="P23" s="143">
        <f t="shared" ref="P23" si="9">P22/P6</f>
        <v>-0.27868004534786772</v>
      </c>
      <c r="Q23" s="143">
        <f t="shared" ref="Q23" si="10">Q22/Q6</f>
        <v>-0.27868009271361871</v>
      </c>
      <c r="R23" s="143">
        <f t="shared" ref="R23" si="11">R22/R6</f>
        <v>-4646.214242437085</v>
      </c>
      <c r="S23" s="143">
        <f t="shared" ref="S23:T23" si="12">S22/S6</f>
        <v>-4646.2137369480843</v>
      </c>
      <c r="T23" s="143">
        <f t="shared" si="12"/>
        <v>-622.60501437734706</v>
      </c>
      <c r="U23" s="143">
        <f t="shared" ref="U23" si="13">U22/U6</f>
        <v>-622.60429787458565</v>
      </c>
      <c r="V23" s="143">
        <f t="shared" ref="V23" si="14">V22/V6</f>
        <v>-622.60501437734706</v>
      </c>
      <c r="W23" s="143">
        <f t="shared" ref="W23" si="15">W22/W6</f>
        <v>-622.60429787458565</v>
      </c>
      <c r="X23" s="143">
        <f t="shared" ref="X23" si="16">X22/X6</f>
        <v>-4646.214242437085</v>
      </c>
      <c r="Y23" s="143">
        <f t="shared" ref="Y23" si="17">Y22/Y6</f>
        <v>-4646.2137369480834</v>
      </c>
      <c r="Z23" s="143">
        <f t="shared" ref="Z23" si="18">Z22/Z6</f>
        <v>-1252.010287595971</v>
      </c>
      <c r="AA23" s="143">
        <f t="shared" ref="AA23:AB23" si="19">AA22/AA6</f>
        <v>-1252.0116395415091</v>
      </c>
      <c r="AB23" s="143">
        <f t="shared" si="19"/>
        <v>-1252.010287595971</v>
      </c>
      <c r="AC23" s="143">
        <f t="shared" ref="AC23" si="20">AC22/AC6</f>
        <v>-1252.0116395415091</v>
      </c>
    </row>
    <row r="24" spans="1:29" x14ac:dyDescent="0.2">
      <c r="A24" s="302"/>
      <c r="B24" s="184" t="s">
        <v>35</v>
      </c>
      <c r="C24" s="142" t="s">
        <v>23</v>
      </c>
      <c r="D24" s="142">
        <v>4.3601400000000003</v>
      </c>
      <c r="E24" s="167">
        <v>4.3601378591915498</v>
      </c>
      <c r="F24" s="142">
        <v>4.3601400000000003</v>
      </c>
      <c r="G24" s="167">
        <v>4.3601378591915498</v>
      </c>
      <c r="H24" s="142">
        <v>4.3601400000000003</v>
      </c>
      <c r="I24" s="167">
        <v>4.3601378591915498</v>
      </c>
      <c r="J24" s="142">
        <v>4.3601400000000003</v>
      </c>
      <c r="K24" s="167">
        <v>4.3601378591915498</v>
      </c>
      <c r="L24" s="142">
        <v>4.3601400000000003</v>
      </c>
      <c r="M24" s="167">
        <v>4.3601378591915498</v>
      </c>
      <c r="N24" s="167">
        <v>4.3601378591915498</v>
      </c>
      <c r="O24" s="167">
        <v>4.3601378591915498</v>
      </c>
      <c r="P24" s="142">
        <v>4.3601400000000003</v>
      </c>
      <c r="Q24" s="167">
        <v>4.3601378591915498</v>
      </c>
      <c r="R24" s="142">
        <v>-80.529799999999994</v>
      </c>
      <c r="S24" s="167">
        <v>-80.529823832677295</v>
      </c>
      <c r="T24" s="142">
        <v>4.1985999999999999</v>
      </c>
      <c r="U24" s="167">
        <v>4.1985990941911204</v>
      </c>
      <c r="V24" s="142">
        <v>4.1985999999999999</v>
      </c>
      <c r="W24" s="167">
        <v>4.1985990941911204</v>
      </c>
      <c r="X24" s="142">
        <v>-80.529799999999994</v>
      </c>
      <c r="Y24" s="167">
        <v>-80.529823832677295</v>
      </c>
      <c r="Z24" s="142">
        <v>3.2382200000000001</v>
      </c>
      <c r="AA24" s="167">
        <v>3.23822523501976</v>
      </c>
      <c r="AB24" s="159">
        <v>3.2382200000000001</v>
      </c>
      <c r="AC24" s="167">
        <v>3.23822523501976</v>
      </c>
    </row>
    <row r="25" spans="1:29" x14ac:dyDescent="0.2">
      <c r="A25" s="303"/>
      <c r="B25" s="185" t="s">
        <v>34</v>
      </c>
      <c r="C25" s="143" t="s">
        <v>24</v>
      </c>
      <c r="D25" s="143">
        <f>D24/D6</f>
        <v>0.15112928843835807</v>
      </c>
      <c r="E25" s="143">
        <f t="shared" ref="E25:AC25" si="21">E24/E6</f>
        <v>0.15112921423458073</v>
      </c>
      <c r="F25" s="143">
        <f t="shared" si="21"/>
        <v>0.15112928843835807</v>
      </c>
      <c r="G25" s="143">
        <f t="shared" si="21"/>
        <v>0.15112921423458073</v>
      </c>
      <c r="H25" s="143">
        <f t="shared" si="21"/>
        <v>0.15112928843835807</v>
      </c>
      <c r="I25" s="143">
        <f t="shared" si="21"/>
        <v>0.15112921423458073</v>
      </c>
      <c r="J25" s="143">
        <f t="shared" si="21"/>
        <v>0.15112928843835807</v>
      </c>
      <c r="K25" s="143">
        <f t="shared" si="21"/>
        <v>0.15112921423458073</v>
      </c>
      <c r="L25" s="143">
        <f t="shared" si="21"/>
        <v>0.15112928843835807</v>
      </c>
      <c r="M25" s="143">
        <f t="shared" si="21"/>
        <v>0.15112921423458073</v>
      </c>
      <c r="N25" s="143">
        <f t="shared" si="21"/>
        <v>0.15112921423458073</v>
      </c>
      <c r="O25" s="143">
        <f t="shared" si="21"/>
        <v>0.15112921423458073</v>
      </c>
      <c r="P25" s="143">
        <f t="shared" si="21"/>
        <v>0.15112928843835807</v>
      </c>
      <c r="Q25" s="143">
        <f t="shared" si="21"/>
        <v>0.15112921423458073</v>
      </c>
      <c r="R25" s="143">
        <f t="shared" si="21"/>
        <v>-5.0196973588085809</v>
      </c>
      <c r="S25" s="143">
        <f t="shared" si="21"/>
        <v>-5.0196988443807262</v>
      </c>
      <c r="T25" s="143">
        <f t="shared" si="21"/>
        <v>0.14685205713060323</v>
      </c>
      <c r="U25" s="143">
        <f t="shared" si="21"/>
        <v>0.14685226887018887</v>
      </c>
      <c r="V25" s="143">
        <f t="shared" si="21"/>
        <v>0.14685205713060323</v>
      </c>
      <c r="W25" s="143">
        <f t="shared" si="21"/>
        <v>0.14685226887018887</v>
      </c>
      <c r="X25" s="143">
        <f t="shared" si="21"/>
        <v>-5.0196973588085809</v>
      </c>
      <c r="Y25" s="143">
        <f t="shared" si="21"/>
        <v>-5.0196988443807253</v>
      </c>
      <c r="Z25" s="143">
        <f t="shared" si="21"/>
        <v>0.11429277512626647</v>
      </c>
      <c r="AA25" s="143">
        <f t="shared" si="21"/>
        <v>0.11429314964039372</v>
      </c>
      <c r="AB25" s="143">
        <f t="shared" si="21"/>
        <v>0.11429277512626647</v>
      </c>
      <c r="AC25" s="143">
        <f t="shared" si="21"/>
        <v>0.11429314964039372</v>
      </c>
    </row>
    <row r="26" spans="1:29" x14ac:dyDescent="0.2">
      <c r="A26" s="186"/>
      <c r="B26" s="186"/>
      <c r="C26" s="18"/>
      <c r="D26" s="18"/>
      <c r="E26" s="170"/>
      <c r="F26" s="18"/>
      <c r="G26" s="170"/>
      <c r="H26" s="18"/>
      <c r="I26" s="170"/>
      <c r="J26" s="18"/>
      <c r="K26" s="170"/>
      <c r="L26" s="18"/>
      <c r="M26" s="170"/>
      <c r="N26" s="170"/>
      <c r="O26" s="170"/>
      <c r="P26" s="18"/>
      <c r="Q26" s="170"/>
      <c r="R26" s="18"/>
      <c r="S26" s="170"/>
      <c r="T26" s="18"/>
      <c r="U26" s="170"/>
      <c r="V26" s="18"/>
      <c r="W26" s="170"/>
      <c r="X26" s="18"/>
      <c r="Y26" s="170"/>
      <c r="Z26" s="18"/>
      <c r="AA26" s="170"/>
      <c r="AB26" s="18"/>
      <c r="AC26" s="196"/>
    </row>
    <row r="27" spans="1:29" x14ac:dyDescent="0.2">
      <c r="A27" s="298" t="s">
        <v>40</v>
      </c>
      <c r="B27" s="184" t="s">
        <v>162</v>
      </c>
      <c r="C27" s="142" t="s">
        <v>21</v>
      </c>
      <c r="D27" s="142">
        <v>-32.612400000000001</v>
      </c>
      <c r="E27" s="167">
        <v>-32.612403661317998</v>
      </c>
      <c r="F27" s="142">
        <v>7636.28</v>
      </c>
      <c r="G27" s="167">
        <v>4491.4615252092499</v>
      </c>
      <c r="H27" s="142">
        <v>5259.6</v>
      </c>
      <c r="I27" s="167">
        <v>3498.1953299478701</v>
      </c>
      <c r="J27" s="142">
        <v>13126.7</v>
      </c>
      <c r="K27" s="167">
        <v>8107.6337127890802</v>
      </c>
      <c r="L27" s="142">
        <v>10507.1</v>
      </c>
      <c r="M27" s="167">
        <v>7019.2819858701796</v>
      </c>
      <c r="N27" s="167">
        <v>11736.8626718373</v>
      </c>
      <c r="O27" s="167">
        <v>10506.9935763349</v>
      </c>
      <c r="P27" s="142">
        <v>9189.75</v>
      </c>
      <c r="Q27" s="167">
        <v>9189.7504966392698</v>
      </c>
      <c r="R27" s="142">
        <v>9407.65</v>
      </c>
      <c r="S27" s="167">
        <v>9407.6471202105695</v>
      </c>
      <c r="T27" s="142">
        <v>16231.9</v>
      </c>
      <c r="U27" s="167">
        <v>16231.8854404948</v>
      </c>
      <c r="V27" s="142">
        <v>9020.5400000000009</v>
      </c>
      <c r="W27" s="167">
        <v>9020.5358869131596</v>
      </c>
      <c r="X27" s="142">
        <v>9407.65</v>
      </c>
      <c r="Y27" s="167">
        <v>9407.6471202105695</v>
      </c>
      <c r="Z27" s="142">
        <v>19561</v>
      </c>
      <c r="AA27" s="167">
        <v>19560.977949288499</v>
      </c>
      <c r="AB27" s="159">
        <v>4316.29</v>
      </c>
      <c r="AC27" s="167">
        <v>4316.2898823169298</v>
      </c>
    </row>
    <row r="28" spans="1:29" x14ac:dyDescent="0.2">
      <c r="A28" s="299"/>
      <c r="B28" s="185" t="s">
        <v>163</v>
      </c>
      <c r="C28" s="143" t="s">
        <v>22</v>
      </c>
      <c r="D28" s="143">
        <v>-1.1304000000000001</v>
      </c>
      <c r="E28" s="168">
        <v>-1.1303970422049501</v>
      </c>
      <c r="F28" s="143">
        <v>264.68599999999998</v>
      </c>
      <c r="G28" s="168">
        <v>155.68109839434899</v>
      </c>
      <c r="H28" s="143">
        <v>182.30600000000001</v>
      </c>
      <c r="I28" s="168">
        <v>121.25293477581199</v>
      </c>
      <c r="J28" s="143">
        <v>454.99099999999999</v>
      </c>
      <c r="K28" s="168">
        <v>281.02329602550799</v>
      </c>
      <c r="L28" s="143">
        <v>364.19299999999998</v>
      </c>
      <c r="M28" s="168">
        <v>243.29931880002599</v>
      </c>
      <c r="N28" s="168">
        <v>406.81806182679702</v>
      </c>
      <c r="O28" s="168">
        <v>364.18887072844001</v>
      </c>
      <c r="P28" s="143">
        <v>318.53100000000001</v>
      </c>
      <c r="Q28" s="168">
        <v>318.53116034878298</v>
      </c>
      <c r="R28" s="143">
        <v>586.41099999999994</v>
      </c>
      <c r="S28" s="168">
        <v>586.41076225104496</v>
      </c>
      <c r="T28" s="143">
        <v>567.73400000000004</v>
      </c>
      <c r="U28" s="168">
        <v>567.73441605214305</v>
      </c>
      <c r="V28" s="143">
        <v>315.50700000000001</v>
      </c>
      <c r="W28" s="168">
        <v>315.506703950587</v>
      </c>
      <c r="X28" s="143">
        <v>586.41099999999994</v>
      </c>
      <c r="Y28" s="168">
        <v>586.41076225104496</v>
      </c>
      <c r="Z28" s="143">
        <v>690.40499999999997</v>
      </c>
      <c r="AA28" s="168">
        <v>690.40465613468496</v>
      </c>
      <c r="AB28" s="160">
        <v>152.34299999999999</v>
      </c>
      <c r="AC28" s="168">
        <v>152.34343802769999</v>
      </c>
    </row>
    <row r="29" spans="1:29" x14ac:dyDescent="0.2">
      <c r="A29" s="299"/>
      <c r="B29" s="187" t="s">
        <v>164</v>
      </c>
      <c r="C29" s="146" t="s">
        <v>22</v>
      </c>
      <c r="D29" s="145">
        <f>(D17-D23)-$D$2*(D20-D25)</f>
        <v>2.2076490354330789E-5</v>
      </c>
      <c r="E29" s="171">
        <f t="shared" ref="E29:AC29" si="22">(E17-E23)-$D$2*(E20-E25)</f>
        <v>-1.1006473510377646E-13</v>
      </c>
      <c r="F29" s="145">
        <f t="shared" si="22"/>
        <v>265.51554947678585</v>
      </c>
      <c r="G29" s="171">
        <f t="shared" si="22"/>
        <v>156.81149494722999</v>
      </c>
      <c r="H29" s="145">
        <f t="shared" si="22"/>
        <v>183.28500103211297</v>
      </c>
      <c r="I29" s="171">
        <f t="shared" si="22"/>
        <v>122.38333181801671</v>
      </c>
      <c r="J29" s="145">
        <f t="shared" si="22"/>
        <v>455.65260024300562</v>
      </c>
      <c r="K29" s="171">
        <f t="shared" si="22"/>
        <v>282.15369256719146</v>
      </c>
      <c r="L29" s="145">
        <f t="shared" si="22"/>
        <v>365.02631397747501</v>
      </c>
      <c r="M29" s="171">
        <f t="shared" si="22"/>
        <v>244.42971584223093</v>
      </c>
      <c r="N29" s="171">
        <f t="shared" si="22"/>
        <v>407.94845902033126</v>
      </c>
      <c r="O29" s="171">
        <f t="shared" si="22"/>
        <v>365.31926777064405</v>
      </c>
      <c r="P29" s="145">
        <f t="shared" si="22"/>
        <v>319.66305539763107</v>
      </c>
      <c r="Q29" s="171">
        <f t="shared" si="22"/>
        <v>319.66156691642703</v>
      </c>
      <c r="R29" s="145">
        <f t="shared" si="22"/>
        <v>564.00764710646297</v>
      </c>
      <c r="S29" s="171">
        <f t="shared" si="22"/>
        <v>588.44016400319163</v>
      </c>
      <c r="T29" s="145">
        <f t="shared" si="22"/>
        <v>568.69642208771393</v>
      </c>
      <c r="U29" s="171">
        <f t="shared" si="22"/>
        <v>568.55276403688345</v>
      </c>
      <c r="V29" s="145">
        <f t="shared" si="22"/>
        <v>316.45686418868803</v>
      </c>
      <c r="W29" s="171">
        <f t="shared" si="22"/>
        <v>316.32505148649693</v>
      </c>
      <c r="X29" s="145">
        <f t="shared" si="22"/>
        <v>588.44111241552741</v>
      </c>
      <c r="Y29" s="171">
        <f t="shared" si="22"/>
        <v>588.44016400319094</v>
      </c>
      <c r="Z29" s="145">
        <f t="shared" si="22"/>
        <v>688.28734779430192</v>
      </c>
      <c r="AA29" s="171">
        <f t="shared" si="22"/>
        <v>688.15144425442713</v>
      </c>
      <c r="AB29" s="145">
        <f t="shared" si="22"/>
        <v>150.21360408011003</v>
      </c>
      <c r="AC29" s="171">
        <f t="shared" si="22"/>
        <v>150.09019290008774</v>
      </c>
    </row>
    <row r="30" spans="1:29" x14ac:dyDescent="0.2">
      <c r="A30" s="300"/>
      <c r="B30" s="188" t="s">
        <v>51</v>
      </c>
      <c r="C30" s="147" t="s">
        <v>52</v>
      </c>
      <c r="D30" s="147">
        <f>D29*D4/1000</f>
        <v>2.3842609582677253E-6</v>
      </c>
      <c r="E30" s="172">
        <f t="shared" ref="E30:AC30" si="23">E29*E4/1000</f>
        <v>-1.1886991391207857E-14</v>
      </c>
      <c r="F30" s="147">
        <f t="shared" si="23"/>
        <v>28.675679343492874</v>
      </c>
      <c r="G30" s="172">
        <f t="shared" si="23"/>
        <v>16.935641454300839</v>
      </c>
      <c r="H30" s="147">
        <f t="shared" si="23"/>
        <v>19.794780111468199</v>
      </c>
      <c r="I30" s="172">
        <f t="shared" si="23"/>
        <v>13.217399836345805</v>
      </c>
      <c r="J30" s="147">
        <f t="shared" si="23"/>
        <v>49.210480826244613</v>
      </c>
      <c r="K30" s="172">
        <f t="shared" si="23"/>
        <v>30.472598797256676</v>
      </c>
      <c r="L30" s="147">
        <f t="shared" si="23"/>
        <v>39.422841909567303</v>
      </c>
      <c r="M30" s="172">
        <f t="shared" si="23"/>
        <v>26.398409310960943</v>
      </c>
      <c r="N30" s="172">
        <f t="shared" si="23"/>
        <v>44.058433574195774</v>
      </c>
      <c r="O30" s="172">
        <f t="shared" si="23"/>
        <v>39.45448091922956</v>
      </c>
      <c r="P30" s="147">
        <f t="shared" si="23"/>
        <v>34.523609982944151</v>
      </c>
      <c r="Q30" s="172">
        <f t="shared" si="23"/>
        <v>34.523449226974115</v>
      </c>
      <c r="R30" s="147">
        <f t="shared" si="23"/>
        <v>0.70107909369886201</v>
      </c>
      <c r="S30" s="172">
        <f t="shared" si="23"/>
        <v>0.73158570747050777</v>
      </c>
      <c r="T30" s="147">
        <f t="shared" si="23"/>
        <v>62.126120972691183</v>
      </c>
      <c r="U30" s="172">
        <f t="shared" si="23"/>
        <v>62.110558960863059</v>
      </c>
      <c r="V30" s="147">
        <f t="shared" si="23"/>
        <v>34.570707083141457</v>
      </c>
      <c r="W30" s="172">
        <f t="shared" si="23"/>
        <v>34.556380698336653</v>
      </c>
      <c r="X30" s="147">
        <f t="shared" si="23"/>
        <v>0.75723280784969671</v>
      </c>
      <c r="Y30" s="172">
        <f t="shared" si="23"/>
        <v>0.75723630326887237</v>
      </c>
      <c r="Z30" s="147">
        <f t="shared" si="23"/>
        <v>76.076315687340269</v>
      </c>
      <c r="AA30" s="172">
        <f t="shared" si="23"/>
        <v>76.06145911893438</v>
      </c>
      <c r="AB30" s="147">
        <f t="shared" si="23"/>
        <v>16.603091137957133</v>
      </c>
      <c r="AC30" s="172">
        <f t="shared" si="23"/>
        <v>16.589486466589737</v>
      </c>
    </row>
    <row r="31" spans="1:29" x14ac:dyDescent="0.2">
      <c r="A31" s="295" t="s">
        <v>41</v>
      </c>
      <c r="B31" s="189" t="s">
        <v>51</v>
      </c>
      <c r="C31" s="148" t="s">
        <v>63</v>
      </c>
      <c r="D31" s="149">
        <f>((D10*$C$43+D11*$C$44+D12*$C$45+D13*$C$47+D14*$C$48)+$B$40*$B$41*(D10*LN(D10)+D11*LN(D11)+D12*LN(D12)+D13*LN(D13)+D14*LN(D14)))/1000</f>
        <v>128.4220614795494</v>
      </c>
      <c r="E31" s="220">
        <f>((E10*$C$43+E11*$C$44+E12*$C$45+E13*$C$47+E14*$C$48)+$B$40*$B$41*(E10*LN(E10)+E11*LN(E11)+E12*LN(E12)+E13*LN(E13)+E14*LN(E14)))/1000</f>
        <v>128.4220614795494</v>
      </c>
      <c r="F31" s="149">
        <f t="shared" ref="F31:AC31" si="24">((F10*$C$43+F11*$C$44+F12*$C$45+F13*$C$47+F14*$C$48)+$B$40*$B$41*(F10*LN(F10)+F11*LN(F11)+F12*LN(F12)+F13*LN(F13)+F14*LN(F14)))/1000</f>
        <v>128.4220614795494</v>
      </c>
      <c r="G31" s="220">
        <f t="shared" si="24"/>
        <v>128.4220614795494</v>
      </c>
      <c r="H31" s="149">
        <f t="shared" si="24"/>
        <v>128.4220614795494</v>
      </c>
      <c r="I31" s="220">
        <f t="shared" si="24"/>
        <v>128.4220614795494</v>
      </c>
      <c r="J31" s="149">
        <f t="shared" si="24"/>
        <v>128.4220614795494</v>
      </c>
      <c r="K31" s="220">
        <f t="shared" si="24"/>
        <v>128.4220614795494</v>
      </c>
      <c r="L31" s="149">
        <f t="shared" si="24"/>
        <v>128.4220614795494</v>
      </c>
      <c r="M31" s="220">
        <f t="shared" si="24"/>
        <v>128.4220614795494</v>
      </c>
      <c r="N31" s="220">
        <f t="shared" si="24"/>
        <v>128.4220614795494</v>
      </c>
      <c r="O31" s="220">
        <f t="shared" si="24"/>
        <v>128.4220614795494</v>
      </c>
      <c r="P31" s="149">
        <f t="shared" si="24"/>
        <v>128.4220614795494</v>
      </c>
      <c r="Q31" s="220">
        <f t="shared" si="24"/>
        <v>128.4220614795494</v>
      </c>
      <c r="R31" s="149">
        <f t="shared" si="24"/>
        <v>831649.99999976018</v>
      </c>
      <c r="S31" s="220">
        <f t="shared" si="24"/>
        <v>831649.99999976018</v>
      </c>
      <c r="T31" s="149">
        <f t="shared" si="24"/>
        <v>254.19493466795421</v>
      </c>
      <c r="U31" s="220">
        <f t="shared" si="24"/>
        <v>254.19400587684453</v>
      </c>
      <c r="V31" s="149">
        <f t="shared" si="24"/>
        <v>254.19493466795421</v>
      </c>
      <c r="W31" s="220">
        <f t="shared" si="24"/>
        <v>254.19400587684453</v>
      </c>
      <c r="X31" s="149">
        <f t="shared" si="24"/>
        <v>831649.99999976018</v>
      </c>
      <c r="Y31" s="220">
        <f t="shared" si="24"/>
        <v>831649.99999976018</v>
      </c>
      <c r="Z31" s="149">
        <f t="shared" si="24"/>
        <v>617.50268490611131</v>
      </c>
      <c r="AA31" s="220">
        <f t="shared" si="24"/>
        <v>617.50167306689082</v>
      </c>
      <c r="AB31" s="149">
        <f t="shared" si="24"/>
        <v>617.50268490611131</v>
      </c>
      <c r="AC31" s="220">
        <f t="shared" si="24"/>
        <v>617.50167306689082</v>
      </c>
    </row>
    <row r="32" spans="1:29" x14ac:dyDescent="0.2">
      <c r="A32" s="296"/>
      <c r="B32" s="190" t="s">
        <v>51</v>
      </c>
      <c r="C32" s="150" t="s">
        <v>64</v>
      </c>
      <c r="D32" s="151">
        <f>D31/D6</f>
        <v>4.4513099971999459</v>
      </c>
      <c r="E32" s="173">
        <f t="shared" ref="E32:H32" si="25">E31/E6</f>
        <v>4.4513099971999459</v>
      </c>
      <c r="F32" s="151">
        <f t="shared" si="25"/>
        <v>4.4513099971999459</v>
      </c>
      <c r="G32" s="173">
        <f t="shared" si="25"/>
        <v>4.4513099971999459</v>
      </c>
      <c r="H32" s="151">
        <f t="shared" si="25"/>
        <v>4.4513099971999459</v>
      </c>
      <c r="I32" s="173">
        <f t="shared" ref="I32" si="26">I31/I6</f>
        <v>4.4513099971999459</v>
      </c>
      <c r="J32" s="151">
        <f t="shared" ref="J32" si="27">J31/J6</f>
        <v>4.4513099971999459</v>
      </c>
      <c r="K32" s="173">
        <f t="shared" ref="K32:L32" si="28">K31/K6</f>
        <v>4.4513099971999459</v>
      </c>
      <c r="L32" s="151">
        <f t="shared" si="28"/>
        <v>4.4513099971999459</v>
      </c>
      <c r="M32" s="173">
        <f t="shared" ref="M32" si="29">M31/M6</f>
        <v>4.4513099971999459</v>
      </c>
      <c r="N32" s="173">
        <f t="shared" ref="N32" si="30">N31/N6</f>
        <v>4.4513099971999459</v>
      </c>
      <c r="O32" s="173">
        <f t="shared" ref="O32:P32" si="31">O31/O6</f>
        <v>4.4513099971999459</v>
      </c>
      <c r="P32" s="151">
        <f t="shared" si="31"/>
        <v>4.4513099971999459</v>
      </c>
      <c r="Q32" s="173">
        <f t="shared" ref="Q32" si="32">Q31/Q6</f>
        <v>4.4513099971999459</v>
      </c>
      <c r="R32" s="151">
        <f t="shared" ref="R32" si="33">R31/R6</f>
        <v>51839.583712513289</v>
      </c>
      <c r="S32" s="173">
        <f t="shared" ref="S32:T32" si="34">S31/S6</f>
        <v>51839.583712513348</v>
      </c>
      <c r="T32" s="151">
        <f t="shared" si="34"/>
        <v>8.8908324365665639</v>
      </c>
      <c r="U32" s="173">
        <f t="shared" ref="U32" si="35">U31/U6</f>
        <v>8.8908146881331014</v>
      </c>
      <c r="V32" s="151">
        <f t="shared" ref="V32" si="36">V31/V6</f>
        <v>8.8908324365665639</v>
      </c>
      <c r="W32" s="173">
        <f t="shared" ref="W32:X32" si="37">W31/W6</f>
        <v>8.8908146881331014</v>
      </c>
      <c r="X32" s="151">
        <f t="shared" si="37"/>
        <v>51839.583712513289</v>
      </c>
      <c r="Y32" s="173">
        <f t="shared" ref="Y32" si="38">Y31/Y6</f>
        <v>51839.58371251334</v>
      </c>
      <c r="Z32" s="151">
        <f t="shared" ref="Z32" si="39">Z31/Z6</f>
        <v>21.794719168506141</v>
      </c>
      <c r="AA32" s="173">
        <f t="shared" ref="AA32:AB32" si="40">AA31/AA6</f>
        <v>21.794719638332065</v>
      </c>
      <c r="AB32" s="151">
        <f t="shared" si="40"/>
        <v>21.794719168506141</v>
      </c>
      <c r="AC32" s="173">
        <f t="shared" ref="AC32" si="41">AC31/AC6</f>
        <v>21.794719638332065</v>
      </c>
    </row>
    <row r="33" spans="1:29" x14ac:dyDescent="0.2">
      <c r="A33" s="297"/>
      <c r="B33" s="191" t="s">
        <v>51</v>
      </c>
      <c r="C33" s="152" t="s">
        <v>52</v>
      </c>
      <c r="D33" s="152">
        <f>((D10*$C$43+D11*$C$44+D12*$C$45+D13*$C$47+D14*$C$48)+$B$40*$B$41*(D10*LN(D10)+D11*LN(D11)+D12*LN(D12)+D13*LN(D13)+D14*LN(D14)))*D5/10^6</f>
        <v>0.48074147969759418</v>
      </c>
      <c r="E33" s="174">
        <f t="shared" ref="E33:AC33" si="42">((E10*$C$43+E11*$C$44+E12*$C$45+E13*$C$47+E14*$C$48)+$B$40*$B$41*(E10*LN(E10)+E11*LN(E11)+E12*LN(E12)+E13*LN(E13)+E14*LN(E14)))*E5/10^6</f>
        <v>0.48074147969759418</v>
      </c>
      <c r="F33" s="152">
        <f t="shared" si="42"/>
        <v>0.48074147969759418</v>
      </c>
      <c r="G33" s="174">
        <f t="shared" si="42"/>
        <v>0.48074147969759418</v>
      </c>
      <c r="H33" s="152">
        <f t="shared" si="42"/>
        <v>0.48074147969759418</v>
      </c>
      <c r="I33" s="174">
        <f t="shared" si="42"/>
        <v>0.48074147969759418</v>
      </c>
      <c r="J33" s="152">
        <f t="shared" si="42"/>
        <v>0.48074147969759418</v>
      </c>
      <c r="K33" s="174">
        <f t="shared" si="42"/>
        <v>0.48074147969759418</v>
      </c>
      <c r="L33" s="152">
        <f t="shared" si="42"/>
        <v>0.48074147969759418</v>
      </c>
      <c r="M33" s="174">
        <f t="shared" si="42"/>
        <v>0.48074147969759418</v>
      </c>
      <c r="N33" s="174">
        <f t="shared" si="42"/>
        <v>0.48074147969759418</v>
      </c>
      <c r="O33" s="174">
        <f t="shared" si="42"/>
        <v>0.48074147969759418</v>
      </c>
      <c r="P33" s="152">
        <f t="shared" si="42"/>
        <v>0.48074147969759418</v>
      </c>
      <c r="Q33" s="174">
        <f t="shared" si="42"/>
        <v>0.48074147969759418</v>
      </c>
      <c r="R33" s="152">
        <f t="shared" si="42"/>
        <v>64.438219150661311</v>
      </c>
      <c r="S33" s="174">
        <f t="shared" si="42"/>
        <v>64.450220847076622</v>
      </c>
      <c r="T33" s="152">
        <f t="shared" si="42"/>
        <v>0.97126148512477872</v>
      </c>
      <c r="U33" s="174">
        <f t="shared" si="42"/>
        <v>0.97126160459853961</v>
      </c>
      <c r="V33" s="152">
        <f t="shared" si="42"/>
        <v>0.97126148512477872</v>
      </c>
      <c r="W33" s="174">
        <f t="shared" si="42"/>
        <v>0.97126160459853961</v>
      </c>
      <c r="X33" s="152">
        <f t="shared" si="42"/>
        <v>66.709535931721575</v>
      </c>
      <c r="Y33" s="174">
        <f t="shared" si="42"/>
        <v>66.709951384705235</v>
      </c>
      <c r="Z33" s="152">
        <f t="shared" si="42"/>
        <v>2.4089676224525327</v>
      </c>
      <c r="AA33" s="174">
        <f t="shared" si="42"/>
        <v>2.4089728948773703</v>
      </c>
      <c r="AB33" s="152">
        <f t="shared" si="42"/>
        <v>2.4089676224525327</v>
      </c>
      <c r="AC33" s="174">
        <f t="shared" si="42"/>
        <v>2.4089728948773703</v>
      </c>
    </row>
    <row r="34" spans="1:29" x14ac:dyDescent="0.2">
      <c r="A34" s="192" t="s">
        <v>65</v>
      </c>
      <c r="B34" s="192" t="s">
        <v>50</v>
      </c>
      <c r="C34" s="30" t="s">
        <v>52</v>
      </c>
      <c r="D34" s="153">
        <f>D33+D30</f>
        <v>0.48074386395855245</v>
      </c>
      <c r="E34" s="175">
        <f t="shared" ref="E34:AC34" si="43">E33+E30</f>
        <v>0.4807414796975823</v>
      </c>
      <c r="F34" s="153">
        <f t="shared" si="43"/>
        <v>29.156420823190469</v>
      </c>
      <c r="G34" s="175">
        <f t="shared" si="43"/>
        <v>17.416382933998435</v>
      </c>
      <c r="H34" s="153">
        <f t="shared" si="43"/>
        <v>20.275521591165795</v>
      </c>
      <c r="I34" s="175">
        <f t="shared" si="43"/>
        <v>13.698141316043399</v>
      </c>
      <c r="J34" s="153">
        <f t="shared" si="43"/>
        <v>49.691222305942205</v>
      </c>
      <c r="K34" s="175">
        <f t="shared" si="43"/>
        <v>30.953340276954272</v>
      </c>
      <c r="L34" s="153">
        <f t="shared" si="43"/>
        <v>39.903583389264895</v>
      </c>
      <c r="M34" s="175">
        <f t="shared" si="43"/>
        <v>26.879150790658539</v>
      </c>
      <c r="N34" s="175">
        <f t="shared" si="43"/>
        <v>44.539175053893366</v>
      </c>
      <c r="O34" s="175">
        <f t="shared" si="43"/>
        <v>39.935222398927152</v>
      </c>
      <c r="P34" s="153">
        <f t="shared" si="43"/>
        <v>35.004351462641743</v>
      </c>
      <c r="Q34" s="175">
        <f t="shared" si="43"/>
        <v>35.004190706671707</v>
      </c>
      <c r="R34" s="153">
        <f t="shared" si="43"/>
        <v>65.139298244360177</v>
      </c>
      <c r="S34" s="175">
        <f t="shared" si="43"/>
        <v>65.181806554547123</v>
      </c>
      <c r="T34" s="153">
        <f t="shared" si="43"/>
        <v>63.097382457815961</v>
      </c>
      <c r="U34" s="175">
        <f t="shared" si="43"/>
        <v>63.081820565461598</v>
      </c>
      <c r="V34" s="153">
        <f t="shared" si="43"/>
        <v>35.541968568266235</v>
      </c>
      <c r="W34" s="175">
        <f t="shared" si="43"/>
        <v>35.527642302935192</v>
      </c>
      <c r="X34" s="153">
        <f t="shared" si="43"/>
        <v>67.466768739571279</v>
      </c>
      <c r="Y34" s="175">
        <f t="shared" si="43"/>
        <v>67.467187687974103</v>
      </c>
      <c r="Z34" s="153">
        <f t="shared" si="43"/>
        <v>78.485283309792806</v>
      </c>
      <c r="AA34" s="175">
        <f t="shared" si="43"/>
        <v>78.470432013811745</v>
      </c>
      <c r="AB34" s="153">
        <f t="shared" si="43"/>
        <v>19.012058760409666</v>
      </c>
      <c r="AC34" s="175">
        <f t="shared" si="43"/>
        <v>18.998459361467106</v>
      </c>
    </row>
    <row r="35" spans="1:29" x14ac:dyDescent="0.2">
      <c r="A35" s="35"/>
      <c r="B35" s="36"/>
      <c r="C35" s="36"/>
      <c r="D35" s="37"/>
      <c r="U35" s="221"/>
    </row>
    <row r="36" spans="1:29" x14ac:dyDescent="0.2">
      <c r="A36" s="35"/>
      <c r="B36" s="36"/>
      <c r="C36" s="36"/>
      <c r="D36" s="37"/>
    </row>
    <row r="37" spans="1:29" x14ac:dyDescent="0.2">
      <c r="A37"/>
      <c r="B37" t="s">
        <v>32</v>
      </c>
      <c r="C37"/>
      <c r="D37"/>
      <c r="F37" s="277" t="s">
        <v>66</v>
      </c>
      <c r="G37" s="278"/>
      <c r="H37" s="137" t="s">
        <v>67</v>
      </c>
      <c r="I37" s="137" t="s">
        <v>68</v>
      </c>
      <c r="J37" s="137" t="s">
        <v>69</v>
      </c>
      <c r="K37" s="137" t="s">
        <v>70</v>
      </c>
      <c r="L37" s="137" t="s">
        <v>165</v>
      </c>
      <c r="M37" s="137" t="s">
        <v>166</v>
      </c>
      <c r="N37" s="137" t="s">
        <v>71</v>
      </c>
      <c r="O37" s="134" t="s">
        <v>72</v>
      </c>
    </row>
    <row r="38" spans="1:29" x14ac:dyDescent="0.2">
      <c r="A38"/>
      <c r="B38" t="s">
        <v>33</v>
      </c>
      <c r="C38"/>
      <c r="D38"/>
      <c r="F38" s="279" t="s">
        <v>73</v>
      </c>
      <c r="G38" s="280"/>
      <c r="H38" s="139">
        <v>18493.599999999999</v>
      </c>
      <c r="I38" s="139">
        <v>-17668</v>
      </c>
      <c r="J38" s="139">
        <v>18820</v>
      </c>
      <c r="K38" s="139">
        <v>-18252</v>
      </c>
      <c r="L38" s="139">
        <v>19237</v>
      </c>
      <c r="M38" s="139">
        <v>-19573.3</v>
      </c>
      <c r="N38" s="139">
        <v>-24818.5</v>
      </c>
      <c r="O38" s="64">
        <v>-53862.6</v>
      </c>
    </row>
    <row r="39" spans="1:29" x14ac:dyDescent="0.2">
      <c r="A39"/>
      <c r="B39"/>
      <c r="C39"/>
      <c r="D39"/>
      <c r="F39"/>
      <c r="G39"/>
      <c r="H39" s="45" t="s">
        <v>75</v>
      </c>
      <c r="I39" s="45" t="s">
        <v>74</v>
      </c>
      <c r="J39" s="45" t="s">
        <v>76</v>
      </c>
      <c r="K39" s="45" t="s">
        <v>77</v>
      </c>
      <c r="L39" s="45" t="s">
        <v>76</v>
      </c>
      <c r="M39" s="45" t="s">
        <v>77</v>
      </c>
      <c r="N39" s="45" t="s">
        <v>78</v>
      </c>
      <c r="O39" s="45" t="s">
        <v>79</v>
      </c>
    </row>
    <row r="40" spans="1:29" x14ac:dyDescent="0.2">
      <c r="A40" s="65" t="s">
        <v>61</v>
      </c>
      <c r="B40" s="130">
        <v>298.14999999999998</v>
      </c>
      <c r="C40"/>
      <c r="D40"/>
    </row>
    <row r="41" spans="1:29" ht="28.5" x14ac:dyDescent="0.2">
      <c r="A41" s="66" t="s">
        <v>62</v>
      </c>
      <c r="B41" s="64">
        <v>8314.4719999999998</v>
      </c>
      <c r="C41"/>
      <c r="D41"/>
    </row>
    <row r="42" spans="1:29" ht="51" x14ac:dyDescent="0.2">
      <c r="A42" s="197" t="s">
        <v>54</v>
      </c>
      <c r="B42" s="198" t="s">
        <v>55</v>
      </c>
      <c r="C42" s="198" t="s">
        <v>56</v>
      </c>
      <c r="D42" s="199" t="s">
        <v>57</v>
      </c>
    </row>
    <row r="43" spans="1:29" x14ac:dyDescent="0.2">
      <c r="A43" s="38" t="s">
        <v>10</v>
      </c>
      <c r="B43" s="43">
        <v>31.998799999999999</v>
      </c>
      <c r="C43" s="44">
        <v>3970000</v>
      </c>
      <c r="D43" s="39">
        <f>C43/31.9988</f>
        <v>124067.15251821943</v>
      </c>
    </row>
    <row r="44" spans="1:29" x14ac:dyDescent="0.2">
      <c r="A44" s="38" t="s">
        <v>11</v>
      </c>
      <c r="B44" s="43">
        <v>28.013480000000001</v>
      </c>
      <c r="C44" s="44">
        <v>720000</v>
      </c>
      <c r="D44" s="223">
        <f>C44/28.01348</f>
        <v>25701.912079470312</v>
      </c>
      <c r="E44" s="293" t="s">
        <v>100</v>
      </c>
      <c r="F44" s="294"/>
    </row>
    <row r="45" spans="1:29" x14ac:dyDescent="0.2">
      <c r="A45" s="38" t="s">
        <v>12</v>
      </c>
      <c r="B45" s="43">
        <v>16.042760000000001</v>
      </c>
      <c r="C45" s="44">
        <v>831650000</v>
      </c>
      <c r="D45" s="223">
        <f>C45/16.04276</f>
        <v>51839583.712528266</v>
      </c>
      <c r="E45" s="136">
        <v>1</v>
      </c>
      <c r="F45" s="225">
        <f>E34</f>
        <v>0.4807414796975823</v>
      </c>
    </row>
    <row r="46" spans="1:29" x14ac:dyDescent="0.2">
      <c r="A46" s="38" t="s">
        <v>58</v>
      </c>
      <c r="B46" s="43">
        <v>18.015280000000001</v>
      </c>
      <c r="C46" s="44">
        <v>900000</v>
      </c>
      <c r="D46" s="223">
        <f>C46/18.01528</f>
        <v>49957.591555612787</v>
      </c>
      <c r="E46" s="136">
        <v>2</v>
      </c>
      <c r="F46" s="225">
        <f>G34</f>
        <v>17.416382933998435</v>
      </c>
    </row>
    <row r="47" spans="1:29" x14ac:dyDescent="0.2">
      <c r="A47" s="38" t="s">
        <v>59</v>
      </c>
      <c r="B47" s="43">
        <v>18.015280000000001</v>
      </c>
      <c r="C47" s="44">
        <v>9500000</v>
      </c>
      <c r="D47" s="223">
        <f>C47/18.01528</f>
        <v>527330.13308702386</v>
      </c>
      <c r="E47" s="136">
        <v>3</v>
      </c>
      <c r="F47" s="225">
        <f>I34</f>
        <v>13.698141316043399</v>
      </c>
    </row>
    <row r="48" spans="1:29" x14ac:dyDescent="0.2">
      <c r="A48" s="46" t="s">
        <v>14</v>
      </c>
      <c r="B48" s="47">
        <v>44.009799999999998</v>
      </c>
      <c r="C48" s="48">
        <v>19870000</v>
      </c>
      <c r="D48" s="224">
        <f>C48/44.0098</f>
        <v>451490.34987661842</v>
      </c>
      <c r="E48" s="136">
        <v>4</v>
      </c>
      <c r="F48" s="225">
        <f>K34</f>
        <v>30.953340276954272</v>
      </c>
    </row>
    <row r="49" spans="1:22" x14ac:dyDescent="0.2">
      <c r="E49" s="226" t="s">
        <v>167</v>
      </c>
      <c r="F49" s="225">
        <f>M34</f>
        <v>26.879150790658539</v>
      </c>
    </row>
    <row r="50" spans="1:22" x14ac:dyDescent="0.2">
      <c r="E50" s="136" t="s">
        <v>168</v>
      </c>
      <c r="F50" s="225">
        <f>N34</f>
        <v>44.539175053893366</v>
      </c>
    </row>
    <row r="51" spans="1:22" x14ac:dyDescent="0.2">
      <c r="A51"/>
      <c r="B51" s="87" t="s">
        <v>101</v>
      </c>
      <c r="C51" s="89" t="s">
        <v>102</v>
      </c>
      <c r="E51" s="226" t="s">
        <v>169</v>
      </c>
      <c r="F51" s="225">
        <f>O34</f>
        <v>39.935222398927152</v>
      </c>
    </row>
    <row r="52" spans="1:22" x14ac:dyDescent="0.2">
      <c r="A52" s="74" t="s">
        <v>67</v>
      </c>
      <c r="B52" s="222">
        <f>F45+F59-F46</f>
        <v>1.5579585456991474</v>
      </c>
      <c r="C52" s="234">
        <f>B52/$B$64</f>
        <v>1.6934189115862565E-2</v>
      </c>
      <c r="E52" s="136">
        <v>6</v>
      </c>
      <c r="F52" s="225">
        <f>Q34</f>
        <v>35.004190706671707</v>
      </c>
    </row>
    <row r="53" spans="1:22" x14ac:dyDescent="0.2">
      <c r="A53" s="74" t="s">
        <v>68</v>
      </c>
      <c r="B53" s="222">
        <f>F46-F47</f>
        <v>3.7182416179550355</v>
      </c>
      <c r="C53" s="234">
        <f t="shared" ref="C53:C62" si="44">B53/$B$64</f>
        <v>4.0415328707391958E-2</v>
      </c>
      <c r="E53" s="136" t="s">
        <v>103</v>
      </c>
      <c r="F53" s="225">
        <f>S34</f>
        <v>65.181806554547123</v>
      </c>
    </row>
    <row r="54" spans="1:22" x14ac:dyDescent="0.2">
      <c r="A54" s="74" t="s">
        <v>85</v>
      </c>
      <c r="B54" s="222">
        <f>F47+F61-F48</f>
        <v>1.5648010390891258</v>
      </c>
      <c r="C54" s="234">
        <f t="shared" si="44"/>
        <v>1.7008563416391811E-2</v>
      </c>
      <c r="E54" s="136">
        <v>8</v>
      </c>
      <c r="F54" s="225">
        <f>U34</f>
        <v>63.081820565461598</v>
      </c>
    </row>
    <row r="55" spans="1:22" x14ac:dyDescent="0.2">
      <c r="A55" s="74" t="s">
        <v>70</v>
      </c>
      <c r="B55" s="222">
        <f>F48-F49</f>
        <v>4.0741894862957331</v>
      </c>
      <c r="C55" s="234">
        <f t="shared" si="44"/>
        <v>4.4284294627255083E-2</v>
      </c>
      <c r="E55" s="136">
        <v>9</v>
      </c>
      <c r="F55" s="225">
        <f>W34</f>
        <v>35.527642302935192</v>
      </c>
    </row>
    <row r="56" spans="1:22" x14ac:dyDescent="0.2">
      <c r="A56" s="74" t="s">
        <v>170</v>
      </c>
      <c r="B56" s="222">
        <f>F49-F50+F63</f>
        <v>1.5769757367651707</v>
      </c>
      <c r="C56" s="234">
        <f t="shared" si="44"/>
        <v>1.7140895970068376E-2</v>
      </c>
      <c r="E56" s="136" t="s">
        <v>104</v>
      </c>
      <c r="F56" s="225">
        <f>Y34</f>
        <v>67.467187687974103</v>
      </c>
    </row>
    <row r="57" spans="1:22" x14ac:dyDescent="0.2">
      <c r="A57" s="74" t="s">
        <v>166</v>
      </c>
      <c r="B57" s="222">
        <f>F50-F51</f>
        <v>4.6039526549662142</v>
      </c>
      <c r="C57" s="234">
        <f t="shared" si="44"/>
        <v>5.0042541346752144E-2</v>
      </c>
      <c r="E57" s="227">
        <v>11</v>
      </c>
      <c r="F57" s="228">
        <f>AA34</f>
        <v>78.470432013811745</v>
      </c>
    </row>
    <row r="58" spans="1:22" x14ac:dyDescent="0.2">
      <c r="A58" s="74" t="s">
        <v>87</v>
      </c>
      <c r="B58" s="222">
        <f>F51-F52</f>
        <v>4.9310316922554449</v>
      </c>
      <c r="C58" s="234">
        <f t="shared" si="44"/>
        <v>5.3597718272723881E-2</v>
      </c>
      <c r="E58" s="227">
        <v>12</v>
      </c>
      <c r="F58" s="228">
        <f>AC34</f>
        <v>18.998459361467106</v>
      </c>
    </row>
    <row r="59" spans="1:22" ht="15" thickBot="1" x14ac:dyDescent="0.25">
      <c r="A59" s="74" t="s">
        <v>89</v>
      </c>
      <c r="B59" s="222">
        <f>F52+F53-F54</f>
        <v>37.104176695757232</v>
      </c>
      <c r="C59" s="234">
        <f t="shared" si="44"/>
        <v>0.40330286507871455</v>
      </c>
      <c r="D59" s="45" t="s">
        <v>172</v>
      </c>
      <c r="E59" s="227">
        <v>13</v>
      </c>
      <c r="F59" s="135">
        <v>18.493600000000001</v>
      </c>
    </row>
    <row r="60" spans="1:22" ht="15" thickBot="1" x14ac:dyDescent="0.25">
      <c r="A60" s="74" t="s">
        <v>71</v>
      </c>
      <c r="B60" s="222">
        <f>F54+F65-F55</f>
        <v>2.735678262526406</v>
      </c>
      <c r="C60" s="234">
        <f t="shared" si="44"/>
        <v>2.9735382360245702E-2</v>
      </c>
      <c r="D60" s="45" t="s">
        <v>171</v>
      </c>
      <c r="E60" s="227">
        <v>14</v>
      </c>
      <c r="F60" s="135">
        <v>0</v>
      </c>
      <c r="H60" s="290" t="s">
        <v>174</v>
      </c>
      <c r="I60" s="291"/>
      <c r="J60" s="291"/>
      <c r="K60" s="291"/>
      <c r="L60" s="291"/>
      <c r="M60" s="291"/>
      <c r="N60" s="291"/>
      <c r="O60" s="291"/>
      <c r="P60" s="291"/>
      <c r="Q60" s="291"/>
      <c r="R60" s="291"/>
      <c r="S60" s="291"/>
      <c r="T60" s="291"/>
      <c r="U60" s="291"/>
      <c r="V60" s="292"/>
    </row>
    <row r="61" spans="1:22" x14ac:dyDescent="0.2">
      <c r="A61" s="74" t="s">
        <v>90</v>
      </c>
      <c r="B61" s="222">
        <f>F55+F56-F57</f>
        <v>24.52439797709755</v>
      </c>
      <c r="C61" s="234">
        <f t="shared" si="44"/>
        <v>0.26656729374688043</v>
      </c>
      <c r="D61" s="45" t="s">
        <v>172</v>
      </c>
      <c r="E61" s="227">
        <v>15</v>
      </c>
      <c r="F61" s="135">
        <v>18.82</v>
      </c>
      <c r="H61" s="241" t="s">
        <v>80</v>
      </c>
      <c r="I61" s="74">
        <v>1</v>
      </c>
      <c r="J61" s="74">
        <v>2</v>
      </c>
      <c r="K61" s="74">
        <v>3</v>
      </c>
      <c r="L61" s="74">
        <v>4</v>
      </c>
      <c r="M61" s="74" t="s">
        <v>175</v>
      </c>
      <c r="N61" s="219" t="s">
        <v>176</v>
      </c>
      <c r="O61" s="219" t="s">
        <v>177</v>
      </c>
      <c r="P61" s="74">
        <v>6</v>
      </c>
      <c r="Q61" s="74" t="s">
        <v>81</v>
      </c>
      <c r="R61" s="74">
        <v>8</v>
      </c>
      <c r="S61" s="74">
        <v>9</v>
      </c>
      <c r="T61" s="74" t="s">
        <v>82</v>
      </c>
      <c r="U61" s="74">
        <v>11</v>
      </c>
      <c r="V61" s="92">
        <v>12</v>
      </c>
    </row>
    <row r="62" spans="1:22" x14ac:dyDescent="0.2">
      <c r="A62" s="74" t="s">
        <v>72</v>
      </c>
      <c r="B62" s="222">
        <f>F57+F66-F58</f>
        <v>5.6093726523446392</v>
      </c>
      <c r="C62" s="234">
        <f t="shared" si="44"/>
        <v>6.097092735771352E-2</v>
      </c>
      <c r="D62" s="45" t="s">
        <v>171</v>
      </c>
      <c r="E62" s="227">
        <v>16</v>
      </c>
      <c r="F62" s="135">
        <v>0</v>
      </c>
      <c r="H62" s="213" t="s">
        <v>67</v>
      </c>
      <c r="I62" s="217">
        <v>1</v>
      </c>
      <c r="J62" s="218">
        <v>-1</v>
      </c>
      <c r="K62" s="218">
        <v>0</v>
      </c>
      <c r="L62" s="218">
        <v>0</v>
      </c>
      <c r="M62" s="218">
        <v>0</v>
      </c>
      <c r="N62" s="216">
        <v>0</v>
      </c>
      <c r="O62" s="216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93">
        <v>0</v>
      </c>
    </row>
    <row r="63" spans="1:22" x14ac:dyDescent="0.2">
      <c r="D63" s="45" t="s">
        <v>172</v>
      </c>
      <c r="E63" s="227">
        <v>17</v>
      </c>
      <c r="F63" s="135">
        <v>19.236999999999998</v>
      </c>
      <c r="H63" s="213" t="s">
        <v>68</v>
      </c>
      <c r="I63" s="215">
        <v>0</v>
      </c>
      <c r="J63" s="216">
        <v>1</v>
      </c>
      <c r="K63" s="216">
        <v>-1</v>
      </c>
      <c r="L63" s="216">
        <v>0</v>
      </c>
      <c r="M63" s="216">
        <v>0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94">
        <v>0</v>
      </c>
    </row>
    <row r="64" spans="1:22" x14ac:dyDescent="0.2">
      <c r="A64" s="231" t="s">
        <v>173</v>
      </c>
      <c r="B64" s="232">
        <f>SUM(B52:B62)</f>
        <v>92.000776360751701</v>
      </c>
      <c r="C64" s="233">
        <f>SUM(C52:C62)</f>
        <v>1</v>
      </c>
      <c r="D64" s="45" t="s">
        <v>171</v>
      </c>
      <c r="E64" s="227">
        <v>18</v>
      </c>
      <c r="F64" s="135">
        <v>0</v>
      </c>
      <c r="H64" s="213" t="s">
        <v>85</v>
      </c>
      <c r="I64" s="215">
        <v>0</v>
      </c>
      <c r="J64" s="216">
        <v>0</v>
      </c>
      <c r="K64" s="216">
        <v>1</v>
      </c>
      <c r="L64" s="216">
        <v>-1</v>
      </c>
      <c r="M64" s="216">
        <v>0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94">
        <v>0</v>
      </c>
    </row>
    <row r="65" spans="5:32" x14ac:dyDescent="0.2">
      <c r="E65" s="136">
        <v>19</v>
      </c>
      <c r="F65" s="229">
        <v>-24.8185</v>
      </c>
      <c r="H65" s="213" t="s">
        <v>70</v>
      </c>
      <c r="I65" s="215">
        <v>0</v>
      </c>
      <c r="J65" s="216">
        <v>0</v>
      </c>
      <c r="K65" s="216">
        <v>0</v>
      </c>
      <c r="L65" s="216">
        <v>1</v>
      </c>
      <c r="M65" s="216">
        <v>-1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94">
        <v>0</v>
      </c>
    </row>
    <row r="66" spans="5:32" x14ac:dyDescent="0.2">
      <c r="E66" s="138">
        <v>20</v>
      </c>
      <c r="F66" s="230">
        <v>-53.8626</v>
      </c>
      <c r="H66" s="213" t="s">
        <v>170</v>
      </c>
      <c r="I66" s="215">
        <v>0</v>
      </c>
      <c r="J66" s="216">
        <v>0</v>
      </c>
      <c r="K66" s="216">
        <v>0</v>
      </c>
      <c r="L66" s="216">
        <v>0</v>
      </c>
      <c r="M66" s="216">
        <v>1</v>
      </c>
      <c r="N66" s="216">
        <v>-1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94">
        <v>0</v>
      </c>
    </row>
    <row r="67" spans="5:32" x14ac:dyDescent="0.2">
      <c r="H67" s="213" t="s">
        <v>166</v>
      </c>
      <c r="I67" s="215">
        <v>0</v>
      </c>
      <c r="J67" s="216">
        <v>0</v>
      </c>
      <c r="K67" s="216">
        <v>0</v>
      </c>
      <c r="L67" s="216">
        <v>0</v>
      </c>
      <c r="M67" s="216">
        <v>0</v>
      </c>
      <c r="N67" s="216">
        <v>1</v>
      </c>
      <c r="O67" s="216">
        <v>-1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94">
        <v>0</v>
      </c>
    </row>
    <row r="68" spans="5:32" x14ac:dyDescent="0.2">
      <c r="H68" s="213" t="s">
        <v>87</v>
      </c>
      <c r="I68" s="215">
        <v>0</v>
      </c>
      <c r="J68" s="216">
        <v>0</v>
      </c>
      <c r="K68" s="216">
        <v>0</v>
      </c>
      <c r="L68" s="216">
        <v>0</v>
      </c>
      <c r="M68" s="216">
        <v>0</v>
      </c>
      <c r="N68" s="216">
        <v>0</v>
      </c>
      <c r="O68" s="216">
        <v>1</v>
      </c>
      <c r="P68" s="216">
        <v>-1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94">
        <v>0</v>
      </c>
    </row>
    <row r="69" spans="5:32" x14ac:dyDescent="0.2">
      <c r="H69" s="213" t="s">
        <v>89</v>
      </c>
      <c r="I69" s="215">
        <v>0</v>
      </c>
      <c r="J69" s="216">
        <v>0</v>
      </c>
      <c r="K69" s="216">
        <v>0</v>
      </c>
      <c r="L69" s="216">
        <v>0</v>
      </c>
      <c r="M69" s="216">
        <v>0</v>
      </c>
      <c r="N69" s="216">
        <v>0</v>
      </c>
      <c r="O69" s="216">
        <v>0</v>
      </c>
      <c r="P69" s="216">
        <v>1</v>
      </c>
      <c r="Q69" s="216">
        <v>1</v>
      </c>
      <c r="R69" s="216">
        <v>-1</v>
      </c>
      <c r="S69" s="216">
        <v>0</v>
      </c>
      <c r="T69" s="216">
        <v>0</v>
      </c>
      <c r="U69" s="216">
        <v>0</v>
      </c>
      <c r="V69" s="94">
        <v>0</v>
      </c>
    </row>
    <row r="70" spans="5:32" x14ac:dyDescent="0.2">
      <c r="H70" s="213" t="s">
        <v>71</v>
      </c>
      <c r="I70" s="215">
        <v>0</v>
      </c>
      <c r="J70" s="216">
        <v>0</v>
      </c>
      <c r="K70" s="216">
        <v>0</v>
      </c>
      <c r="L70" s="216">
        <v>0</v>
      </c>
      <c r="M70" s="216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1</v>
      </c>
      <c r="S70" s="216">
        <v>-1</v>
      </c>
      <c r="T70" s="216">
        <v>0</v>
      </c>
      <c r="U70" s="216">
        <v>0</v>
      </c>
      <c r="V70" s="94">
        <v>0</v>
      </c>
    </row>
    <row r="71" spans="5:32" x14ac:dyDescent="0.2">
      <c r="H71" s="213" t="s">
        <v>90</v>
      </c>
      <c r="I71" s="215">
        <v>0</v>
      </c>
      <c r="J71" s="216">
        <v>0</v>
      </c>
      <c r="K71" s="216">
        <v>0</v>
      </c>
      <c r="L71" s="216">
        <v>0</v>
      </c>
      <c r="M71" s="216">
        <v>0</v>
      </c>
      <c r="N71" s="216">
        <v>0</v>
      </c>
      <c r="O71" s="216">
        <v>0</v>
      </c>
      <c r="P71" s="216">
        <v>0</v>
      </c>
      <c r="Q71" s="216">
        <v>0</v>
      </c>
      <c r="R71" s="216">
        <v>0</v>
      </c>
      <c r="S71" s="216">
        <v>1</v>
      </c>
      <c r="T71" s="216">
        <v>1</v>
      </c>
      <c r="U71" s="216">
        <v>-1</v>
      </c>
      <c r="V71" s="94">
        <v>0</v>
      </c>
    </row>
    <row r="72" spans="5:32" ht="15" thickBot="1" x14ac:dyDescent="0.25">
      <c r="H72" s="240" t="s">
        <v>72</v>
      </c>
      <c r="I72" s="97">
        <v>0</v>
      </c>
      <c r="J72" s="98">
        <v>0</v>
      </c>
      <c r="K72" s="98">
        <v>0</v>
      </c>
      <c r="L72" s="98">
        <v>0</v>
      </c>
      <c r="M72" s="98">
        <v>0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1</v>
      </c>
      <c r="V72" s="100">
        <v>-1</v>
      </c>
    </row>
    <row r="74" spans="5:32" ht="15" thickBot="1" x14ac:dyDescent="0.25"/>
    <row r="75" spans="5:32" ht="15" thickBot="1" x14ac:dyDescent="0.25">
      <c r="H75" s="290" t="s">
        <v>178</v>
      </c>
      <c r="I75" s="291"/>
      <c r="J75" s="291"/>
      <c r="K75" s="291"/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  <c r="AC75" s="291"/>
      <c r="AD75" s="292"/>
      <c r="AF75" s="250" t="s">
        <v>184</v>
      </c>
    </row>
    <row r="76" spans="5:32" x14ac:dyDescent="0.2">
      <c r="H76" s="213" t="s">
        <v>80</v>
      </c>
      <c r="I76" s="74">
        <v>1</v>
      </c>
      <c r="J76" s="74">
        <v>2</v>
      </c>
      <c r="K76" s="74">
        <v>3</v>
      </c>
      <c r="L76" s="74">
        <v>4</v>
      </c>
      <c r="M76" s="74" t="s">
        <v>175</v>
      </c>
      <c r="N76" s="216" t="s">
        <v>176</v>
      </c>
      <c r="O76" s="216" t="s">
        <v>177</v>
      </c>
      <c r="P76" s="74">
        <v>6</v>
      </c>
      <c r="Q76" s="74" t="s">
        <v>81</v>
      </c>
      <c r="R76" s="74">
        <v>8</v>
      </c>
      <c r="S76" s="74">
        <v>9</v>
      </c>
      <c r="T76" s="74" t="s">
        <v>82</v>
      </c>
      <c r="U76" s="74">
        <v>11</v>
      </c>
      <c r="V76" s="74">
        <v>12</v>
      </c>
      <c r="W76" s="216">
        <v>13</v>
      </c>
      <c r="X76" s="216">
        <v>14</v>
      </c>
      <c r="Y76" s="216">
        <v>15</v>
      </c>
      <c r="Z76" s="216">
        <v>16</v>
      </c>
      <c r="AA76" s="216">
        <v>17</v>
      </c>
      <c r="AB76" s="216">
        <v>18</v>
      </c>
      <c r="AC76" s="216">
        <v>19</v>
      </c>
      <c r="AD76" s="94">
        <v>20</v>
      </c>
      <c r="AF76" s="246"/>
    </row>
    <row r="77" spans="5:32" x14ac:dyDescent="0.2">
      <c r="H77" s="213" t="s">
        <v>67</v>
      </c>
      <c r="I77" s="216">
        <v>1</v>
      </c>
      <c r="J77" s="216">
        <v>-1</v>
      </c>
      <c r="K77" s="216">
        <v>0</v>
      </c>
      <c r="L77" s="216">
        <v>0</v>
      </c>
      <c r="M77" s="216">
        <v>0</v>
      </c>
      <c r="N77" s="216">
        <v>0</v>
      </c>
      <c r="O77" s="216">
        <v>0</v>
      </c>
      <c r="P77" s="216">
        <v>0</v>
      </c>
      <c r="Q77" s="216">
        <v>0</v>
      </c>
      <c r="R77" s="216">
        <v>0</v>
      </c>
      <c r="S77" s="216">
        <v>0</v>
      </c>
      <c r="T77" s="216">
        <v>0</v>
      </c>
      <c r="U77" s="216">
        <v>0</v>
      </c>
      <c r="V77" s="216">
        <v>0</v>
      </c>
      <c r="W77" s="216">
        <v>1</v>
      </c>
      <c r="X77" s="216">
        <v>0</v>
      </c>
      <c r="Y77" s="216">
        <v>0</v>
      </c>
      <c r="Z77" s="216">
        <v>0</v>
      </c>
      <c r="AA77" s="216">
        <v>0</v>
      </c>
      <c r="AB77" s="216">
        <v>0</v>
      </c>
      <c r="AC77" s="216">
        <v>0</v>
      </c>
      <c r="AD77" s="94">
        <v>0</v>
      </c>
      <c r="AF77" s="247">
        <v>0</v>
      </c>
    </row>
    <row r="78" spans="5:32" x14ac:dyDescent="0.2">
      <c r="H78" s="213" t="s">
        <v>68</v>
      </c>
      <c r="I78" s="216">
        <v>0</v>
      </c>
      <c r="J78" s="216">
        <v>1</v>
      </c>
      <c r="K78" s="216">
        <v>-1</v>
      </c>
      <c r="L78" s="216">
        <v>0</v>
      </c>
      <c r="M78" s="216">
        <v>0</v>
      </c>
      <c r="N78" s="216">
        <v>0</v>
      </c>
      <c r="O78" s="216">
        <v>0</v>
      </c>
      <c r="P78" s="216">
        <v>0</v>
      </c>
      <c r="Q78" s="216">
        <v>0</v>
      </c>
      <c r="R78" s="216">
        <v>0</v>
      </c>
      <c r="S78" s="216">
        <v>0</v>
      </c>
      <c r="T78" s="216">
        <v>0</v>
      </c>
      <c r="U78" s="216">
        <v>0</v>
      </c>
      <c r="V78" s="216">
        <v>0</v>
      </c>
      <c r="W78" s="216">
        <v>0</v>
      </c>
      <c r="X78" s="216">
        <v>-1</v>
      </c>
      <c r="Y78" s="216">
        <v>0</v>
      </c>
      <c r="Z78" s="216">
        <v>0</v>
      </c>
      <c r="AA78" s="216">
        <v>0</v>
      </c>
      <c r="AB78" s="216">
        <v>0</v>
      </c>
      <c r="AC78" s="216">
        <v>0</v>
      </c>
      <c r="AD78" s="94">
        <v>0</v>
      </c>
      <c r="AF78" s="247">
        <v>0</v>
      </c>
    </row>
    <row r="79" spans="5:32" x14ac:dyDescent="0.2">
      <c r="H79" s="213" t="s">
        <v>85</v>
      </c>
      <c r="I79" s="216">
        <v>0</v>
      </c>
      <c r="J79" s="216">
        <v>0</v>
      </c>
      <c r="K79" s="216">
        <v>1</v>
      </c>
      <c r="L79" s="216">
        <v>-1</v>
      </c>
      <c r="M79" s="216">
        <v>0</v>
      </c>
      <c r="N79" s="216">
        <v>0</v>
      </c>
      <c r="O79" s="216">
        <v>0</v>
      </c>
      <c r="P79" s="216">
        <v>0</v>
      </c>
      <c r="Q79" s="216">
        <v>0</v>
      </c>
      <c r="R79" s="216">
        <v>0</v>
      </c>
      <c r="S79" s="216">
        <v>0</v>
      </c>
      <c r="T79" s="216">
        <v>0</v>
      </c>
      <c r="U79" s="216">
        <v>0</v>
      </c>
      <c r="V79" s="216">
        <v>0</v>
      </c>
      <c r="W79" s="216">
        <v>0</v>
      </c>
      <c r="X79" s="216">
        <v>0</v>
      </c>
      <c r="Y79" s="216">
        <v>1</v>
      </c>
      <c r="Z79" s="216">
        <v>0</v>
      </c>
      <c r="AA79" s="216">
        <v>0</v>
      </c>
      <c r="AB79" s="216">
        <v>0</v>
      </c>
      <c r="AC79" s="216">
        <v>0</v>
      </c>
      <c r="AD79" s="94">
        <v>0</v>
      </c>
      <c r="AF79" s="247">
        <v>0</v>
      </c>
    </row>
    <row r="80" spans="5:32" x14ac:dyDescent="0.2">
      <c r="H80" s="213" t="s">
        <v>70</v>
      </c>
      <c r="I80" s="216">
        <v>0</v>
      </c>
      <c r="J80" s="216">
        <v>0</v>
      </c>
      <c r="K80" s="216">
        <v>0</v>
      </c>
      <c r="L80" s="216">
        <v>1</v>
      </c>
      <c r="M80" s="216">
        <v>-1</v>
      </c>
      <c r="N80" s="216">
        <v>0</v>
      </c>
      <c r="O80" s="216">
        <v>0</v>
      </c>
      <c r="P80" s="216">
        <v>0</v>
      </c>
      <c r="Q80" s="216">
        <v>0</v>
      </c>
      <c r="R80" s="216">
        <v>0</v>
      </c>
      <c r="S80" s="216">
        <v>0</v>
      </c>
      <c r="T80" s="216">
        <v>0</v>
      </c>
      <c r="U80" s="216">
        <v>0</v>
      </c>
      <c r="V80" s="216">
        <v>0</v>
      </c>
      <c r="W80" s="216">
        <v>0</v>
      </c>
      <c r="X80" s="216">
        <v>0</v>
      </c>
      <c r="Y80" s="216">
        <v>0</v>
      </c>
      <c r="Z80" s="216">
        <v>-1</v>
      </c>
      <c r="AA80" s="216">
        <v>0</v>
      </c>
      <c r="AB80" s="216">
        <v>0</v>
      </c>
      <c r="AC80" s="216">
        <v>0</v>
      </c>
      <c r="AD80" s="94">
        <v>0</v>
      </c>
      <c r="AF80" s="247">
        <v>0</v>
      </c>
    </row>
    <row r="81" spans="7:34" x14ac:dyDescent="0.2">
      <c r="H81" s="213" t="s">
        <v>170</v>
      </c>
      <c r="I81" s="216">
        <v>0</v>
      </c>
      <c r="J81" s="216">
        <v>0</v>
      </c>
      <c r="K81" s="216">
        <v>0</v>
      </c>
      <c r="L81" s="216">
        <v>0</v>
      </c>
      <c r="M81" s="216">
        <v>1</v>
      </c>
      <c r="N81" s="216">
        <v>-1</v>
      </c>
      <c r="O81" s="216">
        <v>0</v>
      </c>
      <c r="P81" s="216">
        <v>0</v>
      </c>
      <c r="Q81" s="216">
        <v>0</v>
      </c>
      <c r="R81" s="216">
        <v>0</v>
      </c>
      <c r="S81" s="216">
        <v>0</v>
      </c>
      <c r="T81" s="216">
        <v>0</v>
      </c>
      <c r="U81" s="216">
        <v>0</v>
      </c>
      <c r="V81" s="216">
        <v>0</v>
      </c>
      <c r="W81" s="216">
        <v>0</v>
      </c>
      <c r="X81" s="216">
        <v>0</v>
      </c>
      <c r="Y81" s="216">
        <v>0</v>
      </c>
      <c r="Z81" s="216">
        <v>0</v>
      </c>
      <c r="AA81" s="216">
        <v>1</v>
      </c>
      <c r="AB81" s="216">
        <v>0</v>
      </c>
      <c r="AC81" s="216">
        <v>0</v>
      </c>
      <c r="AD81" s="94">
        <v>0</v>
      </c>
      <c r="AF81" s="247">
        <v>0</v>
      </c>
    </row>
    <row r="82" spans="7:34" x14ac:dyDescent="0.2">
      <c r="H82" s="213" t="s">
        <v>166</v>
      </c>
      <c r="I82" s="216">
        <v>0</v>
      </c>
      <c r="J82" s="216">
        <v>0</v>
      </c>
      <c r="K82" s="216">
        <v>0</v>
      </c>
      <c r="L82" s="216">
        <v>0</v>
      </c>
      <c r="M82" s="216">
        <v>0</v>
      </c>
      <c r="N82" s="216">
        <v>1</v>
      </c>
      <c r="O82" s="216">
        <v>-1</v>
      </c>
      <c r="P82" s="216">
        <v>0</v>
      </c>
      <c r="Q82" s="216">
        <v>0</v>
      </c>
      <c r="R82" s="216">
        <v>0</v>
      </c>
      <c r="S82" s="216">
        <v>0</v>
      </c>
      <c r="T82" s="216">
        <v>0</v>
      </c>
      <c r="U82" s="216">
        <v>0</v>
      </c>
      <c r="V82" s="216">
        <v>0</v>
      </c>
      <c r="W82" s="216">
        <v>0</v>
      </c>
      <c r="X82" s="216">
        <v>0</v>
      </c>
      <c r="Y82" s="216">
        <v>0</v>
      </c>
      <c r="Z82" s="216">
        <v>0</v>
      </c>
      <c r="AA82" s="216">
        <v>0</v>
      </c>
      <c r="AB82" s="216">
        <v>-1</v>
      </c>
      <c r="AC82" s="216">
        <v>0</v>
      </c>
      <c r="AD82" s="94">
        <v>0</v>
      </c>
      <c r="AF82" s="247">
        <v>0</v>
      </c>
    </row>
    <row r="83" spans="7:34" x14ac:dyDescent="0.2">
      <c r="H83" s="213" t="s">
        <v>87</v>
      </c>
      <c r="I83" s="216">
        <v>0</v>
      </c>
      <c r="J83" s="216">
        <v>0</v>
      </c>
      <c r="K83" s="216">
        <v>0</v>
      </c>
      <c r="L83" s="216">
        <v>0</v>
      </c>
      <c r="M83" s="216">
        <v>0</v>
      </c>
      <c r="N83" s="216">
        <v>0</v>
      </c>
      <c r="O83" s="216">
        <v>1</v>
      </c>
      <c r="P83" s="216">
        <v>-1</v>
      </c>
      <c r="Q83" s="216">
        <v>0</v>
      </c>
      <c r="R83" s="216">
        <v>0</v>
      </c>
      <c r="S83" s="216">
        <v>0</v>
      </c>
      <c r="T83" s="216">
        <v>0</v>
      </c>
      <c r="U83" s="216">
        <v>0</v>
      </c>
      <c r="V83" s="216">
        <v>0</v>
      </c>
      <c r="W83" s="216">
        <v>0</v>
      </c>
      <c r="X83" s="216">
        <v>0</v>
      </c>
      <c r="Y83" s="216">
        <v>0</v>
      </c>
      <c r="Z83" s="216">
        <v>0</v>
      </c>
      <c r="AA83" s="216">
        <v>0</v>
      </c>
      <c r="AB83" s="216">
        <v>0</v>
      </c>
      <c r="AC83" s="216">
        <v>0</v>
      </c>
      <c r="AD83" s="94">
        <v>0</v>
      </c>
      <c r="AF83" s="247">
        <v>0</v>
      </c>
    </row>
    <row r="84" spans="7:34" x14ac:dyDescent="0.2">
      <c r="H84" s="213" t="s">
        <v>89</v>
      </c>
      <c r="I84" s="216">
        <v>0</v>
      </c>
      <c r="J84" s="216">
        <v>0</v>
      </c>
      <c r="K84" s="216">
        <v>0</v>
      </c>
      <c r="L84" s="216">
        <v>0</v>
      </c>
      <c r="M84" s="216">
        <v>0</v>
      </c>
      <c r="N84" s="216">
        <v>0</v>
      </c>
      <c r="O84" s="216">
        <v>0</v>
      </c>
      <c r="P84" s="216">
        <v>1</v>
      </c>
      <c r="Q84" s="216">
        <v>1</v>
      </c>
      <c r="R84" s="216">
        <v>-1</v>
      </c>
      <c r="S84" s="216">
        <v>0</v>
      </c>
      <c r="T84" s="216">
        <v>0</v>
      </c>
      <c r="U84" s="216">
        <v>0</v>
      </c>
      <c r="V84" s="216">
        <v>0</v>
      </c>
      <c r="W84" s="216">
        <v>0</v>
      </c>
      <c r="X84" s="216">
        <v>0</v>
      </c>
      <c r="Y84" s="216">
        <v>0</v>
      </c>
      <c r="Z84" s="216">
        <v>0</v>
      </c>
      <c r="AA84" s="216">
        <v>0</v>
      </c>
      <c r="AB84" s="216">
        <v>0</v>
      </c>
      <c r="AC84" s="216">
        <v>0</v>
      </c>
      <c r="AD84" s="94">
        <v>0</v>
      </c>
      <c r="AF84" s="247">
        <v>0</v>
      </c>
      <c r="AG84" s="2"/>
      <c r="AH84" s="2"/>
    </row>
    <row r="85" spans="7:34" x14ac:dyDescent="0.2">
      <c r="H85" s="213" t="s">
        <v>71</v>
      </c>
      <c r="I85" s="216">
        <v>0</v>
      </c>
      <c r="J85" s="216">
        <v>0</v>
      </c>
      <c r="K85" s="216">
        <v>0</v>
      </c>
      <c r="L85" s="216">
        <v>0</v>
      </c>
      <c r="M85" s="216">
        <v>0</v>
      </c>
      <c r="N85" s="216">
        <v>0</v>
      </c>
      <c r="O85" s="216">
        <v>0</v>
      </c>
      <c r="P85" s="216">
        <v>0</v>
      </c>
      <c r="Q85" s="216">
        <v>0</v>
      </c>
      <c r="R85" s="216">
        <v>1</v>
      </c>
      <c r="S85" s="216">
        <v>-1</v>
      </c>
      <c r="T85" s="216">
        <v>0</v>
      </c>
      <c r="U85" s="216">
        <v>0</v>
      </c>
      <c r="V85" s="216">
        <v>0</v>
      </c>
      <c r="W85" s="216">
        <v>0</v>
      </c>
      <c r="X85" s="216">
        <v>0</v>
      </c>
      <c r="Y85" s="216">
        <v>0</v>
      </c>
      <c r="Z85" s="216">
        <v>0</v>
      </c>
      <c r="AA85" s="216">
        <v>0</v>
      </c>
      <c r="AB85" s="216">
        <v>0</v>
      </c>
      <c r="AC85" s="216">
        <v>-1</v>
      </c>
      <c r="AD85" s="94">
        <v>0</v>
      </c>
      <c r="AF85" s="247">
        <v>0</v>
      </c>
      <c r="AG85" s="2"/>
      <c r="AH85" s="2"/>
    </row>
    <row r="86" spans="7:34" x14ac:dyDescent="0.2">
      <c r="H86" s="213" t="s">
        <v>90</v>
      </c>
      <c r="I86" s="216">
        <v>0</v>
      </c>
      <c r="J86" s="216">
        <v>0</v>
      </c>
      <c r="K86" s="216">
        <v>0</v>
      </c>
      <c r="L86" s="216">
        <v>0</v>
      </c>
      <c r="M86" s="216">
        <v>0</v>
      </c>
      <c r="N86" s="216">
        <v>0</v>
      </c>
      <c r="O86" s="216">
        <v>0</v>
      </c>
      <c r="P86" s="216">
        <v>0</v>
      </c>
      <c r="Q86" s="216">
        <v>0</v>
      </c>
      <c r="R86" s="216">
        <v>0</v>
      </c>
      <c r="S86" s="216">
        <v>1</v>
      </c>
      <c r="T86" s="216">
        <v>1</v>
      </c>
      <c r="U86" s="216">
        <v>-1</v>
      </c>
      <c r="V86" s="216">
        <v>0</v>
      </c>
      <c r="W86" s="216">
        <v>0</v>
      </c>
      <c r="X86" s="216">
        <v>0</v>
      </c>
      <c r="Y86" s="216">
        <v>0</v>
      </c>
      <c r="Z86" s="216">
        <v>0</v>
      </c>
      <c r="AA86" s="216">
        <v>0</v>
      </c>
      <c r="AB86" s="216">
        <v>0</v>
      </c>
      <c r="AC86" s="216">
        <v>0</v>
      </c>
      <c r="AD86" s="94">
        <v>0</v>
      </c>
      <c r="AF86" s="247">
        <v>0</v>
      </c>
      <c r="AG86" s="2"/>
      <c r="AH86" s="2"/>
    </row>
    <row r="87" spans="7:34" x14ac:dyDescent="0.2">
      <c r="H87" s="213" t="s">
        <v>72</v>
      </c>
      <c r="I87" s="216">
        <v>0</v>
      </c>
      <c r="J87" s="216">
        <v>0</v>
      </c>
      <c r="K87" s="216">
        <v>0</v>
      </c>
      <c r="L87" s="216">
        <v>0</v>
      </c>
      <c r="M87" s="216">
        <v>0</v>
      </c>
      <c r="N87" s="216">
        <v>0</v>
      </c>
      <c r="O87" s="216">
        <v>0</v>
      </c>
      <c r="P87" s="216">
        <v>0</v>
      </c>
      <c r="Q87" s="216">
        <v>0</v>
      </c>
      <c r="R87" s="216">
        <v>0</v>
      </c>
      <c r="S87" s="216">
        <v>0</v>
      </c>
      <c r="T87" s="216">
        <v>0</v>
      </c>
      <c r="U87" s="216">
        <v>1</v>
      </c>
      <c r="V87" s="216">
        <v>-1</v>
      </c>
      <c r="W87" s="216">
        <v>0</v>
      </c>
      <c r="X87" s="216">
        <v>0</v>
      </c>
      <c r="Y87" s="216">
        <v>0</v>
      </c>
      <c r="Z87" s="216">
        <v>0</v>
      </c>
      <c r="AA87" s="216">
        <v>0</v>
      </c>
      <c r="AB87" s="216">
        <v>0</v>
      </c>
      <c r="AC87" s="216">
        <v>0</v>
      </c>
      <c r="AD87" s="94">
        <v>-1</v>
      </c>
      <c r="AF87" s="247">
        <v>0</v>
      </c>
      <c r="AG87" s="2"/>
      <c r="AH87" s="2"/>
    </row>
    <row r="88" spans="7:34" x14ac:dyDescent="0.2">
      <c r="G88" s="289" t="s">
        <v>181</v>
      </c>
      <c r="H88" s="244">
        <v>1</v>
      </c>
      <c r="I88" s="216">
        <v>1</v>
      </c>
      <c r="J88" s="216">
        <v>0</v>
      </c>
      <c r="K88" s="216">
        <v>0</v>
      </c>
      <c r="L88" s="216">
        <v>0</v>
      </c>
      <c r="M88" s="216">
        <v>0</v>
      </c>
      <c r="N88" s="216">
        <v>0</v>
      </c>
      <c r="O88" s="216">
        <v>0</v>
      </c>
      <c r="P88" s="216">
        <v>0</v>
      </c>
      <c r="Q88" s="216">
        <v>0</v>
      </c>
      <c r="R88" s="216">
        <v>0</v>
      </c>
      <c r="S88" s="216">
        <v>0</v>
      </c>
      <c r="T88" s="216">
        <v>0</v>
      </c>
      <c r="U88" s="216">
        <v>0</v>
      </c>
      <c r="V88" s="216">
        <v>0</v>
      </c>
      <c r="W88" s="216">
        <v>0</v>
      </c>
      <c r="X88" s="216">
        <v>0</v>
      </c>
      <c r="Y88" s="216">
        <v>0</v>
      </c>
      <c r="Z88" s="216">
        <v>0</v>
      </c>
      <c r="AA88" s="216">
        <v>0</v>
      </c>
      <c r="AB88" s="216">
        <v>0</v>
      </c>
      <c r="AC88" s="216">
        <v>0</v>
      </c>
      <c r="AD88" s="94">
        <v>0</v>
      </c>
      <c r="AF88" s="248">
        <f>F45</f>
        <v>0.4807414796975823</v>
      </c>
      <c r="AG88" s="2"/>
      <c r="AH88" s="2"/>
    </row>
    <row r="89" spans="7:34" x14ac:dyDescent="0.2">
      <c r="G89" s="289"/>
      <c r="H89" s="244" t="s">
        <v>179</v>
      </c>
      <c r="I89" s="216">
        <v>0</v>
      </c>
      <c r="J89" s="216">
        <v>0</v>
      </c>
      <c r="K89" s="216">
        <v>0</v>
      </c>
      <c r="L89" s="216">
        <v>0</v>
      </c>
      <c r="M89" s="216">
        <v>0</v>
      </c>
      <c r="N89" s="216">
        <v>0</v>
      </c>
      <c r="O89" s="216">
        <v>0</v>
      </c>
      <c r="P89" s="216">
        <v>0</v>
      </c>
      <c r="Q89" s="216">
        <v>1</v>
      </c>
      <c r="R89" s="216">
        <v>0</v>
      </c>
      <c r="S89" s="216">
        <v>0</v>
      </c>
      <c r="T89" s="216">
        <v>0</v>
      </c>
      <c r="U89" s="216">
        <v>0</v>
      </c>
      <c r="V89" s="216">
        <v>0</v>
      </c>
      <c r="W89" s="216">
        <v>0</v>
      </c>
      <c r="X89" s="216">
        <v>0</v>
      </c>
      <c r="Y89" s="216">
        <v>0</v>
      </c>
      <c r="Z89" s="216">
        <v>0</v>
      </c>
      <c r="AA89" s="216">
        <v>0</v>
      </c>
      <c r="AB89" s="216">
        <v>0</v>
      </c>
      <c r="AC89" s="216">
        <v>0</v>
      </c>
      <c r="AD89" s="94">
        <v>0</v>
      </c>
      <c r="AF89" s="248">
        <f>F53</f>
        <v>65.181806554547123</v>
      </c>
      <c r="AG89" s="2"/>
      <c r="AH89" s="2"/>
    </row>
    <row r="90" spans="7:34" x14ac:dyDescent="0.2">
      <c r="G90" s="289"/>
      <c r="H90" s="244" t="s">
        <v>180</v>
      </c>
      <c r="I90" s="216">
        <v>0</v>
      </c>
      <c r="J90" s="216">
        <v>0</v>
      </c>
      <c r="K90" s="216">
        <v>0</v>
      </c>
      <c r="L90" s="216">
        <v>0</v>
      </c>
      <c r="M90" s="216">
        <v>0</v>
      </c>
      <c r="N90" s="216">
        <v>0</v>
      </c>
      <c r="O90" s="216">
        <v>0</v>
      </c>
      <c r="P90" s="216">
        <v>0</v>
      </c>
      <c r="Q90" s="216">
        <v>0</v>
      </c>
      <c r="R90" s="216">
        <v>0</v>
      </c>
      <c r="S90" s="216">
        <v>0</v>
      </c>
      <c r="T90" s="216">
        <v>1</v>
      </c>
      <c r="U90" s="216">
        <v>0</v>
      </c>
      <c r="V90" s="216">
        <v>0</v>
      </c>
      <c r="W90" s="216">
        <v>0</v>
      </c>
      <c r="X90" s="216">
        <v>0</v>
      </c>
      <c r="Y90" s="216">
        <v>0</v>
      </c>
      <c r="Z90" s="216">
        <v>0</v>
      </c>
      <c r="AA90" s="216">
        <v>0</v>
      </c>
      <c r="AB90" s="216">
        <v>0</v>
      </c>
      <c r="AC90" s="216">
        <v>0</v>
      </c>
      <c r="AD90" s="94">
        <v>0</v>
      </c>
      <c r="AF90" s="248">
        <f>F56</f>
        <v>67.467187687974103</v>
      </c>
      <c r="AG90" s="2"/>
      <c r="AH90" s="2"/>
    </row>
    <row r="91" spans="7:34" x14ac:dyDescent="0.2">
      <c r="G91" s="289"/>
      <c r="H91" s="244">
        <v>13</v>
      </c>
      <c r="I91" s="216">
        <v>0</v>
      </c>
      <c r="J91" s="216">
        <v>0</v>
      </c>
      <c r="K91" s="216">
        <v>0</v>
      </c>
      <c r="L91" s="216">
        <v>0</v>
      </c>
      <c r="M91" s="216">
        <v>0</v>
      </c>
      <c r="N91" s="216">
        <v>0</v>
      </c>
      <c r="O91" s="216">
        <v>0</v>
      </c>
      <c r="P91" s="216">
        <v>0</v>
      </c>
      <c r="Q91" s="216">
        <v>0</v>
      </c>
      <c r="R91" s="216">
        <v>0</v>
      </c>
      <c r="S91" s="216">
        <v>0</v>
      </c>
      <c r="T91" s="216">
        <v>0</v>
      </c>
      <c r="U91" s="216">
        <v>0</v>
      </c>
      <c r="V91" s="216">
        <v>0</v>
      </c>
      <c r="W91" s="216">
        <v>1</v>
      </c>
      <c r="X91" s="216">
        <v>0</v>
      </c>
      <c r="Y91" s="216">
        <v>0</v>
      </c>
      <c r="Z91" s="216">
        <v>0</v>
      </c>
      <c r="AA91" s="216">
        <v>0</v>
      </c>
      <c r="AB91" s="216">
        <v>0</v>
      </c>
      <c r="AC91" s="216">
        <v>0</v>
      </c>
      <c r="AD91" s="94">
        <v>0</v>
      </c>
      <c r="AF91" s="247">
        <f>F59</f>
        <v>18.493600000000001</v>
      </c>
      <c r="AG91" s="2"/>
      <c r="AH91" s="2"/>
    </row>
    <row r="92" spans="7:34" x14ac:dyDescent="0.2">
      <c r="G92" s="289"/>
      <c r="H92" s="244">
        <v>15</v>
      </c>
      <c r="I92" s="216">
        <v>0</v>
      </c>
      <c r="J92" s="216">
        <v>0</v>
      </c>
      <c r="K92" s="216">
        <v>0</v>
      </c>
      <c r="L92" s="216">
        <v>0</v>
      </c>
      <c r="M92" s="216">
        <v>0</v>
      </c>
      <c r="N92" s="216">
        <v>0</v>
      </c>
      <c r="O92" s="216">
        <v>0</v>
      </c>
      <c r="P92" s="216">
        <v>0</v>
      </c>
      <c r="Q92" s="216">
        <v>0</v>
      </c>
      <c r="R92" s="216">
        <v>0</v>
      </c>
      <c r="S92" s="216">
        <v>0</v>
      </c>
      <c r="T92" s="216">
        <v>0</v>
      </c>
      <c r="U92" s="216">
        <v>0</v>
      </c>
      <c r="V92" s="216">
        <v>0</v>
      </c>
      <c r="W92" s="216">
        <v>0</v>
      </c>
      <c r="X92" s="216">
        <v>0</v>
      </c>
      <c r="Y92" s="216">
        <v>1</v>
      </c>
      <c r="Z92" s="216">
        <v>0</v>
      </c>
      <c r="AA92" s="216">
        <v>0</v>
      </c>
      <c r="AB92" s="216">
        <v>0</v>
      </c>
      <c r="AC92" s="216">
        <v>0</v>
      </c>
      <c r="AD92" s="94">
        <v>0</v>
      </c>
      <c r="AF92" s="247">
        <f>F61</f>
        <v>18.82</v>
      </c>
      <c r="AG92" s="2"/>
      <c r="AH92" s="2"/>
    </row>
    <row r="93" spans="7:34" x14ac:dyDescent="0.2">
      <c r="G93" s="289"/>
      <c r="H93" s="244">
        <v>17</v>
      </c>
      <c r="I93" s="216">
        <v>0</v>
      </c>
      <c r="J93" s="216">
        <v>0</v>
      </c>
      <c r="K93" s="216">
        <v>0</v>
      </c>
      <c r="L93" s="216">
        <v>0</v>
      </c>
      <c r="M93" s="216">
        <v>0</v>
      </c>
      <c r="N93" s="216">
        <v>0</v>
      </c>
      <c r="O93" s="216">
        <v>0</v>
      </c>
      <c r="P93" s="216">
        <v>0</v>
      </c>
      <c r="Q93" s="216">
        <v>0</v>
      </c>
      <c r="R93" s="216">
        <v>0</v>
      </c>
      <c r="S93" s="216">
        <v>0</v>
      </c>
      <c r="T93" s="216">
        <v>0</v>
      </c>
      <c r="U93" s="216">
        <v>0</v>
      </c>
      <c r="V93" s="216">
        <v>0</v>
      </c>
      <c r="W93" s="216">
        <v>0</v>
      </c>
      <c r="X93" s="216">
        <v>0</v>
      </c>
      <c r="Y93" s="216">
        <v>0</v>
      </c>
      <c r="Z93" s="216">
        <v>0</v>
      </c>
      <c r="AA93" s="216">
        <v>1</v>
      </c>
      <c r="AB93" s="216">
        <v>0</v>
      </c>
      <c r="AC93" s="216">
        <v>0</v>
      </c>
      <c r="AD93" s="94">
        <v>0</v>
      </c>
      <c r="AF93" s="247">
        <f>F63</f>
        <v>19.236999999999998</v>
      </c>
      <c r="AG93" s="2"/>
      <c r="AH93" s="2"/>
    </row>
    <row r="94" spans="7:34" x14ac:dyDescent="0.2">
      <c r="G94" s="289" t="s">
        <v>182</v>
      </c>
      <c r="H94" s="244">
        <v>12</v>
      </c>
      <c r="I94" s="216">
        <v>0</v>
      </c>
      <c r="J94" s="216">
        <v>0</v>
      </c>
      <c r="K94" s="216">
        <v>0</v>
      </c>
      <c r="L94" s="216">
        <v>0</v>
      </c>
      <c r="M94" s="216">
        <v>0</v>
      </c>
      <c r="N94" s="216">
        <v>0</v>
      </c>
      <c r="O94" s="216">
        <v>0</v>
      </c>
      <c r="P94" s="216">
        <v>0</v>
      </c>
      <c r="Q94" s="216">
        <v>0</v>
      </c>
      <c r="R94" s="216">
        <v>0</v>
      </c>
      <c r="S94" s="216">
        <v>0</v>
      </c>
      <c r="T94" s="216">
        <v>0</v>
      </c>
      <c r="U94" s="216">
        <v>0</v>
      </c>
      <c r="V94" s="216">
        <v>1</v>
      </c>
      <c r="W94" s="216">
        <v>0</v>
      </c>
      <c r="X94" s="216">
        <v>0</v>
      </c>
      <c r="Y94" s="216">
        <v>0</v>
      </c>
      <c r="Z94" s="216">
        <v>0</v>
      </c>
      <c r="AA94" s="216">
        <v>0</v>
      </c>
      <c r="AB94" s="216">
        <v>0</v>
      </c>
      <c r="AC94" s="216">
        <v>0</v>
      </c>
      <c r="AD94" s="94">
        <v>0</v>
      </c>
      <c r="AF94" s="247">
        <v>0</v>
      </c>
      <c r="AG94" s="2"/>
      <c r="AH94" s="2"/>
    </row>
    <row r="95" spans="7:34" x14ac:dyDescent="0.2">
      <c r="G95" s="289"/>
      <c r="H95" s="244">
        <v>14</v>
      </c>
      <c r="I95" s="216">
        <v>0</v>
      </c>
      <c r="J95" s="216">
        <v>0</v>
      </c>
      <c r="K95" s="216">
        <v>0</v>
      </c>
      <c r="L95" s="216">
        <v>0</v>
      </c>
      <c r="M95" s="216">
        <v>0</v>
      </c>
      <c r="N95" s="216">
        <v>0</v>
      </c>
      <c r="O95" s="216">
        <v>0</v>
      </c>
      <c r="P95" s="216">
        <v>0</v>
      </c>
      <c r="Q95" s="216">
        <v>0</v>
      </c>
      <c r="R95" s="216">
        <v>0</v>
      </c>
      <c r="S95" s="216">
        <v>0</v>
      </c>
      <c r="T95" s="216">
        <v>0</v>
      </c>
      <c r="U95" s="216">
        <v>0</v>
      </c>
      <c r="V95" s="216">
        <v>0</v>
      </c>
      <c r="W95" s="216">
        <v>0</v>
      </c>
      <c r="X95" s="216">
        <v>1</v>
      </c>
      <c r="Y95" s="216">
        <v>0</v>
      </c>
      <c r="Z95" s="216">
        <v>0</v>
      </c>
      <c r="AA95" s="216">
        <v>0</v>
      </c>
      <c r="AB95" s="216">
        <v>0</v>
      </c>
      <c r="AC95" s="216">
        <v>0</v>
      </c>
      <c r="AD95" s="94">
        <v>0</v>
      </c>
      <c r="AF95" s="247">
        <v>0</v>
      </c>
      <c r="AG95" s="2"/>
      <c r="AH95" s="2"/>
    </row>
    <row r="96" spans="7:34" x14ac:dyDescent="0.2">
      <c r="G96" s="289"/>
      <c r="H96" s="244">
        <v>16</v>
      </c>
      <c r="I96" s="216">
        <v>0</v>
      </c>
      <c r="J96" s="216">
        <v>0</v>
      </c>
      <c r="K96" s="216">
        <v>0</v>
      </c>
      <c r="L96" s="216">
        <v>0</v>
      </c>
      <c r="M96" s="216">
        <v>0</v>
      </c>
      <c r="N96" s="216">
        <v>0</v>
      </c>
      <c r="O96" s="216">
        <v>0</v>
      </c>
      <c r="P96" s="216">
        <v>0</v>
      </c>
      <c r="Q96" s="216">
        <v>0</v>
      </c>
      <c r="R96" s="216">
        <v>0</v>
      </c>
      <c r="S96" s="216">
        <v>0</v>
      </c>
      <c r="T96" s="216">
        <v>0</v>
      </c>
      <c r="U96" s="216">
        <v>0</v>
      </c>
      <c r="V96" s="216">
        <v>0</v>
      </c>
      <c r="W96" s="216">
        <v>0</v>
      </c>
      <c r="X96" s="216">
        <v>0</v>
      </c>
      <c r="Y96" s="216">
        <v>0</v>
      </c>
      <c r="Z96" s="216">
        <v>1</v>
      </c>
      <c r="AA96" s="216">
        <v>0</v>
      </c>
      <c r="AB96" s="216">
        <v>0</v>
      </c>
      <c r="AC96" s="216">
        <v>0</v>
      </c>
      <c r="AD96" s="94">
        <v>0</v>
      </c>
      <c r="AF96" s="247">
        <v>0</v>
      </c>
      <c r="AG96" s="2"/>
      <c r="AH96" s="2"/>
    </row>
    <row r="97" spans="7:34" x14ac:dyDescent="0.2">
      <c r="G97" s="289"/>
      <c r="H97" s="244">
        <v>18</v>
      </c>
      <c r="I97" s="216">
        <v>0</v>
      </c>
      <c r="J97" s="216">
        <v>0</v>
      </c>
      <c r="K97" s="216">
        <v>0</v>
      </c>
      <c r="L97" s="216">
        <v>0</v>
      </c>
      <c r="M97" s="216">
        <v>0</v>
      </c>
      <c r="N97" s="216">
        <v>0</v>
      </c>
      <c r="O97" s="216">
        <v>0</v>
      </c>
      <c r="P97" s="216">
        <v>0</v>
      </c>
      <c r="Q97" s="216">
        <v>0</v>
      </c>
      <c r="R97" s="216">
        <v>0</v>
      </c>
      <c r="S97" s="216">
        <v>0</v>
      </c>
      <c r="T97" s="216">
        <v>0</v>
      </c>
      <c r="U97" s="216">
        <v>0</v>
      </c>
      <c r="V97" s="216">
        <v>0</v>
      </c>
      <c r="W97" s="216">
        <v>0</v>
      </c>
      <c r="X97" s="216">
        <v>0</v>
      </c>
      <c r="Y97" s="216">
        <v>0</v>
      </c>
      <c r="Z97" s="216">
        <v>0</v>
      </c>
      <c r="AA97" s="216">
        <v>0</v>
      </c>
      <c r="AB97" s="216">
        <v>1</v>
      </c>
      <c r="AC97" s="216">
        <v>0</v>
      </c>
      <c r="AD97" s="94">
        <v>0</v>
      </c>
      <c r="AF97" s="247">
        <v>0</v>
      </c>
      <c r="AG97" s="2"/>
      <c r="AH97" s="2"/>
    </row>
    <row r="98" spans="7:34" ht="15" thickBot="1" x14ac:dyDescent="0.25">
      <c r="G98" s="45" t="s">
        <v>183</v>
      </c>
      <c r="H98" s="245">
        <v>19</v>
      </c>
      <c r="I98" s="98">
        <v>0</v>
      </c>
      <c r="J98" s="98">
        <v>0</v>
      </c>
      <c r="K98" s="98">
        <v>0</v>
      </c>
      <c r="L98" s="98">
        <v>0</v>
      </c>
      <c r="M98" s="98">
        <v>0</v>
      </c>
      <c r="N98" s="98">
        <v>0</v>
      </c>
      <c r="O98" s="98">
        <v>0</v>
      </c>
      <c r="P98" s="98">
        <v>0</v>
      </c>
      <c r="Q98" s="98">
        <v>0</v>
      </c>
      <c r="R98" s="98">
        <f>-F55/F54</f>
        <v>-0.563199381128629</v>
      </c>
      <c r="S98" s="98">
        <v>1</v>
      </c>
      <c r="T98" s="98">
        <v>0</v>
      </c>
      <c r="U98" s="98">
        <v>0</v>
      </c>
      <c r="V98" s="98">
        <v>0</v>
      </c>
      <c r="W98" s="98">
        <v>0</v>
      </c>
      <c r="X98" s="98">
        <v>0</v>
      </c>
      <c r="Y98" s="98">
        <v>0</v>
      </c>
      <c r="Z98" s="98">
        <v>0</v>
      </c>
      <c r="AA98" s="98">
        <v>0</v>
      </c>
      <c r="AB98" s="98">
        <v>0</v>
      </c>
      <c r="AC98" s="98">
        <v>0</v>
      </c>
      <c r="AD98" s="100">
        <v>0</v>
      </c>
      <c r="AF98" s="249">
        <v>0</v>
      </c>
      <c r="AG98" s="2"/>
      <c r="AH98" s="2"/>
    </row>
    <row r="99" spans="7:34" x14ac:dyDescent="0.2">
      <c r="AF99" s="214"/>
      <c r="AG99" s="2"/>
      <c r="AH99" s="2"/>
    </row>
    <row r="100" spans="7:34" ht="15" thickBot="1" x14ac:dyDescent="0.25">
      <c r="AF100" s="214"/>
      <c r="AG100" s="2"/>
      <c r="AH100" s="2"/>
    </row>
    <row r="101" spans="7:34" ht="15" thickBot="1" x14ac:dyDescent="0.25">
      <c r="I101" s="290" t="s">
        <v>185</v>
      </c>
      <c r="J101" s="291"/>
      <c r="K101" s="291"/>
      <c r="L101" s="291"/>
      <c r="M101" s="291"/>
      <c r="N101" s="291"/>
      <c r="O101" s="291"/>
      <c r="P101" s="291"/>
      <c r="Q101" s="291"/>
      <c r="R101" s="291"/>
      <c r="S101" s="291"/>
      <c r="T101" s="291"/>
      <c r="U101" s="291"/>
      <c r="V101" s="291"/>
      <c r="W101" s="291"/>
      <c r="X101" s="291"/>
      <c r="Y101" s="291"/>
      <c r="Z101" s="291"/>
      <c r="AA101" s="291"/>
      <c r="AB101" s="291"/>
      <c r="AC101" s="291"/>
      <c r="AD101" s="292"/>
      <c r="AF101" s="214"/>
      <c r="AG101" s="2"/>
      <c r="AH101" s="2"/>
    </row>
    <row r="102" spans="7:34" x14ac:dyDescent="0.2">
      <c r="G102" s="216"/>
      <c r="H102" s="35"/>
      <c r="I102" s="251">
        <f t="array" ref="I102:AD123">MINVERSE(I77:AD98)</f>
        <v>0</v>
      </c>
      <c r="J102" s="78">
        <v>0</v>
      </c>
      <c r="K102" s="78">
        <v>0</v>
      </c>
      <c r="L102" s="78">
        <v>0</v>
      </c>
      <c r="M102" s="78">
        <v>0</v>
      </c>
      <c r="N102" s="78">
        <v>0</v>
      </c>
      <c r="O102" s="78">
        <v>0</v>
      </c>
      <c r="P102" s="78">
        <v>0</v>
      </c>
      <c r="Q102" s="78">
        <v>0</v>
      </c>
      <c r="R102" s="78">
        <v>0</v>
      </c>
      <c r="S102" s="78">
        <v>0</v>
      </c>
      <c r="T102" s="78">
        <v>1</v>
      </c>
      <c r="U102" s="78">
        <v>0</v>
      </c>
      <c r="V102" s="78">
        <v>0</v>
      </c>
      <c r="W102" s="78">
        <v>0</v>
      </c>
      <c r="X102" s="78">
        <v>0</v>
      </c>
      <c r="Y102" s="78">
        <v>0</v>
      </c>
      <c r="Z102" s="78">
        <v>0</v>
      </c>
      <c r="AA102" s="78">
        <v>0</v>
      </c>
      <c r="AB102" s="78">
        <v>0</v>
      </c>
      <c r="AC102" s="78">
        <v>0</v>
      </c>
      <c r="AD102" s="95">
        <v>0</v>
      </c>
      <c r="AE102" s="255"/>
    </row>
    <row r="103" spans="7:34" x14ac:dyDescent="0.2">
      <c r="G103" s="216"/>
      <c r="H103" s="35"/>
      <c r="I103" s="251">
        <v>-1</v>
      </c>
      <c r="J103" s="78">
        <v>0</v>
      </c>
      <c r="K103" s="78">
        <v>0</v>
      </c>
      <c r="L103" s="78">
        <v>0</v>
      </c>
      <c r="M103" s="78">
        <v>0</v>
      </c>
      <c r="N103" s="78">
        <v>0</v>
      </c>
      <c r="O103" s="78">
        <v>0</v>
      </c>
      <c r="P103" s="78">
        <v>0</v>
      </c>
      <c r="Q103" s="78">
        <v>0</v>
      </c>
      <c r="R103" s="78">
        <v>0</v>
      </c>
      <c r="S103" s="78">
        <v>0</v>
      </c>
      <c r="T103" s="78">
        <v>1</v>
      </c>
      <c r="U103" s="78">
        <v>0</v>
      </c>
      <c r="V103" s="78">
        <v>0</v>
      </c>
      <c r="W103" s="78">
        <v>1</v>
      </c>
      <c r="X103" s="78">
        <v>0</v>
      </c>
      <c r="Y103" s="78">
        <v>0</v>
      </c>
      <c r="Z103" s="78">
        <v>0</v>
      </c>
      <c r="AA103" s="78">
        <v>0</v>
      </c>
      <c r="AB103" s="78">
        <v>0</v>
      </c>
      <c r="AC103" s="78">
        <v>0</v>
      </c>
      <c r="AD103" s="95">
        <v>0</v>
      </c>
      <c r="AE103" s="255"/>
    </row>
    <row r="104" spans="7:34" x14ac:dyDescent="0.2">
      <c r="G104" s="216"/>
      <c r="H104" s="35"/>
      <c r="I104" s="251">
        <v>-1</v>
      </c>
      <c r="J104" s="78">
        <v>-1</v>
      </c>
      <c r="K104" s="78">
        <v>0</v>
      </c>
      <c r="L104" s="78">
        <v>0</v>
      </c>
      <c r="M104" s="78">
        <v>0</v>
      </c>
      <c r="N104" s="78">
        <v>0</v>
      </c>
      <c r="O104" s="78">
        <v>0</v>
      </c>
      <c r="P104" s="78">
        <v>0</v>
      </c>
      <c r="Q104" s="78">
        <v>0</v>
      </c>
      <c r="R104" s="78">
        <v>0</v>
      </c>
      <c r="S104" s="78">
        <v>0</v>
      </c>
      <c r="T104" s="78">
        <v>1</v>
      </c>
      <c r="U104" s="78">
        <v>0</v>
      </c>
      <c r="V104" s="78">
        <v>0</v>
      </c>
      <c r="W104" s="78">
        <v>1</v>
      </c>
      <c r="X104" s="78">
        <v>0</v>
      </c>
      <c r="Y104" s="78">
        <v>0</v>
      </c>
      <c r="Z104" s="78">
        <v>0</v>
      </c>
      <c r="AA104" s="78">
        <v>-1</v>
      </c>
      <c r="AB104" s="78">
        <v>0</v>
      </c>
      <c r="AC104" s="78">
        <v>0</v>
      </c>
      <c r="AD104" s="95">
        <v>0</v>
      </c>
      <c r="AE104" s="255"/>
    </row>
    <row r="105" spans="7:34" x14ac:dyDescent="0.2">
      <c r="G105" s="216"/>
      <c r="H105" s="35"/>
      <c r="I105" s="251">
        <v>-1</v>
      </c>
      <c r="J105" s="78">
        <v>-1</v>
      </c>
      <c r="K105" s="78">
        <v>-1</v>
      </c>
      <c r="L105" s="78">
        <v>0</v>
      </c>
      <c r="M105" s="78">
        <v>0</v>
      </c>
      <c r="N105" s="78">
        <v>0</v>
      </c>
      <c r="O105" s="78">
        <v>0</v>
      </c>
      <c r="P105" s="78">
        <v>0</v>
      </c>
      <c r="Q105" s="78">
        <v>0</v>
      </c>
      <c r="R105" s="78">
        <v>0</v>
      </c>
      <c r="S105" s="78">
        <v>0</v>
      </c>
      <c r="T105" s="78">
        <v>1</v>
      </c>
      <c r="U105" s="78">
        <v>0</v>
      </c>
      <c r="V105" s="78">
        <v>0</v>
      </c>
      <c r="W105" s="78">
        <v>1</v>
      </c>
      <c r="X105" s="78">
        <v>1</v>
      </c>
      <c r="Y105" s="78">
        <v>0</v>
      </c>
      <c r="Z105" s="78">
        <v>0</v>
      </c>
      <c r="AA105" s="78">
        <v>-1</v>
      </c>
      <c r="AB105" s="78">
        <v>0</v>
      </c>
      <c r="AC105" s="78">
        <v>0</v>
      </c>
      <c r="AD105" s="95">
        <v>0</v>
      </c>
      <c r="AE105" s="255"/>
    </row>
    <row r="106" spans="7:34" x14ac:dyDescent="0.2">
      <c r="G106" s="216"/>
      <c r="H106" s="35"/>
      <c r="I106" s="251">
        <v>-1</v>
      </c>
      <c r="J106" s="78">
        <v>-1</v>
      </c>
      <c r="K106" s="78">
        <v>-1</v>
      </c>
      <c r="L106" s="78">
        <v>-1</v>
      </c>
      <c r="M106" s="78">
        <v>0</v>
      </c>
      <c r="N106" s="78">
        <v>0</v>
      </c>
      <c r="O106" s="78">
        <v>0</v>
      </c>
      <c r="P106" s="78">
        <v>0</v>
      </c>
      <c r="Q106" s="78">
        <v>0</v>
      </c>
      <c r="R106" s="78">
        <v>0</v>
      </c>
      <c r="S106" s="78">
        <v>0</v>
      </c>
      <c r="T106" s="78">
        <v>1</v>
      </c>
      <c r="U106" s="78">
        <v>0</v>
      </c>
      <c r="V106" s="78">
        <v>0</v>
      </c>
      <c r="W106" s="78">
        <v>1</v>
      </c>
      <c r="X106" s="78">
        <v>1</v>
      </c>
      <c r="Y106" s="78">
        <v>0</v>
      </c>
      <c r="Z106" s="78">
        <v>0</v>
      </c>
      <c r="AA106" s="78">
        <v>-1</v>
      </c>
      <c r="AB106" s="78">
        <v>-1</v>
      </c>
      <c r="AC106" s="78">
        <v>0</v>
      </c>
      <c r="AD106" s="95">
        <v>0</v>
      </c>
      <c r="AE106" s="255"/>
    </row>
    <row r="107" spans="7:34" x14ac:dyDescent="0.2">
      <c r="G107" s="216"/>
      <c r="H107" s="35"/>
      <c r="I107" s="251">
        <v>-1</v>
      </c>
      <c r="J107" s="78">
        <v>-1</v>
      </c>
      <c r="K107" s="78">
        <v>-1</v>
      </c>
      <c r="L107" s="78">
        <v>-1</v>
      </c>
      <c r="M107" s="78">
        <v>-1</v>
      </c>
      <c r="N107" s="78">
        <v>0</v>
      </c>
      <c r="O107" s="78">
        <v>0</v>
      </c>
      <c r="P107" s="78">
        <v>0</v>
      </c>
      <c r="Q107" s="78">
        <v>0</v>
      </c>
      <c r="R107" s="78">
        <v>0</v>
      </c>
      <c r="S107" s="78">
        <v>0</v>
      </c>
      <c r="T107" s="78">
        <v>1</v>
      </c>
      <c r="U107" s="78">
        <v>0</v>
      </c>
      <c r="V107" s="78">
        <v>0</v>
      </c>
      <c r="W107" s="78">
        <v>1</v>
      </c>
      <c r="X107" s="78">
        <v>1</v>
      </c>
      <c r="Y107" s="78">
        <v>1</v>
      </c>
      <c r="Z107" s="78">
        <v>0</v>
      </c>
      <c r="AA107" s="78">
        <v>-1</v>
      </c>
      <c r="AB107" s="78">
        <v>-1</v>
      </c>
      <c r="AC107" s="78">
        <v>0</v>
      </c>
      <c r="AD107" s="95">
        <v>0</v>
      </c>
      <c r="AE107" s="255"/>
    </row>
    <row r="108" spans="7:34" x14ac:dyDescent="0.2">
      <c r="G108" s="216"/>
      <c r="H108" s="35"/>
      <c r="I108" s="251">
        <v>-1</v>
      </c>
      <c r="J108" s="78">
        <v>-1</v>
      </c>
      <c r="K108" s="78">
        <v>-1</v>
      </c>
      <c r="L108" s="78">
        <v>-1</v>
      </c>
      <c r="M108" s="78">
        <v>-1</v>
      </c>
      <c r="N108" s="78">
        <v>-1</v>
      </c>
      <c r="O108" s="78">
        <v>0</v>
      </c>
      <c r="P108" s="78">
        <v>0</v>
      </c>
      <c r="Q108" s="78">
        <v>0</v>
      </c>
      <c r="R108" s="78">
        <v>0</v>
      </c>
      <c r="S108" s="78">
        <v>0</v>
      </c>
      <c r="T108" s="78">
        <v>1</v>
      </c>
      <c r="U108" s="78">
        <v>0</v>
      </c>
      <c r="V108" s="78">
        <v>0</v>
      </c>
      <c r="W108" s="78">
        <v>1</v>
      </c>
      <c r="X108" s="78">
        <v>1</v>
      </c>
      <c r="Y108" s="78">
        <v>1</v>
      </c>
      <c r="Z108" s="78">
        <v>0</v>
      </c>
      <c r="AA108" s="78">
        <v>-1</v>
      </c>
      <c r="AB108" s="78">
        <v>-1</v>
      </c>
      <c r="AC108" s="78">
        <v>-1</v>
      </c>
      <c r="AD108" s="95">
        <v>0</v>
      </c>
      <c r="AE108" s="255"/>
    </row>
    <row r="109" spans="7:34" x14ac:dyDescent="0.2">
      <c r="G109" s="216"/>
      <c r="H109" s="35"/>
      <c r="I109" s="251">
        <v>-1</v>
      </c>
      <c r="J109" s="78">
        <v>-1</v>
      </c>
      <c r="K109" s="78">
        <v>-1</v>
      </c>
      <c r="L109" s="78">
        <v>-1</v>
      </c>
      <c r="M109" s="78">
        <v>-1</v>
      </c>
      <c r="N109" s="78">
        <v>-1</v>
      </c>
      <c r="O109" s="78">
        <v>-1</v>
      </c>
      <c r="P109" s="78">
        <v>0</v>
      </c>
      <c r="Q109" s="78">
        <v>0</v>
      </c>
      <c r="R109" s="78">
        <v>0</v>
      </c>
      <c r="S109" s="78">
        <v>0</v>
      </c>
      <c r="T109" s="78">
        <v>1</v>
      </c>
      <c r="U109" s="78">
        <v>0</v>
      </c>
      <c r="V109" s="78">
        <v>0</v>
      </c>
      <c r="W109" s="78">
        <v>1</v>
      </c>
      <c r="X109" s="78">
        <v>1</v>
      </c>
      <c r="Y109" s="78">
        <v>1</v>
      </c>
      <c r="Z109" s="78">
        <v>0</v>
      </c>
      <c r="AA109" s="78">
        <v>-1</v>
      </c>
      <c r="AB109" s="78">
        <v>-1</v>
      </c>
      <c r="AC109" s="78">
        <v>-1</v>
      </c>
      <c r="AD109" s="95">
        <v>0</v>
      </c>
      <c r="AE109" s="255"/>
    </row>
    <row r="110" spans="7:34" x14ac:dyDescent="0.2">
      <c r="G110" s="216"/>
      <c r="H110" s="35"/>
      <c r="I110" s="251">
        <v>0</v>
      </c>
      <c r="J110" s="78">
        <v>0</v>
      </c>
      <c r="K110" s="78">
        <v>0</v>
      </c>
      <c r="L110" s="78">
        <v>0</v>
      </c>
      <c r="M110" s="78">
        <v>0</v>
      </c>
      <c r="N110" s="78">
        <v>0</v>
      </c>
      <c r="O110" s="78">
        <v>0</v>
      </c>
      <c r="P110" s="78">
        <v>0</v>
      </c>
      <c r="Q110" s="78">
        <v>0</v>
      </c>
      <c r="R110" s="78">
        <v>0</v>
      </c>
      <c r="S110" s="78">
        <v>0</v>
      </c>
      <c r="T110" s="78">
        <v>0</v>
      </c>
      <c r="U110" s="78">
        <v>1</v>
      </c>
      <c r="V110" s="78">
        <v>0</v>
      </c>
      <c r="W110" s="78">
        <v>0</v>
      </c>
      <c r="X110" s="78">
        <v>0</v>
      </c>
      <c r="Y110" s="78">
        <v>0</v>
      </c>
      <c r="Z110" s="78">
        <v>0</v>
      </c>
      <c r="AA110" s="78">
        <v>0</v>
      </c>
      <c r="AB110" s="78">
        <v>0</v>
      </c>
      <c r="AC110" s="78">
        <v>0</v>
      </c>
      <c r="AD110" s="95">
        <v>0</v>
      </c>
      <c r="AE110" s="255"/>
    </row>
    <row r="111" spans="7:34" x14ac:dyDescent="0.2">
      <c r="G111" s="216"/>
      <c r="H111" s="35"/>
      <c r="I111" s="251">
        <v>-1</v>
      </c>
      <c r="J111" s="78">
        <v>-1</v>
      </c>
      <c r="K111" s="78">
        <v>-1</v>
      </c>
      <c r="L111" s="78">
        <v>-1</v>
      </c>
      <c r="M111" s="78">
        <v>-1</v>
      </c>
      <c r="N111" s="78">
        <v>-1</v>
      </c>
      <c r="O111" s="78">
        <v>-1</v>
      </c>
      <c r="P111" s="78">
        <v>-1</v>
      </c>
      <c r="Q111" s="78">
        <v>0</v>
      </c>
      <c r="R111" s="78">
        <v>0</v>
      </c>
      <c r="S111" s="78">
        <v>0</v>
      </c>
      <c r="T111" s="78">
        <v>1</v>
      </c>
      <c r="U111" s="78">
        <v>1</v>
      </c>
      <c r="V111" s="78">
        <v>0</v>
      </c>
      <c r="W111" s="78">
        <v>1</v>
      </c>
      <c r="X111" s="78">
        <v>1</v>
      </c>
      <c r="Y111" s="78">
        <v>1</v>
      </c>
      <c r="Z111" s="78">
        <v>0</v>
      </c>
      <c r="AA111" s="78">
        <v>-1</v>
      </c>
      <c r="AB111" s="78">
        <v>-1</v>
      </c>
      <c r="AC111" s="78">
        <v>-1</v>
      </c>
      <c r="AD111" s="95">
        <v>0</v>
      </c>
      <c r="AE111" s="255"/>
    </row>
    <row r="112" spans="7:34" x14ac:dyDescent="0.2">
      <c r="G112" s="216"/>
      <c r="H112" s="35"/>
      <c r="I112" s="251">
        <v>-0.563199381128629</v>
      </c>
      <c r="J112" s="78">
        <v>-0.563199381128629</v>
      </c>
      <c r="K112" s="78">
        <v>-0.563199381128629</v>
      </c>
      <c r="L112" s="78">
        <v>-0.563199381128629</v>
      </c>
      <c r="M112" s="78">
        <v>-0.563199381128629</v>
      </c>
      <c r="N112" s="78">
        <v>-0.563199381128629</v>
      </c>
      <c r="O112" s="78">
        <v>-0.563199381128629</v>
      </c>
      <c r="P112" s="78">
        <v>-0.563199381128629</v>
      </c>
      <c r="Q112" s="78">
        <v>0</v>
      </c>
      <c r="R112" s="78">
        <v>0</v>
      </c>
      <c r="S112" s="78">
        <v>0</v>
      </c>
      <c r="T112" s="78">
        <v>0.563199381128629</v>
      </c>
      <c r="U112" s="78">
        <v>0.563199381128629</v>
      </c>
      <c r="V112" s="78">
        <v>0</v>
      </c>
      <c r="W112" s="78">
        <v>0.563199381128629</v>
      </c>
      <c r="X112" s="78">
        <v>0.563199381128629</v>
      </c>
      <c r="Y112" s="78">
        <v>0.563199381128629</v>
      </c>
      <c r="Z112" s="78">
        <v>0</v>
      </c>
      <c r="AA112" s="78">
        <v>-0.563199381128629</v>
      </c>
      <c r="AB112" s="78">
        <v>-0.563199381128629</v>
      </c>
      <c r="AC112" s="78">
        <v>-0.563199381128629</v>
      </c>
      <c r="AD112" s="95">
        <v>1</v>
      </c>
      <c r="AE112" s="255"/>
    </row>
    <row r="113" spans="1:31" x14ac:dyDescent="0.2">
      <c r="G113" s="216"/>
      <c r="H113" s="35"/>
      <c r="I113" s="251">
        <v>0</v>
      </c>
      <c r="J113" s="78">
        <v>0</v>
      </c>
      <c r="K113" s="78">
        <v>0</v>
      </c>
      <c r="L113" s="78">
        <v>0</v>
      </c>
      <c r="M113" s="78">
        <v>0</v>
      </c>
      <c r="N113" s="78">
        <v>0</v>
      </c>
      <c r="O113" s="78">
        <v>0</v>
      </c>
      <c r="P113" s="78">
        <v>0</v>
      </c>
      <c r="Q113" s="78">
        <v>0</v>
      </c>
      <c r="R113" s="78">
        <v>0</v>
      </c>
      <c r="S113" s="78">
        <v>0</v>
      </c>
      <c r="T113" s="78">
        <v>0</v>
      </c>
      <c r="U113" s="78">
        <v>0</v>
      </c>
      <c r="V113" s="78">
        <v>1</v>
      </c>
      <c r="W113" s="78">
        <v>0</v>
      </c>
      <c r="X113" s="78">
        <v>0</v>
      </c>
      <c r="Y113" s="78">
        <v>0</v>
      </c>
      <c r="Z113" s="78">
        <v>0</v>
      </c>
      <c r="AA113" s="78">
        <v>0</v>
      </c>
      <c r="AB113" s="78">
        <v>0</v>
      </c>
      <c r="AC113" s="78">
        <v>0</v>
      </c>
      <c r="AD113" s="95">
        <v>0</v>
      </c>
      <c r="AE113" s="255"/>
    </row>
    <row r="114" spans="1:31" x14ac:dyDescent="0.2">
      <c r="G114" s="216"/>
      <c r="H114" s="35"/>
      <c r="I114" s="251">
        <v>-0.563199381128629</v>
      </c>
      <c r="J114" s="78">
        <v>-0.563199381128629</v>
      </c>
      <c r="K114" s="78">
        <v>-0.563199381128629</v>
      </c>
      <c r="L114" s="78">
        <v>-0.563199381128629</v>
      </c>
      <c r="M114" s="78">
        <v>-0.563199381128629</v>
      </c>
      <c r="N114" s="78">
        <v>-0.563199381128629</v>
      </c>
      <c r="O114" s="78">
        <v>-0.563199381128629</v>
      </c>
      <c r="P114" s="78">
        <v>-0.563199381128629</v>
      </c>
      <c r="Q114" s="78">
        <v>0</v>
      </c>
      <c r="R114" s="78">
        <v>-1</v>
      </c>
      <c r="S114" s="78">
        <v>0</v>
      </c>
      <c r="T114" s="78">
        <v>0.563199381128629</v>
      </c>
      <c r="U114" s="78">
        <v>0.563199381128629</v>
      </c>
      <c r="V114" s="78">
        <v>1</v>
      </c>
      <c r="W114" s="78">
        <v>0.563199381128629</v>
      </c>
      <c r="X114" s="78">
        <v>0.563199381128629</v>
      </c>
      <c r="Y114" s="78">
        <v>0.563199381128629</v>
      </c>
      <c r="Z114" s="78">
        <v>0</v>
      </c>
      <c r="AA114" s="78">
        <v>-0.563199381128629</v>
      </c>
      <c r="AB114" s="78">
        <v>-0.563199381128629</v>
      </c>
      <c r="AC114" s="78">
        <v>-0.563199381128629</v>
      </c>
      <c r="AD114" s="95">
        <v>1</v>
      </c>
      <c r="AE114" s="255"/>
    </row>
    <row r="115" spans="1:31" x14ac:dyDescent="0.2">
      <c r="G115" s="216"/>
      <c r="H115" s="35"/>
      <c r="I115" s="251">
        <v>0</v>
      </c>
      <c r="J115" s="78">
        <v>0</v>
      </c>
      <c r="K115" s="78">
        <v>0</v>
      </c>
      <c r="L115" s="78">
        <v>0</v>
      </c>
      <c r="M115" s="78">
        <v>0</v>
      </c>
      <c r="N115" s="78">
        <v>0</v>
      </c>
      <c r="O115" s="78">
        <v>0</v>
      </c>
      <c r="P115" s="78">
        <v>0</v>
      </c>
      <c r="Q115" s="78">
        <v>0</v>
      </c>
      <c r="R115" s="78">
        <v>0</v>
      </c>
      <c r="S115" s="78">
        <v>0</v>
      </c>
      <c r="T115" s="78">
        <v>0</v>
      </c>
      <c r="U115" s="78">
        <v>0</v>
      </c>
      <c r="V115" s="78">
        <v>0</v>
      </c>
      <c r="W115" s="78">
        <v>0</v>
      </c>
      <c r="X115" s="78">
        <v>0</v>
      </c>
      <c r="Y115" s="78">
        <v>0</v>
      </c>
      <c r="Z115" s="78">
        <v>1</v>
      </c>
      <c r="AA115" s="78">
        <v>0</v>
      </c>
      <c r="AB115" s="78">
        <v>0</v>
      </c>
      <c r="AC115" s="78">
        <v>0</v>
      </c>
      <c r="AD115" s="95">
        <v>0</v>
      </c>
      <c r="AE115" s="255"/>
    </row>
    <row r="116" spans="1:31" x14ac:dyDescent="0.2">
      <c r="G116" s="216"/>
      <c r="H116" s="35"/>
      <c r="I116" s="251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  <c r="O116" s="78">
        <v>0</v>
      </c>
      <c r="P116" s="78">
        <v>0</v>
      </c>
      <c r="Q116" s="78">
        <v>0</v>
      </c>
      <c r="R116" s="78">
        <v>0</v>
      </c>
      <c r="S116" s="78">
        <v>0</v>
      </c>
      <c r="T116" s="78">
        <v>0</v>
      </c>
      <c r="U116" s="78">
        <v>0</v>
      </c>
      <c r="V116" s="78">
        <v>0</v>
      </c>
      <c r="W116" s="78">
        <v>1</v>
      </c>
      <c r="X116" s="78">
        <v>0</v>
      </c>
      <c r="Y116" s="78">
        <v>0</v>
      </c>
      <c r="Z116" s="78">
        <v>0</v>
      </c>
      <c r="AA116" s="78">
        <v>0</v>
      </c>
      <c r="AB116" s="78">
        <v>0</v>
      </c>
      <c r="AC116" s="78">
        <v>0</v>
      </c>
      <c r="AD116" s="95">
        <v>0</v>
      </c>
      <c r="AE116" s="255"/>
    </row>
    <row r="117" spans="1:31" x14ac:dyDescent="0.2">
      <c r="G117" s="216"/>
      <c r="H117" s="35"/>
      <c r="I117" s="251">
        <v>0</v>
      </c>
      <c r="J117" s="78">
        <v>0</v>
      </c>
      <c r="K117" s="78">
        <v>0</v>
      </c>
      <c r="L117" s="78">
        <v>0</v>
      </c>
      <c r="M117" s="78">
        <v>0</v>
      </c>
      <c r="N117" s="78">
        <v>0</v>
      </c>
      <c r="O117" s="78">
        <v>0</v>
      </c>
      <c r="P117" s="78">
        <v>0</v>
      </c>
      <c r="Q117" s="78">
        <v>0</v>
      </c>
      <c r="R117" s="78">
        <v>0</v>
      </c>
      <c r="S117" s="78">
        <v>0</v>
      </c>
      <c r="T117" s="78">
        <v>0</v>
      </c>
      <c r="U117" s="78">
        <v>0</v>
      </c>
      <c r="V117" s="78">
        <v>0</v>
      </c>
      <c r="W117" s="78">
        <v>0</v>
      </c>
      <c r="X117" s="78">
        <v>0</v>
      </c>
      <c r="Y117" s="78">
        <v>0</v>
      </c>
      <c r="Z117" s="78">
        <v>0</v>
      </c>
      <c r="AA117" s="78">
        <v>1</v>
      </c>
      <c r="AB117" s="78">
        <v>0</v>
      </c>
      <c r="AC117" s="78">
        <v>0</v>
      </c>
      <c r="AD117" s="95">
        <v>0</v>
      </c>
      <c r="AE117" s="255"/>
    </row>
    <row r="118" spans="1:31" x14ac:dyDescent="0.2">
      <c r="G118" s="216"/>
      <c r="H118" s="35"/>
      <c r="I118" s="251">
        <v>0</v>
      </c>
      <c r="J118" s="78">
        <v>0</v>
      </c>
      <c r="K118" s="78">
        <v>0</v>
      </c>
      <c r="L118" s="78">
        <v>0</v>
      </c>
      <c r="M118" s="78">
        <v>0</v>
      </c>
      <c r="N118" s="78">
        <v>0</v>
      </c>
      <c r="O118" s="78">
        <v>0</v>
      </c>
      <c r="P118" s="78">
        <v>0</v>
      </c>
      <c r="Q118" s="78">
        <v>0</v>
      </c>
      <c r="R118" s="78">
        <v>0</v>
      </c>
      <c r="S118" s="78">
        <v>0</v>
      </c>
      <c r="T118" s="78">
        <v>0</v>
      </c>
      <c r="U118" s="78">
        <v>0</v>
      </c>
      <c r="V118" s="78">
        <v>0</v>
      </c>
      <c r="W118" s="78">
        <v>0</v>
      </c>
      <c r="X118" s="78">
        <v>1</v>
      </c>
      <c r="Y118" s="78">
        <v>0</v>
      </c>
      <c r="Z118" s="78">
        <v>0</v>
      </c>
      <c r="AA118" s="78">
        <v>0</v>
      </c>
      <c r="AB118" s="78">
        <v>0</v>
      </c>
      <c r="AC118" s="78">
        <v>0</v>
      </c>
      <c r="AD118" s="95">
        <v>0</v>
      </c>
      <c r="AE118" s="255"/>
    </row>
    <row r="119" spans="1:31" x14ac:dyDescent="0.2">
      <c r="G119" s="216"/>
      <c r="H119" s="35"/>
      <c r="I119" s="251">
        <v>0</v>
      </c>
      <c r="J119" s="78">
        <v>0</v>
      </c>
      <c r="K119" s="78">
        <v>0</v>
      </c>
      <c r="L119" s="78">
        <v>0</v>
      </c>
      <c r="M119" s="78">
        <v>0</v>
      </c>
      <c r="N119" s="78">
        <v>0</v>
      </c>
      <c r="O119" s="78">
        <v>0</v>
      </c>
      <c r="P119" s="78">
        <v>0</v>
      </c>
      <c r="Q119" s="78">
        <v>0</v>
      </c>
      <c r="R119" s="78">
        <v>0</v>
      </c>
      <c r="S119" s="78">
        <v>0</v>
      </c>
      <c r="T119" s="78">
        <v>0</v>
      </c>
      <c r="U119" s="78">
        <v>0</v>
      </c>
      <c r="V119" s="78">
        <v>0</v>
      </c>
      <c r="W119" s="78">
        <v>0</v>
      </c>
      <c r="X119" s="78">
        <v>0</v>
      </c>
      <c r="Y119" s="78">
        <v>0</v>
      </c>
      <c r="Z119" s="78">
        <v>0</v>
      </c>
      <c r="AA119" s="78">
        <v>0</v>
      </c>
      <c r="AB119" s="78">
        <v>1</v>
      </c>
      <c r="AC119" s="78">
        <v>0</v>
      </c>
      <c r="AD119" s="95">
        <v>0</v>
      </c>
      <c r="AE119" s="255"/>
    </row>
    <row r="120" spans="1:31" x14ac:dyDescent="0.2">
      <c r="G120" s="216"/>
      <c r="H120" s="35"/>
      <c r="I120" s="251">
        <v>0</v>
      </c>
      <c r="J120" s="78">
        <v>0</v>
      </c>
      <c r="K120" s="78">
        <v>0</v>
      </c>
      <c r="L120" s="78">
        <v>0</v>
      </c>
      <c r="M120" s="78">
        <v>0</v>
      </c>
      <c r="N120" s="78">
        <v>0</v>
      </c>
      <c r="O120" s="78">
        <v>0</v>
      </c>
      <c r="P120" s="78">
        <v>0</v>
      </c>
      <c r="Q120" s="78">
        <v>0</v>
      </c>
      <c r="R120" s="78">
        <v>0</v>
      </c>
      <c r="S120" s="78">
        <v>0</v>
      </c>
      <c r="T120" s="78">
        <v>0</v>
      </c>
      <c r="U120" s="78">
        <v>0</v>
      </c>
      <c r="V120" s="78">
        <v>0</v>
      </c>
      <c r="W120" s="78">
        <v>0</v>
      </c>
      <c r="X120" s="78">
        <v>0</v>
      </c>
      <c r="Y120" s="78">
        <v>1</v>
      </c>
      <c r="Z120" s="78">
        <v>0</v>
      </c>
      <c r="AA120" s="78">
        <v>0</v>
      </c>
      <c r="AB120" s="78">
        <v>0</v>
      </c>
      <c r="AC120" s="78">
        <v>0</v>
      </c>
      <c r="AD120" s="95">
        <v>0</v>
      </c>
      <c r="AE120" s="255"/>
    </row>
    <row r="121" spans="1:31" x14ac:dyDescent="0.2">
      <c r="G121" s="216"/>
      <c r="H121" s="35"/>
      <c r="I121" s="251">
        <v>0</v>
      </c>
      <c r="J121" s="78">
        <v>0</v>
      </c>
      <c r="K121" s="78">
        <v>0</v>
      </c>
      <c r="L121" s="78">
        <v>0</v>
      </c>
      <c r="M121" s="78">
        <v>0</v>
      </c>
      <c r="N121" s="78">
        <v>0</v>
      </c>
      <c r="O121" s="78">
        <v>0</v>
      </c>
      <c r="P121" s="78">
        <v>0</v>
      </c>
      <c r="Q121" s="78">
        <v>0</v>
      </c>
      <c r="R121" s="78">
        <v>0</v>
      </c>
      <c r="S121" s="78">
        <v>0</v>
      </c>
      <c r="T121" s="78">
        <v>0</v>
      </c>
      <c r="U121" s="78">
        <v>0</v>
      </c>
      <c r="V121" s="78">
        <v>0</v>
      </c>
      <c r="W121" s="78">
        <v>0</v>
      </c>
      <c r="X121" s="78">
        <v>0</v>
      </c>
      <c r="Y121" s="78">
        <v>0</v>
      </c>
      <c r="Z121" s="78">
        <v>0</v>
      </c>
      <c r="AA121" s="78">
        <v>0</v>
      </c>
      <c r="AB121" s="78">
        <v>0</v>
      </c>
      <c r="AC121" s="78">
        <v>1</v>
      </c>
      <c r="AD121" s="95">
        <v>0</v>
      </c>
      <c r="AE121" s="255"/>
    </row>
    <row r="122" spans="1:31" x14ac:dyDescent="0.2">
      <c r="G122" s="216"/>
      <c r="H122" s="35"/>
      <c r="I122" s="251">
        <v>-0.436800618871371</v>
      </c>
      <c r="J122" s="78">
        <v>-0.436800618871371</v>
      </c>
      <c r="K122" s="78">
        <v>-0.436800618871371</v>
      </c>
      <c r="L122" s="78">
        <v>-0.436800618871371</v>
      </c>
      <c r="M122" s="78">
        <v>-0.436800618871371</v>
      </c>
      <c r="N122" s="78">
        <v>-0.436800618871371</v>
      </c>
      <c r="O122" s="78">
        <v>-0.436800618871371</v>
      </c>
      <c r="P122" s="78">
        <v>-0.436800618871371</v>
      </c>
      <c r="Q122" s="78">
        <v>-1</v>
      </c>
      <c r="R122" s="78">
        <v>0</v>
      </c>
      <c r="S122" s="78">
        <v>0</v>
      </c>
      <c r="T122" s="78">
        <v>0.436800618871371</v>
      </c>
      <c r="U122" s="78">
        <v>0.436800618871371</v>
      </c>
      <c r="V122" s="78">
        <v>0</v>
      </c>
      <c r="W122" s="78">
        <v>0.436800618871371</v>
      </c>
      <c r="X122" s="78">
        <v>0.436800618871371</v>
      </c>
      <c r="Y122" s="78">
        <v>0.436800618871371</v>
      </c>
      <c r="Z122" s="78">
        <v>0</v>
      </c>
      <c r="AA122" s="78">
        <v>-0.436800618871371</v>
      </c>
      <c r="AB122" s="78">
        <v>-0.436800618871371</v>
      </c>
      <c r="AC122" s="78">
        <v>-0.436800618871371</v>
      </c>
      <c r="AD122" s="95">
        <v>-1</v>
      </c>
      <c r="AE122" s="255"/>
    </row>
    <row r="123" spans="1:31" ht="15" thickBot="1" x14ac:dyDescent="0.25">
      <c r="G123" s="216"/>
      <c r="H123" s="35"/>
      <c r="I123" s="252">
        <v>-0.563199381128629</v>
      </c>
      <c r="J123" s="253">
        <v>-0.563199381128629</v>
      </c>
      <c r="K123" s="253">
        <v>-0.563199381128629</v>
      </c>
      <c r="L123" s="253">
        <v>-0.563199381128629</v>
      </c>
      <c r="M123" s="253">
        <v>-0.563199381128629</v>
      </c>
      <c r="N123" s="253">
        <v>-0.563199381128629</v>
      </c>
      <c r="O123" s="253">
        <v>-0.563199381128629</v>
      </c>
      <c r="P123" s="253">
        <v>-0.563199381128629</v>
      </c>
      <c r="Q123" s="253">
        <v>0</v>
      </c>
      <c r="R123" s="253">
        <v>-1</v>
      </c>
      <c r="S123" s="253">
        <v>-1</v>
      </c>
      <c r="T123" s="253">
        <v>0.563199381128629</v>
      </c>
      <c r="U123" s="253">
        <v>0.563199381128629</v>
      </c>
      <c r="V123" s="253">
        <v>1</v>
      </c>
      <c r="W123" s="253">
        <v>0.563199381128629</v>
      </c>
      <c r="X123" s="253">
        <v>0.563199381128629</v>
      </c>
      <c r="Y123" s="253">
        <v>0.563199381128629</v>
      </c>
      <c r="Z123" s="253">
        <v>-1</v>
      </c>
      <c r="AA123" s="253">
        <v>-0.563199381128629</v>
      </c>
      <c r="AB123" s="253">
        <v>-0.563199381128629</v>
      </c>
      <c r="AC123" s="253">
        <v>-0.563199381128629</v>
      </c>
      <c r="AD123" s="254">
        <v>1</v>
      </c>
      <c r="AE123" s="255"/>
    </row>
    <row r="124" spans="1:31" x14ac:dyDescent="0.2">
      <c r="G124" s="216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255"/>
    </row>
    <row r="125" spans="1:31" ht="15" thickBot="1" x14ac:dyDescent="0.25"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45" t="s">
        <v>115</v>
      </c>
      <c r="S125"/>
      <c r="T125" t="s">
        <v>116</v>
      </c>
      <c r="U125" s="216"/>
      <c r="V125" s="216"/>
      <c r="W125" s="216"/>
      <c r="X125" s="216"/>
      <c r="Y125" s="216"/>
      <c r="Z125" s="216"/>
      <c r="AA125" s="216"/>
      <c r="AB125" s="216"/>
      <c r="AC125" s="216"/>
      <c r="AD125" s="216"/>
      <c r="AE125" s="255"/>
    </row>
    <row r="126" spans="1:31" ht="17.25" thickBot="1" x14ac:dyDescent="0.25">
      <c r="G126" s="216"/>
      <c r="H126" s="216"/>
      <c r="I126" s="216"/>
      <c r="J126" s="216"/>
      <c r="K126" s="216"/>
      <c r="L126" s="216"/>
      <c r="M126" s="216"/>
      <c r="N126" s="216"/>
      <c r="O126" s="216"/>
      <c r="P126" s="216"/>
      <c r="Q126" s="216"/>
      <c r="R126" s="256" t="s">
        <v>108</v>
      </c>
      <c r="S126" s="216"/>
      <c r="T126" s="256" t="s">
        <v>117</v>
      </c>
      <c r="U126" s="216"/>
      <c r="V126" s="216"/>
      <c r="W126" s="216"/>
      <c r="X126" s="216"/>
      <c r="Y126" s="216"/>
      <c r="Z126" s="216"/>
      <c r="AA126" s="216"/>
      <c r="AB126" s="216"/>
      <c r="AC126" s="216"/>
      <c r="AD126" s="216"/>
      <c r="AE126" s="255"/>
    </row>
    <row r="127" spans="1:31" x14ac:dyDescent="0.2">
      <c r="A127" s="314" t="s">
        <v>186</v>
      </c>
      <c r="B127" s="314"/>
      <c r="C127" s="314"/>
      <c r="D127" s="314"/>
      <c r="E127" s="314"/>
      <c r="F127" s="314"/>
      <c r="G127" s="216"/>
      <c r="H127" s="216"/>
      <c r="I127" s="216"/>
      <c r="J127" s="216"/>
      <c r="K127" s="216"/>
      <c r="L127" s="216"/>
      <c r="M127" s="216"/>
      <c r="N127" s="216"/>
      <c r="O127" s="216"/>
      <c r="P127" s="216"/>
      <c r="Q127" s="216"/>
      <c r="R127" s="122">
        <f t="array" ref="R127:R148">MMULT(I102:AD123,AF77:AF98)</f>
        <v>0.4807414796975823</v>
      </c>
      <c r="S127" s="216"/>
      <c r="T127" s="257">
        <f>R127/F45</f>
        <v>1</v>
      </c>
      <c r="U127" s="216"/>
      <c r="V127" s="216"/>
      <c r="W127" s="216"/>
      <c r="X127" s="216"/>
      <c r="Y127" s="216"/>
      <c r="Z127" s="216"/>
      <c r="AA127" s="216"/>
      <c r="AB127" s="216"/>
      <c r="AC127" s="216"/>
      <c r="AD127" s="216"/>
      <c r="AE127" s="255"/>
    </row>
    <row r="128" spans="1:31" ht="15" thickBot="1" x14ac:dyDescent="0.25">
      <c r="A128" s="306"/>
      <c r="B128" s="307"/>
      <c r="C128" s="238"/>
      <c r="D128" s="238"/>
      <c r="E128" s="278" t="s">
        <v>188</v>
      </c>
      <c r="F128" s="284"/>
      <c r="R128" s="122">
        <v>18.974341479697582</v>
      </c>
      <c r="T128" s="122">
        <f t="shared" ref="T128:T145" si="45">R128/F46</f>
        <v>1.0894536225807177</v>
      </c>
    </row>
    <row r="129" spans="1:20" ht="18" thickBot="1" x14ac:dyDescent="0.25">
      <c r="A129" s="308" t="s">
        <v>187</v>
      </c>
      <c r="B129" s="304" t="s">
        <v>201</v>
      </c>
      <c r="C129" s="250">
        <f>B133*B134*B135</f>
        <v>4826123.3219986716</v>
      </c>
      <c r="D129" s="237"/>
      <c r="E129" s="304" t="s">
        <v>191</v>
      </c>
      <c r="F129" s="309">
        <v>2.2896999999999998</v>
      </c>
      <c r="Q129" s="216"/>
      <c r="R129" s="122">
        <v>18.974341479697582</v>
      </c>
      <c r="T129" s="122">
        <f t="shared" si="45"/>
        <v>1.3851763565524502</v>
      </c>
    </row>
    <row r="130" spans="1:20" x14ac:dyDescent="0.2">
      <c r="A130" s="310"/>
      <c r="B130" s="304"/>
      <c r="C130" s="237"/>
      <c r="D130" s="237"/>
      <c r="E130" s="304" t="s">
        <v>192</v>
      </c>
      <c r="F130" s="309">
        <v>1.3604000000000001</v>
      </c>
      <c r="R130" s="122">
        <v>37.794341479697579</v>
      </c>
      <c r="T130" s="122">
        <f t="shared" si="45"/>
        <v>1.2210101120439221</v>
      </c>
    </row>
    <row r="131" spans="1:20" x14ac:dyDescent="0.2">
      <c r="A131" s="236" t="s">
        <v>189</v>
      </c>
      <c r="B131" s="304">
        <f>H38</f>
        <v>18493.599999999999</v>
      </c>
      <c r="C131" s="237"/>
      <c r="D131" s="237"/>
      <c r="E131" s="304" t="s">
        <v>193</v>
      </c>
      <c r="F131" s="309">
        <v>-0.1027</v>
      </c>
      <c r="Q131" s="216"/>
      <c r="R131" s="122">
        <v>37.794341479697579</v>
      </c>
      <c r="T131" s="122">
        <f t="shared" si="45"/>
        <v>1.4060839114319212</v>
      </c>
    </row>
    <row r="132" spans="1:20" x14ac:dyDescent="0.2">
      <c r="A132" s="310" t="s">
        <v>194</v>
      </c>
      <c r="B132" s="304">
        <v>0.6</v>
      </c>
      <c r="C132" s="237"/>
      <c r="D132" s="237"/>
      <c r="E132" s="237" t="s">
        <v>189</v>
      </c>
      <c r="F132" s="235">
        <v>3000</v>
      </c>
      <c r="R132" s="122">
        <v>57.031341479697574</v>
      </c>
      <c r="T132" s="122">
        <f t="shared" si="45"/>
        <v>1.2804759273311286</v>
      </c>
    </row>
    <row r="133" spans="1:20" ht="17.25" x14ac:dyDescent="0.2">
      <c r="A133" s="236" t="s">
        <v>190</v>
      </c>
      <c r="B133" s="304">
        <f>F133*(B131/F132)^B132</f>
        <v>1787453.0822217301</v>
      </c>
      <c r="C133" s="237"/>
      <c r="D133" s="237"/>
      <c r="E133" s="237" t="s">
        <v>190</v>
      </c>
      <c r="F133" s="235">
        <f>10^(F129+F130*LOG10(F132)+F131*LOG10(F132)^2)</f>
        <v>600197.97789300827</v>
      </c>
      <c r="Q133" s="216"/>
      <c r="R133" s="122">
        <v>57.031341479697574</v>
      </c>
      <c r="T133" s="122">
        <f t="shared" si="45"/>
        <v>1.4280962532270687</v>
      </c>
    </row>
    <row r="134" spans="1:20" x14ac:dyDescent="0.2">
      <c r="A134" s="310" t="s">
        <v>200</v>
      </c>
      <c r="B134" s="304">
        <v>2.7</v>
      </c>
      <c r="C134" s="237"/>
      <c r="D134" s="237"/>
      <c r="E134" s="237"/>
      <c r="F134" s="235"/>
      <c r="R134" s="122">
        <v>57.031341479697574</v>
      </c>
      <c r="T134" s="122">
        <f t="shared" si="45"/>
        <v>1.6292718194118267</v>
      </c>
    </row>
    <row r="135" spans="1:20" x14ac:dyDescent="0.2">
      <c r="A135" s="310" t="s">
        <v>195</v>
      </c>
      <c r="B135" s="304">
        <f>10^(D136+D137*LOG10(D135)+D138*LOG10(D135)^2)</f>
        <v>1</v>
      </c>
      <c r="C135" s="305" t="s">
        <v>196</v>
      </c>
      <c r="D135" s="237">
        <v>1</v>
      </c>
      <c r="E135" s="237"/>
      <c r="F135" s="235"/>
      <c r="Q135" s="216"/>
      <c r="R135" s="122">
        <v>65.181806554547123</v>
      </c>
      <c r="T135" s="122">
        <f t="shared" si="45"/>
        <v>1</v>
      </c>
    </row>
    <row r="136" spans="1:20" x14ac:dyDescent="0.2">
      <c r="A136" s="310"/>
      <c r="B136" s="304"/>
      <c r="C136" s="237" t="s">
        <v>197</v>
      </c>
      <c r="D136" s="237">
        <v>0</v>
      </c>
      <c r="E136" s="237"/>
      <c r="F136" s="235"/>
      <c r="R136" s="122">
        <v>122.21314803424471</v>
      </c>
      <c r="T136" s="122">
        <f t="shared" si="45"/>
        <v>1.9373750937866645</v>
      </c>
    </row>
    <row r="137" spans="1:20" x14ac:dyDescent="0.2">
      <c r="A137" s="310"/>
      <c r="B137" s="304"/>
      <c r="C137" s="237" t="s">
        <v>198</v>
      </c>
      <c r="D137" s="237">
        <v>0</v>
      </c>
      <c r="E137" s="237"/>
      <c r="F137" s="235"/>
      <c r="Q137" s="216"/>
      <c r="R137" s="122">
        <v>68.830369338668149</v>
      </c>
      <c r="T137" s="122">
        <f t="shared" si="45"/>
        <v>1.9373750937866649</v>
      </c>
    </row>
    <row r="138" spans="1:20" x14ac:dyDescent="0.2">
      <c r="A138" s="311"/>
      <c r="B138" s="312"/>
      <c r="C138" s="239" t="s">
        <v>199</v>
      </c>
      <c r="D138" s="239">
        <v>0</v>
      </c>
      <c r="E138" s="239"/>
      <c r="F138" s="64"/>
      <c r="R138" s="122">
        <v>67.467187687974103</v>
      </c>
      <c r="T138" s="122">
        <f t="shared" si="45"/>
        <v>1</v>
      </c>
    </row>
    <row r="139" spans="1:20" x14ac:dyDescent="0.2">
      <c r="Q139" s="216"/>
      <c r="R139" s="122">
        <v>136.29755702664224</v>
      </c>
      <c r="T139" s="122">
        <f t="shared" si="45"/>
        <v>1.7369288473224185</v>
      </c>
    </row>
    <row r="140" spans="1:20" ht="15" thickBot="1" x14ac:dyDescent="0.25">
      <c r="A140" s="306"/>
      <c r="B140" s="307"/>
      <c r="C140" s="238"/>
      <c r="D140" s="238"/>
      <c r="E140" s="278" t="s">
        <v>188</v>
      </c>
      <c r="F140" s="284"/>
      <c r="R140" s="122">
        <v>0</v>
      </c>
      <c r="T140" s="122">
        <f t="shared" si="45"/>
        <v>0</v>
      </c>
    </row>
    <row r="141" spans="1:20" ht="18" thickBot="1" x14ac:dyDescent="0.25">
      <c r="A141" s="308" t="s">
        <v>202</v>
      </c>
      <c r="B141" s="304" t="s">
        <v>201</v>
      </c>
      <c r="C141" s="250">
        <f>B145*B146*B147</f>
        <v>4877051.1528729405</v>
      </c>
      <c r="D141" s="237"/>
      <c r="E141" s="304" t="s">
        <v>191</v>
      </c>
      <c r="F141" s="309">
        <v>2.2896999999999998</v>
      </c>
      <c r="Q141" s="216"/>
      <c r="R141" s="122">
        <v>18.493600000000001</v>
      </c>
      <c r="T141" s="122">
        <f t="shared" si="45"/>
        <v>1</v>
      </c>
    </row>
    <row r="142" spans="1:20" x14ac:dyDescent="0.2">
      <c r="A142" s="310"/>
      <c r="B142" s="304"/>
      <c r="C142" s="237"/>
      <c r="D142" s="237"/>
      <c r="E142" s="304" t="s">
        <v>192</v>
      </c>
      <c r="F142" s="309">
        <v>1.3604000000000001</v>
      </c>
      <c r="R142" s="122">
        <v>0</v>
      </c>
      <c r="T142" s="122">
        <v>0</v>
      </c>
    </row>
    <row r="143" spans="1:20" x14ac:dyDescent="0.2">
      <c r="A143" s="236" t="s">
        <v>189</v>
      </c>
      <c r="B143" s="304">
        <f>J38</f>
        <v>18820</v>
      </c>
      <c r="C143" s="237"/>
      <c r="D143" s="237"/>
      <c r="E143" s="304" t="s">
        <v>193</v>
      </c>
      <c r="F143" s="309">
        <v>-0.1027</v>
      </c>
      <c r="Q143" s="216"/>
      <c r="R143" s="122">
        <v>18.82</v>
      </c>
      <c r="T143" s="122">
        <f t="shared" si="45"/>
        <v>1</v>
      </c>
    </row>
    <row r="144" spans="1:20" x14ac:dyDescent="0.2">
      <c r="A144" s="310" t="s">
        <v>194</v>
      </c>
      <c r="B144" s="304">
        <v>0.6</v>
      </c>
      <c r="C144" s="237"/>
      <c r="D144" s="237"/>
      <c r="E144" s="237" t="s">
        <v>189</v>
      </c>
      <c r="F144" s="235">
        <v>3000</v>
      </c>
      <c r="R144" s="122">
        <v>0</v>
      </c>
      <c r="T144" s="122">
        <v>0</v>
      </c>
    </row>
    <row r="145" spans="1:20" ht="17.25" x14ac:dyDescent="0.2">
      <c r="A145" s="236" t="s">
        <v>190</v>
      </c>
      <c r="B145" s="304">
        <f>F145*(B143/F144)^B144</f>
        <v>1806315.2418047925</v>
      </c>
      <c r="C145" s="237"/>
      <c r="D145" s="237"/>
      <c r="E145" s="237" t="s">
        <v>190</v>
      </c>
      <c r="F145" s="235">
        <f>10^(F141+F142*LOG10(F144)+F143*LOG10(F144)^2)</f>
        <v>600197.97789300827</v>
      </c>
      <c r="Q145" s="216"/>
      <c r="R145" s="122">
        <v>19.236999999999998</v>
      </c>
      <c r="T145" s="122">
        <f t="shared" si="45"/>
        <v>1</v>
      </c>
    </row>
    <row r="146" spans="1:20" x14ac:dyDescent="0.2">
      <c r="A146" s="310" t="s">
        <v>200</v>
      </c>
      <c r="B146" s="304">
        <v>2.7</v>
      </c>
      <c r="C146" s="237"/>
      <c r="D146" s="237"/>
      <c r="E146" s="237"/>
      <c r="F146" s="235"/>
      <c r="R146" s="122">
        <v>0</v>
      </c>
      <c r="T146" s="122">
        <v>0</v>
      </c>
    </row>
    <row r="147" spans="1:20" x14ac:dyDescent="0.2">
      <c r="A147" s="310" t="s">
        <v>195</v>
      </c>
      <c r="B147" s="304">
        <f>10^(D148+D149*LOG10(D147)+D150*LOG10(D147)^2)</f>
        <v>1</v>
      </c>
      <c r="C147" s="305" t="s">
        <v>196</v>
      </c>
      <c r="D147" s="313">
        <f>G3</f>
        <v>4.16</v>
      </c>
      <c r="E147" s="237"/>
      <c r="F147" s="235"/>
      <c r="Q147" s="216"/>
      <c r="R147" s="122">
        <v>53.382778695576569</v>
      </c>
      <c r="T147" s="122">
        <v>2.1509268769497201</v>
      </c>
    </row>
    <row r="148" spans="1:20" ht="15" thickBot="1" x14ac:dyDescent="0.25">
      <c r="A148" s="310"/>
      <c r="B148" s="304"/>
      <c r="C148" s="237" t="s">
        <v>197</v>
      </c>
      <c r="D148" s="237">
        <v>0</v>
      </c>
      <c r="E148" s="237"/>
      <c r="F148" s="235"/>
      <c r="R148" s="123">
        <v>136.29755702664224</v>
      </c>
      <c r="T148" s="123">
        <v>2.53046746771679</v>
      </c>
    </row>
    <row r="149" spans="1:20" x14ac:dyDescent="0.2">
      <c r="A149" s="310"/>
      <c r="B149" s="304"/>
      <c r="C149" s="237" t="s">
        <v>198</v>
      </c>
      <c r="D149" s="237">
        <v>0</v>
      </c>
      <c r="E149" s="237"/>
      <c r="F149" s="235"/>
    </row>
    <row r="150" spans="1:20" x14ac:dyDescent="0.2">
      <c r="A150" s="311"/>
      <c r="B150" s="312"/>
      <c r="C150" s="239" t="s">
        <v>199</v>
      </c>
      <c r="D150" s="239">
        <v>0</v>
      </c>
      <c r="E150" s="239"/>
      <c r="F150" s="64"/>
    </row>
    <row r="152" spans="1:20" ht="15" thickBot="1" x14ac:dyDescent="0.25">
      <c r="A152" s="306"/>
      <c r="B152" s="307"/>
      <c r="C152" s="238"/>
      <c r="D152" s="238"/>
      <c r="E152" s="278" t="s">
        <v>188</v>
      </c>
      <c r="F152" s="284"/>
    </row>
    <row r="153" spans="1:20" ht="18" thickBot="1" x14ac:dyDescent="0.25">
      <c r="A153" s="308" t="s">
        <v>203</v>
      </c>
      <c r="B153" s="304" t="s">
        <v>201</v>
      </c>
      <c r="C153" s="250">
        <f>B157*B158*B159</f>
        <v>4941604.0725098616</v>
      </c>
      <c r="D153" s="237"/>
      <c r="E153" s="304" t="s">
        <v>191</v>
      </c>
      <c r="F153" s="309">
        <v>2.2896999999999998</v>
      </c>
    </row>
    <row r="154" spans="1:20" x14ac:dyDescent="0.2">
      <c r="A154" s="310"/>
      <c r="B154" s="304"/>
      <c r="C154" s="237"/>
      <c r="D154" s="237"/>
      <c r="E154" s="304" t="s">
        <v>192</v>
      </c>
      <c r="F154" s="309">
        <v>1.3604000000000001</v>
      </c>
    </row>
    <row r="155" spans="1:20" x14ac:dyDescent="0.2">
      <c r="A155" s="236" t="s">
        <v>189</v>
      </c>
      <c r="B155" s="304">
        <f>L38</f>
        <v>19237</v>
      </c>
      <c r="C155" s="237"/>
      <c r="D155" s="237"/>
      <c r="E155" s="304" t="s">
        <v>193</v>
      </c>
      <c r="F155" s="309">
        <v>-0.1027</v>
      </c>
    </row>
    <row r="156" spans="1:20" x14ac:dyDescent="0.2">
      <c r="A156" s="310" t="s">
        <v>194</v>
      </c>
      <c r="B156" s="304">
        <v>0.6</v>
      </c>
      <c r="C156" s="237"/>
      <c r="D156" s="237"/>
      <c r="E156" s="237" t="s">
        <v>189</v>
      </c>
      <c r="F156" s="235">
        <v>3000</v>
      </c>
    </row>
    <row r="157" spans="1:20" ht="17.25" x14ac:dyDescent="0.2">
      <c r="A157" s="236" t="s">
        <v>190</v>
      </c>
      <c r="B157" s="304">
        <f>F157*(B155/F156)^B156</f>
        <v>1830223.7305592077</v>
      </c>
      <c r="C157" s="237"/>
      <c r="D157" s="237"/>
      <c r="E157" s="237" t="s">
        <v>190</v>
      </c>
      <c r="F157" s="235">
        <f>10^(F153+F154*LOG10(F156)+F155*LOG10(F156)^2)</f>
        <v>600197.97789300827</v>
      </c>
    </row>
    <row r="158" spans="1:20" x14ac:dyDescent="0.2">
      <c r="A158" s="310" t="s">
        <v>200</v>
      </c>
      <c r="B158" s="304">
        <v>2.7</v>
      </c>
      <c r="C158" s="237"/>
      <c r="D158" s="237"/>
      <c r="E158" s="237"/>
      <c r="F158" s="235"/>
    </row>
    <row r="159" spans="1:20" x14ac:dyDescent="0.2">
      <c r="A159" s="310" t="s">
        <v>195</v>
      </c>
      <c r="B159" s="304">
        <f>10^(D160+D161*LOG10(D159)+D162*LOG10(D159)^2)</f>
        <v>1</v>
      </c>
      <c r="C159" s="305" t="s">
        <v>196</v>
      </c>
      <c r="D159" s="313">
        <f>I3</f>
        <v>4.16</v>
      </c>
      <c r="E159" s="237"/>
      <c r="F159" s="235"/>
    </row>
    <row r="160" spans="1:20" x14ac:dyDescent="0.2">
      <c r="A160" s="310"/>
      <c r="B160" s="304"/>
      <c r="C160" s="237" t="s">
        <v>197</v>
      </c>
      <c r="D160" s="237">
        <v>0</v>
      </c>
      <c r="E160" s="237"/>
      <c r="F160" s="235"/>
    </row>
    <row r="161" spans="1:6" x14ac:dyDescent="0.2">
      <c r="A161" s="310"/>
      <c r="B161" s="304"/>
      <c r="C161" s="237" t="s">
        <v>198</v>
      </c>
      <c r="D161" s="237">
        <v>0</v>
      </c>
      <c r="E161" s="237"/>
      <c r="F161" s="235"/>
    </row>
    <row r="162" spans="1:6" x14ac:dyDescent="0.2">
      <c r="A162" s="311"/>
      <c r="B162" s="312"/>
      <c r="C162" s="239" t="s">
        <v>199</v>
      </c>
      <c r="D162" s="239">
        <v>0</v>
      </c>
      <c r="E162" s="239"/>
      <c r="F162" s="64"/>
    </row>
    <row r="164" spans="1:6" ht="15" thickBot="1" x14ac:dyDescent="0.25">
      <c r="A164" s="306"/>
      <c r="B164" s="307"/>
      <c r="C164" s="238"/>
      <c r="D164" s="238"/>
      <c r="E164" s="278" t="s">
        <v>188</v>
      </c>
      <c r="F164" s="284"/>
    </row>
    <row r="165" spans="1:6" ht="18" thickBot="1" x14ac:dyDescent="0.25">
      <c r="A165" s="308" t="s">
        <v>204</v>
      </c>
      <c r="B165" s="304" t="s">
        <v>201</v>
      </c>
      <c r="C165" s="250">
        <f>B169*B170*B171</f>
        <v>10069935.814791661</v>
      </c>
      <c r="D165" s="237"/>
      <c r="E165" s="304" t="s">
        <v>191</v>
      </c>
      <c r="F165" s="309">
        <v>2.7050999999999998</v>
      </c>
    </row>
    <row r="166" spans="1:6" x14ac:dyDescent="0.2">
      <c r="A166" s="310"/>
      <c r="B166" s="304"/>
      <c r="C166" s="237"/>
      <c r="D166" s="237"/>
      <c r="E166" s="304" t="s">
        <v>192</v>
      </c>
      <c r="F166" s="309">
        <v>1.4398</v>
      </c>
    </row>
    <row r="167" spans="1:6" x14ac:dyDescent="0.2">
      <c r="A167" s="236" t="s">
        <v>189</v>
      </c>
      <c r="B167" s="304">
        <f>ABS(N38)</f>
        <v>24818.5</v>
      </c>
      <c r="C167" s="237"/>
      <c r="D167" s="237"/>
      <c r="E167" s="304" t="s">
        <v>193</v>
      </c>
      <c r="F167" s="309">
        <v>-0.17760000000000001</v>
      </c>
    </row>
    <row r="168" spans="1:6" x14ac:dyDescent="0.2">
      <c r="A168" s="310" t="s">
        <v>194</v>
      </c>
      <c r="B168" s="304">
        <v>0.6</v>
      </c>
      <c r="C168" s="237"/>
      <c r="D168" s="237"/>
      <c r="E168" s="237" t="s">
        <v>205</v>
      </c>
      <c r="F168" s="235">
        <v>1500</v>
      </c>
    </row>
    <row r="169" spans="1:6" ht="17.25" x14ac:dyDescent="0.2">
      <c r="A169" s="236" t="s">
        <v>190</v>
      </c>
      <c r="B169" s="304">
        <f>F169*(B167/F168)^B168</f>
        <v>1650809.149965846</v>
      </c>
      <c r="C169" s="237"/>
      <c r="D169" s="237"/>
      <c r="E169" s="237" t="s">
        <v>190</v>
      </c>
      <c r="F169" s="235">
        <f>10^(F165+F166*LOG10(F168)+F167*LOG10(F168)^2)</f>
        <v>306539.40139335563</v>
      </c>
    </row>
    <row r="170" spans="1:6" x14ac:dyDescent="0.2">
      <c r="A170" s="310" t="s">
        <v>200</v>
      </c>
      <c r="B170" s="304">
        <v>6.1</v>
      </c>
      <c r="C170" s="237"/>
      <c r="D170" s="237"/>
      <c r="E170" s="237"/>
      <c r="F170" s="235"/>
    </row>
    <row r="171" spans="1:6" x14ac:dyDescent="0.2">
      <c r="A171" s="310" t="s">
        <v>195</v>
      </c>
      <c r="B171" s="304">
        <f>10^(D172+D173*LOG10(D171)+D174*LOG10(D171)^2)</f>
        <v>1</v>
      </c>
      <c r="C171" s="305" t="s">
        <v>196</v>
      </c>
      <c r="D171" s="313">
        <f>W3</f>
        <v>11</v>
      </c>
      <c r="E171" s="237"/>
      <c r="F171" s="235"/>
    </row>
    <row r="172" spans="1:6" x14ac:dyDescent="0.2">
      <c r="A172" s="310"/>
      <c r="B172" s="304"/>
      <c r="C172" s="237" t="s">
        <v>197</v>
      </c>
      <c r="D172" s="237">
        <v>0</v>
      </c>
      <c r="E172" s="237"/>
      <c r="F172" s="235"/>
    </row>
    <row r="173" spans="1:6" x14ac:dyDescent="0.2">
      <c r="A173" s="310"/>
      <c r="B173" s="304"/>
      <c r="C173" s="237" t="s">
        <v>198</v>
      </c>
      <c r="D173" s="237">
        <v>0</v>
      </c>
      <c r="E173" s="237"/>
      <c r="F173" s="235"/>
    </row>
    <row r="174" spans="1:6" x14ac:dyDescent="0.2">
      <c r="A174" s="311"/>
      <c r="B174" s="312"/>
      <c r="C174" s="239" t="s">
        <v>199</v>
      </c>
      <c r="D174" s="239">
        <v>0</v>
      </c>
      <c r="E174" s="239"/>
      <c r="F174" s="64"/>
    </row>
    <row r="176" spans="1:6" ht="15" thickBot="1" x14ac:dyDescent="0.25">
      <c r="A176" s="306"/>
      <c r="B176" s="307"/>
      <c r="C176" s="238"/>
      <c r="D176" s="238"/>
      <c r="E176" s="278" t="s">
        <v>188</v>
      </c>
      <c r="F176" s="284"/>
    </row>
    <row r="177" spans="1:6" ht="18" thickBot="1" x14ac:dyDescent="0.25">
      <c r="A177" s="308" t="s">
        <v>204</v>
      </c>
      <c r="B177" s="304" t="s">
        <v>201</v>
      </c>
      <c r="C177" s="250">
        <f>B181*B182*B183</f>
        <v>8146398.1366294958</v>
      </c>
      <c r="D177" s="237"/>
      <c r="E177" s="304" t="s">
        <v>191</v>
      </c>
      <c r="F177" s="309">
        <v>2.7050999999999998</v>
      </c>
    </row>
    <row r="178" spans="1:6" x14ac:dyDescent="0.2">
      <c r="A178" s="310"/>
      <c r="B178" s="304"/>
      <c r="C178" s="237"/>
      <c r="D178" s="237"/>
      <c r="E178" s="304" t="s">
        <v>192</v>
      </c>
      <c r="F178" s="309">
        <v>1.4398</v>
      </c>
    </row>
    <row r="179" spans="1:6" x14ac:dyDescent="0.2">
      <c r="A179" s="236" t="s">
        <v>189</v>
      </c>
      <c r="B179" s="304">
        <f>ABS(O38)</f>
        <v>53862.6</v>
      </c>
      <c r="C179" s="237"/>
      <c r="D179" s="237"/>
      <c r="E179" s="304" t="s">
        <v>193</v>
      </c>
      <c r="F179" s="309">
        <v>-0.17760000000000001</v>
      </c>
    </row>
    <row r="180" spans="1:6" x14ac:dyDescent="0.2">
      <c r="A180" s="310" t="s">
        <v>194</v>
      </c>
      <c r="B180" s="304">
        <v>0.6</v>
      </c>
      <c r="C180" s="237"/>
      <c r="D180" s="237"/>
      <c r="E180" s="237" t="s">
        <v>205</v>
      </c>
      <c r="F180" s="235">
        <v>1500</v>
      </c>
    </row>
    <row r="181" spans="1:6" ht="17.25" x14ac:dyDescent="0.2">
      <c r="A181" s="236" t="s">
        <v>190</v>
      </c>
      <c r="B181" s="304">
        <f>F181*(B179/F180)^B180</f>
        <v>2627870.3666546759</v>
      </c>
      <c r="C181" s="237"/>
      <c r="D181" s="237"/>
      <c r="E181" s="237" t="s">
        <v>190</v>
      </c>
      <c r="F181" s="235">
        <f>10^(F177+F178*LOG10(F180)+F179*LOG10(F180)^2)</f>
        <v>306539.40139335563</v>
      </c>
    </row>
    <row r="182" spans="1:6" x14ac:dyDescent="0.2">
      <c r="A182" s="310" t="s">
        <v>200</v>
      </c>
      <c r="B182" s="304">
        <v>3.1</v>
      </c>
      <c r="C182" s="237"/>
      <c r="D182" s="237"/>
      <c r="E182" s="237"/>
      <c r="F182" s="235"/>
    </row>
    <row r="183" spans="1:6" x14ac:dyDescent="0.2">
      <c r="A183" s="310" t="s">
        <v>195</v>
      </c>
      <c r="B183" s="304">
        <f>10^(D184+D185*LOG10(D183)+D186*LOG10(D183)^2)</f>
        <v>1</v>
      </c>
      <c r="C183" s="305" t="s">
        <v>196</v>
      </c>
      <c r="D183" s="313">
        <f>AA3</f>
        <v>11</v>
      </c>
      <c r="E183" s="237"/>
      <c r="F183" s="235"/>
    </row>
    <row r="184" spans="1:6" x14ac:dyDescent="0.2">
      <c r="A184" s="310"/>
      <c r="B184" s="304"/>
      <c r="C184" s="237" t="s">
        <v>197</v>
      </c>
      <c r="D184" s="237">
        <v>0</v>
      </c>
      <c r="E184" s="237"/>
      <c r="F184" s="235"/>
    </row>
    <row r="185" spans="1:6" x14ac:dyDescent="0.2">
      <c r="A185" s="310"/>
      <c r="B185" s="304"/>
      <c r="C185" s="237" t="s">
        <v>198</v>
      </c>
      <c r="D185" s="237">
        <v>0</v>
      </c>
      <c r="E185" s="237"/>
      <c r="F185" s="235"/>
    </row>
    <row r="186" spans="1:6" x14ac:dyDescent="0.2">
      <c r="A186" s="311"/>
      <c r="B186" s="312"/>
      <c r="C186" s="239" t="s">
        <v>199</v>
      </c>
      <c r="D186" s="239">
        <v>0</v>
      </c>
      <c r="E186" s="239"/>
      <c r="F186" s="64"/>
    </row>
    <row r="188" spans="1:6" ht="15" thickBot="1" x14ac:dyDescent="0.25">
      <c r="A188" s="306"/>
      <c r="B188" s="307"/>
      <c r="C188" s="238"/>
      <c r="D188" s="238"/>
      <c r="E188" s="278" t="s">
        <v>188</v>
      </c>
      <c r="F188" s="284"/>
    </row>
    <row r="189" spans="1:6" ht="18" thickBot="1" x14ac:dyDescent="0.25">
      <c r="A189" s="308" t="s">
        <v>206</v>
      </c>
      <c r="B189" s="304" t="s">
        <v>201</v>
      </c>
      <c r="C189" s="250">
        <f>B193*B194*B195</f>
        <v>0</v>
      </c>
      <c r="D189" s="237"/>
      <c r="E189" s="304" t="s">
        <v>191</v>
      </c>
      <c r="F189" s="309">
        <v>4.8305999999999996</v>
      </c>
    </row>
    <row r="190" spans="1:6" x14ac:dyDescent="0.2">
      <c r="A190" s="310"/>
      <c r="B190" s="304"/>
      <c r="C190" s="237"/>
      <c r="D190" s="237"/>
      <c r="E190" s="304" t="s">
        <v>192</v>
      </c>
      <c r="F190" s="309">
        <v>-0.85089999999999999</v>
      </c>
    </row>
    <row r="191" spans="1:6" x14ac:dyDescent="0.2">
      <c r="A191" s="236" t="s">
        <v>189</v>
      </c>
      <c r="B191" s="304">
        <f>ABS(O50)</f>
        <v>0</v>
      </c>
      <c r="C191" s="237"/>
      <c r="D191" s="237"/>
      <c r="E191" s="304" t="s">
        <v>193</v>
      </c>
      <c r="F191" s="309">
        <v>0.31869999999999998</v>
      </c>
    </row>
    <row r="192" spans="1:6" x14ac:dyDescent="0.2">
      <c r="A192" s="310" t="s">
        <v>194</v>
      </c>
      <c r="B192" s="304">
        <v>0.6</v>
      </c>
      <c r="C192" s="237"/>
      <c r="D192" s="237"/>
      <c r="E192" s="237" t="s">
        <v>207</v>
      </c>
      <c r="F192" s="235">
        <v>1000</v>
      </c>
    </row>
    <row r="193" spans="1:6" ht="17.25" x14ac:dyDescent="0.2">
      <c r="A193" s="236" t="s">
        <v>190</v>
      </c>
      <c r="B193" s="304">
        <f>F193*(B191/F192)^B192</f>
        <v>0</v>
      </c>
      <c r="C193" s="237"/>
      <c r="D193" s="237"/>
      <c r="E193" s="237" t="s">
        <v>190</v>
      </c>
      <c r="F193" s="235">
        <f>10^(F189+F190*LOG10(F192)+F191*LOG10(F192)^2)</f>
        <v>140023.20047858494</v>
      </c>
    </row>
    <row r="194" spans="1:6" x14ac:dyDescent="0.2">
      <c r="A194" s="310" t="s">
        <v>200</v>
      </c>
      <c r="B194" s="304">
        <v>3.1</v>
      </c>
      <c r="C194" s="237"/>
      <c r="D194" s="237"/>
      <c r="E194" s="237"/>
      <c r="F194" s="235"/>
    </row>
    <row r="195" spans="1:6" x14ac:dyDescent="0.2">
      <c r="A195" s="310" t="s">
        <v>195</v>
      </c>
      <c r="B195" s="304">
        <f>10^(D196+D197*LOG10(D195)+D198*LOG10(D195)^2)</f>
        <v>1</v>
      </c>
      <c r="C195" s="305" t="s">
        <v>196</v>
      </c>
      <c r="D195" s="313">
        <f>AA15</f>
        <v>32.4665161391653</v>
      </c>
      <c r="E195" s="237" t="s">
        <v>208</v>
      </c>
      <c r="F195" s="235" t="s">
        <v>209</v>
      </c>
    </row>
    <row r="196" spans="1:6" x14ac:dyDescent="0.2">
      <c r="A196" s="310"/>
      <c r="B196" s="304"/>
      <c r="C196" s="237" t="s">
        <v>197</v>
      </c>
      <c r="D196" s="237"/>
      <c r="E196" s="237" t="s">
        <v>210</v>
      </c>
      <c r="F196" s="235"/>
    </row>
    <row r="197" spans="1:6" x14ac:dyDescent="0.2">
      <c r="A197" s="310"/>
      <c r="B197" s="304"/>
      <c r="C197" s="237" t="s">
        <v>198</v>
      </c>
      <c r="D197" s="237">
        <v>0</v>
      </c>
      <c r="E197" s="237"/>
      <c r="F197" s="235"/>
    </row>
    <row r="198" spans="1:6" x14ac:dyDescent="0.2">
      <c r="A198" s="311"/>
      <c r="B198" s="312"/>
      <c r="C198" s="239" t="s">
        <v>199</v>
      </c>
      <c r="D198" s="239">
        <v>0</v>
      </c>
      <c r="E198" s="239"/>
      <c r="F198" s="64"/>
    </row>
  </sheetData>
  <mergeCells count="21">
    <mergeCell ref="E164:F164"/>
    <mergeCell ref="E176:F176"/>
    <mergeCell ref="E188:F188"/>
    <mergeCell ref="A127:F127"/>
    <mergeCell ref="E128:F128"/>
    <mergeCell ref="E140:F140"/>
    <mergeCell ref="E152:F152"/>
    <mergeCell ref="E44:F44"/>
    <mergeCell ref="A31:A33"/>
    <mergeCell ref="F37:G37"/>
    <mergeCell ref="F38:G38"/>
    <mergeCell ref="A9:A14"/>
    <mergeCell ref="A16:A18"/>
    <mergeCell ref="A19:A20"/>
    <mergeCell ref="A22:A25"/>
    <mergeCell ref="A27:A30"/>
    <mergeCell ref="G88:G93"/>
    <mergeCell ref="G94:G97"/>
    <mergeCell ref="I101:AD101"/>
    <mergeCell ref="H60:V60"/>
    <mergeCell ref="H75:AD7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Material</vt:lpstr>
      <vt:lpstr>3-stage 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SYW</dc:creator>
  <cp:lastModifiedBy>SYW</cp:lastModifiedBy>
  <dcterms:created xsi:type="dcterms:W3CDTF">2020-11-19T13:21:38Z</dcterms:created>
  <dcterms:modified xsi:type="dcterms:W3CDTF">2020-12-04T13:29:03Z</dcterms:modified>
</cp:coreProperties>
</file>