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9.xml" ContentType="application/inkml+xml"/>
  <Override PartName="/xl/ink/ink50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B64EE5C-4D7D-48F1-8201-FE424656C928}" xr6:coauthVersionLast="46" xr6:coauthVersionMax="46" xr10:uidLastSave="{00000000-0000-0000-0000-000000000000}"/>
  <bookViews>
    <workbookView xWindow="-120" yWindow="-120" windowWidth="29040" windowHeight="15840" xr2:uid="{77AE5578-4720-4E2E-9560-BE3D67136B2B}"/>
  </bookViews>
  <sheets>
    <sheet name="Foglio1" sheetId="1" r:id="rId1"/>
    <sheet name="Economic ass." sheetId="3" r:id="rId2"/>
    <sheet name="Chemical exergy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66" i="1" l="1"/>
  <c r="B10" i="3"/>
  <c r="B16" i="3"/>
  <c r="F3" i="3"/>
  <c r="B13" i="3"/>
  <c r="B12" i="3"/>
  <c r="B2" i="3"/>
  <c r="B9" i="3"/>
  <c r="B8" i="3"/>
  <c r="B3" i="3"/>
  <c r="B5" i="3" s="1"/>
  <c r="O402" i="1"/>
  <c r="O399" i="1"/>
  <c r="AW152" i="1"/>
  <c r="AJ152" i="1"/>
  <c r="B14" i="3" l="1"/>
  <c r="B15" i="3"/>
  <c r="G3" i="3"/>
  <c r="Q2" i="3" s="1"/>
  <c r="B11" i="3"/>
  <c r="BH367" i="1"/>
  <c r="BH366" i="1"/>
  <c r="BH365" i="1"/>
  <c r="F18" i="3" l="1"/>
  <c r="G18" i="3" s="1"/>
  <c r="F11" i="3"/>
  <c r="G11" i="3" s="1"/>
  <c r="F19" i="3"/>
  <c r="G19" i="3" s="1"/>
  <c r="F27" i="3"/>
  <c r="G27" i="3" s="1"/>
  <c r="F35" i="3"/>
  <c r="G35" i="3" s="1"/>
  <c r="F12" i="3"/>
  <c r="G12" i="3" s="1"/>
  <c r="F20" i="3"/>
  <c r="G20" i="3" s="1"/>
  <c r="F28" i="3"/>
  <c r="G28" i="3" s="1"/>
  <c r="F36" i="3"/>
  <c r="G36" i="3" s="1"/>
  <c r="F5" i="3"/>
  <c r="G5" i="3" s="1"/>
  <c r="F13" i="3"/>
  <c r="G13" i="3" s="1"/>
  <c r="F21" i="3"/>
  <c r="G21" i="3" s="1"/>
  <c r="F29" i="3"/>
  <c r="G29" i="3" s="1"/>
  <c r="F37" i="3"/>
  <c r="G37" i="3" s="1"/>
  <c r="F6" i="3"/>
  <c r="G6" i="3" s="1"/>
  <c r="F14" i="3"/>
  <c r="G14" i="3" s="1"/>
  <c r="F30" i="3"/>
  <c r="G30" i="3" s="1"/>
  <c r="F38" i="3"/>
  <c r="G38" i="3" s="1"/>
  <c r="F25" i="3"/>
  <c r="G25" i="3" s="1"/>
  <c r="F34" i="3"/>
  <c r="G34" i="3" s="1"/>
  <c r="F22" i="3"/>
  <c r="G22" i="3" s="1"/>
  <c r="F10" i="3"/>
  <c r="G10" i="3" s="1"/>
  <c r="F7" i="3"/>
  <c r="G7" i="3" s="1"/>
  <c r="F15" i="3"/>
  <c r="G15" i="3" s="1"/>
  <c r="F23" i="3"/>
  <c r="G23" i="3" s="1"/>
  <c r="F31" i="3"/>
  <c r="G31" i="3" s="1"/>
  <c r="F4" i="3"/>
  <c r="G4" i="3" s="1"/>
  <c r="F8" i="3"/>
  <c r="G8" i="3" s="1"/>
  <c r="F16" i="3"/>
  <c r="G16" i="3" s="1"/>
  <c r="F24" i="3"/>
  <c r="G24" i="3" s="1"/>
  <c r="F32" i="3"/>
  <c r="G32" i="3" s="1"/>
  <c r="F9" i="3"/>
  <c r="G9" i="3" s="1"/>
  <c r="F17" i="3"/>
  <c r="G17" i="3" s="1"/>
  <c r="F33" i="3"/>
  <c r="G33" i="3" s="1"/>
  <c r="F26" i="3"/>
  <c r="G26" i="3" s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20" i="1"/>
  <c r="Y400" i="1"/>
  <c r="Y401" i="1"/>
  <c r="Y402" i="1"/>
  <c r="Y403" i="1"/>
  <c r="Y404" i="1"/>
  <c r="Y405" i="1"/>
  <c r="Y406" i="1"/>
  <c r="Y407" i="1"/>
  <c r="Y408" i="1"/>
  <c r="Y409" i="1"/>
  <c r="Y410" i="1"/>
  <c r="Y412" i="1"/>
  <c r="Y415" i="1"/>
  <c r="Y416" i="1"/>
  <c r="Y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399" i="1"/>
  <c r="O417" i="1"/>
  <c r="M417" i="1"/>
  <c r="O416" i="1"/>
  <c r="M416" i="1"/>
  <c r="O415" i="1"/>
  <c r="M415" i="1"/>
  <c r="O414" i="1"/>
  <c r="M414" i="1"/>
  <c r="O413" i="1"/>
  <c r="M413" i="1"/>
  <c r="O412" i="1"/>
  <c r="M412" i="1"/>
  <c r="O411" i="1"/>
  <c r="M411" i="1"/>
  <c r="O410" i="1"/>
  <c r="M410" i="1"/>
  <c r="O409" i="1"/>
  <c r="M409" i="1"/>
  <c r="O408" i="1"/>
  <c r="M408" i="1"/>
  <c r="O400" i="1"/>
  <c r="O407" i="1"/>
  <c r="M407" i="1"/>
  <c r="O406" i="1"/>
  <c r="M406" i="1"/>
  <c r="O405" i="1"/>
  <c r="M405" i="1"/>
  <c r="O404" i="1"/>
  <c r="M404" i="1"/>
  <c r="O403" i="1"/>
  <c r="M403" i="1"/>
  <c r="M402" i="1"/>
  <c r="O401" i="1"/>
  <c r="M401" i="1"/>
  <c r="M400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399" i="1"/>
  <c r="M399" i="1"/>
  <c r="Q3" i="3" l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G40" i="3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70" i="1"/>
  <c r="BA371" i="1"/>
  <c r="BA340" i="1"/>
  <c r="AG372" i="1"/>
  <c r="AA371" i="1"/>
  <c r="W370" i="1"/>
  <c r="AG369" i="1"/>
  <c r="AH368" i="1"/>
  <c r="AK367" i="1"/>
  <c r="Q366" i="1"/>
  <c r="O365" i="1"/>
  <c r="AW361" i="1"/>
  <c r="AW360" i="1"/>
  <c r="N380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31" i="1"/>
  <c r="AD148" i="1"/>
  <c r="AD144" i="1"/>
  <c r="T310" i="1"/>
  <c r="U303" i="1"/>
  <c r="M313" i="1"/>
  <c r="M297" i="1"/>
  <c r="M298" i="1" s="1"/>
  <c r="AD142" i="1" s="1"/>
  <c r="M280" i="1"/>
  <c r="M284" i="1" s="1"/>
  <c r="M285" i="1" s="1"/>
  <c r="AD141" i="1" s="1"/>
  <c r="M247" i="1"/>
  <c r="M278" i="1"/>
  <c r="U274" i="1"/>
  <c r="M267" i="1"/>
  <c r="AD140" i="1" s="1"/>
  <c r="M266" i="1"/>
  <c r="M249" i="1"/>
  <c r="M253" i="1" s="1"/>
  <c r="M254" i="1" s="1"/>
  <c r="AD139" i="1" s="1"/>
  <c r="U243" i="1"/>
  <c r="U225" i="1"/>
  <c r="M231" i="1"/>
  <c r="M235" i="1" s="1"/>
  <c r="M236" i="1" s="1"/>
  <c r="AD138" i="1" s="1"/>
  <c r="M229" i="1"/>
  <c r="AD137" i="1"/>
  <c r="AD136" i="1"/>
  <c r="U198" i="1"/>
  <c r="M206" i="1"/>
  <c r="M205" i="1"/>
  <c r="P204" i="1" s="1"/>
  <c r="P205" i="1" s="1"/>
  <c r="M211" i="1" s="1"/>
  <c r="M212" i="1" s="1"/>
  <c r="AD135" i="1" s="1"/>
  <c r="U180" i="1"/>
  <c r="AD134" i="1" s="1"/>
  <c r="M191" i="1"/>
  <c r="M186" i="1"/>
  <c r="M184" i="1"/>
  <c r="M173" i="1"/>
  <c r="AD133" i="1" s="1"/>
  <c r="M172" i="1"/>
  <c r="U149" i="1"/>
  <c r="M155" i="1"/>
  <c r="M159" i="1" s="1"/>
  <c r="M160" i="1" s="1"/>
  <c r="AD132" i="1" s="1"/>
  <c r="M153" i="1"/>
  <c r="AD131" i="1"/>
  <c r="M141" i="1"/>
  <c r="BH119" i="1"/>
  <c r="BH116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7" i="1"/>
  <c r="BH118" i="1"/>
  <c r="BH87" i="1"/>
  <c r="AK119" i="1"/>
  <c r="AE118" i="1"/>
  <c r="AA117" i="1"/>
  <c r="AK116" i="1"/>
  <c r="AL115" i="1"/>
  <c r="AO114" i="1"/>
  <c r="U113" i="1"/>
  <c r="S112" i="1"/>
  <c r="N22" i="1"/>
  <c r="O22" i="1"/>
  <c r="P22" i="1"/>
  <c r="Q22" i="1"/>
  <c r="R22" i="1"/>
  <c r="S22" i="1"/>
  <c r="T22" i="1"/>
  <c r="U22" i="1"/>
  <c r="V22" i="1"/>
  <c r="W22" i="1"/>
  <c r="X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M23" i="1"/>
  <c r="M21" i="1"/>
  <c r="M20" i="1" s="1"/>
  <c r="N21" i="1"/>
  <c r="N24" i="1" s="1"/>
  <c r="O21" i="1"/>
  <c r="O24" i="1" s="1"/>
  <c r="P21" i="1"/>
  <c r="P24" i="1" s="1"/>
  <c r="Q21" i="1"/>
  <c r="Q24" i="1" s="1"/>
  <c r="R21" i="1"/>
  <c r="R24" i="1" s="1"/>
  <c r="S21" i="1"/>
  <c r="S24" i="1" s="1"/>
  <c r="T21" i="1"/>
  <c r="T20" i="1" s="1"/>
  <c r="U21" i="1"/>
  <c r="U24" i="1" s="1"/>
  <c r="V21" i="1"/>
  <c r="V24" i="1" s="1"/>
  <c r="W21" i="1"/>
  <c r="W20" i="1" s="1"/>
  <c r="X21" i="1"/>
  <c r="X24" i="1" s="1"/>
  <c r="Y21" i="1"/>
  <c r="Y20" i="1" s="1"/>
  <c r="Z21" i="1"/>
  <c r="Z24" i="1" s="1"/>
  <c r="AA21" i="1"/>
  <c r="AA24" i="1" s="1"/>
  <c r="AB21" i="1"/>
  <c r="AB24" i="1" s="1"/>
  <c r="AC21" i="1"/>
  <c r="AC24" i="1" s="1"/>
  <c r="AD21" i="1"/>
  <c r="AD20" i="1" s="1"/>
  <c r="AE21" i="1"/>
  <c r="AE20" i="1" s="1"/>
  <c r="AF21" i="1"/>
  <c r="AF24" i="1" s="1"/>
  <c r="AG21" i="1"/>
  <c r="AG20" i="1" s="1"/>
  <c r="AH21" i="1"/>
  <c r="AH24" i="1" s="1"/>
  <c r="AI21" i="1"/>
  <c r="AI24" i="1" s="1"/>
  <c r="AJ21" i="1"/>
  <c r="AJ20" i="1" s="1"/>
  <c r="K1" i="3" l="1"/>
  <c r="H1" i="3"/>
  <c r="M24" i="1"/>
  <c r="W24" i="1"/>
  <c r="AE24" i="1"/>
  <c r="AC20" i="1"/>
  <c r="AC25" i="1" s="1"/>
  <c r="AC26" i="1" s="1"/>
  <c r="N20" i="1"/>
  <c r="N25" i="1" s="1"/>
  <c r="N26" i="1" s="1"/>
  <c r="AG24" i="1"/>
  <c r="Y24" i="1"/>
  <c r="AD24" i="1"/>
  <c r="AE25" i="1"/>
  <c r="AE26" i="1" s="1"/>
  <c r="V20" i="1"/>
  <c r="V25" i="1" s="1"/>
  <c r="V26" i="1" s="1"/>
  <c r="Q20" i="1"/>
  <c r="AG25" i="1"/>
  <c r="AG26" i="1" s="1"/>
  <c r="U20" i="1"/>
  <c r="U25" i="1" s="1"/>
  <c r="U26" i="1" s="1"/>
  <c r="Q25" i="1"/>
  <c r="Q26" i="1" s="1"/>
  <c r="O20" i="1"/>
  <c r="O25" i="1" s="1"/>
  <c r="O26" i="1" s="1"/>
  <c r="W25" i="1"/>
  <c r="W26" i="1" s="1"/>
  <c r="AD25" i="1"/>
  <c r="AD26" i="1" s="1"/>
  <c r="T25" i="1"/>
  <c r="T26" i="1" s="1"/>
  <c r="AJ25" i="1"/>
  <c r="AJ26" i="1" s="1"/>
  <c r="AB20" i="1"/>
  <c r="AB25" i="1" s="1"/>
  <c r="AB26" i="1" s="1"/>
  <c r="AI20" i="1"/>
  <c r="AI25" i="1" s="1"/>
  <c r="AI26" i="1" s="1"/>
  <c r="AA20" i="1"/>
  <c r="AA25" i="1" s="1"/>
  <c r="AA26" i="1" s="1"/>
  <c r="S20" i="1"/>
  <c r="S25" i="1" s="1"/>
  <c r="S26" i="1" s="1"/>
  <c r="M22" i="1"/>
  <c r="M25" i="1" s="1"/>
  <c r="M26" i="1" s="1"/>
  <c r="AH20" i="1"/>
  <c r="AH25" i="1" s="1"/>
  <c r="AH26" i="1" s="1"/>
  <c r="Z20" i="1"/>
  <c r="Z25" i="1" s="1"/>
  <c r="Z26" i="1" s="1"/>
  <c r="R20" i="1"/>
  <c r="R25" i="1" s="1"/>
  <c r="R26" i="1" s="1"/>
  <c r="AJ24" i="1"/>
  <c r="T24" i="1"/>
  <c r="AF20" i="1"/>
  <c r="AF25" i="1" s="1"/>
  <c r="AF26" i="1" s="1"/>
  <c r="X20" i="1"/>
  <c r="X25" i="1" s="1"/>
  <c r="X26" i="1" s="1"/>
  <c r="P20" i="1"/>
  <c r="P25" i="1" s="1"/>
  <c r="P26" i="1" s="1"/>
  <c r="Y22" i="1"/>
  <c r="Y25" i="1" s="1"/>
  <c r="Y26" i="1" s="1"/>
  <c r="M40" i="1" l="1"/>
  <c r="M39" i="1"/>
  <c r="M38" i="1"/>
  <c r="M37" i="1"/>
</calcChain>
</file>

<file path=xl/sharedStrings.xml><?xml version="1.0" encoding="utf-8"?>
<sst xmlns="http://schemas.openxmlformats.org/spreadsheetml/2006/main" count="1152" uniqueCount="378">
  <si>
    <t>ADIABATIC CAES (pressurized water TES)</t>
  </si>
  <si>
    <t>Components</t>
  </si>
  <si>
    <t>CMPR1</t>
  </si>
  <si>
    <t>HXC1</t>
  </si>
  <si>
    <t>CMPR2</t>
  </si>
  <si>
    <t>HXC2</t>
  </si>
  <si>
    <t>COOL1</t>
  </si>
  <si>
    <t>CAVERN</t>
  </si>
  <si>
    <t>VALVE</t>
  </si>
  <si>
    <t>HXC3</t>
  </si>
  <si>
    <t>HXC4</t>
  </si>
  <si>
    <t>HP-TURB</t>
  </si>
  <si>
    <t>HXC5</t>
  </si>
  <si>
    <t>LP-TURB</t>
  </si>
  <si>
    <t>MIX1</t>
  </si>
  <si>
    <t>SPLIT1</t>
  </si>
  <si>
    <t>MIX2</t>
  </si>
  <si>
    <t>SPLIT2</t>
  </si>
  <si>
    <t>COOL2 (fittitius)</t>
  </si>
  <si>
    <t>Streams</t>
  </si>
  <si>
    <t>6'</t>
  </si>
  <si>
    <t>COLD1</t>
  </si>
  <si>
    <t>COLD2</t>
  </si>
  <si>
    <t>COLD3</t>
  </si>
  <si>
    <t>COLD4</t>
  </si>
  <si>
    <t>HOT-TANK</t>
  </si>
  <si>
    <t>HOT1</t>
  </si>
  <si>
    <t>HOT2</t>
  </si>
  <si>
    <t>HOT3</t>
  </si>
  <si>
    <t>HOT4</t>
  </si>
  <si>
    <t>HOT5</t>
  </si>
  <si>
    <t>HOT6</t>
  </si>
  <si>
    <t>HC1</t>
  </si>
  <si>
    <t>AIR</t>
  </si>
  <si>
    <t>WATER</t>
  </si>
  <si>
    <t>WORK/HEAT</t>
  </si>
  <si>
    <t>TASK1</t>
  </si>
  <si>
    <t>Units</t>
  </si>
  <si>
    <t>From</t>
  </si>
  <si>
    <t>COOLER1</t>
  </si>
  <si>
    <t>To</t>
  </si>
  <si>
    <t>Phase</t>
  </si>
  <si>
    <t>Vapor Phase</t>
  </si>
  <si>
    <t>Temperature</t>
  </si>
  <si>
    <t>C</t>
  </si>
  <si>
    <t>Pressure</t>
  </si>
  <si>
    <t>bar</t>
  </si>
  <si>
    <t>Molar Enthalpy</t>
  </si>
  <si>
    <t>kJ/kmol</t>
  </si>
  <si>
    <t>Mass Enthalpy</t>
  </si>
  <si>
    <t>kJ/kg</t>
  </si>
  <si>
    <t>Molar Entropy</t>
  </si>
  <si>
    <t>kJ/kmol-K</t>
  </si>
  <si>
    <t>Mass Entropy</t>
  </si>
  <si>
    <t>kJ/kg-K</t>
  </si>
  <si>
    <t>Molar Density</t>
  </si>
  <si>
    <t>kmol/cum</t>
  </si>
  <si>
    <t>Mass Density</t>
  </si>
  <si>
    <t>kg/cum</t>
  </si>
  <si>
    <t>Mole Flows</t>
  </si>
  <si>
    <t>kmol/sec</t>
  </si>
  <si>
    <t>Mass Flows</t>
  </si>
  <si>
    <t>kg/sec</t>
  </si>
  <si>
    <t>Enthalpy, mixture (T=25(C) P=1(bar))</t>
  </si>
  <si>
    <t>Entropy, mixture (T=25(C) P=1(bar))</t>
  </si>
  <si>
    <t>Liquid Phase</t>
  </si>
  <si>
    <t>COLDTANK</t>
  </si>
  <si>
    <t>COOLER2</t>
  </si>
  <si>
    <t>WHPT</t>
  </si>
  <si>
    <t>WLPT</t>
  </si>
  <si>
    <t>HC2</t>
  </si>
  <si>
    <t>WORK/HEAT STREAMS (MW)</t>
  </si>
  <si>
    <t>WC1</t>
  </si>
  <si>
    <t>WC2</t>
  </si>
  <si>
    <t>Physical exergy</t>
  </si>
  <si>
    <t>Chemical exergy</t>
  </si>
  <si>
    <t>Total Exergy</t>
  </si>
  <si>
    <t>MW</t>
  </si>
  <si>
    <t>WT tot</t>
  </si>
  <si>
    <t>WC tot</t>
  </si>
  <si>
    <t>Tot out</t>
  </si>
  <si>
    <t>Eta</t>
  </si>
  <si>
    <t>Biopshere</t>
  </si>
  <si>
    <t>T0 [K]</t>
  </si>
  <si>
    <t>P0 [bar]</t>
  </si>
  <si>
    <t>(kg/kmol)</t>
  </si>
  <si>
    <t>Molar weigth</t>
  </si>
  <si>
    <t>y02</t>
  </si>
  <si>
    <t>yN2</t>
  </si>
  <si>
    <t>R kJ/kmol/K</t>
  </si>
  <si>
    <t>std ch.ex O2</t>
  </si>
  <si>
    <t>std ch.ex N2</t>
  </si>
  <si>
    <t>std ch.ex H2O (l)</t>
  </si>
  <si>
    <t>TASK 2-3-4</t>
  </si>
  <si>
    <t>Productive structure of the system</t>
  </si>
  <si>
    <t>Component</t>
  </si>
  <si>
    <t>F</t>
  </si>
  <si>
    <t>P</t>
  </si>
  <si>
    <t>D or L</t>
  </si>
  <si>
    <t>HT-IN</t>
  </si>
  <si>
    <t>HT-OUT</t>
  </si>
  <si>
    <t>CT-IN</t>
  </si>
  <si>
    <t>CT-OUT</t>
  </si>
  <si>
    <t>COLD-TANK</t>
  </si>
  <si>
    <t>6 and 6'</t>
  </si>
  <si>
    <t>both CT-IN and CT-OUT</t>
  </si>
  <si>
    <t>Both HT_IN and HT-OUT</t>
  </si>
  <si>
    <t>COOLER 1</t>
  </si>
  <si>
    <t>E2-E1</t>
  </si>
  <si>
    <t>//</t>
  </si>
  <si>
    <t>E2-E3</t>
  </si>
  <si>
    <t>COLD3-COLD1</t>
  </si>
  <si>
    <t>E4-E3</t>
  </si>
  <si>
    <t>E4-E5</t>
  </si>
  <si>
    <t>COLD4-COLD2</t>
  </si>
  <si>
    <t>E5</t>
  </si>
  <si>
    <t>E6</t>
  </si>
  <si>
    <t>E6'</t>
  </si>
  <si>
    <t>E7</t>
  </si>
  <si>
    <t>HOT5-HOT6</t>
  </si>
  <si>
    <t>E8-E7</t>
  </si>
  <si>
    <t>HOT4-HOT2</t>
  </si>
  <si>
    <t>E9-E8</t>
  </si>
  <si>
    <t>E9-E10</t>
  </si>
  <si>
    <t>HOT1-HOT3</t>
  </si>
  <si>
    <t>E11-E10</t>
  </si>
  <si>
    <t>E11</t>
  </si>
  <si>
    <t>E12</t>
  </si>
  <si>
    <t>COLD3+COLD4</t>
  </si>
  <si>
    <t>HOT1+HOT2</t>
  </si>
  <si>
    <t>HOT3+HOT4</t>
  </si>
  <si>
    <t>COLD TANK</t>
  </si>
  <si>
    <t>HOT TANK</t>
  </si>
  <si>
    <t>INCIDENCE MATRIX</t>
  </si>
  <si>
    <t>A</t>
  </si>
  <si>
    <t>ENERGY STREAMS</t>
  </si>
  <si>
    <t>MATERIAL STREAMS (WATER)</t>
  </si>
  <si>
    <t>MATERIAL STREAMS (AIR)</t>
  </si>
  <si>
    <t>COLD1+COLD2</t>
  </si>
  <si>
    <t>EXERGY VECTOR</t>
  </si>
  <si>
    <t>E(MW)</t>
  </si>
  <si>
    <t>cold1</t>
  </si>
  <si>
    <t>cold2</t>
  </si>
  <si>
    <t>cold3</t>
  </si>
  <si>
    <t>cold4</t>
  </si>
  <si>
    <t>ht-in</t>
  </si>
  <si>
    <t>ht-out</t>
  </si>
  <si>
    <t>hot1</t>
  </si>
  <si>
    <t>hot2</t>
  </si>
  <si>
    <t>hot3</t>
  </si>
  <si>
    <t>hot4</t>
  </si>
  <si>
    <t>hot5</t>
  </si>
  <si>
    <t>hot6</t>
  </si>
  <si>
    <t>ct-in</t>
  </si>
  <si>
    <t>ct-out</t>
  </si>
  <si>
    <t>wc1</t>
  </si>
  <si>
    <t>wc2</t>
  </si>
  <si>
    <t>hc1</t>
  </si>
  <si>
    <t>whpt</t>
  </si>
  <si>
    <t>wlpt</t>
  </si>
  <si>
    <t>hc2</t>
  </si>
  <si>
    <t xml:space="preserve">Total Exergy </t>
  </si>
  <si>
    <t>kW</t>
  </si>
  <si>
    <t>IRREVERSIBILITIES</t>
  </si>
  <si>
    <t>I(MW)</t>
  </si>
  <si>
    <t>from matlab</t>
  </si>
  <si>
    <t>corrected values</t>
  </si>
  <si>
    <t>COST MATRIX AND VECTOR OF EXTERNAL ASSESMENT</t>
  </si>
  <si>
    <t>Ac</t>
  </si>
  <si>
    <t>incidence matrix</t>
  </si>
  <si>
    <t>Auxiliary equations</t>
  </si>
  <si>
    <t>P1,1</t>
  </si>
  <si>
    <t>E1*=E1</t>
  </si>
  <si>
    <t>Vector of ext. Assesments</t>
  </si>
  <si>
    <t>Ye(MW)</t>
  </si>
  <si>
    <t>P1,2</t>
  </si>
  <si>
    <t>E*WC1=EWC1</t>
  </si>
  <si>
    <t>P1,3</t>
  </si>
  <si>
    <t>E*WC2=EWC2</t>
  </si>
  <si>
    <t>P2,1</t>
  </si>
  <si>
    <t>E*HC1=0</t>
  </si>
  <si>
    <t>P2,2</t>
  </si>
  <si>
    <t>E*HC2=0</t>
  </si>
  <si>
    <t>P2,3</t>
  </si>
  <si>
    <t>E*12=0</t>
  </si>
  <si>
    <t>P3,1</t>
  </si>
  <si>
    <t>P3,2</t>
  </si>
  <si>
    <t>P3,3</t>
  </si>
  <si>
    <t>k2*=k3*</t>
  </si>
  <si>
    <t>k4*=k5*</t>
  </si>
  <si>
    <t>khot5*=khot6*</t>
  </si>
  <si>
    <t>P3,4</t>
  </si>
  <si>
    <t>khot2*=khot4*</t>
  </si>
  <si>
    <t>P3,5</t>
  </si>
  <si>
    <t>khot1*=khot3*</t>
  </si>
  <si>
    <t>P3,6</t>
  </si>
  <si>
    <t>k9*=k10*</t>
  </si>
  <si>
    <t>P4,1</t>
  </si>
  <si>
    <t>P4,2</t>
  </si>
  <si>
    <t>khot1*=khot2*</t>
  </si>
  <si>
    <t>Exergy cost</t>
  </si>
  <si>
    <t>E*(MW)</t>
  </si>
  <si>
    <t>Unit exergy cost</t>
  </si>
  <si>
    <t>k*</t>
  </si>
  <si>
    <t>COST OF COMPONENTS</t>
  </si>
  <si>
    <t>CMPR 1</t>
  </si>
  <si>
    <t>Cp°</t>
  </si>
  <si>
    <t>Fp</t>
  </si>
  <si>
    <t>Fm</t>
  </si>
  <si>
    <t>Type:</t>
  </si>
  <si>
    <t>Centrifugal, axial, and reciprocating</t>
  </si>
  <si>
    <t>c1:</t>
  </si>
  <si>
    <t>Centrifugal compressor made of Carbon steel</t>
  </si>
  <si>
    <t>k1:</t>
  </si>
  <si>
    <t>c2:</t>
  </si>
  <si>
    <t>Fm:</t>
  </si>
  <si>
    <t>k2:</t>
  </si>
  <si>
    <t>c3:</t>
  </si>
  <si>
    <t>k3:</t>
  </si>
  <si>
    <t>no size A</t>
  </si>
  <si>
    <t>size A:</t>
  </si>
  <si>
    <t>power kW</t>
  </si>
  <si>
    <t>min</t>
  </si>
  <si>
    <t>max</t>
  </si>
  <si>
    <t>Fp=10^(c1+c2*Log(A)+c3*(Log(A))^2)=</t>
  </si>
  <si>
    <t>Cp°=10^(k1+k2Log(Amax)+k3(LogAmax)^2)=</t>
  </si>
  <si>
    <t>scale effect</t>
  </si>
  <si>
    <t>n:</t>
  </si>
  <si>
    <t>(six-tenths rule)</t>
  </si>
  <si>
    <t>A':</t>
  </si>
  <si>
    <t>Cp°'=Cp°*(A'/A)^n=</t>
  </si>
  <si>
    <t>$</t>
  </si>
  <si>
    <t>WACC</t>
  </si>
  <si>
    <t>of Cbec</t>
  </si>
  <si>
    <t>of EPCC</t>
  </si>
  <si>
    <t>of TPC</t>
  </si>
  <si>
    <t>Financial structure</t>
  </si>
  <si>
    <t>cost of equity</t>
  </si>
  <si>
    <t>cost of debts</t>
  </si>
  <si>
    <t xml:space="preserve">Cbec(2001$) </t>
  </si>
  <si>
    <t>CEPCI(2001)</t>
  </si>
  <si>
    <t>CEPCI(2019)*</t>
  </si>
  <si>
    <t>EPCC(2019$)</t>
  </si>
  <si>
    <t>TPC(2019$)</t>
  </si>
  <si>
    <t>TOC(2019$)</t>
  </si>
  <si>
    <t>EQUITY</t>
  </si>
  <si>
    <t>DEBTS</t>
  </si>
  <si>
    <t>Rf</t>
  </si>
  <si>
    <t>Rm</t>
  </si>
  <si>
    <t>Rs</t>
  </si>
  <si>
    <t>β</t>
  </si>
  <si>
    <t>Ke</t>
  </si>
  <si>
    <t>IRS</t>
  </si>
  <si>
    <t>SPREAD</t>
  </si>
  <si>
    <t>Kd</t>
  </si>
  <si>
    <t>n estimated life of the plant (year)</t>
  </si>
  <si>
    <t>ANNUITY($/year)</t>
  </si>
  <si>
    <t>Availability of the system</t>
  </si>
  <si>
    <t>Hours in a year</t>
  </si>
  <si>
    <t>zi($/s)</t>
  </si>
  <si>
    <t>Cbec(2019$)</t>
  </si>
  <si>
    <t>LP-TRUB</t>
  </si>
  <si>
    <t>floating head</t>
  </si>
  <si>
    <t>CS for both shell and tubes</t>
  </si>
  <si>
    <t>size P</t>
  </si>
  <si>
    <t>Area m^2</t>
  </si>
  <si>
    <t>other fluid:</t>
  </si>
  <si>
    <t>water</t>
  </si>
  <si>
    <t>U(kW/m^2):</t>
  </si>
  <si>
    <t>inlet temp(K):</t>
  </si>
  <si>
    <t>cp water(kJ/kg/K):</t>
  </si>
  <si>
    <t>G(kg/s):</t>
  </si>
  <si>
    <t>outlet temp(K):</t>
  </si>
  <si>
    <t>ɸ(kW):</t>
  </si>
  <si>
    <t>ΔTm,log:</t>
  </si>
  <si>
    <t>T2(K):</t>
  </si>
  <si>
    <t>T3(K):</t>
  </si>
  <si>
    <t>no size P</t>
  </si>
  <si>
    <t>Fp=10^(c1+c2*Log(P)+c3*(Log(P))^2)=</t>
  </si>
  <si>
    <t>HCX2</t>
  </si>
  <si>
    <t>Same price of reference plant since the mass flowrate is the same</t>
  </si>
  <si>
    <t>Cbec$</t>
  </si>
  <si>
    <t>guess value</t>
  </si>
  <si>
    <t>since no reference</t>
  </si>
  <si>
    <t>type:</t>
  </si>
  <si>
    <t>Axial gas turbine</t>
  </si>
  <si>
    <t>power recovery equipment</t>
  </si>
  <si>
    <t>size P:</t>
  </si>
  <si>
    <t>Tmax(°C)</t>
  </si>
  <si>
    <t>I use CS (carbon steel)</t>
  </si>
  <si>
    <t>B1</t>
  </si>
  <si>
    <t>B2</t>
  </si>
  <si>
    <t xml:space="preserve">Assuming a cylindrical vessel </t>
  </si>
  <si>
    <t>SS material</t>
  </si>
  <si>
    <t>Diameter D(m):</t>
  </si>
  <si>
    <t>Length L(m):</t>
  </si>
  <si>
    <t>pressure P(bar):</t>
  </si>
  <si>
    <t>volume m^3</t>
  </si>
  <si>
    <t>Cp°=10^(k1+k2Log(Amin)+k3(LogAmin)^2)=</t>
  </si>
  <si>
    <t>SCALE EFFECT</t>
  </si>
  <si>
    <t>Fp:</t>
  </si>
  <si>
    <t>m =55 kg/s</t>
  </si>
  <si>
    <t>5 hours</t>
  </si>
  <si>
    <t>990 m^3</t>
  </si>
  <si>
    <t>990000 kg of water</t>
  </si>
  <si>
    <t>process vessel vertical</t>
  </si>
  <si>
    <t>SS material to avoid corrosion</t>
  </si>
  <si>
    <t>EXERGO_ECONOMIC ANALYSIS</t>
  </si>
  <si>
    <t>Ze($/s)</t>
  </si>
  <si>
    <t>Electricity price</t>
  </si>
  <si>
    <t>Italy</t>
  </si>
  <si>
    <t>price($/MWh)</t>
  </si>
  <si>
    <t>C1=0</t>
  </si>
  <si>
    <t>CWC1=ce*WC1</t>
  </si>
  <si>
    <t>1€:</t>
  </si>
  <si>
    <t>1GJ:</t>
  </si>
  <si>
    <t>MWh</t>
  </si>
  <si>
    <t>price(€/kWh)</t>
  </si>
  <si>
    <t>CWC2=ce*WC2</t>
  </si>
  <si>
    <t>CHC1=0</t>
  </si>
  <si>
    <t>CHC2=0</t>
  </si>
  <si>
    <t>C12=0</t>
  </si>
  <si>
    <t>c2=c3</t>
  </si>
  <si>
    <t>c4=c5</t>
  </si>
  <si>
    <t>chot5=chot6</t>
  </si>
  <si>
    <t>chot2=cho4</t>
  </si>
  <si>
    <t>chot1=chot3</t>
  </si>
  <si>
    <t>c9=c10</t>
  </si>
  <si>
    <t>k*cold1=k*cold2</t>
  </si>
  <si>
    <t>ccold1=ccold2</t>
  </si>
  <si>
    <t>chot1=chot2</t>
  </si>
  <si>
    <t>Exergo economic cost</t>
  </si>
  <si>
    <t>C($/s)</t>
  </si>
  <si>
    <t>Unit exergo-economic cost</t>
  </si>
  <si>
    <t>c($/MWh)</t>
  </si>
  <si>
    <t>TASK 5</t>
  </si>
  <si>
    <t>Unit cost of resources cf ($/MWh)</t>
  </si>
  <si>
    <t>Unit cost of products cp($/MWh)</t>
  </si>
  <si>
    <t>Cost rate of component z ($/s)</t>
  </si>
  <si>
    <t>Irreversibilities I (MW)</t>
  </si>
  <si>
    <t>Cost of exergy destroyed Cd($/s)</t>
  </si>
  <si>
    <t>Relative cost difference r</t>
  </si>
  <si>
    <t>Exergo-economic factor f</t>
  </si>
  <si>
    <t>Cd+z ($/s)</t>
  </si>
  <si>
    <t>Average electricity cost</t>
  </si>
  <si>
    <t>Energy produced by HPTURB(MWh/year)</t>
  </si>
  <si>
    <t>Energy produced by LPTURB(MWh/year)</t>
  </si>
  <si>
    <t>Average electricity cost ($/MWh)</t>
  </si>
  <si>
    <t>Total TOC</t>
  </si>
  <si>
    <t>r</t>
  </si>
  <si>
    <t>most interesting component</t>
  </si>
  <si>
    <t>Economic assesment of investment</t>
  </si>
  <si>
    <t>Average electricity cost [$/MWh]</t>
  </si>
  <si>
    <t>Retail price %</t>
  </si>
  <si>
    <t>Availability of the plant</t>
  </si>
  <si>
    <t>Life time of the plant [years]</t>
  </si>
  <si>
    <t>Energy produced by HP-TURB [MWh/year]</t>
  </si>
  <si>
    <t>Energy produced by LP-TURB [MWh/year]</t>
  </si>
  <si>
    <t>Energy consumed by CMPR1</t>
  </si>
  <si>
    <t>Energy consumed by CMPR2</t>
  </si>
  <si>
    <t>Year</t>
  </si>
  <si>
    <t>Net cash flow ($)</t>
  </si>
  <si>
    <t>Discounted cash flow ($)</t>
  </si>
  <si>
    <t>Discount rate i</t>
  </si>
  <si>
    <t>Tot earnings [$/year]</t>
  </si>
  <si>
    <t>Tot opex [$/year]</t>
  </si>
  <si>
    <t>Retail price electricity [$/MWh]</t>
  </si>
  <si>
    <t>Electricity price [$/MWh]</t>
  </si>
  <si>
    <t>at year 0 total investment (TOC)</t>
  </si>
  <si>
    <t>from year 1 earnings-opex</t>
  </si>
  <si>
    <t>NPV</t>
  </si>
  <si>
    <t>tot</t>
  </si>
  <si>
    <t>BCR</t>
  </si>
  <si>
    <t>IRR</t>
  </si>
  <si>
    <t>PBT</t>
  </si>
  <si>
    <t>Tot annuity</t>
  </si>
  <si>
    <t>Tot energy consumed</t>
  </si>
  <si>
    <t>Tot energy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</si>
</sst>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14" x14ac:knownFonts="1">
    <font>
      <sz val="11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b/>
      <sz val="20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5" xfId="0" applyFill="1" applyBorder="1"/>
    <xf numFmtId="0" fontId="0" fillId="3" borderId="6" xfId="0" applyFill="1" applyBorder="1"/>
    <xf numFmtId="0" fontId="0" fillId="4" borderId="7" xfId="0" applyFill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4" xfId="0" applyFill="1" applyBorder="1"/>
    <xf numFmtId="0" fontId="0" fillId="6" borderId="15" xfId="0" applyFill="1" applyBorder="1"/>
    <xf numFmtId="0" fontId="4" fillId="0" borderId="4" xfId="0" applyFont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2" borderId="4" xfId="0" applyFill="1" applyBorder="1" applyAlignment="1">
      <alignment horizontal="center"/>
    </xf>
    <xf numFmtId="0" fontId="0" fillId="4" borderId="4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6" xfId="0" applyFill="1" applyBorder="1"/>
    <xf numFmtId="0" fontId="0" fillId="4" borderId="5" xfId="0" applyFill="1" applyBorder="1"/>
    <xf numFmtId="0" fontId="0" fillId="3" borderId="5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6" borderId="4" xfId="0" applyFill="1" applyBorder="1"/>
    <xf numFmtId="0" fontId="0" fillId="6" borderId="2" xfId="0" applyFill="1" applyBorder="1"/>
    <xf numFmtId="0" fontId="0" fillId="6" borderId="3" xfId="0" applyFill="1" applyBorder="1"/>
    <xf numFmtId="0" fontId="3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/>
    <xf numFmtId="0" fontId="3" fillId="7" borderId="4" xfId="0" applyFont="1" applyFill="1" applyBorder="1"/>
    <xf numFmtId="0" fontId="0" fillId="7" borderId="5" xfId="0" applyFill="1" applyBorder="1"/>
    <xf numFmtId="0" fontId="0" fillId="7" borderId="6" xfId="0" applyFill="1" applyBorder="1"/>
    <xf numFmtId="11" fontId="0" fillId="7" borderId="6" xfId="0" applyNumberFormat="1" applyFill="1" applyBorder="1"/>
    <xf numFmtId="11" fontId="0" fillId="7" borderId="7" xfId="0" applyNumberFormat="1" applyFill="1" applyBorder="1"/>
    <xf numFmtId="0" fontId="0" fillId="7" borderId="7" xfId="0" applyFill="1" applyBorder="1"/>
    <xf numFmtId="0" fontId="0" fillId="2" borderId="12" xfId="0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5" xfId="0" applyFont="1" applyBorder="1"/>
    <xf numFmtId="0" fontId="5" fillId="0" borderId="5" xfId="0" applyFont="1" applyBorder="1"/>
    <xf numFmtId="0" fontId="6" fillId="0" borderId="6" xfId="0" applyFont="1" applyFill="1" applyBorder="1"/>
    <xf numFmtId="0" fontId="6" fillId="0" borderId="5" xfId="0" applyFont="1" applyFill="1" applyBorder="1"/>
    <xf numFmtId="0" fontId="6" fillId="0" borderId="6" xfId="0" applyFont="1" applyBorder="1"/>
    <xf numFmtId="0" fontId="7" fillId="0" borderId="6" xfId="0" applyFont="1" applyBorder="1"/>
    <xf numFmtId="0" fontId="7" fillId="0" borderId="6" xfId="0" applyFont="1" applyFill="1" applyBorder="1"/>
    <xf numFmtId="0" fontId="7" fillId="0" borderId="7" xfId="0" applyFont="1" applyFill="1" applyBorder="1"/>
    <xf numFmtId="0" fontId="0" fillId="0" borderId="15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/>
    <xf numFmtId="0" fontId="3" fillId="8" borderId="3" xfId="0" applyFont="1" applyFill="1" applyBorder="1"/>
    <xf numFmtId="0" fontId="0" fillId="9" borderId="1" xfId="0" applyFill="1" applyBorder="1"/>
    <xf numFmtId="0" fontId="3" fillId="9" borderId="3" xfId="0" applyFont="1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6" borderId="0" xfId="0" applyFill="1" applyBorder="1"/>
    <xf numFmtId="0" fontId="0" fillId="6" borderId="13" xfId="0" applyFill="1" applyBorder="1"/>
    <xf numFmtId="0" fontId="0" fillId="6" borderId="11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0" borderId="4" xfId="0" applyFill="1" applyBorder="1"/>
    <xf numFmtId="10" fontId="0" fillId="10" borderId="3" xfId="0" applyNumberFormat="1" applyFill="1" applyBorder="1"/>
    <xf numFmtId="10" fontId="0" fillId="10" borderId="4" xfId="0" applyNumberForma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10" fontId="0" fillId="11" borderId="4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0" fontId="0" fillId="4" borderId="4" xfId="0" applyNumberFormat="1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4" xfId="0" applyFill="1" applyBorder="1"/>
    <xf numFmtId="10" fontId="0" fillId="12" borderId="4" xfId="0" applyNumberFormat="1" applyFill="1" applyBorder="1"/>
    <xf numFmtId="10" fontId="0" fillId="0" borderId="3" xfId="0" applyNumberFormat="1" applyBorder="1"/>
    <xf numFmtId="0" fontId="0" fillId="13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4" fillId="0" borderId="1" xfId="0" applyFont="1" applyBorder="1"/>
    <xf numFmtId="0" fontId="3" fillId="0" borderId="4" xfId="0" applyFont="1" applyBorder="1" applyAlignment="1">
      <alignment horizontal="center"/>
    </xf>
    <xf numFmtId="0" fontId="4" fillId="0" borderId="10" xfId="0" applyFont="1" applyBorder="1"/>
    <xf numFmtId="0" fontId="8" fillId="0" borderId="13" xfId="0" applyFont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14" borderId="1" xfId="0" applyFill="1" applyBorder="1"/>
    <xf numFmtId="0" fontId="0" fillId="14" borderId="4" xfId="0" applyFill="1" applyBorder="1"/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4" fillId="5" borderId="5" xfId="0" applyFont="1" applyFill="1" applyBorder="1"/>
    <xf numFmtId="0" fontId="2" fillId="0" borderId="0" xfId="0" applyFont="1" applyBorder="1"/>
    <xf numFmtId="10" fontId="0" fillId="0" borderId="0" xfId="0" applyNumberFormat="1" applyBorder="1"/>
    <xf numFmtId="0" fontId="0" fillId="0" borderId="2" xfId="0" applyFill="1" applyBorder="1"/>
    <xf numFmtId="0" fontId="4" fillId="5" borderId="6" xfId="0" applyFont="1" applyFill="1" applyBorder="1"/>
    <xf numFmtId="0" fontId="3" fillId="0" borderId="4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4" borderId="5" xfId="0" applyNumberFormat="1" applyFill="1" applyBorder="1" applyAlignment="1">
      <alignment horizontal="center"/>
    </xf>
    <xf numFmtId="0" fontId="0" fillId="14" borderId="6" xfId="0" applyNumberForma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0" borderId="8" xfId="0" applyFont="1" applyBorder="1"/>
    <xf numFmtId="0" fontId="0" fillId="0" borderId="7" xfId="0" applyBorder="1" applyAlignment="1">
      <alignment horizontal="center"/>
    </xf>
    <xf numFmtId="0" fontId="0" fillId="5" borderId="10" xfId="0" applyFill="1" applyBorder="1"/>
    <xf numFmtId="0" fontId="0" fillId="5" borderId="5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13" xfId="0" applyFill="1" applyBorder="1"/>
    <xf numFmtId="0" fontId="0" fillId="5" borderId="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8" xfId="0" applyFill="1" applyBorder="1"/>
    <xf numFmtId="0" fontId="0" fillId="5" borderId="9" xfId="0" applyFill="1" applyBorder="1"/>
    <xf numFmtId="0" fontId="0" fillId="5" borderId="15" xfId="0" applyFill="1" applyBorder="1"/>
    <xf numFmtId="0" fontId="10" fillId="0" borderId="0" xfId="0" applyFont="1"/>
    <xf numFmtId="0" fontId="11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0" fillId="9" borderId="8" xfId="0" applyFill="1" applyBorder="1"/>
    <xf numFmtId="9" fontId="0" fillId="9" borderId="13" xfId="0" applyNumberFormat="1" applyFill="1" applyBorder="1"/>
    <xf numFmtId="9" fontId="0" fillId="0" borderId="13" xfId="0" applyNumberFormat="1" applyBorder="1"/>
    <xf numFmtId="0" fontId="0" fillId="7" borderId="9" xfId="0" applyFill="1" applyBorder="1"/>
    <xf numFmtId="176" fontId="0" fillId="7" borderId="15" xfId="0" applyNumberFormat="1" applyFill="1" applyBorder="1"/>
    <xf numFmtId="10" fontId="12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Irreversibilities 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FD-4540-95CF-83F364199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FD-4540-95CF-83F364199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FD-4540-95CF-83F364199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CA-46DA-A1A6-92FC06F903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FD-4540-95CF-83F3641992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1CA-46DA-A1A6-92FC06F903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1CA-46DA-A1A6-92FC06F903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0FD-4540-95CF-83F36419926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0FD-4540-95CF-83F36419926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0FD-4540-95CF-83F36419926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0FD-4540-95CF-83F36419926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1CA-46DA-A1A6-92FC06F903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1CA-46DA-A1A6-92FC06F903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1CA-46DA-A1A6-92FC06F903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1CA-46DA-A1A6-92FC06F9035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1CA-46DA-A1A6-92FC06F9035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0FD-4540-95CF-83F36419926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1CA-46DA-A1A6-92FC06F9035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1CA-46DA-A1A6-92FC06F90359}"/>
              </c:ext>
            </c:extLst>
          </c:dPt>
          <c:dLbls>
            <c:dLbl>
              <c:idx val="3"/>
              <c:layout>
                <c:manualLayout>
                  <c:x val="-1.2770416225062655E-16"/>
                  <c:y val="-9.37477648043451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CA-46DA-A1A6-92FC06F90359}"/>
                </c:ext>
              </c:extLst>
            </c:dLbl>
            <c:dLbl>
              <c:idx val="5"/>
              <c:layout>
                <c:manualLayout>
                  <c:x val="2.0070095046522636E-2"/>
                  <c:y val="-8.34167697516949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CA-46DA-A1A6-92FC06F90359}"/>
                </c:ext>
              </c:extLst>
            </c:dLbl>
            <c:dLbl>
              <c:idx val="11"/>
              <c:layout>
                <c:manualLayout>
                  <c:x val="-7.8364823011367504E-2"/>
                  <c:y val="-2.9632571844294408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CA-46DA-A1A6-92FC06F90359}"/>
                </c:ext>
              </c:extLst>
            </c:dLbl>
            <c:dLbl>
              <c:idx val="12"/>
              <c:layout>
                <c:manualLayout>
                  <c:x val="2.2619031798577452E-2"/>
                  <c:y val="-7.4781229154416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CA-46DA-A1A6-92FC06F90359}"/>
                </c:ext>
              </c:extLst>
            </c:dLbl>
            <c:dLbl>
              <c:idx val="13"/>
              <c:layout>
                <c:manualLayout>
                  <c:x val="-0.14615374392926969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CA-46DA-A1A6-92FC06F90359}"/>
                </c:ext>
              </c:extLst>
            </c:dLbl>
            <c:dLbl>
              <c:idx val="14"/>
              <c:layout>
                <c:manualLayout>
                  <c:x val="-0.11657501003882226"/>
                  <c:y val="-7.2644622607147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CA-46DA-A1A6-92FC06F90359}"/>
                </c:ext>
              </c:extLst>
            </c:dLbl>
            <c:dLbl>
              <c:idx val="15"/>
              <c:layout>
                <c:manualLayout>
                  <c:x val="-3.827836150528495E-2"/>
                  <c:y val="-7.69178357016859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CA-46DA-A1A6-92FC06F90359}"/>
                </c:ext>
              </c:extLst>
            </c:dLbl>
            <c:dLbl>
              <c:idx val="17"/>
              <c:layout>
                <c:manualLayout>
                  <c:x val="-6.0897393303862374E-2"/>
                  <c:y val="-2.99124916617667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CA-46DA-A1A6-92FC06F90359}"/>
                </c:ext>
              </c:extLst>
            </c:dLbl>
            <c:dLbl>
              <c:idx val="18"/>
              <c:layout>
                <c:manualLayout>
                  <c:x val="4.0018287028252483E-2"/>
                  <c:y val="-3.4185704756304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CA-46DA-A1A6-92FC06F9035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Foglio1!$BH$47:$BH$65</c:f>
              <c:strCache>
                <c:ptCount val="19"/>
                <c:pt idx="0">
                  <c:v>CMPR1</c:v>
                </c:pt>
                <c:pt idx="1">
                  <c:v>HXC1</c:v>
                </c:pt>
                <c:pt idx="2">
                  <c:v>CMPR2</c:v>
                </c:pt>
                <c:pt idx="3">
                  <c:v>HXC2</c:v>
                </c:pt>
                <c:pt idx="4">
                  <c:v>COOLER 1</c:v>
                </c:pt>
                <c:pt idx="5">
                  <c:v>CAVERN</c:v>
                </c:pt>
                <c:pt idx="6">
                  <c:v>VALVE</c:v>
                </c:pt>
                <c:pt idx="7">
                  <c:v>HXC3</c:v>
                </c:pt>
                <c:pt idx="8">
                  <c:v>HXC4</c:v>
                </c:pt>
                <c:pt idx="9">
                  <c:v>HP-TURB</c:v>
                </c:pt>
                <c:pt idx="10">
                  <c:v>HXC5</c:v>
                </c:pt>
                <c:pt idx="11">
                  <c:v>LP-TURB</c:v>
                </c:pt>
                <c:pt idx="12">
                  <c:v>MIX1</c:v>
                </c:pt>
                <c:pt idx="13">
                  <c:v>HOT TANK</c:v>
                </c:pt>
                <c:pt idx="14">
                  <c:v>SPLIT1</c:v>
                </c:pt>
                <c:pt idx="15">
                  <c:v>MIX2</c:v>
                </c:pt>
                <c:pt idx="16">
                  <c:v>COOLER2</c:v>
                </c:pt>
                <c:pt idx="17">
                  <c:v>COLD TANK</c:v>
                </c:pt>
                <c:pt idx="18">
                  <c:v>SPLIT2</c:v>
                </c:pt>
              </c:strCache>
            </c:strRef>
          </c:cat>
          <c:val>
            <c:numRef>
              <c:f>Foglio1!$BI$47:$BI$65</c:f>
              <c:numCache>
                <c:formatCode>General</c:formatCode>
                <c:ptCount val="19"/>
                <c:pt idx="0">
                  <c:v>2.239091621</c:v>
                </c:pt>
                <c:pt idx="1">
                  <c:v>1.19695391</c:v>
                </c:pt>
                <c:pt idx="2">
                  <c:v>2.2983593299999998</c:v>
                </c:pt>
                <c:pt idx="3">
                  <c:v>2.1766781740000001</c:v>
                </c:pt>
                <c:pt idx="4">
                  <c:v>3.3631639999995903E-2</c:v>
                </c:pt>
                <c:pt idx="5">
                  <c:v>0</c:v>
                </c:pt>
                <c:pt idx="6">
                  <c:v>4.9315308199999999</c:v>
                </c:pt>
                <c:pt idx="7">
                  <c:v>0.363706421000004</c:v>
                </c:pt>
                <c:pt idx="8">
                  <c:v>1.84708476499999</c:v>
                </c:pt>
                <c:pt idx="9">
                  <c:v>2.4964479700000002</c:v>
                </c:pt>
                <c:pt idx="10">
                  <c:v>0.98814862699999795</c:v>
                </c:pt>
                <c:pt idx="11">
                  <c:v>4.9389934440000003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3.2673422080000001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A-46DA-A1A6-92FC06F9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PAY-BACK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'Economic ass.'!$P$2:$P$37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'Economic ass.'!$Q$2:$Q$37</c:f>
              <c:numCache>
                <c:formatCode>General</c:formatCode>
                <c:ptCount val="36"/>
                <c:pt idx="0">
                  <c:v>-78515348.199430913</c:v>
                </c:pt>
                <c:pt idx="1">
                  <c:v>-68337101.346472532</c:v>
                </c:pt>
                <c:pt idx="2">
                  <c:v>-58645840.358176053</c:v>
                </c:pt>
                <c:pt idx="3">
                  <c:v>-49418265.030114658</c:v>
                </c:pt>
                <c:pt idx="4">
                  <c:v>-40632189.97364106</c:v>
                </c:pt>
                <c:pt idx="5">
                  <c:v>-32266491.276689291</c:v>
                </c:pt>
                <c:pt idx="6">
                  <c:v>-24301055.716630474</c:v>
                </c:pt>
                <c:pt idx="7">
                  <c:v>-16716732.403077684</c:v>
                </c:pt>
                <c:pt idx="8">
                  <c:v>-9495286.7343770992</c:v>
                </c:pt>
                <c:pt idx="9">
                  <c:v>-2619356.5570854191</c:v>
                </c:pt>
                <c:pt idx="10">
                  <c:v>3927589.5769699775</c:v>
                </c:pt>
                <c:pt idx="11">
                  <c:v>10161292.156408586</c:v>
                </c:pt>
                <c:pt idx="12">
                  <c:v>16096738.554350607</c:v>
                </c:pt>
                <c:pt idx="13">
                  <c:v>21748199.061793618</c:v>
                </c:pt>
                <c:pt idx="14">
                  <c:v>27129261.196945257</c:v>
                </c:pt>
                <c:pt idx="15">
                  <c:v>32252862.373000141</c:v>
                </c:pt>
                <c:pt idx="16">
                  <c:v>37131321.002902433</c:v>
                </c:pt>
                <c:pt idx="17">
                  <c:v>41776366.115877718</c:v>
                </c:pt>
                <c:pt idx="18">
                  <c:v>46199165.556939639</c:v>
                </c:pt>
                <c:pt idx="19">
                  <c:v>50410352.83716999</c:v>
                </c:pt>
                <c:pt idx="20">
                  <c:v>54420052.699326955</c:v>
                </c:pt>
                <c:pt idx="21">
                  <c:v>58237905.460247651</c:v>
                </c:pt>
                <c:pt idx="22">
                  <c:v>61873090.188570142</c:v>
                </c:pt>
                <c:pt idx="23">
                  <c:v>65334346.773499914</c:v>
                </c:pt>
                <c:pt idx="24">
                  <c:v>68629996.937679648</c:v>
                </c:pt>
                <c:pt idx="25">
                  <c:v>71767964.244682491</c:v>
                </c:pt>
                <c:pt idx="26">
                  <c:v>74755793.149231732</c:v>
                </c:pt>
                <c:pt idx="27">
                  <c:v>77600667.135948464</c:v>
                </c:pt>
                <c:pt idx="28">
                  <c:v>80309425.990237191</c:v>
                </c:pt>
                <c:pt idx="29">
                  <c:v>82888582.242832974</c:v>
                </c:pt>
                <c:pt idx="30">
                  <c:v>85344336.82754688</c:v>
                </c:pt>
                <c:pt idx="31">
                  <c:v>87682593.989854813</c:v>
                </c:pt>
                <c:pt idx="32">
                  <c:v>89908975.482173726</c:v>
                </c:pt>
                <c:pt idx="33">
                  <c:v>92028834.079954177</c:v>
                </c:pt>
                <c:pt idx="34">
                  <c:v>94047266.451085284</c:v>
                </c:pt>
                <c:pt idx="35">
                  <c:v>95969125.409553379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8AB-42E0-8A67-A21F2F29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07472"/>
        <c:axId val="1210407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'Economic ass.'!$P$2:$P$37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'Economic ass.'!$P$2:$P$37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8-28AB-42E0-8A67-A21F2F29E716}"/>
                  </c:ext>
                </c:extLst>
              </c15:ser>
            </c15:filteredLineSeries>
          </c:ext>
        </c:extLst>
      </c:lineChart>
      <c:catAx>
        <c:axId val="12104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07888"/>
        <c:crosses val="autoZero"/>
        <c:auto val="1"/>
        <c:lblAlgn val="ctr"/>
        <c:lblOffset val="100"/>
        <c:noMultiLvlLbl val="0"/>
      </c:catAx>
      <c:valAx>
        <c:axId val="12104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4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customXml" Target="../ink/ink25.xml"/><Relationship Id="rId21" Type="http://schemas.openxmlformats.org/officeDocument/2006/relationships/image" Target="../media/image11.png"/><Relationship Id="rId34" Type="http://schemas.openxmlformats.org/officeDocument/2006/relationships/customXml" Target="../ink/ink21.xml"/><Relationship Id="rId42" Type="http://schemas.openxmlformats.org/officeDocument/2006/relationships/image" Target="../media/image15.png"/><Relationship Id="rId47" Type="http://schemas.openxmlformats.org/officeDocument/2006/relationships/customXml" Target="../ink/ink29.xml"/><Relationship Id="rId50" Type="http://schemas.openxmlformats.org/officeDocument/2006/relationships/image" Target="../media/image19.png"/><Relationship Id="rId55" Type="http://schemas.openxmlformats.org/officeDocument/2006/relationships/customXml" Target="../ink/ink33.xml"/><Relationship Id="rId63" Type="http://schemas.openxmlformats.org/officeDocument/2006/relationships/customXml" Target="../ink/ink37.xml"/><Relationship Id="rId68" Type="http://schemas.openxmlformats.org/officeDocument/2006/relationships/image" Target="../media/image28.png"/><Relationship Id="rId76" Type="http://schemas.openxmlformats.org/officeDocument/2006/relationships/image" Target="../media/image32.png"/><Relationship Id="rId84" Type="http://schemas.openxmlformats.org/officeDocument/2006/relationships/image" Target="../media/image36.png"/><Relationship Id="rId89" Type="http://schemas.openxmlformats.org/officeDocument/2006/relationships/image" Target="../media/image38.png"/><Relationship Id="rId7" Type="http://schemas.openxmlformats.org/officeDocument/2006/relationships/image" Target="../media/image4.png"/><Relationship Id="rId71" Type="http://schemas.openxmlformats.org/officeDocument/2006/relationships/customXml" Target="../ink/ink41.xml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customXml" Target="../ink/ink16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9.xml"/><Relationship Id="rId37" Type="http://schemas.openxmlformats.org/officeDocument/2006/relationships/customXml" Target="../ink/ink24.xml"/><Relationship Id="rId40" Type="http://schemas.openxmlformats.org/officeDocument/2006/relationships/image" Target="../media/image14.png"/><Relationship Id="rId45" Type="http://schemas.openxmlformats.org/officeDocument/2006/relationships/customXml" Target="../ink/ink28.xml"/><Relationship Id="rId53" Type="http://schemas.openxmlformats.org/officeDocument/2006/relationships/customXml" Target="../ink/ink32.xml"/><Relationship Id="rId58" Type="http://schemas.openxmlformats.org/officeDocument/2006/relationships/image" Target="../media/image23.png"/><Relationship Id="rId66" Type="http://schemas.openxmlformats.org/officeDocument/2006/relationships/image" Target="../media/image27.png"/><Relationship Id="rId74" Type="http://schemas.openxmlformats.org/officeDocument/2006/relationships/image" Target="../media/image31.png"/><Relationship Id="rId79" Type="http://schemas.openxmlformats.org/officeDocument/2006/relationships/customXml" Target="../ink/ink45.xml"/><Relationship Id="rId87" Type="http://schemas.openxmlformats.org/officeDocument/2006/relationships/chart" Target="../charts/chart1.xml"/><Relationship Id="rId5" Type="http://schemas.openxmlformats.org/officeDocument/2006/relationships/image" Target="../media/image3.png"/><Relationship Id="rId61" Type="http://schemas.openxmlformats.org/officeDocument/2006/relationships/customXml" Target="../ink/ink36.xml"/><Relationship Id="rId82" Type="http://schemas.openxmlformats.org/officeDocument/2006/relationships/image" Target="../media/image35.png"/><Relationship Id="rId90" Type="http://schemas.openxmlformats.org/officeDocument/2006/relationships/customXml" Target="../ink/ink50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customXml" Target="../ink/ink14.xml"/><Relationship Id="rId30" Type="http://schemas.openxmlformats.org/officeDocument/2006/relationships/customXml" Target="../ink/ink17.xml"/><Relationship Id="rId35" Type="http://schemas.openxmlformats.org/officeDocument/2006/relationships/customXml" Target="../ink/ink22.xml"/><Relationship Id="rId43" Type="http://schemas.openxmlformats.org/officeDocument/2006/relationships/customXml" Target="../ink/ink27.xml"/><Relationship Id="rId48" Type="http://schemas.openxmlformats.org/officeDocument/2006/relationships/image" Target="../media/image18.png"/><Relationship Id="rId56" Type="http://schemas.openxmlformats.org/officeDocument/2006/relationships/image" Target="../media/image22.png"/><Relationship Id="rId64" Type="http://schemas.openxmlformats.org/officeDocument/2006/relationships/image" Target="../media/image26.png"/><Relationship Id="rId69" Type="http://schemas.openxmlformats.org/officeDocument/2006/relationships/customXml" Target="../ink/ink40.xml"/><Relationship Id="rId77" Type="http://schemas.openxmlformats.org/officeDocument/2006/relationships/customXml" Target="../ink/ink44.xml"/><Relationship Id="rId8" Type="http://schemas.openxmlformats.org/officeDocument/2006/relationships/customXml" Target="../ink/ink4.xml"/><Relationship Id="rId51" Type="http://schemas.openxmlformats.org/officeDocument/2006/relationships/customXml" Target="../ink/ink31.xml"/><Relationship Id="rId72" Type="http://schemas.openxmlformats.org/officeDocument/2006/relationships/image" Target="../media/image30.png"/><Relationship Id="rId80" Type="http://schemas.openxmlformats.org/officeDocument/2006/relationships/image" Target="../media/image34.png"/><Relationship Id="rId85" Type="http://schemas.openxmlformats.org/officeDocument/2006/relationships/customXml" Target="../ink/ink48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210.png"/><Relationship Id="rId33" Type="http://schemas.openxmlformats.org/officeDocument/2006/relationships/customXml" Target="../ink/ink20.xml"/><Relationship Id="rId38" Type="http://schemas.openxmlformats.org/officeDocument/2006/relationships/image" Target="../media/image13.png"/><Relationship Id="rId46" Type="http://schemas.openxmlformats.org/officeDocument/2006/relationships/image" Target="../media/image17.png"/><Relationship Id="rId59" Type="http://schemas.openxmlformats.org/officeDocument/2006/relationships/customXml" Target="../ink/ink35.xml"/><Relationship Id="rId67" Type="http://schemas.openxmlformats.org/officeDocument/2006/relationships/customXml" Target="../ink/ink39.xml"/><Relationship Id="rId20" Type="http://schemas.openxmlformats.org/officeDocument/2006/relationships/customXml" Target="../ink/ink10.xml"/><Relationship Id="rId41" Type="http://schemas.openxmlformats.org/officeDocument/2006/relationships/customXml" Target="../ink/ink26.xml"/><Relationship Id="rId54" Type="http://schemas.openxmlformats.org/officeDocument/2006/relationships/image" Target="../media/image21.png"/><Relationship Id="rId62" Type="http://schemas.openxmlformats.org/officeDocument/2006/relationships/image" Target="../media/image25.png"/><Relationship Id="rId70" Type="http://schemas.openxmlformats.org/officeDocument/2006/relationships/image" Target="../media/image29.png"/><Relationship Id="rId75" Type="http://schemas.openxmlformats.org/officeDocument/2006/relationships/customXml" Target="../ink/ink43.xml"/><Relationship Id="rId83" Type="http://schemas.openxmlformats.org/officeDocument/2006/relationships/customXml" Target="../ink/ink47.xml"/><Relationship Id="rId88" Type="http://schemas.openxmlformats.org/officeDocument/2006/relationships/customXml" Target="../ink/ink49.xml"/><Relationship Id="rId91" Type="http://schemas.openxmlformats.org/officeDocument/2006/relationships/image" Target="../media/image39.png"/><Relationship Id="rId1" Type="http://schemas.openxmlformats.org/officeDocument/2006/relationships/image" Target="../media/image1.jp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3.xml"/><Relationship Id="rId49" Type="http://schemas.openxmlformats.org/officeDocument/2006/relationships/customXml" Target="../ink/ink30.xml"/><Relationship Id="rId57" Type="http://schemas.openxmlformats.org/officeDocument/2006/relationships/customXml" Target="../ink/ink34.xml"/><Relationship Id="rId10" Type="http://schemas.openxmlformats.org/officeDocument/2006/relationships/customXml" Target="../ink/ink5.xml"/><Relationship Id="rId31" Type="http://schemas.openxmlformats.org/officeDocument/2006/relationships/customXml" Target="../ink/ink18.xml"/><Relationship Id="rId44" Type="http://schemas.openxmlformats.org/officeDocument/2006/relationships/image" Target="../media/image16.png"/><Relationship Id="rId52" Type="http://schemas.openxmlformats.org/officeDocument/2006/relationships/image" Target="../media/image20.png"/><Relationship Id="rId60" Type="http://schemas.openxmlformats.org/officeDocument/2006/relationships/image" Target="../media/image24.png"/><Relationship Id="rId65" Type="http://schemas.openxmlformats.org/officeDocument/2006/relationships/customXml" Target="../ink/ink38.xml"/><Relationship Id="rId73" Type="http://schemas.openxmlformats.org/officeDocument/2006/relationships/customXml" Target="../ink/ink42.xml"/><Relationship Id="rId78" Type="http://schemas.openxmlformats.org/officeDocument/2006/relationships/image" Target="../media/image33.png"/><Relationship Id="rId81" Type="http://schemas.openxmlformats.org/officeDocument/2006/relationships/customXml" Target="../ink/ink46.xml"/><Relationship Id="rId86" Type="http://schemas.openxmlformats.org/officeDocument/2006/relationships/image" Target="../media/image37.png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88693</xdr:rowOff>
    </xdr:from>
    <xdr:to>
      <xdr:col>4</xdr:col>
      <xdr:colOff>1054100</xdr:colOff>
      <xdr:row>17</xdr:row>
      <xdr:rowOff>125880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42D94FC-30DE-4CD1-8993-672AA939A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743"/>
          <a:ext cx="5810250" cy="3105357"/>
        </a:xfrm>
        <a:prstGeom prst="rect">
          <a:avLst/>
        </a:prstGeom>
      </xdr:spPr>
    </xdr:pic>
    <xdr:clientData/>
  </xdr:twoCellAnchor>
  <xdr:twoCellAnchor editAs="oneCell">
    <xdr:from>
      <xdr:col>1</xdr:col>
      <xdr:colOff>901227</xdr:colOff>
      <xdr:row>7</xdr:row>
      <xdr:rowOff>45012</xdr:rowOff>
    </xdr:from>
    <xdr:to>
      <xdr:col>1</xdr:col>
      <xdr:colOff>1022057</xdr:colOff>
      <xdr:row>8</xdr:row>
      <xdr:rowOff>29925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3" name="Input penna 22">
              <a:extLst>
                <a:ext uri="{FF2B5EF4-FFF2-40B4-BE49-F238E27FC236}">
                  <a16:creationId xmlns:a16="http://schemas.microsoft.com/office/drawing/2014/main" id="{12BD1DDE-77E2-4E09-879D-F98B6B94BA78}"/>
                </a:ext>
              </a:extLst>
            </xdr14:cNvPr>
            <xdr14:cNvContentPartPr/>
          </xdr14:nvContentPartPr>
          <xdr14:nvPr macro=""/>
          <xdr14:xfrm>
            <a:off x="1556280" y="1435328"/>
            <a:ext cx="114480" cy="176760"/>
          </xdr14:xfrm>
        </xdr:contentPart>
      </mc:Choice>
      <mc:Fallback xmlns="">
        <xdr:pic>
          <xdr:nvPicPr>
            <xdr:cNvPr id="23" name="Input penna 22">
              <a:extLst>
                <a:ext uri="{FF2B5EF4-FFF2-40B4-BE49-F238E27FC236}">
                  <a16:creationId xmlns:a16="http://schemas.microsoft.com/office/drawing/2014/main" id="{12BD1DDE-77E2-4E09-879D-F98B6B94BA7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47640" y="1426688"/>
              <a:ext cx="1321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683147</xdr:colOff>
      <xdr:row>7</xdr:row>
      <xdr:rowOff>56892</xdr:rowOff>
    </xdr:from>
    <xdr:to>
      <xdr:col>2</xdr:col>
      <xdr:colOff>791147</xdr:colOff>
      <xdr:row>8</xdr:row>
      <xdr:rowOff>56925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0" name="Input penna 29">
              <a:extLst>
                <a:ext uri="{FF2B5EF4-FFF2-40B4-BE49-F238E27FC236}">
                  <a16:creationId xmlns:a16="http://schemas.microsoft.com/office/drawing/2014/main" id="{1A57EE70-4BF2-45A9-8EAC-69E3D73AA8D4}"/>
                </a:ext>
              </a:extLst>
            </xdr14:cNvPr>
            <xdr14:cNvContentPartPr/>
          </xdr14:nvContentPartPr>
          <xdr14:nvPr macro=""/>
          <xdr14:xfrm>
            <a:off x="2608200" y="1447208"/>
            <a:ext cx="108000" cy="191880"/>
          </xdr14:xfrm>
        </xdr:contentPart>
      </mc:Choice>
      <mc:Fallback xmlns="">
        <xdr:pic>
          <xdr:nvPicPr>
            <xdr:cNvPr id="30" name="Input penna 29">
              <a:extLst>
                <a:ext uri="{FF2B5EF4-FFF2-40B4-BE49-F238E27FC236}">
                  <a16:creationId xmlns:a16="http://schemas.microsoft.com/office/drawing/2014/main" id="{1A57EE70-4BF2-45A9-8EAC-69E3D73AA8D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99200" y="1438208"/>
              <a:ext cx="125640" cy="20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911031</xdr:colOff>
      <xdr:row>9</xdr:row>
      <xdr:rowOff>30541</xdr:rowOff>
    </xdr:from>
    <xdr:to>
      <xdr:col>3</xdr:col>
      <xdr:colOff>1078431</xdr:colOff>
      <xdr:row>9</xdr:row>
      <xdr:rowOff>145971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9" name="Input penna 38">
              <a:extLst>
                <a:ext uri="{FF2B5EF4-FFF2-40B4-BE49-F238E27FC236}">
                  <a16:creationId xmlns:a16="http://schemas.microsoft.com/office/drawing/2014/main" id="{09F2EE76-3E94-4310-A676-98179DE9828E}"/>
                </a:ext>
              </a:extLst>
            </xdr14:cNvPr>
            <xdr14:cNvContentPartPr/>
          </xdr14:nvContentPartPr>
          <xdr14:nvPr macro=""/>
          <xdr14:xfrm>
            <a:off x="4450320" y="1788488"/>
            <a:ext cx="167400" cy="109080"/>
          </xdr14:xfrm>
        </xdr:contentPart>
      </mc:Choice>
      <mc:Fallback xmlns="">
        <xdr:pic>
          <xdr:nvPicPr>
            <xdr:cNvPr id="39" name="Input penna 38">
              <a:extLst>
                <a:ext uri="{FF2B5EF4-FFF2-40B4-BE49-F238E27FC236}">
                  <a16:creationId xmlns:a16="http://schemas.microsoft.com/office/drawing/2014/main" id="{09F2EE76-3E94-4310-A676-98179DE9828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441339" y="1779488"/>
              <a:ext cx="185002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785387</xdr:colOff>
      <xdr:row>13</xdr:row>
      <xdr:rowOff>96336</xdr:rowOff>
    </xdr:from>
    <xdr:to>
      <xdr:col>2</xdr:col>
      <xdr:colOff>915347</xdr:colOff>
      <xdr:row>14</xdr:row>
      <xdr:rowOff>107890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7" name="Input penna 46">
              <a:extLst>
                <a:ext uri="{FF2B5EF4-FFF2-40B4-BE49-F238E27FC236}">
                  <a16:creationId xmlns:a16="http://schemas.microsoft.com/office/drawing/2014/main" id="{6F63F461-7E48-4589-87DE-B30490D21404}"/>
                </a:ext>
              </a:extLst>
            </xdr14:cNvPr>
            <xdr14:cNvContentPartPr/>
          </xdr14:nvContentPartPr>
          <xdr14:nvPr macro=""/>
          <xdr14:xfrm>
            <a:off x="2710440" y="2589547"/>
            <a:ext cx="129960" cy="203400"/>
          </xdr14:xfrm>
        </xdr:contentPart>
      </mc:Choice>
      <mc:Fallback xmlns="">
        <xdr:pic>
          <xdr:nvPicPr>
            <xdr:cNvPr id="47" name="Input penna 46">
              <a:extLst>
                <a:ext uri="{FF2B5EF4-FFF2-40B4-BE49-F238E27FC236}">
                  <a16:creationId xmlns:a16="http://schemas.microsoft.com/office/drawing/2014/main" id="{6F63F461-7E48-4589-87DE-B30490D2140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701440" y="2580547"/>
              <a:ext cx="14760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643187</xdr:colOff>
      <xdr:row>6</xdr:row>
      <xdr:rowOff>41988</xdr:rowOff>
    </xdr:from>
    <xdr:to>
      <xdr:col>2</xdr:col>
      <xdr:colOff>647507</xdr:colOff>
      <xdr:row>6</xdr:row>
      <xdr:rowOff>49058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8" name="Input penna 47">
              <a:extLst>
                <a:ext uri="{FF2B5EF4-FFF2-40B4-BE49-F238E27FC236}">
                  <a16:creationId xmlns:a16="http://schemas.microsoft.com/office/drawing/2014/main" id="{9D9FEDE2-0AC4-4392-A52F-FF5A4AB025D7}"/>
                </a:ext>
              </a:extLst>
            </xdr14:cNvPr>
            <xdr14:cNvContentPartPr/>
          </xdr14:nvContentPartPr>
          <xdr14:nvPr macro=""/>
          <xdr14:xfrm>
            <a:off x="2568240" y="1248488"/>
            <a:ext cx="4320" cy="720"/>
          </xdr14:xfrm>
        </xdr:contentPart>
      </mc:Choice>
      <mc:Fallback xmlns="">
        <xdr:pic>
          <xdr:nvPicPr>
            <xdr:cNvPr id="48" name="Input penna 47">
              <a:extLst>
                <a:ext uri="{FF2B5EF4-FFF2-40B4-BE49-F238E27FC236}">
                  <a16:creationId xmlns:a16="http://schemas.microsoft.com/office/drawing/2014/main" id="{9D9FEDE2-0AC4-4392-A52F-FF5A4AB025D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563920" y="1244168"/>
              <a:ext cx="12960" cy="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307227</xdr:colOff>
      <xdr:row>5</xdr:row>
      <xdr:rowOff>160284</xdr:rowOff>
    </xdr:from>
    <xdr:to>
      <xdr:col>1</xdr:col>
      <xdr:colOff>659537</xdr:colOff>
      <xdr:row>6</xdr:row>
      <xdr:rowOff>9442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9" name="Input penna 48">
              <a:extLst>
                <a:ext uri="{FF2B5EF4-FFF2-40B4-BE49-F238E27FC236}">
                  <a16:creationId xmlns:a16="http://schemas.microsoft.com/office/drawing/2014/main" id="{6516686A-680A-473D-9D82-80E25571A9D1}"/>
                </a:ext>
              </a:extLst>
            </xdr14:cNvPr>
            <xdr14:cNvContentPartPr/>
          </xdr14:nvContentPartPr>
          <xdr14:nvPr macro=""/>
          <xdr14:xfrm>
            <a:off x="962280" y="1182968"/>
            <a:ext cx="345960" cy="56880"/>
          </xdr14:xfrm>
        </xdr:contentPart>
      </mc:Choice>
      <mc:Fallback xmlns="">
        <xdr:pic>
          <xdr:nvPicPr>
            <xdr:cNvPr id="49" name="Input penna 48">
              <a:extLst>
                <a:ext uri="{FF2B5EF4-FFF2-40B4-BE49-F238E27FC236}">
                  <a16:creationId xmlns:a16="http://schemas.microsoft.com/office/drawing/2014/main" id="{6516686A-680A-473D-9D82-80E25571A9D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58039" y="1177232"/>
              <a:ext cx="354441" cy="683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735707</xdr:colOff>
      <xdr:row>6</xdr:row>
      <xdr:rowOff>8508</xdr:rowOff>
    </xdr:from>
    <xdr:to>
      <xdr:col>2</xdr:col>
      <xdr:colOff>945652</xdr:colOff>
      <xdr:row>6</xdr:row>
      <xdr:rowOff>65093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0" name="Input penna 59">
              <a:extLst>
                <a:ext uri="{FF2B5EF4-FFF2-40B4-BE49-F238E27FC236}">
                  <a16:creationId xmlns:a16="http://schemas.microsoft.com/office/drawing/2014/main" id="{B60FB2A2-0CFC-4045-A53B-B989A56D9625}"/>
                </a:ext>
              </a:extLst>
            </xdr14:cNvPr>
            <xdr14:cNvContentPartPr/>
          </xdr14:nvContentPartPr>
          <xdr14:nvPr macro=""/>
          <xdr14:xfrm>
            <a:off x="2658679" y="1239569"/>
            <a:ext cx="213120" cy="59760"/>
          </xdr14:xfrm>
        </xdr:contentPart>
      </mc:Choice>
      <mc:Fallback xmlns="">
        <xdr:pic>
          <xdr:nvPicPr>
            <xdr:cNvPr id="60" name="Input penna 59">
              <a:extLst>
                <a:ext uri="{FF2B5EF4-FFF2-40B4-BE49-F238E27FC236}">
                  <a16:creationId xmlns:a16="http://schemas.microsoft.com/office/drawing/2014/main" id="{B60FB2A2-0CFC-4045-A53B-B989A56D962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654359" y="1235249"/>
              <a:ext cx="22176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126231</xdr:colOff>
      <xdr:row>7</xdr:row>
      <xdr:rowOff>80292</xdr:rowOff>
    </xdr:from>
    <xdr:to>
      <xdr:col>3</xdr:col>
      <xdr:colOff>180361</xdr:colOff>
      <xdr:row>8</xdr:row>
      <xdr:rowOff>133605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1" name="Input penna 60">
              <a:extLst>
                <a:ext uri="{FF2B5EF4-FFF2-40B4-BE49-F238E27FC236}">
                  <a16:creationId xmlns:a16="http://schemas.microsoft.com/office/drawing/2014/main" id="{34568A07-45A0-44FA-8B8E-887C09B2429E}"/>
                </a:ext>
              </a:extLst>
            </xdr14:cNvPr>
            <xdr14:cNvContentPartPr/>
          </xdr14:nvContentPartPr>
          <xdr14:nvPr macro=""/>
          <xdr14:xfrm>
            <a:off x="3665520" y="1470608"/>
            <a:ext cx="60480" cy="245160"/>
          </xdr14:xfrm>
        </xdr:contentPart>
      </mc:Choice>
      <mc:Fallback xmlns="">
        <xdr:pic>
          <xdr:nvPicPr>
            <xdr:cNvPr id="61" name="Input penna 60">
              <a:extLst>
                <a:ext uri="{FF2B5EF4-FFF2-40B4-BE49-F238E27FC236}">
                  <a16:creationId xmlns:a16="http://schemas.microsoft.com/office/drawing/2014/main" id="{34568A07-45A0-44FA-8B8E-887C09B2429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0984" y="1466332"/>
              <a:ext cx="69552" cy="2537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103585</xdr:colOff>
      <xdr:row>6</xdr:row>
      <xdr:rowOff>160530</xdr:rowOff>
    </xdr:from>
    <xdr:to>
      <xdr:col>3</xdr:col>
      <xdr:colOff>236425</xdr:colOff>
      <xdr:row>7</xdr:row>
      <xdr:rowOff>35773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0" name="Input penna 69">
              <a:extLst>
                <a:ext uri="{FF2B5EF4-FFF2-40B4-BE49-F238E27FC236}">
                  <a16:creationId xmlns:a16="http://schemas.microsoft.com/office/drawing/2014/main" id="{DE22ECA2-ADE8-4C33-83C1-9ABAE4A2DE7A}"/>
                </a:ext>
              </a:extLst>
            </xdr14:cNvPr>
            <xdr14:cNvContentPartPr/>
          </xdr14:nvContentPartPr>
          <xdr14:nvPr macro=""/>
          <xdr14:xfrm>
            <a:off x="3641442" y="1364556"/>
            <a:ext cx="132840" cy="73800"/>
          </xdr14:xfrm>
        </xdr:contentPart>
      </mc:Choice>
      <mc:Fallback xmlns="">
        <xdr:pic>
          <xdr:nvPicPr>
            <xdr:cNvPr id="70" name="Input penna 69">
              <a:extLst>
                <a:ext uri="{FF2B5EF4-FFF2-40B4-BE49-F238E27FC236}">
                  <a16:creationId xmlns:a16="http://schemas.microsoft.com/office/drawing/2014/main" id="{DE22ECA2-ADE8-4C33-83C1-9ABAE4A2DE7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637122" y="1359466"/>
              <a:ext cx="141480" cy="83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370758</xdr:colOff>
      <xdr:row>15</xdr:row>
      <xdr:rowOff>26294</xdr:rowOff>
    </xdr:from>
    <xdr:to>
      <xdr:col>2</xdr:col>
      <xdr:colOff>620173</xdr:colOff>
      <xdr:row>16</xdr:row>
      <xdr:rowOff>65427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1" name="Input penna 90">
              <a:extLst>
                <a:ext uri="{FF2B5EF4-FFF2-40B4-BE49-F238E27FC236}">
                  <a16:creationId xmlns:a16="http://schemas.microsoft.com/office/drawing/2014/main" id="{93E3DBBD-0C3C-4904-BDAA-D7A975F850D5}"/>
                </a:ext>
              </a:extLst>
            </xdr14:cNvPr>
            <xdr14:cNvContentPartPr/>
          </xdr14:nvContentPartPr>
          <xdr14:nvPr macro=""/>
          <xdr14:xfrm>
            <a:off x="2295602" y="2967138"/>
            <a:ext cx="246240" cy="218520"/>
          </xdr14:xfrm>
        </xdr:contentPart>
      </mc:Choice>
      <mc:Fallback xmlns="">
        <xdr:pic>
          <xdr:nvPicPr>
            <xdr:cNvPr id="91" name="Input penna 90">
              <a:extLst>
                <a:ext uri="{FF2B5EF4-FFF2-40B4-BE49-F238E27FC236}">
                  <a16:creationId xmlns:a16="http://schemas.microsoft.com/office/drawing/2014/main" id="{93E3DBBD-0C3C-4904-BDAA-D7A975F850D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291282" y="2962625"/>
              <a:ext cx="254880" cy="2275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110398</xdr:colOff>
      <xdr:row>15</xdr:row>
      <xdr:rowOff>51494</xdr:rowOff>
    </xdr:from>
    <xdr:to>
      <xdr:col>1</xdr:col>
      <xdr:colOff>477958</xdr:colOff>
      <xdr:row>16</xdr:row>
      <xdr:rowOff>86224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06" name="Input penna 105">
              <a:extLst>
                <a:ext uri="{FF2B5EF4-FFF2-40B4-BE49-F238E27FC236}">
                  <a16:creationId xmlns:a16="http://schemas.microsoft.com/office/drawing/2014/main" id="{C15292E2-8672-4F3E-96A7-3A271A350363}"/>
                </a:ext>
              </a:extLst>
            </xdr14:cNvPr>
            <xdr14:cNvContentPartPr/>
          </xdr14:nvContentPartPr>
          <xdr14:nvPr macro=""/>
          <xdr14:xfrm>
            <a:off x="764903" y="2994600"/>
            <a:ext cx="367560" cy="222120"/>
          </xdr14:xfrm>
        </xdr:contentPart>
      </mc:Choice>
      <mc:Fallback xmlns="">
        <xdr:pic>
          <xdr:nvPicPr>
            <xdr:cNvPr id="106" name="Input penna 105">
              <a:extLst>
                <a:ext uri="{FF2B5EF4-FFF2-40B4-BE49-F238E27FC236}">
                  <a16:creationId xmlns:a16="http://schemas.microsoft.com/office/drawing/2014/main" id="{C15292E2-8672-4F3E-96A7-3A271A35036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60621" y="2990059"/>
              <a:ext cx="376125" cy="2312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392925</xdr:colOff>
      <xdr:row>18</xdr:row>
      <xdr:rowOff>94991</xdr:rowOff>
    </xdr:from>
    <xdr:to>
      <xdr:col>12</xdr:col>
      <xdr:colOff>395740</xdr:colOff>
      <xdr:row>18</xdr:row>
      <xdr:rowOff>95351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7" name="Input penna 106">
              <a:extLst>
                <a:ext uri="{FF2B5EF4-FFF2-40B4-BE49-F238E27FC236}">
                  <a16:creationId xmlns:a16="http://schemas.microsoft.com/office/drawing/2014/main" id="{368B737D-65E6-4665-A113-2FADECBA2EAA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13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8" name="Input penna 107">
              <a:extLst>
                <a:ext uri="{FF2B5EF4-FFF2-40B4-BE49-F238E27FC236}">
                  <a16:creationId xmlns:a16="http://schemas.microsoft.com/office/drawing/2014/main" id="{2CAB9EEC-A124-4283-93CC-C1B68372C31F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09" name="Input penna 108">
              <a:extLst>
                <a:ext uri="{FF2B5EF4-FFF2-40B4-BE49-F238E27FC236}">
                  <a16:creationId xmlns:a16="http://schemas.microsoft.com/office/drawing/2014/main" id="{4A9EC315-8100-446A-AF20-9D8BF891A54E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10" name="Input penna 109">
              <a:extLst>
                <a:ext uri="{FF2B5EF4-FFF2-40B4-BE49-F238E27FC236}">
                  <a16:creationId xmlns:a16="http://schemas.microsoft.com/office/drawing/2014/main" id="{70E17646-185B-45B2-8C32-B3EEAF6E5846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1" name="Input penna 110">
              <a:extLst>
                <a:ext uri="{FF2B5EF4-FFF2-40B4-BE49-F238E27FC236}">
                  <a16:creationId xmlns:a16="http://schemas.microsoft.com/office/drawing/2014/main" id="{862D273F-8BB9-4406-A356-A1892478A523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2" name="Input penna 111">
              <a:extLst>
                <a:ext uri="{FF2B5EF4-FFF2-40B4-BE49-F238E27FC236}">
                  <a16:creationId xmlns:a16="http://schemas.microsoft.com/office/drawing/2014/main" id="{04B0B693-0E23-4BE4-9E4E-FA095B626821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13" name="Input penna 112">
              <a:extLst>
                <a:ext uri="{FF2B5EF4-FFF2-40B4-BE49-F238E27FC236}">
                  <a16:creationId xmlns:a16="http://schemas.microsoft.com/office/drawing/2014/main" id="{BF4A2B2F-F93F-42DD-8489-00B86033BD8A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19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4" name="Input penna 113">
              <a:extLst>
                <a:ext uri="{FF2B5EF4-FFF2-40B4-BE49-F238E27FC236}">
                  <a16:creationId xmlns:a16="http://schemas.microsoft.com/office/drawing/2014/main" id="{E09766DA-500A-4C59-9A35-30FD77C05367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15" name="Input penna 114">
              <a:extLst>
                <a:ext uri="{FF2B5EF4-FFF2-40B4-BE49-F238E27FC236}">
                  <a16:creationId xmlns:a16="http://schemas.microsoft.com/office/drawing/2014/main" id="{0F96A904-CA26-40FD-9E20-4E068184DD6F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21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6" name="Input penna 115">
              <a:extLst>
                <a:ext uri="{FF2B5EF4-FFF2-40B4-BE49-F238E27FC236}">
                  <a16:creationId xmlns:a16="http://schemas.microsoft.com/office/drawing/2014/main" id="{652FD688-3975-4CAA-A5BC-A1F316055361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17" name="Input penna 116">
              <a:extLst>
                <a:ext uri="{FF2B5EF4-FFF2-40B4-BE49-F238E27FC236}">
                  <a16:creationId xmlns:a16="http://schemas.microsoft.com/office/drawing/2014/main" id="{F10B99E6-ECFB-46C5-BDA2-5DD5ACEC5BED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392925</xdr:colOff>
      <xdr:row>18</xdr:row>
      <xdr:rowOff>94991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18" name="Input penna 117">
              <a:extLst>
                <a:ext uri="{FF2B5EF4-FFF2-40B4-BE49-F238E27FC236}">
                  <a16:creationId xmlns:a16="http://schemas.microsoft.com/office/drawing/2014/main" id="{744FCCDA-8D1C-4B6A-A9EC-571D17F98DB2}"/>
                </a:ext>
              </a:extLst>
            </xdr14:cNvPr>
            <xdr14:cNvContentPartPr/>
          </xdr14:nvContentPartPr>
          <xdr14:nvPr macro=""/>
          <xdr14:xfrm>
            <a:off x="5095894" y="5178960"/>
            <a:ext cx="360" cy="3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07FEA15F-8302-4B40-9F1D-F36EA6C3A37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87254" y="5169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149760</xdr:colOff>
      <xdr:row>6</xdr:row>
      <xdr:rowOff>108137</xdr:rowOff>
    </xdr:from>
    <xdr:to>
      <xdr:col>0</xdr:col>
      <xdr:colOff>159480</xdr:colOff>
      <xdr:row>6</xdr:row>
      <xdr:rowOff>120737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19" name="Input penna 118">
              <a:extLst>
                <a:ext uri="{FF2B5EF4-FFF2-40B4-BE49-F238E27FC236}">
                  <a16:creationId xmlns:a16="http://schemas.microsoft.com/office/drawing/2014/main" id="{8876AEBF-6949-4E09-8890-53E2D06A2115}"/>
                </a:ext>
              </a:extLst>
            </xdr14:cNvPr>
            <xdr14:cNvContentPartPr/>
          </xdr14:nvContentPartPr>
          <xdr14:nvPr macro=""/>
          <xdr14:xfrm>
            <a:off x="149760" y="1341851"/>
            <a:ext cx="9720" cy="12600"/>
          </xdr14:xfrm>
        </xdr:contentPart>
      </mc:Choice>
      <mc:Fallback xmlns="">
        <xdr:pic>
          <xdr:nvPicPr>
            <xdr:cNvPr id="119" name="Input penna 118">
              <a:extLst>
                <a:ext uri="{FF2B5EF4-FFF2-40B4-BE49-F238E27FC236}">
                  <a16:creationId xmlns:a16="http://schemas.microsoft.com/office/drawing/2014/main" id="{8876AEBF-6949-4E09-8890-53E2D06A211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45440" y="1337531"/>
              <a:ext cx="183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399240</xdr:colOff>
      <xdr:row>9</xdr:row>
      <xdr:rowOff>158463</xdr:rowOff>
    </xdr:from>
    <xdr:to>
      <xdr:col>0</xdr:col>
      <xdr:colOff>530280</xdr:colOff>
      <xdr:row>9</xdr:row>
      <xdr:rowOff>168543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20" name="Input penna 119">
              <a:extLst>
                <a:ext uri="{FF2B5EF4-FFF2-40B4-BE49-F238E27FC236}">
                  <a16:creationId xmlns:a16="http://schemas.microsoft.com/office/drawing/2014/main" id="{03AB0DEE-3DBF-4740-92C4-B08D7F3E448D}"/>
                </a:ext>
              </a:extLst>
            </xdr14:cNvPr>
            <xdr14:cNvContentPartPr/>
          </xdr14:nvContentPartPr>
          <xdr14:nvPr macro=""/>
          <xdr14:xfrm>
            <a:off x="399240" y="1969120"/>
            <a:ext cx="131040" cy="10080"/>
          </xdr14:xfrm>
        </xdr:contentPart>
      </mc:Choice>
      <mc:Fallback xmlns="">
        <xdr:pic>
          <xdr:nvPicPr>
            <xdr:cNvPr id="120" name="Input penna 119">
              <a:extLst>
                <a:ext uri="{FF2B5EF4-FFF2-40B4-BE49-F238E27FC236}">
                  <a16:creationId xmlns:a16="http://schemas.microsoft.com/office/drawing/2014/main" id="{03AB0DEE-3DBF-4740-92C4-B08D7F3E448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94920" y="1964800"/>
              <a:ext cx="13968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109080</xdr:colOff>
      <xdr:row>9</xdr:row>
      <xdr:rowOff>39663</xdr:rowOff>
    </xdr:from>
    <xdr:to>
      <xdr:col>0</xdr:col>
      <xdr:colOff>371880</xdr:colOff>
      <xdr:row>10</xdr:row>
      <xdr:rowOff>16189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32" name="Input penna 131">
              <a:extLst>
                <a:ext uri="{FF2B5EF4-FFF2-40B4-BE49-F238E27FC236}">
                  <a16:creationId xmlns:a16="http://schemas.microsoft.com/office/drawing/2014/main" id="{132566BC-C991-4D0F-A29C-7FFF4676B144}"/>
                </a:ext>
              </a:extLst>
            </xdr14:cNvPr>
            <xdr14:cNvContentPartPr/>
          </xdr14:nvContentPartPr>
          <xdr14:nvPr macro=""/>
          <xdr14:xfrm>
            <a:off x="109080" y="1850320"/>
            <a:ext cx="262800" cy="168840"/>
          </xdr14:xfrm>
        </xdr:contentPart>
      </mc:Choice>
      <mc:Fallback xmlns="">
        <xdr:pic>
          <xdr:nvPicPr>
            <xdr:cNvPr id="132" name="Input penna 131">
              <a:extLst>
                <a:ext uri="{FF2B5EF4-FFF2-40B4-BE49-F238E27FC236}">
                  <a16:creationId xmlns:a16="http://schemas.microsoft.com/office/drawing/2014/main" id="{132566BC-C991-4D0F-A29C-7FFF4676B14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4760" y="1846000"/>
              <a:ext cx="27144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65880</xdr:colOff>
      <xdr:row>8</xdr:row>
      <xdr:rowOff>178337</xdr:rowOff>
    </xdr:from>
    <xdr:to>
      <xdr:col>0</xdr:col>
      <xdr:colOff>407290</xdr:colOff>
      <xdr:row>10</xdr:row>
      <xdr:rowOff>55429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33" name="Input penna 132">
              <a:extLst>
                <a:ext uri="{FF2B5EF4-FFF2-40B4-BE49-F238E27FC236}">
                  <a16:creationId xmlns:a16="http://schemas.microsoft.com/office/drawing/2014/main" id="{68C14817-DC5F-48C9-94FE-C856821A13DE}"/>
                </a:ext>
              </a:extLst>
            </xdr14:cNvPr>
            <xdr14:cNvContentPartPr/>
          </xdr14:nvContentPartPr>
          <xdr14:nvPr macro=""/>
          <xdr14:xfrm>
            <a:off x="65880" y="1796680"/>
            <a:ext cx="347760" cy="261720"/>
          </xdr14:xfrm>
        </xdr:contentPart>
      </mc:Choice>
      <mc:Fallback xmlns="">
        <xdr:pic>
          <xdr:nvPicPr>
            <xdr:cNvPr id="133" name="Input penna 132">
              <a:extLst>
                <a:ext uri="{FF2B5EF4-FFF2-40B4-BE49-F238E27FC236}">
                  <a16:creationId xmlns:a16="http://schemas.microsoft.com/office/drawing/2014/main" id="{68C14817-DC5F-48C9-94FE-C856821A13D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1441" y="1792250"/>
              <a:ext cx="356639" cy="2705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433800</xdr:colOff>
      <xdr:row>11</xdr:row>
      <xdr:rowOff>109714</xdr:rowOff>
    </xdr:from>
    <xdr:to>
      <xdr:col>0</xdr:col>
      <xdr:colOff>533160</xdr:colOff>
      <xdr:row>11</xdr:row>
      <xdr:rowOff>143784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34" name="Input penna 133">
              <a:extLst>
                <a:ext uri="{FF2B5EF4-FFF2-40B4-BE49-F238E27FC236}">
                  <a16:creationId xmlns:a16="http://schemas.microsoft.com/office/drawing/2014/main" id="{0FB1969B-C8E8-4378-8D19-48BB95985438}"/>
                </a:ext>
              </a:extLst>
            </xdr14:cNvPr>
            <xdr14:cNvContentPartPr/>
          </xdr14:nvContentPartPr>
          <xdr14:nvPr macro=""/>
          <xdr14:xfrm>
            <a:off x="433800" y="2305000"/>
            <a:ext cx="99360" cy="27720"/>
          </xdr14:xfrm>
        </xdr:contentPart>
      </mc:Choice>
      <mc:Fallback xmlns="">
        <xdr:pic>
          <xdr:nvPicPr>
            <xdr:cNvPr id="134" name="Input penna 133">
              <a:extLst>
                <a:ext uri="{FF2B5EF4-FFF2-40B4-BE49-F238E27FC236}">
                  <a16:creationId xmlns:a16="http://schemas.microsoft.com/office/drawing/2014/main" id="{0FB1969B-C8E8-4378-8D19-48BB9598543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29616" y="2301802"/>
              <a:ext cx="107727" cy="341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161640</xdr:colOff>
      <xdr:row>11</xdr:row>
      <xdr:rowOff>72634</xdr:rowOff>
    </xdr:from>
    <xdr:to>
      <xdr:col>0</xdr:col>
      <xdr:colOff>399960</xdr:colOff>
      <xdr:row>12</xdr:row>
      <xdr:rowOff>102210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51" name="Input penna 150">
              <a:extLst>
                <a:ext uri="{FF2B5EF4-FFF2-40B4-BE49-F238E27FC236}">
                  <a16:creationId xmlns:a16="http://schemas.microsoft.com/office/drawing/2014/main" id="{E94A8761-C659-4CFE-BAEB-2E9F4C132C5B}"/>
                </a:ext>
              </a:extLst>
            </xdr14:cNvPr>
            <xdr14:cNvContentPartPr/>
          </xdr14:nvContentPartPr>
          <xdr14:nvPr macro=""/>
          <xdr14:xfrm>
            <a:off x="161640" y="2267920"/>
            <a:ext cx="238320" cy="228240"/>
          </xdr14:xfrm>
        </xdr:contentPart>
      </mc:Choice>
      <mc:Fallback xmlns="">
        <xdr:pic>
          <xdr:nvPicPr>
            <xdr:cNvPr id="151" name="Input penna 150">
              <a:extLst>
                <a:ext uri="{FF2B5EF4-FFF2-40B4-BE49-F238E27FC236}">
                  <a16:creationId xmlns:a16="http://schemas.microsoft.com/office/drawing/2014/main" id="{E94A8761-C659-4CFE-BAEB-2E9F4C132C5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7267" y="2263627"/>
              <a:ext cx="247066" cy="2368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100080</xdr:colOff>
      <xdr:row>11</xdr:row>
      <xdr:rowOff>50314</xdr:rowOff>
    </xdr:from>
    <xdr:to>
      <xdr:col>0</xdr:col>
      <xdr:colOff>455760</xdr:colOff>
      <xdr:row>12</xdr:row>
      <xdr:rowOff>160170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52" name="Input penna 151">
              <a:extLst>
                <a:ext uri="{FF2B5EF4-FFF2-40B4-BE49-F238E27FC236}">
                  <a16:creationId xmlns:a16="http://schemas.microsoft.com/office/drawing/2014/main" id="{B9A168BB-65AA-443A-965F-D4FFF105C27F}"/>
                </a:ext>
              </a:extLst>
            </xdr14:cNvPr>
            <xdr14:cNvContentPartPr/>
          </xdr14:nvContentPartPr>
          <xdr14:nvPr macro=""/>
          <xdr14:xfrm>
            <a:off x="100080" y="2245600"/>
            <a:ext cx="355680" cy="308520"/>
          </xdr14:xfrm>
        </xdr:contentPart>
      </mc:Choice>
      <mc:Fallback xmlns="">
        <xdr:pic>
          <xdr:nvPicPr>
            <xdr:cNvPr id="152" name="Input penna 151">
              <a:extLst>
                <a:ext uri="{FF2B5EF4-FFF2-40B4-BE49-F238E27FC236}">
                  <a16:creationId xmlns:a16="http://schemas.microsoft.com/office/drawing/2014/main" id="{B9A168BB-65AA-443A-965F-D4FFF105C27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5725" y="2241300"/>
              <a:ext cx="364391" cy="3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73800</xdr:colOff>
      <xdr:row>8</xdr:row>
      <xdr:rowOff>169337</xdr:rowOff>
    </xdr:from>
    <xdr:to>
      <xdr:col>0</xdr:col>
      <xdr:colOff>428400</xdr:colOff>
      <xdr:row>10</xdr:row>
      <xdr:rowOff>66949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53" name="Input penna 152">
              <a:extLst>
                <a:ext uri="{FF2B5EF4-FFF2-40B4-BE49-F238E27FC236}">
                  <a16:creationId xmlns:a16="http://schemas.microsoft.com/office/drawing/2014/main" id="{0A0D58FD-9C3D-45E6-9A17-85D91DA2293E}"/>
                </a:ext>
              </a:extLst>
            </xdr14:cNvPr>
            <xdr14:cNvContentPartPr/>
          </xdr14:nvContentPartPr>
          <xdr14:nvPr macro=""/>
          <xdr14:xfrm>
            <a:off x="73800" y="1787680"/>
            <a:ext cx="354600" cy="282240"/>
          </xdr14:xfrm>
        </xdr:contentPart>
      </mc:Choice>
      <mc:Fallback xmlns="">
        <xdr:pic>
          <xdr:nvPicPr>
            <xdr:cNvPr id="153" name="Input penna 152">
              <a:extLst>
                <a:ext uri="{FF2B5EF4-FFF2-40B4-BE49-F238E27FC236}">
                  <a16:creationId xmlns:a16="http://schemas.microsoft.com/office/drawing/2014/main" id="{0A0D58FD-9C3D-45E6-9A17-85D91DA2293E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9519" y="1783349"/>
              <a:ext cx="363162" cy="2909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549326</xdr:colOff>
      <xdr:row>4</xdr:row>
      <xdr:rowOff>86177</xdr:rowOff>
    </xdr:from>
    <xdr:to>
      <xdr:col>3</xdr:col>
      <xdr:colOff>1021516</xdr:colOff>
      <xdr:row>4</xdr:row>
      <xdr:rowOff>145937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64" name="Input penna 163">
              <a:extLst>
                <a:ext uri="{FF2B5EF4-FFF2-40B4-BE49-F238E27FC236}">
                  <a16:creationId xmlns:a16="http://schemas.microsoft.com/office/drawing/2014/main" id="{42667CE2-6800-4726-880E-20AA09F07FC2}"/>
                </a:ext>
              </a:extLst>
            </xdr14:cNvPr>
            <xdr14:cNvContentPartPr/>
          </xdr14:nvContentPartPr>
          <xdr14:nvPr macro=""/>
          <xdr14:xfrm>
            <a:off x="4087183" y="935263"/>
            <a:ext cx="465840" cy="59760"/>
          </xdr14:xfrm>
        </xdr:contentPart>
      </mc:Choice>
      <mc:Fallback xmlns="">
        <xdr:pic>
          <xdr:nvPicPr>
            <xdr:cNvPr id="164" name="Input penna 163">
              <a:extLst>
                <a:ext uri="{FF2B5EF4-FFF2-40B4-BE49-F238E27FC236}">
                  <a16:creationId xmlns:a16="http://schemas.microsoft.com/office/drawing/2014/main" id="{42667CE2-6800-4726-880E-20AA09F07FC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82863" y="930917"/>
              <a:ext cx="474480" cy="68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678926</xdr:colOff>
      <xdr:row>4</xdr:row>
      <xdr:rowOff>48737</xdr:rowOff>
    </xdr:from>
    <xdr:to>
      <xdr:col>3</xdr:col>
      <xdr:colOff>1066646</xdr:colOff>
      <xdr:row>4</xdr:row>
      <xdr:rowOff>174377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65" name="Input penna 164">
              <a:extLst>
                <a:ext uri="{FF2B5EF4-FFF2-40B4-BE49-F238E27FC236}">
                  <a16:creationId xmlns:a16="http://schemas.microsoft.com/office/drawing/2014/main" id="{F19A089F-DB13-4CCD-AE9A-BE917F5F37A6}"/>
                </a:ext>
              </a:extLst>
            </xdr14:cNvPr>
            <xdr14:cNvContentPartPr/>
          </xdr14:nvContentPartPr>
          <xdr14:nvPr macro=""/>
          <xdr14:xfrm>
            <a:off x="4216783" y="897823"/>
            <a:ext cx="387720" cy="125640"/>
          </xdr14:xfrm>
        </xdr:contentPart>
      </mc:Choice>
      <mc:Fallback xmlns="">
        <xdr:pic>
          <xdr:nvPicPr>
            <xdr:cNvPr id="165" name="Input penna 164">
              <a:extLst>
                <a:ext uri="{FF2B5EF4-FFF2-40B4-BE49-F238E27FC236}">
                  <a16:creationId xmlns:a16="http://schemas.microsoft.com/office/drawing/2014/main" id="{F19A089F-DB13-4CCD-AE9A-BE917F5F37A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212463" y="893503"/>
              <a:ext cx="39636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570206</xdr:colOff>
      <xdr:row>3</xdr:row>
      <xdr:rowOff>12812</xdr:rowOff>
    </xdr:from>
    <xdr:to>
      <xdr:col>3</xdr:col>
      <xdr:colOff>1056206</xdr:colOff>
      <xdr:row>3</xdr:row>
      <xdr:rowOff>88052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75" name="Input penna 174">
              <a:extLst>
                <a:ext uri="{FF2B5EF4-FFF2-40B4-BE49-F238E27FC236}">
                  <a16:creationId xmlns:a16="http://schemas.microsoft.com/office/drawing/2014/main" id="{AF95FF18-98E6-4877-A2AE-18D60137FA8D}"/>
                </a:ext>
              </a:extLst>
            </xdr14:cNvPr>
            <xdr14:cNvContentPartPr/>
          </xdr14:nvContentPartPr>
          <xdr14:nvPr macro=""/>
          <xdr14:xfrm>
            <a:off x="4108063" y="669583"/>
            <a:ext cx="486000" cy="75240"/>
          </xdr14:xfrm>
        </xdr:contentPart>
      </mc:Choice>
      <mc:Fallback xmlns="">
        <xdr:pic>
          <xdr:nvPicPr>
            <xdr:cNvPr id="175" name="Input penna 174">
              <a:extLst>
                <a:ext uri="{FF2B5EF4-FFF2-40B4-BE49-F238E27FC236}">
                  <a16:creationId xmlns:a16="http://schemas.microsoft.com/office/drawing/2014/main" id="{AF95FF18-98E6-4877-A2AE-18D60137FA8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103746" y="665263"/>
              <a:ext cx="494634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643646</xdr:colOff>
      <xdr:row>2</xdr:row>
      <xdr:rowOff>168046</xdr:rowOff>
    </xdr:from>
    <xdr:to>
      <xdr:col>3</xdr:col>
      <xdr:colOff>1092336</xdr:colOff>
      <xdr:row>3</xdr:row>
      <xdr:rowOff>111452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76" name="Input penna 175">
              <a:extLst>
                <a:ext uri="{FF2B5EF4-FFF2-40B4-BE49-F238E27FC236}">
                  <a16:creationId xmlns:a16="http://schemas.microsoft.com/office/drawing/2014/main" id="{C72C01F2-0A5A-441F-8AC6-D2B13C20BB4B}"/>
                </a:ext>
              </a:extLst>
            </xdr14:cNvPr>
            <xdr14:cNvContentPartPr/>
          </xdr14:nvContentPartPr>
          <xdr14:nvPr macro=""/>
          <xdr14:xfrm>
            <a:off x="4181503" y="632503"/>
            <a:ext cx="455040" cy="135720"/>
          </xdr14:xfrm>
        </xdr:contentPart>
      </mc:Choice>
      <mc:Fallback xmlns="">
        <xdr:pic>
          <xdr:nvPicPr>
            <xdr:cNvPr id="176" name="Input penna 175">
              <a:extLst>
                <a:ext uri="{FF2B5EF4-FFF2-40B4-BE49-F238E27FC236}">
                  <a16:creationId xmlns:a16="http://schemas.microsoft.com/office/drawing/2014/main" id="{C72C01F2-0A5A-441F-8AC6-D2B13C20BB4B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177183" y="628183"/>
              <a:ext cx="46368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374006</xdr:colOff>
      <xdr:row>6</xdr:row>
      <xdr:rowOff>111229</xdr:rowOff>
    </xdr:from>
    <xdr:to>
      <xdr:col>3</xdr:col>
      <xdr:colOff>674736</xdr:colOff>
      <xdr:row>9</xdr:row>
      <xdr:rowOff>50756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92" name="Input penna 191">
              <a:extLst>
                <a:ext uri="{FF2B5EF4-FFF2-40B4-BE49-F238E27FC236}">
                  <a16:creationId xmlns:a16="http://schemas.microsoft.com/office/drawing/2014/main" id="{EE718DA7-990B-4A7A-9E7B-AFB6FB42A11E}"/>
                </a:ext>
              </a:extLst>
            </xdr14:cNvPr>
            <xdr14:cNvContentPartPr/>
          </xdr14:nvContentPartPr>
          <xdr14:nvPr macro=""/>
          <xdr14:xfrm>
            <a:off x="3911863" y="1344943"/>
            <a:ext cx="307080" cy="510120"/>
          </xdr14:xfrm>
        </xdr:contentPart>
      </mc:Choice>
      <mc:Fallback xmlns="">
        <xdr:pic>
          <xdr:nvPicPr>
            <xdr:cNvPr id="192" name="Input penna 191">
              <a:extLst>
                <a:ext uri="{FF2B5EF4-FFF2-40B4-BE49-F238E27FC236}">
                  <a16:creationId xmlns:a16="http://schemas.microsoft.com/office/drawing/2014/main" id="{EE718DA7-990B-4A7A-9E7B-AFB6FB42A11E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903223" y="1336303"/>
              <a:ext cx="324720" cy="52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688646</xdr:colOff>
      <xdr:row>7</xdr:row>
      <xdr:rowOff>9274</xdr:rowOff>
    </xdr:from>
    <xdr:to>
      <xdr:col>3</xdr:col>
      <xdr:colOff>935606</xdr:colOff>
      <xdr:row>9</xdr:row>
      <xdr:rowOff>19206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97" name="Input penna 196">
              <a:extLst>
                <a:ext uri="{FF2B5EF4-FFF2-40B4-BE49-F238E27FC236}">
                  <a16:creationId xmlns:a16="http://schemas.microsoft.com/office/drawing/2014/main" id="{B362F4F8-E04B-429B-B598-7676BFAC1D5C}"/>
                </a:ext>
              </a:extLst>
            </xdr14:cNvPr>
            <xdr14:cNvContentPartPr/>
          </xdr14:nvContentPartPr>
          <xdr14:nvPr macro=""/>
          <xdr14:xfrm>
            <a:off x="4226503" y="1435303"/>
            <a:ext cx="246960" cy="394560"/>
          </xdr14:xfrm>
        </xdr:contentPart>
      </mc:Choice>
      <mc:Fallback xmlns="">
        <xdr:pic>
          <xdr:nvPicPr>
            <xdr:cNvPr id="197" name="Input penna 196">
              <a:extLst>
                <a:ext uri="{FF2B5EF4-FFF2-40B4-BE49-F238E27FC236}">
                  <a16:creationId xmlns:a16="http://schemas.microsoft.com/office/drawing/2014/main" id="{B362F4F8-E04B-429B-B598-7676BFAC1D5C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217503" y="1426655"/>
              <a:ext cx="264600" cy="4122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809966</xdr:colOff>
      <xdr:row>6</xdr:row>
      <xdr:rowOff>163789</xdr:rowOff>
    </xdr:from>
    <xdr:to>
      <xdr:col>3</xdr:col>
      <xdr:colOff>982636</xdr:colOff>
      <xdr:row>7</xdr:row>
      <xdr:rowOff>171634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98" name="Input penna 197">
              <a:extLst>
                <a:ext uri="{FF2B5EF4-FFF2-40B4-BE49-F238E27FC236}">
                  <a16:creationId xmlns:a16="http://schemas.microsoft.com/office/drawing/2014/main" id="{9483C1C6-BDC9-49E5-B3F6-8BD867185581}"/>
                </a:ext>
              </a:extLst>
            </xdr14:cNvPr>
            <xdr14:cNvContentPartPr/>
          </xdr14:nvContentPartPr>
          <xdr14:nvPr macro=""/>
          <xdr14:xfrm>
            <a:off x="4347823" y="1397503"/>
            <a:ext cx="166320" cy="200160"/>
          </xdr14:xfrm>
        </xdr:contentPart>
      </mc:Choice>
      <mc:Fallback xmlns="">
        <xdr:pic>
          <xdr:nvPicPr>
            <xdr:cNvPr id="198" name="Input penna 197">
              <a:extLst>
                <a:ext uri="{FF2B5EF4-FFF2-40B4-BE49-F238E27FC236}">
                  <a16:creationId xmlns:a16="http://schemas.microsoft.com/office/drawing/2014/main" id="{9483C1C6-BDC9-49E5-B3F6-8BD86718558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338823" y="1388863"/>
              <a:ext cx="18396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51656</xdr:colOff>
      <xdr:row>19</xdr:row>
      <xdr:rowOff>80219</xdr:rowOff>
    </xdr:from>
    <xdr:to>
      <xdr:col>8</xdr:col>
      <xdr:colOff>202350</xdr:colOff>
      <xdr:row>21</xdr:row>
      <xdr:rowOff>19021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06" name="Input penna 205">
              <a:extLst>
                <a:ext uri="{FF2B5EF4-FFF2-40B4-BE49-F238E27FC236}">
                  <a16:creationId xmlns:a16="http://schemas.microsoft.com/office/drawing/2014/main" id="{915CB1F2-34CD-4FFC-AE15-5BA9AA63954F}"/>
                </a:ext>
              </a:extLst>
            </xdr14:cNvPr>
            <xdr14:cNvContentPartPr/>
          </xdr14:nvContentPartPr>
          <xdr14:nvPr macro=""/>
          <xdr14:xfrm>
            <a:off x="8361873" y="3807393"/>
            <a:ext cx="1337040" cy="314280"/>
          </xdr14:xfrm>
        </xdr:contentPart>
      </mc:Choice>
      <mc:Fallback xmlns="">
        <xdr:pic>
          <xdr:nvPicPr>
            <xdr:cNvPr id="206" name="Input penna 205">
              <a:extLst>
                <a:ext uri="{FF2B5EF4-FFF2-40B4-BE49-F238E27FC236}">
                  <a16:creationId xmlns:a16="http://schemas.microsoft.com/office/drawing/2014/main" id="{915CB1F2-34CD-4FFC-AE15-5BA9AA63954F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353221" y="3798465"/>
              <a:ext cx="1354704" cy="331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22496</xdr:colOff>
      <xdr:row>27</xdr:row>
      <xdr:rowOff>48910</xdr:rowOff>
    </xdr:from>
    <xdr:to>
      <xdr:col>7</xdr:col>
      <xdr:colOff>1154696</xdr:colOff>
      <xdr:row>27</xdr:row>
      <xdr:rowOff>144670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07" name="Input penna 206">
              <a:extLst>
                <a:ext uri="{FF2B5EF4-FFF2-40B4-BE49-F238E27FC236}">
                  <a16:creationId xmlns:a16="http://schemas.microsoft.com/office/drawing/2014/main" id="{BBDE05F6-768A-42EC-B931-0AC34EFF6598}"/>
                </a:ext>
              </a:extLst>
            </xdr14:cNvPr>
            <xdr14:cNvContentPartPr/>
          </xdr14:nvContentPartPr>
          <xdr14:nvPr macro=""/>
          <xdr14:xfrm>
            <a:off x="8332713" y="5266953"/>
            <a:ext cx="1132200" cy="95760"/>
          </xdr14:xfrm>
        </xdr:contentPart>
      </mc:Choice>
      <mc:Fallback xmlns="">
        <xdr:pic>
          <xdr:nvPicPr>
            <xdr:cNvPr id="207" name="Input penna 206">
              <a:extLst>
                <a:ext uri="{FF2B5EF4-FFF2-40B4-BE49-F238E27FC236}">
                  <a16:creationId xmlns:a16="http://schemas.microsoft.com/office/drawing/2014/main" id="{BBDE05F6-768A-42EC-B931-0AC34EFF659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324073" y="5257953"/>
              <a:ext cx="114984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44816</xdr:colOff>
      <xdr:row>28</xdr:row>
      <xdr:rowOff>6849</xdr:rowOff>
    </xdr:from>
    <xdr:to>
      <xdr:col>8</xdr:col>
      <xdr:colOff>268720</xdr:colOff>
      <xdr:row>28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08" name="Input penna 207">
              <a:extLst>
                <a:ext uri="{FF2B5EF4-FFF2-40B4-BE49-F238E27FC236}">
                  <a16:creationId xmlns:a16="http://schemas.microsoft.com/office/drawing/2014/main" id="{077D026E-FCB1-4E8A-BEA7-326107451025}"/>
                </a:ext>
              </a:extLst>
            </xdr14:cNvPr>
            <xdr14:cNvContentPartPr/>
          </xdr14:nvContentPartPr>
          <xdr14:nvPr macro=""/>
          <xdr14:xfrm>
            <a:off x="8355033" y="5418153"/>
            <a:ext cx="1416600" cy="163800"/>
          </xdr14:xfrm>
        </xdr:contentPart>
      </mc:Choice>
      <mc:Fallback xmlns="">
        <xdr:pic>
          <xdr:nvPicPr>
            <xdr:cNvPr id="208" name="Input penna 207">
              <a:extLst>
                <a:ext uri="{FF2B5EF4-FFF2-40B4-BE49-F238E27FC236}">
                  <a16:creationId xmlns:a16="http://schemas.microsoft.com/office/drawing/2014/main" id="{077D026E-FCB1-4E8A-BEA7-32610745102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346302" y="5409358"/>
              <a:ext cx="1434426" cy="1817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374576</xdr:colOff>
      <xdr:row>7</xdr:row>
      <xdr:rowOff>24056</xdr:rowOff>
    </xdr:from>
    <xdr:to>
      <xdr:col>7</xdr:col>
      <xdr:colOff>807426</xdr:colOff>
      <xdr:row>9</xdr:row>
      <xdr:rowOff>39294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2" name="Input penna 221">
              <a:extLst>
                <a:ext uri="{FF2B5EF4-FFF2-40B4-BE49-F238E27FC236}">
                  <a16:creationId xmlns:a16="http://schemas.microsoft.com/office/drawing/2014/main" id="{110CCC86-A794-408F-8012-1ABB4E62CEAD}"/>
                </a:ext>
              </a:extLst>
            </xdr14:cNvPr>
            <xdr14:cNvContentPartPr/>
          </xdr14:nvContentPartPr>
          <xdr14:nvPr macro=""/>
          <xdr14:xfrm>
            <a:off x="7541793" y="1454186"/>
            <a:ext cx="1582200" cy="401760"/>
          </xdr14:xfrm>
        </xdr:contentPart>
      </mc:Choice>
      <mc:Fallback xmlns="">
        <xdr:pic>
          <xdr:nvPicPr>
            <xdr:cNvPr id="222" name="Input penna 221">
              <a:extLst>
                <a:ext uri="{FF2B5EF4-FFF2-40B4-BE49-F238E27FC236}">
                  <a16:creationId xmlns:a16="http://schemas.microsoft.com/office/drawing/2014/main" id="{110CCC86-A794-408F-8012-1ABB4E62CEAD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532793" y="1445186"/>
              <a:ext cx="1599840" cy="41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209262</xdr:colOff>
      <xdr:row>18</xdr:row>
      <xdr:rowOff>172508</xdr:rowOff>
    </xdr:from>
    <xdr:to>
      <xdr:col>6</xdr:col>
      <xdr:colOff>931062</xdr:colOff>
      <xdr:row>21</xdr:row>
      <xdr:rowOff>16157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23" name="Input penna 222">
              <a:extLst>
                <a:ext uri="{FF2B5EF4-FFF2-40B4-BE49-F238E27FC236}">
                  <a16:creationId xmlns:a16="http://schemas.microsoft.com/office/drawing/2014/main" id="{05913EEE-FB1C-4A0C-9738-D30E5DED71DF}"/>
                </a:ext>
              </a:extLst>
            </xdr14:cNvPr>
            <xdr14:cNvContentPartPr/>
          </xdr14:nvContentPartPr>
          <xdr14:nvPr macro=""/>
          <xdr14:xfrm>
            <a:off x="7377325" y="3644985"/>
            <a:ext cx="721800" cy="404280"/>
          </xdr14:xfrm>
        </xdr:contentPart>
      </mc:Choice>
      <mc:Fallback xmlns="">
        <xdr:pic>
          <xdr:nvPicPr>
            <xdr:cNvPr id="223" name="Input penna 222">
              <a:extLst>
                <a:ext uri="{FF2B5EF4-FFF2-40B4-BE49-F238E27FC236}">
                  <a16:creationId xmlns:a16="http://schemas.microsoft.com/office/drawing/2014/main" id="{05913EEE-FB1C-4A0C-9738-D30E5DED71D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368325" y="3636345"/>
              <a:ext cx="739440" cy="42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236262</xdr:colOff>
      <xdr:row>26</xdr:row>
      <xdr:rowOff>174544</xdr:rowOff>
    </xdr:from>
    <xdr:to>
      <xdr:col>6</xdr:col>
      <xdr:colOff>884982</xdr:colOff>
      <xdr:row>29</xdr:row>
      <xdr:rowOff>2753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24" name="Input penna 223">
              <a:extLst>
                <a:ext uri="{FF2B5EF4-FFF2-40B4-BE49-F238E27FC236}">
                  <a16:creationId xmlns:a16="http://schemas.microsoft.com/office/drawing/2014/main" id="{535549D7-E527-4B36-BF3A-1E942B8E84C1}"/>
                </a:ext>
              </a:extLst>
            </xdr14:cNvPr>
            <xdr14:cNvContentPartPr/>
          </xdr14:nvContentPartPr>
          <xdr14:nvPr macro=""/>
          <xdr14:xfrm>
            <a:off x="7404325" y="5128688"/>
            <a:ext cx="648720" cy="394560"/>
          </xdr14:xfrm>
        </xdr:contentPart>
      </mc:Choice>
      <mc:Fallback xmlns="">
        <xdr:pic>
          <xdr:nvPicPr>
            <xdr:cNvPr id="224" name="Input penna 223">
              <a:extLst>
                <a:ext uri="{FF2B5EF4-FFF2-40B4-BE49-F238E27FC236}">
                  <a16:creationId xmlns:a16="http://schemas.microsoft.com/office/drawing/2014/main" id="{535549D7-E527-4B36-BF3A-1E942B8E84C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395325" y="5120048"/>
              <a:ext cx="666360" cy="41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352508</xdr:colOff>
      <xdr:row>6</xdr:row>
      <xdr:rowOff>56884</xdr:rowOff>
    </xdr:from>
    <xdr:to>
      <xdr:col>1</xdr:col>
      <xdr:colOff>561243</xdr:colOff>
      <xdr:row>6</xdr:row>
      <xdr:rowOff>152644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29" name="Input penna 228">
              <a:extLst>
                <a:ext uri="{FF2B5EF4-FFF2-40B4-BE49-F238E27FC236}">
                  <a16:creationId xmlns:a16="http://schemas.microsoft.com/office/drawing/2014/main" id="{21C600D9-63F7-4671-94A3-33104E72673E}"/>
                </a:ext>
              </a:extLst>
            </xdr14:cNvPr>
            <xdr14:cNvContentPartPr/>
          </xdr14:nvContentPartPr>
          <xdr14:nvPr macro=""/>
          <xdr14:xfrm>
            <a:off x="1005480" y="1287945"/>
            <a:ext cx="205560" cy="95760"/>
          </xdr14:xfrm>
        </xdr:contentPart>
      </mc:Choice>
      <mc:Fallback xmlns="">
        <xdr:pic>
          <xdr:nvPicPr>
            <xdr:cNvPr id="229" name="Input penna 228">
              <a:extLst>
                <a:ext uri="{FF2B5EF4-FFF2-40B4-BE49-F238E27FC236}">
                  <a16:creationId xmlns:a16="http://schemas.microsoft.com/office/drawing/2014/main" id="{21C600D9-63F7-4671-94A3-33104E72673E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96480" y="1278945"/>
              <a:ext cx="22320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780988</xdr:colOff>
      <xdr:row>6</xdr:row>
      <xdr:rowOff>69844</xdr:rowOff>
    </xdr:from>
    <xdr:to>
      <xdr:col>2</xdr:col>
      <xdr:colOff>933268</xdr:colOff>
      <xdr:row>6</xdr:row>
      <xdr:rowOff>139749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35" name="Input penna 234">
              <a:extLst>
                <a:ext uri="{FF2B5EF4-FFF2-40B4-BE49-F238E27FC236}">
                  <a16:creationId xmlns:a16="http://schemas.microsoft.com/office/drawing/2014/main" id="{D1BBAB82-9F1A-499B-9C19-9D9B20CB25C3}"/>
                </a:ext>
              </a:extLst>
            </xdr14:cNvPr>
            <xdr14:cNvContentPartPr/>
          </xdr14:nvContentPartPr>
          <xdr14:nvPr macro=""/>
          <xdr14:xfrm>
            <a:off x="2703960" y="1300905"/>
            <a:ext cx="152280" cy="73080"/>
          </xdr14:xfrm>
        </xdr:contentPart>
      </mc:Choice>
      <mc:Fallback xmlns="">
        <xdr:pic>
          <xdr:nvPicPr>
            <xdr:cNvPr id="235" name="Input penna 234">
              <a:extLst>
                <a:ext uri="{FF2B5EF4-FFF2-40B4-BE49-F238E27FC236}">
                  <a16:creationId xmlns:a16="http://schemas.microsoft.com/office/drawing/2014/main" id="{D1BBAB82-9F1A-499B-9C19-9D9B20CB25C3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699630" y="1296585"/>
              <a:ext cx="16094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355760</xdr:colOff>
      <xdr:row>15</xdr:row>
      <xdr:rowOff>67570</xdr:rowOff>
    </xdr:from>
    <xdr:to>
      <xdr:col>2</xdr:col>
      <xdr:colOff>420560</xdr:colOff>
      <xdr:row>15</xdr:row>
      <xdr:rowOff>133090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38" name="Input penna 237">
              <a:extLst>
                <a:ext uri="{FF2B5EF4-FFF2-40B4-BE49-F238E27FC236}">
                  <a16:creationId xmlns:a16="http://schemas.microsoft.com/office/drawing/2014/main" id="{5CCB9E98-0E1E-4098-A48D-EB293DD2FB6D}"/>
                </a:ext>
              </a:extLst>
            </xdr14:cNvPr>
            <xdr14:cNvContentPartPr/>
          </xdr14:nvContentPartPr>
          <xdr14:nvPr macro=""/>
          <xdr14:xfrm>
            <a:off x="2280265" y="3010676"/>
            <a:ext cx="64800" cy="65520"/>
          </xdr14:xfrm>
        </xdr:contentPart>
      </mc:Choice>
      <mc:Fallback xmlns="">
        <xdr:pic>
          <xdr:nvPicPr>
            <xdr:cNvPr id="238" name="Input penna 237">
              <a:extLst>
                <a:ext uri="{FF2B5EF4-FFF2-40B4-BE49-F238E27FC236}">
                  <a16:creationId xmlns:a16="http://schemas.microsoft.com/office/drawing/2014/main" id="{5CCB9E98-0E1E-4098-A48D-EB293DD2FB6D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275945" y="3006356"/>
              <a:ext cx="7344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152640</xdr:colOff>
      <xdr:row>15</xdr:row>
      <xdr:rowOff>81970</xdr:rowOff>
    </xdr:from>
    <xdr:to>
      <xdr:col>1</xdr:col>
      <xdr:colOff>216785</xdr:colOff>
      <xdr:row>15</xdr:row>
      <xdr:rowOff>145755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1" name="Input penna 240">
              <a:extLst>
                <a:ext uri="{FF2B5EF4-FFF2-40B4-BE49-F238E27FC236}">
                  <a16:creationId xmlns:a16="http://schemas.microsoft.com/office/drawing/2014/main" id="{1D8D9029-DDDD-4AC6-B433-F539819A33B9}"/>
                </a:ext>
              </a:extLst>
            </xdr14:cNvPr>
            <xdr14:cNvContentPartPr/>
          </xdr14:nvContentPartPr>
          <xdr14:nvPr macro=""/>
          <xdr14:xfrm>
            <a:off x="807145" y="3025076"/>
            <a:ext cx="67320" cy="66960"/>
          </xdr14:xfrm>
        </xdr:contentPart>
      </mc:Choice>
      <mc:Fallback xmlns="">
        <xdr:pic>
          <xdr:nvPicPr>
            <xdr:cNvPr id="241" name="Input penna 240">
              <a:extLst>
                <a:ext uri="{FF2B5EF4-FFF2-40B4-BE49-F238E27FC236}">
                  <a16:creationId xmlns:a16="http://schemas.microsoft.com/office/drawing/2014/main" id="{1D8D9029-DDDD-4AC6-B433-F539819A33B9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802825" y="3020054"/>
              <a:ext cx="75960" cy="7700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62</xdr:col>
      <xdr:colOff>25586</xdr:colOff>
      <xdr:row>44</xdr:row>
      <xdr:rowOff>64061</xdr:rowOff>
    </xdr:from>
    <xdr:to>
      <xdr:col>74</xdr:col>
      <xdr:colOff>472109</xdr:colOff>
      <xdr:row>76</xdr:row>
      <xdr:rowOff>86001</xdr:rowOff>
    </xdr:to>
    <xdr:graphicFrame macro="">
      <xdr:nvGraphicFramePr>
        <xdr:cNvPr id="243" name="Grafico 242">
          <a:extLst>
            <a:ext uri="{FF2B5EF4-FFF2-40B4-BE49-F238E27FC236}">
              <a16:creationId xmlns:a16="http://schemas.microsoft.com/office/drawing/2014/main" id="{41B16D52-AFA6-4244-97BD-2960F6BB1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 editAs="oneCell">
    <xdr:from>
      <xdr:col>15</xdr:col>
      <xdr:colOff>820442</xdr:colOff>
      <xdr:row>427</xdr:row>
      <xdr:rowOff>90781</xdr:rowOff>
    </xdr:from>
    <xdr:to>
      <xdr:col>15</xdr:col>
      <xdr:colOff>829737</xdr:colOff>
      <xdr:row>427</xdr:row>
      <xdr:rowOff>114181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" name="Input penna 3">
              <a:extLst>
                <a:ext uri="{FF2B5EF4-FFF2-40B4-BE49-F238E27FC236}">
                  <a16:creationId xmlns:a16="http://schemas.microsoft.com/office/drawing/2014/main" id="{BDDDE6FE-7375-446A-8538-8B409DE62934}"/>
                </a:ext>
              </a:extLst>
            </xdr14:cNvPr>
            <xdr14:cNvContentPartPr/>
          </xdr14:nvContentPartPr>
          <xdr14:nvPr macro=""/>
          <xdr14:xfrm>
            <a:off x="20238074" y="81504465"/>
            <a:ext cx="6120" cy="23400"/>
          </xdr14:xfrm>
        </xdr:contentPart>
      </mc:Choice>
      <mc:Fallback xmlns="">
        <xdr:pic>
          <xdr:nvPicPr>
            <xdr:cNvPr id="4" name="Input penna 3">
              <a:extLst>
                <a:ext uri="{FF2B5EF4-FFF2-40B4-BE49-F238E27FC236}">
                  <a16:creationId xmlns:a16="http://schemas.microsoft.com/office/drawing/2014/main" id="{BDDDE6FE-7375-446A-8538-8B409DE62934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0233754" y="81500145"/>
              <a:ext cx="1476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214155</xdr:colOff>
      <xdr:row>425</xdr:row>
      <xdr:rowOff>91397</xdr:rowOff>
    </xdr:from>
    <xdr:to>
      <xdr:col>13</xdr:col>
      <xdr:colOff>1232235</xdr:colOff>
      <xdr:row>428</xdr:row>
      <xdr:rowOff>120951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2" name="Input penna 11">
              <a:extLst>
                <a:ext uri="{FF2B5EF4-FFF2-40B4-BE49-F238E27FC236}">
                  <a16:creationId xmlns:a16="http://schemas.microsoft.com/office/drawing/2014/main" id="{1DF2A1AE-0C23-4F22-A46D-AAD38DD5A764}"/>
                </a:ext>
              </a:extLst>
            </xdr14:cNvPr>
            <xdr14:cNvContentPartPr/>
          </xdr14:nvContentPartPr>
          <xdr14:nvPr macro=""/>
          <xdr14:xfrm>
            <a:off x="16941869" y="78659040"/>
            <a:ext cx="1018080" cy="573840"/>
          </xdr14:xfrm>
        </xdr:contentPart>
      </mc:Choice>
      <mc:Fallback xmlns="">
        <xdr:pic>
          <xdr:nvPicPr>
            <xdr:cNvPr id="12" name="Input penna 11">
              <a:extLst>
                <a:ext uri="{FF2B5EF4-FFF2-40B4-BE49-F238E27FC236}">
                  <a16:creationId xmlns:a16="http://schemas.microsoft.com/office/drawing/2014/main" id="{1DF2A1AE-0C23-4F22-A46D-AAD38DD5A764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6937549" y="78654720"/>
              <a:ext cx="1026720" cy="58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219074</xdr:colOff>
      <xdr:row>1</xdr:row>
      <xdr:rowOff>1586</xdr:rowOff>
    </xdr:from>
    <xdr:to>
      <xdr:col>34</xdr:col>
      <xdr:colOff>488156</xdr:colOff>
      <xdr:row>17</xdr:row>
      <xdr:rowOff>142874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E312417-1E0E-4A2D-901F-312E9AF9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4:23.7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173 24 1440,'-1'-23'8034,"-1"38"-6683,-4 28-1294,5-34-54,-1-1 0,1 1 0,1-1 1,-1 1-1,2-1 0,-1 0 0,2 9 1,-1-16 2,-2 19-2119,1-19 1370</inkml:trace>
  <inkml:trace contextRef="#ctx0" brushRef="#br0" timeOffset="2075.42">86 301 1472,'-14'-2'2035,"14"1"-1884,0 1 0,-1 0 0,1 0 0,0 0 0,0-1 0,0 1 0,0 0 0,0 0 0,0 0 0,-1-1 0,1 1 0,0 0 0,0 0 0,0-1 0,0 1 0,0 0 0,0 0 0,0-1 0,0 1 0,0 0 0,0 0 0,0-1 0,0 1 1,0 0-1,0 0 0,0 0 0,0-1 0,1 1 0,-1 0 0,0-1 0,10-10 3885,0 4-5189,-6 5 1171,-2 1 1,1-1 0,0 1 0,0 0 0,0 0 0,0 0-1,0 1 1,0-1 0,0 1 0,1-1 0,0 1-1,-1 0 1,0 0 0,6 2 0,-8-2-15,1 0 0,-1 1 0,0-1 0,0 1 0,0-1 0,0 1 1,0-1-1,0 1 0,0 0 0,0 0 0,0-1 0,0 1 0,0 0 0,-1 0 0,1 0 1,0 0-1,-1 0 0,1 0 0,0 0 0,-1 0 0,1 0 0,-1 0 0,0 0 0,2 0 1,-2 1-1,0-1 0,0 0 0,0 0 0,1 0 0,-1 1 0,0-1 0,-1 0 1,1 0-1,0 0 0,0 0 0,0 1 0,-2-1 0,2 0 0,-1 0 0,0 2 0,-3 9-41,-1-1-1,-1 1 1,0-1-1,-9 12 0,3-4 50,6-12 11,4-1 15,17 3-12,-9-7-21,1 0-1,-1 0 0,1-1 1,-1 0-1,0 0 1,1 0-1,0-1 1,-1 0-1,0 0 0,1-1 1,-1 0-1,1 0 1,8-3-1,7 0 31,-3 10-668,-20-6 410</inkml:trace>
  <inkml:trace contextRef="#ctx0" brushRef="#br0" timeOffset="3488.91">49 226 2096,'-26'-36'1085,"26"37"-1009,0-1 0,0 0 1,0 0-1,0 0 0,0 1 1,0-1-1,0 0 0,0 0 1,0 0-1,0 0 0,0 0 1,0 1-1,0-1 0,0 0 1,0 0-1,-1 0 0,1 0 1,0 0-1,0 1 0,0-1 0,0 0 1,0 0-1,0 0 0,-1 0 1,1 0-1,0 0 0,0 0 1,0 0-1,0 1 0,-1-1 1,1 0-1,0 0 0,0 0 1,0 0-1,0 0 0,-2 0 1,2 0-1,0 0 0,0 0 1,0 0-1,0 0 0,-1 0 1,1 0-1,0-1 0,0 1 1,0 0-1,0 0 0,-1 0 1,1 0-1,0 0 0,0 0 0,0 0 1,0 0-1,0 0 0,-1-1 1,1 1-1,0 0 0,0 0 1,0 0-1,1 15 1007,-1-14-1078,1 1 44,-1 1 1,1-1-1,-1 1 1,2 0 0,-2-1-1,0 1 1,0 0-1,0 0 1,0-1-1,0 1 1,-2 0-1,2-1 1,-1 1-1,0 0 1,0 0 0,-1 3-1,0-3-31,1 1 0,0-1-1,0 0 1,1 0 0,-1 0 0,1 1-1,0-1 1,-1 0 0,1 1 0,1-1 0,0 5-1,-1 17 2,2-4-8,-1-19-9,-1 0 0,1-1-1,-1 1 1,0-1 0,1 1-1,-1 0 1,0-1 0,0 1 0,0 0-1,0-1 1,-1 1 0,1 2-1,-1-2-6,0 1 0,1-1-1,0 1 1,-1-1-1,1 1 1,0-1-1,0 1 1,1 0-1,-1-1 1,0 1 0,2 4-1,-1 10-42,1 14-431</inkml:trace>
  <inkml:trace contextRef="#ctx0" brushRef="#br0" timeOffset="6938.08">67 184 976,'-21'-23'1731,"22"25"-1075,0-1 1,1 0-1,-1 0 0,1 0 0,-1 0 0,2 0 0,-1 0 1,-1-1-1,1 1 0,0 0 0,2 0 0,2-1-452,0 1-1,0-1 1,1 0 0,8-1-1,-7 0-210,-1 0-1,1 1 1,12 1-1,22 6 137,-22-5-105,-11-2-23,9 5 2,-17-4-2,1 0-1,-1 0 0,0-1 0,0 1 1,1-1-1,-1 1 0,0-1 0,1 1 1,-1-1-1,0 0 0,1 0 0,-1 0 1,1 0-1,-1 0 0,0 0 1,1 0-1,-1 0 0,1 0 0,-1-1 1,2 0-1,-3 1 7,18 3 66,-17-3-69,0 1 1,1-1-1,-1 1 1,0 0 0,0 0-1,1-1 1,-1 1-1,0 0 1,0 0-1,0 0 1,0 0-1,0 1 1,-1-1-1,1 0 1,0 0-1,0 0 1,-1 1-1,1-1 1,-1 0-1,1 1 1,-1-1 0,1 0-1,-1 3 1,7 41-38,-5-32 28,-2-6 8,2 7-58,-1 0 1,0 19 0,-1 13-243,2-24 236,-1-18 61,0 0-1,0-1 1,-1 1 0,0 0 0,0 0-1,0 0 1,0 0 0,-1 0 0,-1 6-1,2-9 4,-1 0-1,0 0 0,1 0 1,-1 0-1,0 0 0,0 0 0,0 0 1,0-1-1,0 1 0,0 0 1,0-1-1,0 1 0,-1 0 0,0-1 1,1 1-1,0-1 0,0 0 1,-1 1-1,1-1 0,0 0 0,0 0 1,-1 0-1,1 0 0,0 0 1,-2 0-1,-12 1 33,-36 3-13,36-4-5,0 1 0,-17 3 0,21-1-17,10-3 0,-1 1 0,1 0 0,-1-1 0,0 1 0,1-1 0,-1 0 0,1 0 0,-1 1 0,0-1 0,1 0 0,-1 0 0,0-1 0,1 1 0,-1 0 0,1 0 0,-2-1 0,1 1 0,1-1 0,-3 0 0,3 0-1,0 1-1,0-1 1,-1 1-1,1 0 0,0-1 1,-1 1-1,1 0 1,0 0-1,-1 0 0,1 0 1,-1 0-1,-1 1 1,1-1 0,0 1 0,1-1 0,-1 0 0,-1 0 0,2 0 0,-1 0 0,0 0 0,0-1 1,1 1-1,-4-1 0,2 0 1,1 0 0,-1 1 0,1 0-1,-1-1 1,1 1 0,-1 0 0,1 0 0,-2 0 0,1 1 0,1-1 0,-1 1 0,1-1 0,-3 2-1,-8 1 0,10 0-19,3-3 20,0 0-1,0 1 1,0-1 0,0 0-1,0 0 1,0 0-1,-1 0 1,1 1-1,0-1 1,0 0-1,0 0 1,0 0-1,0 0 1,0 0-1,0 0 1,-1 1-1,1-1 1,0 0-1,0 0 1,0 0-1,0 0 1,0 0-1,-1 0 1,1 0-1,0 0 1,0 0-1,0 0 1,-2 0-1,2 0 1,0 0-1,0 0 1,0 0-1,0 0 1,-1 0-1,1 0 1,0 0-1,0 0 1,0 0-1,0 0 1,-1 0-1,1 0 1,0 0-1,0 0 1,0 0-1,0 0 1,-1 0-1,1 0 1,0-1-1,0 1 1,0 0-1,0 0 1,0 0-1,0 0 1,-1-1-1,1 0-5,-1 1 0,0-1-1,0 0 1,1 0-1,-1-1 1,0 1-1,1 0 1,-1 0 0,1 0-1,0 0 1,-1 0-1,1-1 1,0 1 0,0 0-1,-1 0 1,1 0-1,0-1 1,1 0-1,-1-26 1,1 23 7,-1 0-1,1 0 1,-1-1 0,0 1-1,-2-11 1,0-10-3,0-6 29,1 22-20,0 0 0,1 0 0,0 0 0,2-9 0,-2 5 15,0 13-23,0 0 0,0 0-1,0-1 1,0 1-1,0 0 1,0 0-1,0 0 1,0 0-1,0 0 1,1 0-1,-1 0 1,1 0-1,-1 0 1,1-2-1,1-4-4,0 1-1,-1 0 1,0 0-1,0 0 0,0-1 1,-1 1-1,0-10 1,0 14 0,9-1-2760,-6 3 1774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6:20.76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692 493 2064,'-1'5'8927,"0"-5"-8664,1 0-1,0 0 1,0 0-1,0 0 1,0 0-1,-1 0 1,-6-4 2532,-7-11-4037,13 15 1945,-10-16-467,9 14-207,1 0-1,-1 0 1,1 0 0,-1 0-1,1 0 1,-1 0 0,-1 0-1,1 1 1,0-1 0,0 1 0,0-1-1,-2 1 1,2 0 0,-1 0-1,1 0 1,-5-2 0,2 1-26,0 1 1,-1 0-1,1 0 1,-1 0-1,0 1 1,1 0-1,-1 0 0,1 0 1,-8 2-1,0 0-4,11-2 1,-1 1-1,1-1 0,-1 1 1,1-1-1,-1 2 0,1-1 1,-1 0-1,1 0 1,0 0-1,0 0 0,-1 0 1,0 1-1,1-1 0,0 1 1,0-1-1,0 1 0,1 0 1,-1 0-1,0 0 0,1 0 1,-1 0-1,-1 5 0,1-4 2,0 0-1,0 0 0,-1 0 0,1 0 0,0-1 0,-1 1 0,0 0 0,-1-1 1,1 0-1,0 0 0,-7 3 0,7-2 0,1-2 0,-1 0 0,0 1 0,1-1 0,-1-1 0,0 1 0,0 0 0,-1-1 0,1 1 0,0-1 0,0 0 0,0 0 0,0 0 0,0 0 0,1-1 0,-5 0 0,2-1 5,1-1 0,-2-1 0,1 0 0,1 1 1,-7-7-1,-18-12 18,23 19-24,0 1-1,0-1 1,0 1-1,-1 0 0,1 1 1,0-1-1,-1 1 0,1 0 1,-1 1-1,0 0 1,0 0-1,1 0 0,-1 1 1,1 0-1,-1 0 1,1 0-1,-1 1 0,-8 4 1,-11 9-1,-16 2 25,-12 5-22,41-19-59,-1-1 0,1 0 0,-28-1 0,41-1 50,6-4 29,0 1 16,0 1 0,1-1 0,5-1-1,49-28 164,-61 32-191,0 0-1,0 0 1,0 0-1,1 0 0,-1-1 1,0 1-1,0 0 0,0 0 1,0 0-1,0 0 1,1 0-1,-1 0 0,0 0 1,0 0-1,0 0 1,0 0-1,0 0 0,0-1 1,1 1-1,-1 0 0,0 0 1,0 0-1,0 0 1,0 0-1,0 0 0,0-1 1,0 1-1,0 0 1,0 0-1,0 0 0,0 0 1,0 0-1,0-1 0,0 1 1,0 0-1,0 0 1,0 0-1,0 0 0,0-1 1,0 1-1,0 0 1,0 0-1,0 0 0,0 0 1,0 0-1,0-2 0,0 2 1,0 0-1,0 0 1,0 0-1,-1 0 0,1 0-2,-1 0 0,0 0 0,1 0-1,-1 0 1,0 0 0,0 0-1,1 2 1,-1-2 0,0 0-1,1 0 1,-1 1 0,0-1-1,1 0 1,-1 1 0,1-1-1,-1 1 1,1-1 0,-1 1 0,-76 47-16,77-45 23,1-2-1,-1 0 0,1 0 0,-1 0 1,1 0-1,-1 0 0,1 0 1,0 0-1,-1 0 0,1 0 1,0 0-1,0 0 0,1 0 1,-1-1-1,0 1 0,1 0 0,19 17 51,0-7 54,-15-7-110,0 0 0,0 0-1,1-2 1,-1 1 0,2-1 0,5 2-1,4 5 48,-11-5 36,-16-8 172,-19-11-235,-35-25 0,61 37-16,2 3-18,-1-1-1,1 0 0,0 0 0,0 0 1,0 1-1,-1-1 0,1-1 0,0 1 1,0 0-1,0 0 0,0-2 1,1 3 3,-1-1 1,1 0-1,0 0 1,0 0 0,0 0-1,0-1 1,1 1-1,-1 0 1,0 0 0,0 1-1,0-1 1,1 0-1,-1 0 1,0 0 0,1 0-1,-1 1 1,1-1-1,-1 0 1,1 0 0,-1 1-1,1-1 1,0 0-1,-1 1 1,2-2 0,9-8-5,0 0 0,21-12 0,-3-2 69,-27 20-163,-1 2-1,2 0 0,-1 0 0,0 0 1,0 1-1,0-1 0,5-2 1,-8 4-211</inkml:trace>
  <inkml:trace contextRef="#ctx0" brushRef="#br0" timeOffset="6162.4">202 111 2585,'-11'-8'8177,"7"9"-4653,9 20-3660,0-2 398,-4-15-258,-1 1 0,1-1 0,0 1 0,0 0 0,0 0 0,1 0 0,4 7 0,-5-6 3,1-1-1,-1 0 0,0 0 1,0 0-1,-1 0 0,0 6 1,2 9 11,0-19-2516,-2-2 1651</inkml:trace>
  <inkml:trace contextRef="#ctx0" brushRef="#br0" timeOffset="6984.21">252 92 1888,'3'-7'888,"1"-4"-150,-3 2 8316,-1 11-8928,-1-1 0,1 0 1,0 1-1,0-1 0,0 0 0,0 1 1,0-1-1,0 0 0,0 1 0,0-1 0,0 0 1,1 0-1,-1 2 0,1-2 0,0 1 0,0 3 17,8 46-24,-6-31-100,0 0 0,7 23 0,-4-19-2273,-7-25 1613</inkml:trace>
  <inkml:trace contextRef="#ctx0" brushRef="#br0" timeOffset="7535.59">246 194 2449,'-7'-5'600,"6"4"-350,0 0-1,0 0 1,-1 0-1,1 0 1,0 0-1,-1 0 1,1 1 0,-5-5 8481,14 0-6175,-5 2-2587,1-1 0,-1 2 0,1-1 0,-1 1 0,1 0 1,5-1-1,5 1 332,-10 3-6007</inkml:trace>
  <inkml:trace contextRef="#ctx0" brushRef="#br0" timeOffset="8513.34">314 77 1656,'13'-17'1346,"-15"27"7485,4 17-6082,11 20-3664,14 27 995,-27-74-77,0 1 0,0-1 1,0 0-1,1 1 0,-1-1 0,0 0 1,0 0-1,0 1 0,0-1 0,0 0 0,0 1 1,0-1-1,0 0 0,0 1 0,0-1 1,0 0-1,-1 1 0,1-1 0,0 0 0,0 0 1,0 1-1,0-1 0,0 0 0,0 0 1,-1 1-1,1-1 0,0 0 0,0 0 0,-1 1 1,1-1-1,0 0 0,-1 0 0,1 0-2,0 0 1,0 1-1,0-1 0,-1 0 0,1 0 0,0-1 0,0 1 0,0 0 0,-1 0 0,1 0 0,0 0 1,0 0-1,0 0 0,-1 0 0,1 0 0,0 0 0,0 0 0,0 0 0,-1-1 0,1 1 0,0 0 1,0 0-1,0 0 0,0 0 0,0 0 0,-1-1 0,1 1 0,0 0 0,0 0 0,0 0 0,0-1 1,0 1-1,0 0 0,0 0 0,0 0 0,0-1 0,0 1 0,0 0 0,0 0 0,0 0 0,0-1 1,0 1-1,0 0 0,0 0 0,0 0 0,0-1 0,0 1 0,0 0 0,0 0 0,-2-38 593,-10-42-1,7 66-143,-2-9 67,11 17-382,12 6-122,-13 0-10,0 1 0,0 0 0,0 0 0,0 0 1,0 0-1,0 1 0,0-1 0,-1 1 0,1 0 0,0 0 0,0 0 0,-1 0 0,0 0 0,0 0 0,3 5 0,-5-7 4,1 1-1,-1 0 0,0-1 0,0 1 0,0-1 0,1 1 0,-1 0 0,0-1 0,0 1 0,0 0 0,0-1 0,0 1 0,0 0 0,0-1 0,-1 1 0,1 0 0,0-1 0,0 2 0,0-2 0,-1 1 0,1 0 0,0-1 0,0 1 0,-1-1 1,1 1-1,-1-1 0,1 1 0,-1-1 0,1 1 0,0-1 0,-1 1 0,0-1 0,1 1 0,-1-1 0,1 0 0,-1 1 0,0-1 0,-29 14 104,19-9-91,-1 4 27</inkml:trace>
  <inkml:trace contextRef="#ctx0" brushRef="#br0" timeOffset="9615.34">489 37 3577,'-1'0'289,"-4"1"9576,2 0-6396,4 9-3769,-1-7 644,31 111-202,-31-106-523</inkml:trace>
  <inkml:trace contextRef="#ctx0" brushRef="#br0" timeOffset="10372.65">463 51 2224,'-26'-15'16747,"32"13"-17952,1 1 1369,15-5 665,-2 0 0,27-10-1,-34 12-610,-9 4-3348,-5 0 2382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6:36.62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996 485 2104,'25'18'1542,"-32"-17"8618,-34-8-8876,26 1-968,0 0-1,-25-12 1,33 13-298,1 1 0,-1 0 0,-1 1 0,-9-3 0,15 6-18,-1-1 1,2 0-1,-2 1 0,0 0 1,1 0-1,-1 0 0,1 0 1,-1 0-1,0 0 0,1 0 1,-1 1-1,1 0 0,-1-1 1,1 1-1,-1 0 0,1 0 0,-4 1 1,-14 9-26,13-8 17,1 0 0,0 1 1,-11 7-1,11-8 8,0-1 0,1 1 0,-1 0 0,-1 0 0,1-2 0,-1 0 0,1 1 0,-1 0 0,0-1 0,0-1 0,1 0 0,-11-1 0,12 1-5,0-3 0,1 2 0,-1 0 0,1 0 0,-1-2 0,1 1 0,0 0-1,1 0 1,-1 0 0,0-1 0,0 0 0,1-1 0,-1 2 0,1-1 0,0-1 0,0 1 0,-5-9 0,5 9 7,-1-1-1,0-3 1,0 5-1,0-2 1,-1 0-1,1 0 1,-1 2-1,0-1 0,0 0 1,0 1-1,0 0 1,0 1-1,0-2 1,-1 1-1,1 1 1,-6-1-1,6 1-1,-1-1-1,1 2 0,0 0 1,-1-1-1,1 1 0,0 0 1,-1 1-1,1-1 0,0 0 1,-1 1-1,-7 2 0,5 0 0,1 2 0,-1-3 0,1 2 0,1 0 0,-1 1 0,-12 9-1,13-8 5,-1-2-1,0 0 1,0-1-1,0 1 1,-1-1-1,1 0 1,-1-1-1,0 0 0,-10 1 1,-24 8 4,22-5-10,8 0-2,1-4 0,-1 3-1,-13 0 1,8-2 1,14-2 3,1-1-1,-1 1 1,1-1-1,-1 1 1,1-1-1,-1 0 1,1 0-1,-1 0 1,1 0 0,-1-1-1,1 1 1,-1-1-1,1 0 1,-1 1-1,1-2 1,0 2-1,-1-1 1,-2-2-1,-19-18-10,9 6 8,12 12 1,-1 1-1,1 0 0,-1 1 1,0 0-1,0-1 0,0 0 0,0 1 1,-6-1-1,10 2-3,0 4-7,1-1 8,0 1 1,0-1-1,0 1 1,0-2 0,0 2-1,1-1 1,-1 1-1,1-2 1,0 1 0,0 0-1,1 0 1,-1-1-1,0 2 1,4 1 0,10 16 52,23 25 32,-56-66 9,8 12-93,2-1 0,-1 2 0,2-2 1,-7-13-1,12 21 7,0 0-1,0 0 1,0 0-1,0-2 1,0 2-1,0 0 1,0 0-1,0 0 1,0 0-1,-1 0 1,1 0-1,0 1 1,-1-1-1,1 0 1,-1 1-1,-1-1 1,-5-3-48,13 0 104,-1 2-1,1-1 1,0 1-1,0 0 1,5-2 0,-10 4-56,38-23 207,-33 20-136,-1 1 0,1-1 0,0 0 0,0 1 0,0 0 0,1 0-1,8-3 1,-12 5 111,-4 0 79,-6 3-158,-24 15-120,27-15 12,1 3 0,-1-3 0,-1-1 0,-7 5 0,-2-3-5,11-3 1,0 0 1,0 1 0,0-1 0,0 1 0,0-1 0,1 1 0,-1 0 0,-6 5 0,10-6-14,7 2-139,13 14 159,-1 2-1,17 19 1,-17-17 27,-10-13-1262,-9-9 837</inkml:trace>
  <inkml:trace contextRef="#ctx0" brushRef="#br0" timeOffset="3936.77">370 129 1728,'-4'-14'519,"-1"-7"149,-4 7 2834,11 19 2475,-1 15-4499,0 4-1640,17 61 288,-18-73-12,0-12-47,-1 1 1,1-1-1,0 1 0,0-1 0,0 0 0,0 0 1,0 1-1,0-1 0,0 1 0,0-1 0,0 1 1,0-1-1,0 1 0,0-1 0,0 1 0,0-1 1,0 0-1,0 1 0,1-1 0,-1 2 0,0-2 1,0 1-1,1-1 0,-1 1 0,0-1 1,1 0-1,-1 1 0,0-1 0,1 0 0,-1 1 1,1-1-1,20-3 353,-16 3-325,0 0 0,1-1 1,-1-1-1,0 1 1,0-1-1,1 1 0,-1-1 1,0 1-1,6-6 0,-11 7-105</inkml:trace>
  <inkml:trace contextRef="#ctx0" brushRef="#br0" timeOffset="4781.26">471 63 3209,'-1'3'8246,"2"4"-8526,-1 0 816,21 127 5,-20-128-369,0-10 391,-1-13 213,-12-40 213,9 44-563,0 1 0,0 0 1,-1-26-1,4 37-426,0 1-1,0-1 1,0 0 0,0 1 0,0-1-1,0 1 1,0-1 0,0-1-1,0 2 1,0 0 0,0 0 0,1-2-1,-1 1 1,0 1 0,0-1 0,1 1-1,-1 0 1,0 0 0,1-1 0,-1 1-1,1-1 1,-1 1 0,1 0 0,-1-1-1,0 1 1,1-1 0,0 1-1,0-1 1,0 1-3,0 0 1,0 0-1,1 0 0,-1 0 0,0 0 0,0 0 0,1 0 1,-1 0-1,0 0 0,0 1 0,0-1 0,1 1 1,0 0-1,4 1 3,-1 0 0,0 2 1,0-1-1,7 5 1,-10-6 6,-1-1 1,0 0 0,0 0-1,0 1 1,0-2 0,0 1-1,0 0 1,0 0 0,0 0 0,0 1-1,0-1 1,0 0 0,-1 2-1,1-2 1,-1 0 0,1 0 0,-1 0-1,1 4 1,-2-3 8,1-1-1,-1 1 1,0-2-1,1 2 1,-1-1-1,0 1 1,0-1 0,0 1-1,0 0 1,0-1-1,-1 0 1,1-1-1,0 1 1,-1 1 0,1-2-1,-1 1 1,-1 1-1,-50 38-43,53-40-29,0 0 0,0 0-1,0 0 1,0 0 0,0 0-1,0 0 1,1 0 0,-1 0-1,0 0 1,0 0-1,0 0 1,0-1 0,0 1-1,0 0 1,0 0 0,0 0-1,1 0 1,-1 0 0,0 0-1,0 0 1,0 0 0,0 0-1,0 0 1,0 0 0,0 0-1,0 1 1,1-1 0,-1 0-1,0 0 1,0 0 0,0 0-1,0 0 1,0 0 0,0 0-1,0 0 1,0 0 0,0 0-1,0 0 1,1 0-1,-1 0 1,0 0 0,0 1-1,0-1 1,0 0 0,0 0-1,0 0 1,0 0 0,0 0-1,0 0 1,0 0 0,0 0-1,0 0 1,0 1 0,0-1-1,0 0 1,0 0 0,0 0-1,0 0 1,0 0 0,0 0-1,0 0 1,0 2 0,1-2-445,7-2-1000</inkml:trace>
  <inkml:trace contextRef="#ctx0" brushRef="#br0" timeOffset="5353.72">614 32 3593,'-1'19'2637,"1"0"0,0 3 1,1-3-1,7 32 1,0-24-6008</inkml:trace>
  <inkml:trace contextRef="#ctx0" brushRef="#br0" timeOffset="5865.77">533 46 2369,'23'-4'12794,"18"-13"-9487,14-2-3358,-29 15 471,-25 4-520,0 0 1,0 0 0,0-1-1,-1 1 1,1 0-1,0 0 1,0 0-1,0 0 1,0 0-1,-1 0 1,1 0-1,0 0 1,0 1-1,0-1 1,0 0-1,-1 0 1,1 1 0,0-1-1,0 0 1,-1 1-1,1-1 1,0 1-1,-1-1 1,1 1-1,0 0 1,-1-2-751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5:25.6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4:34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181 0 1472,'-8'5'7599,"7"-4"-7268,-3 12 2683,3 24-4170,1-14 1594,-3 1-407,2 40-1,1-50-26,-1-12-1447</inkml:trace>
  <inkml:trace contextRef="#ctx0" brushRef="#br0" timeOffset="1464.4">125 282 1488,'0'0'8545,"-9"26"-8128,-6-1-394,-2 10 10,19-26 84,-1-4 44,-9-3-71,7-2-52,1 1-1,0-1 1,0 1-1,0-1 1,0 1-1,0 0 1,0-1 0,0 1-1,0-1 1,0 1-1,0-1 1,0 1-1,0-1 1,1 1-1,-1-1 1,0 1-1,0-1 1,1 1-1,-1-1 1,0 1-1,0-1 1,1 1-1,-1-1 1,0 0-1,1 1 1,-1-1 0,1 0-1,0 1 1,12 4 208,1 0 1,0-2-1,0 1 1,1-2-1,14 1 1,-28-3-398,3 0 336</inkml:trace>
  <inkml:trace contextRef="#ctx0" brushRef="#br0" timeOffset="2291.75">178 364 1328,'-12'-9'8058,"7"12"-5021,1 17-3197,3-14 484,3 33-93,-2-32-210,1-1 0,-1 0-1,0 0 1,-1 10-1,1-12-1001,0-5 667</inkml:trace>
  <inkml:trace contextRef="#ctx0" brushRef="#br0" timeOffset="5317.17">29 246 1176,'-12'-22'1136,"0"10"5319,12 12-6396,0 0 0,-1 0 0,1 0 0,0 0 0,0 0 0,0 0 0,-1 0 0,1 0 0,0 0 0,0 0 0,0 0 0,-1 0 0,1 1 0,0-1 0,0 0 0,0 0 0,0 0 0,-1 0 0,1 0 0,0 1 0,0-1 0,0 0 0,0 0 0,0 0 0,0 0 0,-1 1 0,1-1 0,0 0 0,0 0 0,0 0 0,0 1 0,0-1 0,0 0 0,0 0 0,0 0 0,0 1-1,0-1 1,0 0 0,1 33-678,0-22 1116,0 54-96,-1 47-289,0-101-109,0 0-1,0-2 1,1 2-1,0 0 1,3 11-1,-3-20-9,-1-2 53,1 1-45,0 0 1,0-1 0,0 1-1,0-1 1,0 1 0,0 0-1,0-1 1,-1 0-1,1 1 1,0-1 0,0 0-1,0 1 1,0-1 0,0 0-1,0 0 1,2 0-1,17 2 29,46-1 900,-52 1-885,1-1-1,-1 0 1,0-1 0,1-1 0,0-1 0,-2 0 0,27-7-1,-34 8-39,-5 1 0,1-1-1,0 1 1,-1 0-1,1 0 1,-1-1 0,1 1-1,-1-1 1,1 0-1,-2 1 1,2-1-1,-1 0 1,1 0 0,-1 0-1,2-1 1,-3 2 12,3-25 158,-1 10-168,0 1 0,-2-1 0,1 0 0,-2 0 0,0 0 0,-1 0 0,-4-17 0,3 21-7,2 1 0,0-1 1,0-14-1,-15-7 16,15 30-10,0 0 1,1 1-1,-1-1 0,0 0 1,0 1-1,0-1 0,0 1 1,0-1-1,-1 1 0,1-1 1,0 1-1,-1 0 0,1-1 1,-1 1-1,1 0 0,-1 0 1,1 0-1,0 1 0,-3-2 1,-37-9 31,11 4-29,14 5 0,8-1-4,0 2 1,1-1-1,-1 1 0,0 1 1,-12 0-1,-30 0-5,48 0-34,1 0-1,-1 1 1,0-1 0,1 1-1,-1-1 1,0 1-1,1-1 1,-1 1 0,1 0-1,-1 0 1,1 0 0,0 0-1,0 0 1,0 0 0,-2 2-1,1-2-895,2-1 409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29T09:16:02.2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5:27.05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27 0 5857,'-11'11'2041,"6"-3"-1801,1-1-184,-1-3-96,5 0-176,-2-4-1449,2 0 1177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5:35.60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25 1 1576,'-3'10'-239,"-2"-5"4632,-10-17 4051,13 11-8236,47 8 1919,-40-7-1826,16 2-172,1-1 0,38-3 0,48-4-57,-82 12-57,-24-5-15,0 0-1,0 0 1,0 0-1,0 0 1,1-1-1,-1 1 1,0-1-1,0 0 1,1 1-1,-1-1 1,0 0 0,0 0-1,1-1 1,-1 1-1,0 0 1,1-1-1,3 0 1,-4 0 0,0 0-1,0 1 1,0 0 0,0-1 0,0 1 0,0 0 0,1 0 0,-1 0 0,0 1 0,4 0-1,-1 1-95,-21 0 11,-14-3 84,-43-6 1,70 7-1,1 0 1,-1 0-1,1 0 1,-1 0-1,1 1 1,-1-1-1,0 1 1,-4 1-1,5-1 0,-1-1-1,1 1 1,-1 0-1,0-1 1,1 0 0,-1 1-1,-4-1 1,-60-1-98,64 1 71,0 0 0,0 0-1,0 0 1,0 0 0,1 1 0,-1 0-1,0-1 1,-3 2 0,3-1 22,0 0 0,1 0 0,-1 0 0,0-1 0,0 1 0,1-1 0,-1 0 0,-6 0 0,-10 1 249,5 0-4258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5:39.42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19 262 1608,'-10'-3'9909,"1"2"-7187,17 10-2493,-1-3-181,-1 0 0,0 0 0,-1 1 0,1-1 0,-2 1 0,1 1-1,-1-1 1,6 13 0,25 36-25,-32-48-19,1 0-1,0-2 1,0 2 0,9 11 0,-7-4 50,-4-12-3332,-2-3 2459</inkml:trace>
  <inkml:trace contextRef="#ctx0" brushRef="#br0" timeOffset="1108.72">126 221 2208,'-6'-7'486,"4"6"-278,1-1 0,0 1 1,-1 0-1,1-1 1,0 1-1,0-1 1,0 1-1,0-1 1,0 0-1,0-1 2286,2 8 5565,11 26-8353,6 1 479,45 69 252,-50-81-417,14 15-64,-24-33-335</inkml:trace>
  <inkml:trace contextRef="#ctx0" brushRef="#br0" timeOffset="2028.12">123 369 1432,'-43'1'991,"26"3"9729,16-8-9632,5 2-958,0-1 0,0 1 0,0 0 0,0 0 0,7-1 0,-5 1-103,-4 2-3,0 0 0,-1 0 0,1 0 0,-1-1-1,1 1 1,-1-1 0,1 1 0,-1-1-1,1 1 1,-1-1 0,1 0 0,-1 0 0,0 0-1,-1 1 1,2-1 0,-1-1 0,0 1-1,0 0 1,1-2 0,-1 2 5,-1 0 0,1 0 0,0 0 0,-1 0 0,1 0 0,0 0 0,0 0 0,-1 0 0,1 0 0,0 1 0,0-1 0,0 0 0,0 0 0,0 1 0,0-1 0,0 1 0,0 0 0,1 0 0,-1-1 0,0 1 0,2-1 0,-1 1-108,-1 0 1,1-1 0,-1 1-1,0-1 1,1 0-1,-1 1 1,0-1 0,0 0-1,1 0 1,-1 1 0,0-1-1,0 0 1,0 0-1,0-1 1,0 1 0,1-1-1</inkml:trace>
  <inkml:trace contextRef="#ctx0" brushRef="#br0" timeOffset="3072.63">243 185 2192,'-1'-6'915,"-1"-4"-421,-2 4 7661,5 10-4003,10 19-4186,6 5 56,-5-8 9,-1 0 0,3 0 0,17 19-1,-28-36-31,0 1 0,0-1 0,0 0 0,-1 1 0,1 1 0,-1-1 0,0 0 0,1 5 0,1-4 53,1-1-160</inkml:trace>
  <inkml:trace contextRef="#ctx0" brushRef="#br0" timeOffset="3996.73">219 227 1680,'-36'-5'1179,"21"3"7891,18-2-3947,3 0-6080,55-37 1570,-52 34-527,1 0 0,0 1 1,0 0-1,19-8 1,-28 13-2616,0 0 1825</inkml:trace>
  <inkml:trace contextRef="#ctx0" brushRef="#br0" timeOffset="4925.49">409 212 2641,'-21'27'3224,"30"-35"6523,7-3-7485,12-11-6865,-27 22 3519</inkml:trace>
  <inkml:trace contextRef="#ctx0" brushRef="#br0" timeOffset="6082.69">521 94 3281,'-5'-4'738,"-3"-3"-190,1 0 4179,2 5 423,5 8-3796,3 8-1517,7 6 168,1 0-1,17 22 1,-15-23-4,7 19-48,-18-34-4179</inkml:trace>
  <inkml:trace contextRef="#ctx0" brushRef="#br0" timeOffset="7331.42">627 222 1720,'1'-1'8056,"0"-4"-4008,3-30-3368,-5 27-535,1 1 0,-2-1 0,1 1 0,-1 0-1,0 1 1,0-1 0,-5-11 0,-2-6 221,7 10 70,11 15-325,13 14-205,-19-13 129,32 31-39,-30-28 5,0 1-1,0-2 1,1 1-1,11 7 1,-17-11-1,1-1 1,-1 0 0,0 0 0,0 0 0,0 0 0,0 0 0,1 1 0,-1-1 0,0 0 0,0 0 0,0 0 0,1 0 0,-1 0 0,0 0 0,0 0 0,0 0 0,1 0 0,-1 0-1,0 0 1,0 0 0,0 0 0,1 0 0,-1 0 0,0 0 0,0 0 0,0 0 0,1 0 0,-1 0 0,0 0 0,0 0 0,0 0 0,1 0 0,-1-1 0,0 1 0,0 0 0,0 0 0,1 0-1,-1 0 1,0 0 0,0-1 0,0 1 0,0 0 0,0 0 0,0 0 0,1-1 0,-1 1 0,0 0 0,-1-15 104,-9-17 96,10 31-190,-6-14 236,-15-28 0,0-2-25,21 43-424,-1-2 378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5:51.33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56 429 1032,'-6'-3'432,"-21"-11"773,18 7 2708,1-1 3897,8 9-7796,0-1-1,0 0 0,0 0 0,0 0 0,0 0 0,0 0 0,0 1 0,0-1 1,0 0-1,0 0 0,0 0 0,0 0 0,0 0 0,0 1 0,0-1 1,0 0-1,0 0 0,0 0 0,0 0 0,-1 0 0,1 0 0,0 1 1,0-1-1,0 0 0,0 0 0,0 0 0,0 0 0,0 0 0,-1 0 0,1 0 1,0 0-1,0 0 0,0 1 0,0-1 0,0 0 0,0 0 0,-1 0 1,1 0-1,0 0 0,0 0 0,0 0 0,0 0 0,0 0 0,-1 0 1,1 0-1,0 0 0,0 0 0,0 0 0,0 0 0,0 0 0,-1-1 0,1 1 1,0 0-1,0 0 0,0 0 0,0 0 0,0 0 0,0 0 0,-1 0 1,1 0-1,4 16-76,3-3 63,1 0 0,0 1 0,12 11 0,-7-8 24,15 25 0,-24-33 7,1 0 0,1 0 0,-1 0 0,1 0 0,1-2 0,0 0 0,14 14 0,-16-17-21,1 1 0,-2 0-1,1 0 1,4 8 0,13 14 7,-20-25 4,0 1 0,0-1 1,0 2-1,0-2 0,-1 1 0,3 4 1,-2-4 231,13-1-183,-9-4-56,0 0 1,0 1-1,0-2 0,0 1 1,0 0-1,0-1 1,-1 0-1,8-8 1,4 1 39,74-37 207,-72 39-190,-14 8-37,0-2 0,0-1-1,0 1 1,0-1 0,-1 0 0,1 1 0,-1-1 0,4-4 0,-6 6-29,0-1 0,0 2 0,0-2 0,1 1 0,-1 0 0,0 0 0,0 0 0,0 0 0,0 1 0,3-2-1,13-6 24,-4-6-25,5-2 2,4-1 1,-20 14-4,1 0 0,-1 0-1,1 1 1,1-1-1,5-1 1,-3 1-2,13-2 0,-18 4 0,0 0 0,0 1 0,0-1 1,-1-1-1,1 1 0,0 0 0,-1 0 1,1 0-1,2-1 0,14-8 4,31-7-2,-16-4 14,12-1-16,33-26 54,-19 3 36,-45 39-120,-4 1 264,-10 4-205,1 0 0,-1 0 1,0 0-1,0 0 0,0 0 0,0 0 1,0 0-1,0 0 0,0 1 0,0-1 1,0 0-1,-1 0 0,1 0 0,0 0 1,0 0-1,-1-2 0,-6-13 82,-1-1-1,-1 0 0,-21-28 1,-10-21 107,23 39-107,12 19-109,1 2 0,0-1 0,-6-11 0,8 12 3,-1-1 0,0 1 0,0 0 0,0 2 0,-1-2 1,0 1-1,-1 0 0,1-1 0,0 3 0,-9-8 0,12 11-1,-1-1 0,1 1 0,-1 0-1,1 0 1,-1 0 0,1 0 0,-1 1 0,1-1 0,0 0 0,-1 1-1,1-1 1,-1 0 0,1 1 0,0 0 0,-1-1 0,1 1 0,0 0-1,-1 0 1,1 0 0,-1 1 0,-5 1 11,-57 27 42,-13 20 14,-9 1 63,53-30 19,-45 21-1,57-33-124,1 3 1,1-2 0,-28 24-1,25-20 16,0 1-1,-31 12 1,23-12-6,-7 2 16,30-14-50,-1 0-1,1-1 0,1 1 0,-1 2 0,0-1 0,1 0 0,-12 8 1,0 2 12,-4 4-26,18-18-2274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5:54.30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54 5 2248,'-24'13'1333,"2"-20"9506,15 4-9277,17 6-1299,6 4-233,-11-5 12,0 0-1,0 0 1,1 0-1,-1-1 1,1 0 0,5 0-1,-10-1-34,0 0 0,0 0 1,0 0-1,0 0 0,0 0 0,0 0 0,0 0 0,0 1 0,0-1 1,0 1-1,0-1 0,0 1 0,0-1 0,0 1 0,0-1 0,0 1 0,-1 0 1,1 0-1,0 0 0,0 0 0,-1-1 0,1 1 0,1 3 0,3 28 14,-3-15-14,-2-16-7,0 0 0,1-1 1,-1 1-1,0-1 0,0 1 0,1-1 1,-1 1-1,0 0 0,1-1 0,-1 0 0,0 1 1,1-1-1,-1 1 0,0-1 0,1 1 1,-1-1-1,1 0 0,-1 0 0,1 1 1,-1-1-1,1 0 0,-1 0 0,1 0 0,-1 1 1,1-1-1,-1 0 0,1 0 0,-1 0 1,1 0-1,-1 0 0,1 0 0,-1 0 1,1-1-1,-1 1 0,1 0 0,-1 0 0,0 0 1,1-1-1,-1 1 0,1 0 0,-1-1 1,1 1-1,-1 0 0,0-1 0,1 1 1,-1-1-1,1 1 0,-1-1 0,0 1 0,0-1 1,1 1-1,-1-1 0,0 0 0,0 1 1,1-1-1,-1 1 0,0-2 0,4-41 3,-4 42-2,0 1-1,0-1 1,0 0 0,0 1 0,0-1-1,0 0 1,0 1 0,0-1-1,1 1 1,-1-1 0,0 1 0,0-1-1,1 1 1,-1-1 0,0 1 0,0-1-1,1 1 1,-1-1 0,0 1 0,1-1-1,-1 1 1,1 0 0,-1-1-1,0 1 1,1 0 0,-1 0 0,1-1-1,-1 1 1,1 0 0,-1 0 0,0 0-1,1 0 1,-1-1 0,1 1-1,16 4 18,-10-3 24,-7-1-31,4-2-308,-138-15 297,112 16-73,22 1 72,0 0 0,0 0 0,0 0 0,0 0 0,0 0-1,0 0 1,0 0 0,0 0 0,0 0 0,0 0 0,0 1 0,0-1 0,0 0 0,0 0-1,0 0 1,0 0 0,0 0 0,0 0 0,0 0 0,0 0 0,0 0 0,0 0-1,0 0 1,0 0 0,0 0 0,0 0 0,0 0 0,0 0 0,0 0 0,0 0 0,0 1-1,0-1 1,0 0 0,0 0 0,0 0 0,0 0 0,0 0 0,0 0 0,0 0 0,0 0-1,0 0 1,0 0 0,-1 0 0,15 4-20,-12-3 23,21 4 16,35 3 1,-11-5 117,79 18 0,-124-21-134,-2 0-1,0 0-1,1 1 1,-1-1-1,0 0 1,0 0-1,0 0 1,0 0-1,1 0 1,-1 0-1,0 0 1,0 0-1,0 0 1,0 0-1,1 0 1,-1 0-1,0 0 1,0 0-1,0 0 0,0 0 1,1 0-1,-1 0 1,0-1-1,0 1 1,0 0-1,0 0 1,0 0-1,1 0 1,-1 0-1,0 0 1,0-1-1,0 1 1,0 0-1,0 0 1,0 0-1,0 0 1,0-1-1,1 1 1,-1 0-1,0 0 1,0 0-1,0-1 1,0 1-1,0 0 0,0 0 1,0-1-1,0 1 1,0 0-1,0 0 1,0 0-1,0-1 1,0 1-1,0 0 1,0 0-1,0 0 1,0-1-1,0 1 1,0 0-1,0 0 1,-1 0-1,1-1 1,-15-1 15,14 2-16,-12 1 8,0-2 0,0 0 0,0 0 0,0-2 0,0 0 0,0-1 0,-21-11 0,25 10-33,0 1 1,0 0 0,0 0 0,-1 1-1,1 1 1,-1 0 0,1 1 0,-1 0-1,0 1 1,-12 2 0,15 3-3215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5:55.81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32 455 2697,'-10'-3'722,"-1"0"479,7 2 3175,-2-1 3464,13 29-7280,0-14-536,0-1 0,10 15 0,9 14 8,-10-21-6,-13-18-24,-1 1-1,0 0 1,1-1 0,-1 1-1,0 0 1,-1-1-1,1 1 1,0 1 0,-1-1-1,1 4 1,-2-7-21,0-3-2963,0 2 2306</inkml:trace>
  <inkml:trace contextRef="#ctx0" brushRef="#br0" timeOffset="717.41">97 421 3617,'-3'-35'1529,"1"29"8952,3 16-9474,9 9-883,0-1-1,1-1 1,1 0-1,24 27 1,-29-35-128,-1-1 1,0 1 0,6 12 0,5 6-39,-18-30-3669,1 3 2828</inkml:trace>
  <inkml:trace contextRef="#ctx0" brushRef="#br0" timeOffset="1428.78">114 536 1632,'-15'2'501,"-14"3"2670,17-3 7048,11-4-8284,8 0-1046,-2-1-834,1 1 0,-1 0 0,0-1 0,0 1 1,0-1-1,0-1 0,-1 1 0,6-6 0,8-5 17,-17 12-63,1 2-1,0-1 1,0 0 0,0 1 0,0-1 0,0 0 0,0 1 0,4-1 0,10-5-233,-15 2-3268,-1 3 2384</inkml:trace>
  <inkml:trace contextRef="#ctx0" brushRef="#br0" timeOffset="2205.87">227 349 3961,'-17'2'2103,"16"4"6641,6 8-7097,5 3-2145,-9-14 542,11 23 272,1-1 0,21 27 0,-32-51-787</inkml:trace>
  <inkml:trace contextRef="#ctx0" brushRef="#br0" timeOffset="2848.97">165 384 2248,'0'0'-73,"-20"3"3726,20-2-3150,-1-1 0,0 0 0,1 0 0,-1 0 0,1 1 0,-1-1 0,0 0-1,1 0 1,-1 0 0,1 0 0,-1 0 0,0 0 0,1 0 0,-1 0 0,0-1 0,1 1 0,-1 0 0,1 0 0,-1 0 0,1-1 0,-1 1-1,0 0 1,1-1 0,-1 0 0,18-7 463,-5 2-815,-1 0 1,0-1 0,0 0-1,-1 0 1,2-1 0,10-13-1,4-11-1142,-19 24-1789,-3 4 183,1 0 1140</inkml:trace>
  <inkml:trace contextRef="#ctx0" brushRef="#br0" timeOffset="3493.41">324 366 4369,'-13'39'11332,"19"-48"-8226,-4 5-3177,0 0 0,0 1 0,1 0 0,0 0 0,0 0-1,3-4 1,18-16 445,-24 21-1117</inkml:trace>
  <inkml:trace contextRef="#ctx0" brushRef="#br0" timeOffset="4847.92">405 197 3601,'-8'5'678,"-1"0"304,2 2 3102,7-7-3843,0 1 0,-1-1 0,1 1 0,-1 0 0,1-1 0,0 1 0,-1 0 0,1-1 0,0 1 0,0 0 0,0 0 0,0-1 0,-1 1 0,1 0 0,0 0 0,0-1 0,0 1 0,1 1 0,5 17 697,14 14-1078,-14-26 185,-3-4-16,-1 1-1,0-1 1,1 0 0,-1 0-1,1-1 1,0 1 0,0-1-1,0 0 1,0 0 0,0 0 0,0 0-1,1 0 1,-1 0 0,1-1-1,0 1 1,0-1 0,0 0-1,-1 0 1,6 0 0,-8-1 2,0 0 1,0 0-1,0 0 1,0 0-1,-1 0 0,1 0 1,0 0-1,0 0 1,0 0-1,0 0 1,0 0-1,0-1 1,0 1-1,-1 0 1,1-1-1,0 1 1,0-1-1,0 1 1,-1-1-1,2 0 1,7-20 421,-8 19-451,0-2 47,-1 1 1,0 0-1,1 0 1,-1-1-1,0 1 1,-1 0-1,1 0 0,0 0 1,-1 0-1,0 0 1,0 0-1,0 0 1,0 0-1,0 0 1,-1 0-1,1 0 1,-1 0-1,1 1 0,-1-1 1,0 1-1,0 0 1,-1 0-1,1-1 1,-4-2-1,0 1 14,1 0 0,-1 0 0,-1 0 0,1 1 0,0 0 0,-13-4 0,18 7-77,0-1-1,0 1 1,0 0 0,0-1-1,0 1 1,0 0-1,0-1 1,0 1-1,0 0 1,-1 0-1,1 0 1,0 0-1,0 0 1,0 0 0,0 1-1,0-1 1,-1 0-1,1 0 1,0 1-1,0-1 1,0 1-1,0-1 1,0 1-1,0 0 1,0-1 0,0 1-1,1 0 1,-1-1-1,0 1 1,0-1-1,0 1 1,1 0-1,-1 0 1,0 0 0,1 0-1,-1 0 1,1 0-1,-1 0 1,1 0-1,0 0 1,-1 0-1,1 0 1,0 1-1,0-1 1,0 0 0,0 0-1,-1 0 1,2 0-1,-1 3 1,0-3-193,0 1-1,0-1 1,1 0 0,-1 1 0,0-1 0,1 0 0,-1 1-1,1-1 1,-1 0 0,1-1 0,0 1 0,-1 1 0,1-1 0,1 1-1,5 5-589</inkml:trace>
  <inkml:trace contextRef="#ctx0" brushRef="#br0" timeOffset="5790.72">491 172 1752,'-10'-9'-16,"3"1"11963,9 11-11751,0-1-1,0 1 1,-1-1-1,1 0 1,0 1 0,1 5-1,9 13-90,16 11 19,-26-30-107,0 0 1,1 0-1,-1-1 1,2 1-1,-2 0 1,1-1-1,0 1 1,-1-1 0,1 0-1,0 0 1,4 2-1,-6-4 27,0 1 0,-1 0-1,1 0 1,0-1 0,-1 1-1,1 0 1,-1-1 0,1 1-1,0-1 1,-1 1 0,1-1-1,-1 1 1,1-1 0,-1 1-1,1-1 1,-1 0 0,0 1-1,1-1 1,-1 1 0,0-1-1,1 0 1,-1 0 0,0 1-1,0-1 1,0 1 0,0 0-1,1-2 1,3-25 470,-5 21-437,1 1 0,-1-1 1,0 0-1,-1 0 0,1 1 1,-1-1-1,0 1 0,0 0 1,-1 0-1,0-1 1,0 1-1,0 0 0,0 0 1,-1 1-1,-6-7 0,1-1 41,7 7-3752,2 4 2656</inkml:trace>
  <inkml:trace contextRef="#ctx0" brushRef="#br0" timeOffset="6296.11">575 56 4545,'2'5'7895,"4"3"-4380,15 16-4513,-18-20 1864,26 26-673,-3-3-334,-26-27 65,0 0 0,0 0 0,0 0 0,0 0 0,0 0 0,0 0 0,0 0 0,0 0 0,0 1 0,0-1 0,-1 0-684,1 0 684,0 0 0,0 0 0,0 0 0,0 0 0,0 0 0,0 0 0,0 0 0,0 0 0,0 1 0,0-1 0,0 0 0,0 0 0,0 0 0,0 0 0,0 0 0,0 0 0,0 0 0,0 0 0,0 0 0,0 0 0,0 0 0,0 0 0,0 0 0,0 0 0,0 0 0,1 1-304,-2-2-517</inkml:trace>
  <inkml:trace contextRef="#ctx0" brushRef="#br0" timeOffset="6838.46">584 88 2104,'-33'7'1457,"32"-7"-1017,0 1 1,0-1 0,0 1-1,1 0 1,-1-1 0,0 1-1,0 0 1,1 0-1,-1-1 1,-2 4 5797,5-8-4548,2-5-1371,0-1-1,0 0 1,2 1-1,-1 0 1,1 0-1,0 0 0,1 1 1,10-11-1,-6 12-162,-7 6-4020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4:46.7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16 209 1800,'-16'11'8958,"41"-8"-6462,15 0-2981,-12-1 875,-10-1-1354,-5-1-2445</inkml:trace>
  <inkml:trace contextRef="#ctx0" brushRef="#br0" timeOffset="1497.62">312 245 1392,'-2'27'8993,"2"-34"-6811,5-14-2084,29-71 376,-33 90-473,0 0 4,0 0 0,0 0 0,0 0 1,-1 0-1,1 0 0,-1 0 1,1-1-1,-1 1 0,0 0 0,0 0 1,0-3-1,-1 3-2,0 1 0,0 0 0,0-1 0,0 1 0,0 0 0,0-1 0,0 1 1,-1 0-1,1 0 0,-1 0 0,1 0 0,-1 0 0,1 1 0,-1-1 0,-2-1 0,-12-5 5,0 1-1,-31-8 1,42 14-2525</inkml:trace>
  <inkml:trace contextRef="#ctx0" brushRef="#br0" timeOffset="2269.21">272 146 2393,'-4'4'939,"-4"11"7754,113 25-7078,-104-40-1644</inkml:trace>
  <inkml:trace contextRef="#ctx0" brushRef="#br0" timeOffset="3249.69">175 73 1336,'-4'-14'-374,"-1"-2"7158,8 31-3314,-1-1-3418,0-1 1,-1 1 0,0 0-1,-1-1 1,-3 28 0,1-28 8,1-1 0,0 1 0,1 0 0,1 0 0,2 16 1,0-27-2126</inkml:trace>
  <inkml:trace contextRef="#ctx0" brushRef="#br0" timeOffset="6034.49">167 82 1296,'2'-41'6204,"1"2"-2311,-1 38-3805,1 1-1,-1 0 1,1-1-1,-1 1 1,1 0 0,-1 0-1,1 0 1,-1 1-1,1-1 1,3 2-1,-4-2 37,53 6 674,-23 0-261,-18-4-505,0 0 1,1-1-1,16-1 1,31 2 57,-61-2-87,1 0 0,-1 1 0,0-1 0,1 0 0,-1 0 0,0 1 0,1-1 0,-1 0-1,0 1 1,0-1 0,0 1 0,1 0 0,-1-1 0,0 1 0,0 0 0,0 0 0,0 0 0,0 0 0,0 0 0,0 0 0,0 0 0,-1 0 0,1 0 0,0 0-1,-1 0 1,1 1 0,0-1 0,-1 0 0,0 0 0,1 1 0,-1-1 0,0 0 0,1 1 0,-1-1 0,0 2 0,3 8 3,-2-2-50,-1 0 0,1-1 0,-1 1 0,-1 0 0,1 0 0,-2 0 0,-2 12 1,-2 14-63,0 15-572,-7-12 638,11-36 40,0-1 0,0 1 0,0 0 0,0 0 0,0-1 0,0 1 0,0-1 0,-1 0 0,1 1 0,-5 0 0,1 0-5,0-1 1,0 0-1,-1 0 0,1-1 0,0 0 0,-1 0 1,1 0-1,0-1 0,0 0 0,-12-3 0,7 2 2,8 1 6,0 1 0,0 0-1,0 1 1,0-1 0,0 1 0,0-1-1,0 1 1,0 0 0,-3 1 0,-21 4 16,1-3-32,22-2 8,0-1 0,0 1 1,0-1-1,0 0 1,0 0-1,0 0 0,0 0 1,-7-2-1,9 0 14,0 0-1,1 0 1,-1 0-1,0-1 1,1 1-1,0 0 1,-1 0-1,1-1 1,-1-2-1,7-84-930,-5 80 582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6:10.10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35 539 3321,'-18'-13'1841,"14"12"2579,5 7-48,1 1-1720,0-3-3391,15 26 1105,2 0-1,36 41 0,-34-45-294,1 1-43,-8-10-1,21 32 0,-15-24-22,1 0-49,-21-24 85,32-10 231,17-16-176,-36 17 91,0 0 0,29-11 0,-33 15-135,0 0 1,0-1 0,0 0 0,0-1 0,-1-1 0,0 1-1,7-10 1,16-10-37,0 0-7,-21 17-2,0 0 0,1 1 1,21-14-1,20-9 17,-49 30-23,-1-1 0,0 0 0,1 0 0,-1 0 0,0 0 1,0 0-1,2-4 0,-2 5 0,0-1-1,-1 0 1,1 0 0,0 0 0,0 0 0,0 0 0,1 0-1,0 1 1,2-2 0,0-1 0,1 1 1,-1-1-1,0 0 1,0 0-1,0 0 0,-1-1 1,6-5-1,14-15 4,-15 18 0,-7 6-4,-1 0 0,1 0 0,-1 0-1,1-1 1,-1 1 0,0 0 0,1-1 0,-1 2 0,0-2-1,0 1 1,0-1 0,1-2 0,1-1-2,1 0 0,0 0 0,0 1-1,1-1 1,-1 1 0,0 0 0,8-5 0,3-2 10,-1 0-10,11-13 10,-12 14-6,-12 9-3,0 1 1,0-1-1,0 0 0,0 0 1,0 1-1,0-1 0,0 0 1,0 0-1,-1 0 0,1 0 1,0 0-1,0 0 0,-1 0 1,2-3-1,18-16-8,-5 1 23,-5 7-6,5-27-9,-14 37 3,0 0-1,0-1 1,0 1 0,-1-1 0,1 1-1,0-1 1,-1 0 0,0 1 0,0-1-1,0 1 1,0-1 0,0 0 0,0 1-1,0 0 1,-1 0 0,0-1 0,1 1-1,-1-1 1,0 1 0,0-1 0,-3-3-1,-3-8 26,-1 0 0,-16-17 0,13 16-20,4 7-3,0-2 0,-1 1 0,0 1 0,0 0 1,-17-12-1,12 12-3,1-1 0,0 0 1,-13-11-1,23 18 3,1 0 1,-1 1-1,1-1 0,-1 1 0,0 0 1,1-1-1,-1 1 0,0 0 0,0 0 1,0 0-1,0 0 0,0 1 0,0-1 1,0 0-1,0 1 0,0 0 0,0-1 1,-1 1-1,1 0 0,0 0 0,0 0 1,0 0-1,0 1 0,0-1 0,-1 0 1,1 1-1,0 0 0,0-1 0,0 1 1,0 0-1,-3 2 0,0-1 0,0 1 0,0 0 0,0 0 0,0 0 0,0 0 0,-4 4 0,-22 15 9,31-22-13,-105 66 93,-11 26-13,15-24-80,3-2 5,-11 21 19,86-71-26,-4 3 1,23-16 9,1-1 0,-2 1 0,1-1 0,0 1 0,-5 1 0,6-2 1,0-1-1,0 1 0,0 0 0,0 0 1,1 0-1,-1 0 0,1 0 1,-1 0-1,1 1 0,0-1 0,0 1 1,-3 3-1,4-5 1,1 0 0,-1 0 0,0 0 0,1 0 0,-1-1-1,1 1 1,-1 0 0,1 0 0,-1 0 0,1 1 0,0-1 0,0 0 0,-1 0 0,1 0 0,0 0 0,0 1 0,0-1 0,0 0 0,1 0 0,-1 0 0,0 0 0,0 1-1,1-1 1,-1 0 0,0 0 0,1 0 0,-1 0 0,1 0 0,0 0 0,-1 0 0,1 0 0,1 1 0,2 5-13,1 0 0,0-2 0,0 1 0,8 7 1,0 1 3,44 53 54,13 17-112,-69-84 56,9 9 8,-1-1 0,-1 2 0,0-1 0,-1 2-1,7 9 1,-13-19-11,-1-1 0,1 1 0,-1-1 0,0 0 1,1 1-1,0-1 0,-1 0 0,1 1 0,-1-1 0,1 0 0,-1 0 0,1 0 0,-1 0 0,1 1 0,0-1 0,-1 0 0,1 0 0,-1 0 0,1 0 0,0 0 1,-1 0-1,1 0 0,-1-1 0,1 1 0,0 0 0,0 0 0,18-7-34,-18 7 32,59-18-20,-23 5 16,-36 12 9,1 0 1,0 0 0,-1 0 0,1 0 0,0 0 0,-1 0 0,0-1 0,1 1 0,-1-1-1,0 1 1,1-1 0,-1 1 0,0-1 0,0 1 0,-1-1 0,3-3 0,-3 3 0,1 1 0,0-1 1,-1 0-1,1 1 1,0-1-1,0 1 0,0-1 1,0 1-1,0 0 0,1-1 1,1-1-1,43-22-9,-36 20 6,-1-1 0,1 0 0,-1 0 0,12-11 0,-14 12 7,0 0-1,1 0 1,0 0 0,0 1-1,1 0 1,11-4 0,19-11 9,-7-7-12,-17 17 1,1-1-1,-1 0 0,-1-1 1,0-1-1,23-24 0,-25 24 5,1 0-1,22-13 0,22-18-5,-20 25 0,-30 12 1,1-1-1,-1-1 1,-1 2 0,0-2-1,-1 0 1,1-1 0,-2 1-1,1-1 1,-1 1-1,0-1 1,-1 0 0,4-20-1,-7 26 3,0 0 1,0-1-1,-1 0 0,0 1 0,1-1 0,-1 1 0,-1-1 1,1 1-1,0 0 0,-1-1 0,0 1 0,0 0 0,0 0 1,-4-4-1,-3-8-11,-3-2 15,-1 2-1,-1 0 1,1 0 0,-28-22-1,-12-12 9,51 46-18,-1 0 1,1 1-1,-2-1 0,1 1 0,0 0 1,0 0-1,0 0 0,0 0 1,-1 1-1,1-1 0,0 1 0,-1 0 1,1 0-1,-1 0 0,0 0 0,1 1 1,-1-1-1,0 1 0,1 0 0,-1 0 1,1 1-1,-1-1 0,0 1 0,1-1 1,-1 1-1,1 0 0,-1 1 0,1-1 1,0 1-1,-1-1 0,1 1 0,0 0 1,0 0-1,-4 4 0,-7 4 3,0-1 0,-22 9 0,19-8-4,1 1 0,-28 20-1,5-1-6,4-6 6,12-6-4,-3-3 1,1 1-1,-28 13 0,39-23 10,1 2 0,-1 0-1,1 1 1,-22 19 0,-9 7 2,-36 27 6,63-47 28,-1-1 0,-37 21 0,46-29-90,0 1 1,1 0-1,-11 11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6:15.49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242 703 3865,'-13'16'11012,"-6"-31"-9672,13 9-1362,-36-26 1245,40 30-1176,0 0 0,1 1 0,-1-1 0,0 0 0,1 0 0,-1 0 0,1 0 0,0-1-1,-2-3 1,-7-10 98,-16-10 235,20 21-322,0-1 0,0 0 0,0 0 0,1-1 0,0 0 0,0 0 0,-4-9 0,5 8-52,3 5-4,1 0 0,-2 0 0,1 0 1,-1 0-1,1 0 0,-1 0 0,0 0 0,0 0 0,0 1 0,-1-1 0,1 1 0,-3-3 0,3 4-2,1-1 0,-1 1 0,1-1 1,0 1-1,0 0 0,-1-1 0,1 1 0,0-1 0,1 0 0,-1 0 0,0 0 0,-1-3 0,-10-19 27,12 24-28,-1 0 0,1-1-1,0 1 1,-1 0 0,1-1-1,0 1 1,0-1 0,-1 1-1,1 0 1,0-1 0,0 1-1,0-1 1,0 1 0,-1 0-1,1-1 1,0 1 0,0-1-1,0 1 1,0-1 0,0 1-1,0-1 1,0 1 0,0 0-1,1-1 1,-1 1-1,0 0 1,0 0 0,0-1-1,0 1 1,0 0 0,1-1-1,-1 1 1,1-1 0,15-12-94,21-4-42,20 1 129,-51 14 8,0 1 0,0-2 0,0 0 0,-1 0 0,1 0 0,-1-1 0,0 1 0,7-7 0,29-13 8,-15 6-8,3-2 0,18-11 0,-14 10 0,38-22 8,-68 39-8,1 1 0,-1 0 0,1 0 0,0 0 0,0 0 0,6-1 0,-6 1 0,0 1 0,-1-1 0,1 1 0,0 0 0,-1-1 0,5-4 0,0-3 0,-7 8 0,0 0 0,-1 0 0,1-1 0,0 1 0,0 0 0,0 0 0,0 1 0,0-1 0,0 0 0,1 0 0,-2 0 0,4 0 0,34-22 0,-32 18 0,0 1 0,1 0 0,-1 0 0,1 0 0,7-2 0,-9 3 1,1 1-1,0-1 1,-1 0 0,10-8 0,-10 8-1,0 0 1,0-1 0,0 1-1,0 0 1,1 1-1,6-3 1,80-27 6,-90 31-6,-1 1-1,1 0 1,-1-1 0,0 1 0,1-1 0,-1 1 0,0-1 0,1 0 0,-1 0 0,0 0 0,0 1 0,1-1 0,-1 0-1,0 0 1,0-1 0,0 1 0,0 0 0,1-2 0,-2 2 1,1 1 1,-1-1-1,1 1 0,-1 0 0,1-1 1,-1 1-1,1 0 0,-1-1 1,1 1-1,-1 0 0,1 0 0,-1-1 1,1 1-1,-1 0 0,1 0 1,-1 0-1,1 0 0,0 0 0,-1 0 1,1 0-1,-1 0 0,1 0 1,0 0-1,-1 0 0,1 0 0,-1 0 1,1 0-1,-1 1 0,1-1 1,0 0-1,-1 0 0,1 1 0,-1-1 1,1 0-1,-1 1 0,0-1 1,1 0-1,-1 1 0,1-1 0,-1 1 1,0-1-1,1 1 0,-1-1 1,0 1-1,1-1 0,-1 1 0,0-1 1,1 2-1,2 5-3,1 1 0,0-2 0,1 1 0,-1 0-1,8 7 1,-6-5 3,1 0-1,-2 0 1,1 1-1,4 15 0,6 9-2,47 64 15,-38-61-10,-22-33-2,-1-2 0,-1 0 0,0 0 1,1 0-1,-1 1 0,0-1 1,0 0-1,0 0 0,0 0 1,-1 1-1,1-1 0,0 4 1,-2-6-6,1 0 70,-14 18-2,-54 21-81,50-30-16,0 1 0,1 2 0,0 0 0,-18 18 0,11-12 36,-47 27 0,37-32 0,30-12-4,-1 0 1,0 1 0,0-1 0,0 0-1,-8 6 1,-70 46 15,13-17-8,52-23-6,15-9-2,-1-1 1,0 0 0,0 0-1,0 0 1,0 0-1,0-1 1,-1 0 0,1 0-1,-8 3 1,4-3-1,-69 21-4,69-20 3,0 1 1,0 0-1,1 0 1,-1 1-1,1 0 1,0 0-1,-7 6 1,12-8-2,0-1 1,0 0-1,-1 0 1,0-1-1,1 1 1,-1 0-1,0-1 1,1 0-1,-1 0 0,0 1 1,-4-1-1,1 3-1767,6-4 1405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6:28.363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14 60 1520,'-9'3'13547,"24"2"-10854,28 3-3237,-33-8 584,48 3 104,-39-4 24,-17 0-164,0 0 0,0 1 0,0 0 0,0 0 0,0-1 0,0 1 0,0 0 0,0 1 0,0-1 0,2 0 0,1 2 4,0-2-1,1 1 1,-1-1 0,10 0 0,16 2 39,-27-2-42,0 1-1,-1-1 1,1 0-1,0 0 1,0 0-1,0-1 1,5-1-1,-24 4-118,1 0 0,0-2 0,-21-1 0,16 0 81,1 1-1,-19 3 1,32-3 9,0 1 0,0-1 0,0 0 0,0 0 0,0 0 0,0 0 0,-8-3 0,5 2 18,1 0-1,0 1 1,0 0 0,0 0-1,0 0 1,-9 3-1,10-3-2,-5-1-127,18 0 8,25 5 135,-24-3-4,0 0 0,0 0 1,0-1-1,15-1 1,29 4 12,-11 2 8,31-5 104,-71 0-83</inkml:trace>
  <inkml:trace contextRef="#ctx0" brushRef="#br0" timeOffset="2845.05">527 16 2264,'13'-2'10544,"-22"4"-8774,-1 2-1563,-1-1-1,1 1 1,-11 7 0,17-10-201,1 1 0,1-1 1,-1 1-1,0 0 0,0 0 0,1 0 0,-1 1 1,1-1-1,0 1 0,-1-1 0,1 1 0,0 0 1,1-1-1,-3 5 0,0 4-30,3-9 16,0 0 1,1 0-1,-1 0 1,0 0-1,1 0 1,0 0-1,-1 0 1,1 0-1,0 0 1,0 0-1,0 0 1,0 0-1,0 0 1,1 1-1,-1-1 1,1 0-1,-1 0 1,2 2-1,1-1 7,-1-1-1,1 0 1,0 0-1,0 0 1,0 0-1,0 0 1,0-1-1,0 1 1,0-1-1,5 1 1,-7-1 3,2 0 7,1 0 0,-1 0 1,0 0-1,1-1 0,-1 1 1,1-1-1,-1 0 0,1 0 1,-1 0-1,1 0 0,-1-1 1,1 1-1,-1-1 0,0 0 1,1 0-1,3-2 0,30 3 31,-22-1 76,-27 6 47,-10 1-155,15-4-1,0 0 1,0-1-1,-13 2 1,18-3-5,-1 0-1,1 0 1,0-1-1,-1 1 1,1 0 0,0-1-1,0 0 1,-1 1 0,1-1-1,0 0 1,0 0 0,0 0-1,0-1 1,0 1-1,0 0 1,-2-3 0,2 2 12,0 0 0,1-1 0,-1 1 0,0-1 0,1 0 0,-1 0 0,1 0 0,0 0 0,0 0 0,0 0 0,0 0 0,1 0 0,-1 0 0,1 0 0,0 0 0,0 0 0,0 0 0,0 0 0,0-1 0,1 1 0,0 0 0,-1 0 0,1 0 0,0 0 0,0 0 0,3-4 0,-2 4-12,-1 0-1,1 0 1,0 1-1,0-1 1,0 1 0,0-1-1,0 1 1,0 0-1,1 0 1,-1 0-1,1 0 1,0 0-1,0 0 1,-1 1 0,1-1-1,0 1 1,0 0-1,0 0 1,1 0-1,-1 0 1,0 1 0,0-1-1,0 1 1,1 0-1,3 0 1,11-4 109,-20 2-36,-9 4-41,-1 1-36,7-2 0,-1 0 1,1 0-1,-1 1 0,1-1 1,0 1-1,0 1 0,0-1 1,0 1-1,0 0 0,-6 5 1,9-6-3,0 0 1,0 1 0,1-1-1,-1 1 1,1 0-1,-1-1 1,0 5 0,-6 8-10,7-14 10,1 0 1,0 0 0,0 0-1,-1 0 1,1 0-1,0 0 1,0 0 0,0 0-1,0 0 1,0 0-1,0 0 1,0 0-1,0 0 1,1 0 0,-1 0-1,0 0 1,0 0-1,1-1 1,-1 1-1,1 0 1,-1 0 0,1 0-1,-1 0 1,1-1-1,-1 1 1,1 0 0,0 0-1,-1-1 1,1 1-1,0-1 1,0 1-1,0 0 1,-1-1 0,3 1-1,1 2-5,-1-1 1,1 0-1,0 0 0,0 0 0,0 0 0,6 1 1,3-1 6,-1 0 0,1-1 0,13-1 1,-21 0-8,-5 0-144</inkml:trace>
  <inkml:trace contextRef="#ctx0" brushRef="#br0" timeOffset="4949.63">691 27 2737,'0'-5'782,"1"-7"-106,-3 5 4024,2 7-4614,0 0-1,0 0 1,0 0 0,0 0-1,-1 0 1,1 0-1,0 0 1,0 0-1,0 0 1,0 0 0,0-1-1,0 1 1,-1 0-1,1 0 1,0 0 0,0 0-1,0 0 1,0 0-1,0 1 1,-1-1-1,1 0 1,0 0 0,0 0-1,0 0 1,0 0-1,0 0 1,-1 0 0,1 0-1,0 0 1,0 0-1,0 0 1,0 0-1,0 0 1,0 1 0,0-1-1,0 0 1,-1 0-1,1 0 1,0 0 0,0 0-1,0 0 1,0 1-1,0-1 1,0 0-1,0 0 1,0 0 0,0 0-1,0 0 1,0 0-1,0 1 1,0-1 0,0 0-1,0 0 1,0 0-1,0 0 1,0 0-1,0 1 1,-3 14-70,2-4 325,-1 21-217,2-25-109,0 0-1,-1 1 0,1-1 1,-3 7-1,2 0 112,3-12 162,1-9 89,-1-1-226,0-1 0,0 1 1,-1-1-1,0 1 0,-1-1 0,0-11 0,0 5 50,0-1-113,0 26-70,-2 31-130,-1-27-18,2-10 86,0 1-1,0-1 0,0 1 0,1-1 0,-1 1 1,1 6-1,-2 12-31,2-23 74,0 0 0,0 0 0,0 0 0,0 0 0,0 0 0,0 0 0,0 0 0,0 0 0,0 0 0,0 0 0,0 0 0,0 0 1,0 0-1,0 0 0,0 0 0,0 0 0,0 0 0,0 0 0,0 0 0,0 0 0,0 0 0,0 0 0,0 0 0,-1 0 0,1 0 0,0 0 0,0 0 0,0 0 0,0 0 0,0 0 0,0 0 0,0 0 0,0 0 0,0 0 0,0 0 0,0 0 0,0 0 0,0 0 0,0 0 0,0 0 0,0 0 0,0 0 0,0 0 0,0 0 0,0 0 0,-1 0 0,1 0 0,0 0 0,0 0 0,0 0 0,0-15-23,5-11 26,-4 23 0,-1 1 1,1-1 0,0 1-1,-1-1 1,1 1 0,-1-1-1,0 0 1,0 1 0,0-1-1,0 1 1,-1-1 0,1 0-1,-1 1 1,1-1 0,-1 1-1,0-1 1,0 1 0,-1-3-1,1 3 6,0 1-1,0 0 1,1 0-1,-1 0 1,0 0-1,0 0 1,0 0-1,-1 0 1,1 0-1,0 1 1,0-1-1,0 0 1,0 0-1,-1 1 1,1-1-1,0 1 1,-1-1-1,1 1 1,-1 0-1,1 0 1,0-1-1,-1 1 1,1 0-1,-1 0 1,1 0-1,-2 1 1,-18-3 27,8-3 212,24 3 347,10-3-212,-17 4-356,1-1-1,-1 1 1,1 0 0,0 1 0,-1-1-1,1 1 1,-1 0 0,1 0-1,0 0 1,4 2 0,30-2 11,-22-2 5,-17 2-38,1 0-1,-1 0 1,1 0-1,-1 0 1,1 0 0,-1 0-1,1 0 1,-1 0-1,1 0 1,-1 1-1,1-1 1,-1 0 0,1 0-1,-1 0 1,1 1-1,-1-1 1,0 0 0,1 0-1,-1 1 1,1-1-1,-1 0 1,0 1-1,1-1 1,-1 1 0,0-1-1,1 1 1,-1 0 53,-10-1-119,-24 3 62,26-2-1,0 0 1,0 0 0,0-1-1,0 0 1,0 0 0,-15-3-1,100-14-786,-62 13-2052,-7 3 1877</inkml:trace>
  <inkml:trace contextRef="#ctx0" brushRef="#br0" timeOffset="6565.39">807 80 1456,'7'2'11879,"3"1"-8957,15 5-3026,-21-7 197,0-1 1,1 0 0,-1 0-1,0 0 1,0-1 0,1 1-1,-1-1 1,0 0-1,6-2 1,-7 2-53,0 1-1,0-1 1,0 1-1,0 0 1,0-1-1,1 2 1,5-1 0,6 1 45,-15-1-32</inkml:trace>
  <inkml:trace contextRef="#ctx0" brushRef="#br0" timeOffset="7508.21">1047 26 2088,'5'-6'645,"2"-2"28,-2-1 2777,-12 24 3441,2 4-3551,2-3-3289,1 0 0,0 0 0,0 32-1,3-41-51,0-6-7,-1 0 0,0-1 0,0 1 0,0 0 0,0 0 0,0-1 0,0 1 0,0 0 0,0 0 0,0 0 0,0-1 0,0 1 0,0 0 0,-1 0 0,1-1 0,0 1 0,-1 0 0,1 0 0,0-1 0,-1 1 0,1 0 0,-1 0 0,1-1-123</inkml:trace>
  <inkml:trace contextRef="#ctx0" brushRef="#br0" timeOffset="8603.03">1093 136 3025,'10'12'1015,"-7"-6"556,-8-7 3260,4-3 456,4-3-4142,6-9-1073,-7 13-64,23-38 710,-23 37-646,0 1 0,-1-1 1,1 0-1,-1 0 0,0 1 0,0-1 1,0 0-1,-1 0 0,1 0 0,-1-7 1,0 11-68,1-1 1,-1 1-1,0-1 1,1 1-1,-1 0 1,1 0 0,-1-1-1,1 1 1,-1 0-1,1 0 1,-1 0-1,1-1 1,-1 1-1,1 0 1,-1 0 0,1 0-1,-1 0 1,1 0-1,-1 0 1,1 0-1,-1 0 1,1 0-1,-1 0 1,1 0 0,-1 1-1,1-1 1,-1 0-1,1 0 1,-1 0-1,1 1 1,-1-1-1,1 0 1,0 1 0,18 7 53,-18-8-66,10 19-24,-10-17 31,10 15 8,1 1 0,20 22 0,-8-79 520,-22 35-451,0 0 0,-1 0 0,1-1 0,-1 1 0,0-1 0,0 1 0,0-1 0,-1-7 0,4-14 179,-5 19 186,-1 4-1618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6:41.505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72 129 2545,'-11'-10'9655,"10"9"-9493,0 0-1,0-1 1,0 1 0,0 0 0,0 0-1,-1 0 1,1 0 0,0 0 0,-1 0-1,1 0 1,-1 1 0,1-1 0,-4 0-1,4 3-62,0 1 0,0 0-1,0-1 1,0 1-1,1 0 1,-1 0-1,1 0 1,-1 0-1,1 3 1,0 3-46,1 0 1,0 0-1,1 0 0,-1-1 1,2 1-1,-1 0 0,7 14 1,-7 7 216,-2 7-198,0-28-130,0-6 97,0-1-1,0 1 1,0 0 0,0 0 0,0-1 0,1 1 0,-1 0-1,2 4 1,-1-6-5,0 0 0,0 0-1,0 0 1,0 0 0,0 0 0,0-1-1,0 1 1,0 0 0,0 0-1,0-1 1,1 1 0,-1 0 0,0-1-1,0 0 1,1 1 0,-1-1-1,0 0 1,0 1 0,1-1 0,2 0-1,7 1 85,1 0 0,-1 0-1,13-2 1,-18 0 11,51 5 262,-15 1-301,9-7 24,1 4-51,-10-5-50,-8 0 4,35-7 0,-60 8-9,1 1 0,0 1 0,0 0 1,10 1-1,22-1 17,-9-8-8,-28 7-16,-1-1 1,1 1-1,-1 0 0,1 0 1,-1 0-1,1 1 1,0-1-1,-1 1 0,1 0 1,6 2-1,-9-2 0,0 0-1,1 0 1,-1 0 0,0 0-1,0 0 1,0 0-1,0-1 1,0 1-1,0 0 1,0-1-1,0 0 1,3-1-1,-2 1 0,-1 0 0,1 0 0,-1 1 0,1-1 0,-1 1 0,1-1 0,5 1 0,63-6 8,42 1 23,-68 4-8,-32 2-4,0-2 1,25-2-1,-35 2-1,-1 0 0,0 0-1,0-1 1,0 1 0,0 0 0,-1-1-1,1 0 1,0 1 0,0-1 0,-1 0-1,1 0 1,-1 0 0,0 0 0,0 0-1,1 0 1,-1 0 0,0 0 0,-1 0-1,2-4 1,0 0 28,0 0 1,0 0-1,-1-1 0,0 1 0,0-1 1,0-7-1,-1 2-37,-1-14 47,0 0 0,-2 0 0,-9-41 0,9 57-48,3 8 2,-1-1 0,1 1 0,-1 0 0,0 0 1,0 0-1,0 0 0,0 0 0,0 0 0,-3-4 0,3 5-5,0 0-1,0 1 0,-1-1 1,1 0-1,-1 1 1,1-1-1,0 1 0,-1 0 1,1-1-1,-1 1 0,1 0 1,-1 0-1,1 0 0,-1 0 1,1 0-1,-1 0 1,1 0-1,-3 1 0,-40-3 52,38 2-50,-4 2 21,0-1-1,0-1 1,-18-1-1,13-1-16,-1 1-1,0 0 1,0 1 0,-17 2-1,-14 5-10,31-3 2,0-2 1,0 1-1,0-2 0,0 0 1,0-2-1,-17-1 0,-26 0 7,46 1-6,0 0-1,0 1 0,0 0 1,-18 3-1,11-1 0,-56 7 15,21-5-8,39-2-6,-1-1 0,-33-1-1,-14 1 2,58-1-3,0 1 0,0-2 0,0 1 0,0-1 0,0 0 0,1 0 0,-8-2 0,5 2 0,1 2 0,-1-1 0,-13 3 0,1 3-11,17-6 8,1 0 0,-1 1 1,0-1-1,1 1 1,-1 0-1,1 0 0,-1 0 1,1 0-1,-1 1 1,1-1-1,0 1 0,0-1 1,-3 3-1,-3 4-14,7-7 17,0-1-1,0 1 1,0 0 0,0-1-1,1 1 1,-1 0 0,0 0-1,1 0 1,-1 0 0,1 0-1,-1 0 1,1 0 0,-1 0-1,1 0 1,-1 0 0,1 0-1,0 0 1,0 0 0,0 0-1,0 0 1,-1 0 0,1 0-1,1 2 1,-1-2 0,0 2-2,0 0-1,0 0 1,0 0-1,-1 0 1,1 1 0,-1-1-1,1 0 1,-1 0-1,0 0 1,0 0-1,-1 0 1,1-1 0,0 1-1,-1 0 1,-2 2-1,3-3 2,0-1-1,1 1 0,-1 0 0,0 0 1,1-1-1,-1 1 0,1 0 1,0 0-1,-1-1 0,1 1 0,0 0 1,0 0-1,0 0 0,0 0 1,1 2-1,-2 17-19,0-20 21,1 1 0,0 0 0,0 0-1,0 0 1,0 0 0,0 0 0,0 0 0,0-1-1,1 1 1,-1 0 0,1 0 0,-1 0 0,1-1-1,1 4 1,-1-3 0,0-1 1,0 1-1,0 0 0,-1 0 0,1 0 0,-1 1 1,1-1-1,-1 0 0,0 0 0,0 0 0,0 0 1,0 0-1,0 0 0,-1 4 0,-1 12 418,3-11-1715,4-13-7058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6:43.752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8 143 3097,'9'2'9743,"-2"-1"-9497,0 1-1,1-1 1,-1 0 0,11-1-1,-2 0 230,1 0-1,-1 2 1,33 5-1,-45-6-387,13 3 11,-17-4-85,0 0 0,0 0-1,0-1 1,0 1 0,0 0 0,0 0-1,0 0 1,0 0 0,0 0 0,0 0-1,0-1 1,0 1 0,0 0 0,0 0 0,0 0-1,0 0 1,0 0 0,0 0 0,0-1-1,0 1 1,0 0 0,0 0 0,0 0 0,0 0-1,0 0 1,0 0 0,0-1 0,1 1-1,-1 0 1,0 0 0,0 0 0,0 0-1,0 0 1,0 0 0,0 0 0,0 0 0,0 0-1,1 0 1,-1 0 0,0-1 0,0 1-1,0 0 1,0 0 0,0 0 0,0 0 0,1 0-1,-1 0 1,0 0 0,0 0 0,0 0-1,0 0 1,0 0 0,0 0 0,1 0-1,-1 0 1,-3-1-10,-1-1-1,1 0 1,0 1-1,-1-1 1,1 1-1,-7-1 1,2-1-3,3 0 0,0 1 1,-1 0 0,1 0-1,-1 0 1,1 0 0,-1 1-1,0 0 1,0 0 0,1 0-1,-1 1 1,-9 0 0,-3 1-3,14-1 0,-1 0 1,1 1-1,0-1 1,-1 1 0,1 0-1,0 0 1,0 0-1,-1 1 1,1-1 0,-5 4-1,6-4-210,17-1 130,89-1 31,-75-1 87,-25 3-23,0-1-1,-1 0 1,0 0 0,1 1-1,-1-1 1,1 1 0,-1 0 0,1 0-1,-1-1 1,0 2 0,0-1 0,4 2-1,-6-2-5,0-3-1845</inkml:trace>
  <inkml:trace contextRef="#ctx0" brushRef="#br0" timeOffset="2080.32">394 71 2969,'-1'-1'420,"1"1"1,0 0-1,0 0 0,-1-1 1,1 1-1,0 0 1,-1 0-1,1 0 1,-1-1-1,1 1 0,0 0 1,-1 0-1,1 0 1,0 0-1,-1 0 1,1 0-1,-1 0 1,1 0-1,0 0 0,-1 0 1,1 0-1,-1 0 1,0 0-1,-10 7 2236,-7 12-4574,16-16 2891,-2 0-954,1 1 1,0 0-1,0 0 1,1 0-1,-1 1 1,1-1-1,0 1 1,0-1-1,0 1 1,0 0-1,1 0 1,0-1-1,0 1 0,0 6 1,0-4 41,1-6-50,0-1-1,0 1 1,0 0-1,0-1 1,0 1-1,0-1 1,0 1-1,0-1 1,1 1-1,-1-1 1,0 1-1,0-1 1,1 1-1,-1-1 1,0 1-1,0-1 1,1 1-1,-1-1 1,1 0-1,-1 1 1,0-1-1,1 1 1,-1-1-1,1 0 1,-1 0-1,1 1 1,21 7 86,24-3 12,-20-3 593,-49 0-693,21-2-8,-1 1 1,0-1 0,0 0-1,0 0 1,0 0-1,0 0 1,0 0-1,0-1 1,0 1 0,0-1-1,0 0 1,0 0-1,0 0 1,1 0 0,-1 0-1,0-1 1,1 1-1,-1-1 1,-3-3-1,5 4-1,0 0-1,1 0 0,-1 0 0,0 0 0,1 0 0,-1 0 0,1 0 0,0 0 0,-1-1 1,1 1-1,0 0 0,-1 0 0,1 0 0,0-1 0,0 1 0,0 0 0,0 0 0,0 0 0,1-2 1,5-24-17,-4 22 21,13-36 131,-14 39-137,0 1 1,1 0 0,-1-1 0,0 1-1,0 0 1,1 0 0,-1-1 0,0 1-1,1 0 1,-1 1 0,1-1 0,2-1 0,16-12-7,-13 4 84,-18 18-81,-15 16-18,25-22 20,-1 0 0,1 0 1,0 0-1,0 0 1,0 0-1,0 0 0,0 1 1,1-1-1,-2 5 1,2-6 0,0 1-1,-1 0 1,1 0 0,-1-1 0,1 1 0,-1-1 0,0 1 0,1 0-1,-1-1 1,-1 2 0,1-2 0,0 0 0,0 0 0,0 1 0,0-1 0,0 0 0,1 0 0,-1 0 0,0 1 0,1-1 0,-1 0 0,1 1 0,-1-1 0,1 0 0,0 1 0,0-1-1,0 1 1,-1-1 0,1 0 0,1 1 0,-1-1 0,0 1 0,0-1 0,0 0 0,1 1 0,-1-1 0,1 1 0,-1-1 0,1 0 0,-1 0 0,1 1 0,0-1 0,0 0 0,0 0 0,-1 0 0,1 0 0,0 0 0,0 0 0,0 0-1,1 0 1,1 1 0,-1 0-38,1-1 0,-1 1 0,1-1 0,-1 0 0,1 0-1,-1 0 1,1 0 0,0 0 0,0-1 0,-1 1 0,1-1 0,0 0-1,0 0 1,0 0 0,-1 0 0,1 0 0,0-1 0,0 1-1,5-2 1,14-6-4063,-13 6 3037</inkml:trace>
  <inkml:trace contextRef="#ctx0" brushRef="#br0" timeOffset="3465.89">505 99 1976,'15'-39'1607,"-15"39"-1368,0-1-1,1 1 1,-1-1-1,0 1 1,0 0-1,0-1 1,1 1-1,-1-1 1,0 1-1,0 0 0,0-1 1,0 1-1,0-1 1,0 1-1,0-1 1,1 1-1,-1-1 1,-1 1-1,1 0 1,0-1-1,0 1 1,0-1-1,0 1 0,0-1 1,0 1-1,0 0 1,-1-1-1,1 1 1,0-1-1,-1 0 1,-3 4 2979,3 0-3974,-6 109 1412,10-225 1141,-4 136-1829,-1 0 0,0-1-1,-12 43 1,13-60-229,1-9 153,7-38 136,-8 22-30,1 16 14,0 1 1,0-1-1,0 0 1,-1 0-1,1 0 1,-2-5-1,1 8-4,1 0 0,-1 0-1,0 0 1,1 0 0,-1 0-1,0 0 1,0 0 0,1 0-1,-1 1 1,0-1 0,0 0-1,0 0 1,0 1 0,0-1-1,0 0 1,0 1 0,0-1-1,-1 1 1,1-1 0,0 1-1,0 0 1,0 0 0,0-1-1,-3 1 1,-13-3 66,17 3-69,0 0-1,0 0 0,0 0 1,0 0-1,-1 0 0,1 0 0,0 0 1,0 0-1,0 0 0,0 0 0,0 0 1,0 0-1,0 0 0,0 0 0,0 0 1,0 0-1,-1 0 0,1 0 0,0-1 1,0 1-1,0 0 0,0 0 0,0 0 1,0 0-1,0 0 0,0 0 1,0 0-1,0 0 0,0 0 0,0 0 1,0 0-1,0 0 0,0 0 0,0-1 1,0 1-1,0 0 0,0 0 0,0 0 1,0 0-1,0 0 0,0 0 0,0 0 1,0 0-1,0 0 0,0 0 0,0-1 1,0 1-1,0 0 0,0 0 1,0 0-1,0 0 0,0 0 0,0 0 1,0 0-1,0 0 0,0 0 0,0 0 1,0 0-1,0 0 0,0-1 0,0 1 1,24-8 652,-4 3-477,-12 3-75,-1 0 0,0 1 0,1 0 0,-1 1 0,0-1 0,1 1 0,-1 1 0,9 0-1,18 1 354,-32 0 18,-2 0-1405</inkml:trace>
  <inkml:trace contextRef="#ctx0" brushRef="#br0" timeOffset="4299.62">648 120 2489,'-23'14'1460,"17"-13"5905,4-2-4169,2 1-3163,0 0 0,0-1 0,1 1 0,-1 0 1,0 0-1,0 0 0,0-1 0,0 1 0,1 0 0,-1 0 0,0 0 0,0 0 0,1 0 0,-1-1 0,0 1 0,0 0 0,0 0 0,1 0 1,-1 0-1,0 0 0,0 0 0,1 0 0,-1 0 0,0 0 0,0 0 0,1 0 0,-1 0 0,0 0 0,0 0 0,1 0 0,-1 0 0,0 0 0,0 0 1,1 0-1,-1 1 0,4-1 83,0 0 0,0 0 0,0 0 0,0 0 0,0-1 1,5-1-1,-5 1-36,-1 0 0,0 1-1,1-1 1,-1 1 0,0 0 0,1 0 0,-1 0 0,4 1 0,14 8 194,-20-7-263,1-1 0,-1 0 0,1-1 0,0 1 0,-1 0 0,1 0 0,0-1 0,0 1 0,-1-1 0,1 1 0,0-1 0,0 0 0,2 1 0,-1-1-116,2 0 440</inkml:trace>
  <inkml:trace contextRef="#ctx0" brushRef="#br0" timeOffset="6094.04">875 54 2088,'0'0'68,"0"0"-1,0-1 0,-1 1 1,1 0-1,0 0 0,-1-1 1,1 1-1,0 0 0,0 0 1,-1 0-1,1-1 0,0 1 1,-1 0-1,1 0 0,-1 0 1,1 0-1,0 0 0,-1 0 0,1 0 1,0 0-1,-1 0 0,1 0 1,0 0-1,-1 0 0,1 0 1,-1 0-1,1 0 0,0 0 1,-1 0-1,1 1 0,0-1 1,-1 0-1,1 0 0,0 0 1,0 0-1,-1 1 0,-9 14 4482,8-11-3646,1 1 1,-1-1-1,1 0 0,0 0 1,1 1-1,-1 7 0,1-7-903,1 0 0,1-1 0,-1 1 0,1-1 0,0 1 0,0-1 0,0 0 0,0 1 0,1-1 0,-1-1 0,1 1 0,0 0 0,7 5 0,1 7 51,-10-14-29,1 0 0,-1 0 1,1 0-1,-1 0 0,1 0 0,0 0 0,0 0 1,3 2-1,-3-4-16,-1 1-1,0-1 1,0 0 0,0 0 0,0 1 0,0-1 0,0 0 0,1 0-1,-1 0 1,0 0 0,0 0 0,0-1 0,0 1 0,0 0 0,0-1-1,1 1 1,-1 0 0,0-1 0,0 1 0,0-1 0,0 1 0,0-1-1,0 0 1,-1 0 0,2 0 0,1-2 68,1 0 0,-1 0-1,-1 0 1,1 0 0,0 0 0,-1-1-1,0 1 1,1-1 0,-1 0 0,-1 1-1,1-1 1,-1 0 0,1 0 0,-1 0-1,0 0 1,0-5 0,0 5-37,-1 0-1,0 1 1,0-1 0,0 1 0,0-1-1,-1 1 1,1-1 0,-1 1-1,0-1 1,0 1 0,0-1 0,0 1-1,-1 0 1,1 0 0,-1-1 0,0 1-1,0 0 1,0 1 0,-5-6-1,-13-3 55,18 10-90,0 0 1,0 0 0,0 0-1,-1 0 1,1 0 0,0 0-1,1-1 1,-5-2 0,6 3-3,-1 1 1,1-1 0,-1 1-1,0 0 1,1-1-1,-1 1 1,0 0-1,0 0 1,1-1 0,-1 1-1,0 0 1,1 0-1,-1 0 1,0 0 0,0 0-1,1 0 1,-1 0-1,0 0 1,0 0-1,1 0 1,-1 0 0,0 1-1,0-1 1,1 0-1,-1 0 1,0 1 0,0 0-1,-1-1-2,0 1 0,1 0 1,-1 0-1,1 0 0,-1 0 0,1 0 0,0 1 1,-1-1-1,1 0 0,-2 3 0,2-1-8,-1 0-1,1 0 1,0 0-1,0 0 1,0 0-1,0 0 1,0 1-1,1-1 1,-1 0-1,1 1 1,0-1 0,0 0-1,0 1 1,0-1-1,1 0 1,0 1-1,-1-1 1,1 0-1,2 4 1,0 14-20,-3-19 28,0 0 1,0 0-1,1 0 1,-1 0 0,1 0-1,-1 1 1,1-1-1,0 0 1,-1 0-1,1-1 1,0 1-1,0 0 1,2 2-1,-1-1 1,18 18-67,-18-21 67,-1 1-1,0 0 1,0-1-1,0 0 1,1 1-1,-1-1 1,0 0-1,1 1 1,-1-1-1,0 0 0,1 0 1,-1 0-1,0 0 1,1 0-1,-1 0 1,0-1-1,0 1 1,1 0-1,-1-1 1,0 1-1,2-1 1,0-1 11,0 1 0,-1-1-1,1 1 1,-1-1 0,1 0 0,-1 0 0,1 0 0,-1 0 0,0-1 0,0 1 0,0 0 0,-1-1 0,1 1 0,0-1 0,-1 0-1,0 0 1,1 0 0,-1 1 0,0-1 0,-1 0 0,1 0 0,0 0 0,-1-6 0,1 5 2,-1 1 0,0-1 1,-1 0-1,1 1 0,-1-1 1,1 1-1,-1-1 0,0 1 1,-1-1-1,1 1 0,0 0 0,-1-1 1,0 1-1,0 0 0,0 0 1,0 0-1,0 0 0,0 1 1,-6-6-1,5 6-9,0 0 1,0-1 0,0 1-1,0 0 1,0 1-1,0-1 1,-1 0-1,1 1 1,0 0 0,-8-2-1,9 3-110,0 0 0,-1 1 1,1-1-1,0 0 0,0 1 0,0 0 0,-1-1 0,1 1 0,0 0 0,0 0 0,0 0 0,0 0 0,0 1 1,0-1-1,1 0 0,-1 1 0,0-1 0,-2 4 0,0-2-398,4-2 408,-1-1 0,1 0 0,-1 0 0,1 1 0,-1-1 0,1 0 0,0 1 0,-1-1 0,1 1 0,-1-1 0,1 1 0,0-1 0,-1 0 0,1 1 0,0-1 0,0 1 0,-1-1 0,1 1 0,0 0 0,0-1 1,0 1-1,0-1 0,0 1 0,0-1 0,0 1 0,0 0 0,9 9-971</inkml:trace>
  <inkml:trace contextRef="#ctx0" brushRef="#br0" timeOffset="7641.84">1024 68 1600,'8'-14'498,"4"-15"2048,-12 29-2382,0 0 0,0 0-1,0 0 1,0 0 0,0 0 0,0 0 0,0-1 0,0 1 0,0 0 0,0 0 0,0 0 0,0 0 0,0 0 0,0-1-1,0 1 1,0 0 0,0 0 0,0 0 0,0 0 0,0 0 0,0-1 0,0 1 0,0 0 0,0 0 0,0 0 0,0 0 0,0 0-1,0 0 1,0 0 0,-1-1 0,1 1 0,0 0 0,0 0 0,0 0 0,0 0 0,0 0 0,0 0 0,0 0 0,-1 0 0,1 0-1,0 0 1,0-1 0,0 1 0,0 0 0,0 0 0,-1 0 0,1 0 0,0 0 0,0 0 0,0 0 0,0 0 0,0 0 0,0 0-1,-1 0 1,1 0 0,0 0 0,0 1 0,0-1 0,0 0 0,-4 5 439,2 18-519,1-7-57,0 0 0,2 22 0,-1-34-15,1 0 1,-1-1-1,1 1 0,0 0 0,0-1 0,0 1 0,1 0 1,-1-1-1,1 1 0,0-1 0,0 0 0,0 0 0,0 0 1,1 0-1,3 4 0,-5-6-4,1 0 1,-1 0-1,1 0 1,0 0-1,0 0 1,-1 0-1,1-1 1,0 1-1,0 0 1,0-1-1,0 0 0,0 1 1,0-1-1,0 0 1,0 0-1,0 0 1,0 0-1,0 0 1,-1-1-1,1 1 0,0-1 1,0 1-1,2-2 1,-1 1 26,-1 0 0,0 0 0,1 0 0,-1 0 0,0-1 0,0 1 0,0-1 0,0 0 0,0 0 0,0 1 0,0-1 0,0 0 0,-1 0 0,1-1 0,-1 1-1,2-3 1,2-9 73,-2 8-39,0 1 0,-1-1-1,0 1 1,-1-1-1,1 0 1,-1 0-1,0 0 1,-1 0-1,1-6 1,2-20 95,-8 13-79,2 40-21,1 6-102,-1-10 22,2-8 9,0-1-1,-1 1 0,0-1 0,0 1 0,-4 8 0,5-15 9,0 0 1,-1 0-1,1 0 0,0 0 0,-1 0 1,1-1-1,-1 1 0,1 0 0,-1-1 0,0 1 1,0-1-1,0 1 0,0-1 0,0 0 0,0 0 1,0 0-1,0 0 0,-1 0 0,1 0 0,0-1 1,-1 1-1,1-1 0,-4 1 0,-8 1 0,11-1-4,-1 0-1,1 0 0,0-1 1,0 1-1,0-1 0,-1 0 1,1 0-1,-5-1 0,6-2 10,0 0 0,1 0 0,-1 0-1,1-1 1,0 1 0,0 0 0,0-1-1,0 1 1,1-1 0,-1 1 0,1-6-1,-1 3-3,-1-4-8,1-1 0,0 1 1,0-1-1,1 0 0,3-20 0,-1 10-276,1 13-3179,0 9 2457</inkml:trace>
  <inkml:trace contextRef="#ctx0" brushRef="#br0" timeOffset="9316.23">1266 1 3001,'0'15'6935,"1"-1"-3411,-1 0-3450,0 0 0,0 1 0,-3 14 0,-1-14-2,3-10-20,-1-1 0,1 0 0,1 1 1,-1-1-1,0 1 0,1-1 0,0 1 1,1 6-1,-1-14 90,1-1 1,-1 1 0,1-1 0,0 0-1,0 1 1,0-1 0,3-3-1,-2-1-12,0 2 1,-2-1 1,1 0-1,-1 0 1,0-10-1,-1 13-43,1-1 0,0 1 1,0-1-1,0 0 0,1 1 0,0-1 0,0 1 0,2-8 1,-5 20-71,0 0 1,1 0 0,0 0-1,1 0 1,0 8 0,0 0-55,-1 3-41,2-14 36,-1 1 0,-1 0 0,1 0 0,-1 0 0,0-1 0,0 1 0,-3 7 1,1-10-82,1-8 53,1-12 44,-2-86 26,3 102 2,0 0 0,0 0 1,0 1-1,0-1 0,0 0 1,0 0-1,0 0 0,-1 0 1,1 1-1,0-1 0,-1 0 1,1 0-1,0 1 0,-1-1 0,1 0 1,-1 1-1,1-1 0,-1 0 1,0 1-1,1-1 0,-1 1 1,0-1-1,1 1 0,-1-1 1,0 1-1,1 0 0,-1-1 0,0 1 1,0 0-1,0-1 0,1 1 1,-1 0-1,-2 0 0,-30 0 43,24 1-52,1 2 23,8-3-17,0 0 0,0 0 0,0 0 1,0 0-1,0 0 0,0-1 0,1 1 1,-1 0-1,0 0 0,0 0 0,0 0 1,0 0-1,0 0 0,0 0 0,0 0 0,0-1 1,0 1-1,0 0 0,-1 0 0,1 0 1,0 0-1,0 0 0,0 0 0,0 0 1,0 0-1,0-1 0,0 1 0,0 0 0,0 0 1,0 0-1,0 0 0,0 0 0,0 0 1,0 0-1,0 0 0,-1 0 0,1 0 1,0 0-1,0 0 0,0 0 0,0 0 0,0-1 1,0 1-1,0 0 0,0 0 0,-1 0 1,1 0-1,0 0 0,0 0 0,0 0 1,0 0-1,0 0 0,0 0 0,0 0 1,0 0-1,-1 1 0,1-1 0,0 0 0,0 0 1,0 0-1,0 0 0,0 0 0,0 0 1,0 0-1,17-8 133,-9 5-112,-1 1 1,0 1-1,1-1 0,-1 1 0,1 1 0,12 0 1,31-5 151,-31 2-79,-19 3-82,0-1 0,-1 1 1,1 0-1,0 0 0,-1 0 0,1 0 0,0 0 1,0 0-1,-1 0 0,1 0 0,0 0 0,-1 0 1,1 0-1,0 1 0,-1-1 0,1 0 0,0 0 0,-1 1 1,1-1-1,0 0 0,-1 1 0,1 0 0,0-1 63,-44-1 12,28-1-120,0 2 0,0 0 1,-29 4-1,33-3-72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6:57.715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80 152 1848,'-4'-3'319,"-15"-14"922,13 2 3629,6 15-4724,0 0 0,-1 0 0,1-1 1,-1 1-1,1 0 0,-1 0 0,1 0 0,-1 0 1,1 0-1,-1 0 0,1 0 0,-1 0 1,1 0-1,-1 1 0,1-1 0,0 0 0,-1 0 1,1 0-1,-1 0 0,1 1 0,-1-1 0,1 0 1,0 0-1,-1 1 0,1-1 0,0 0 1,-1 1-1,1-1 0,0 0 0,-1 1 0,1-1 1,0 1-1,-4 15 128,2 0 1,0 0-1,1 0 1,0-1-1,1 1 1,4 25 0,-4 7 23,-1-28-96,0-19-159,1 1 0,-1 0 0,1-1 1,0 1-1,0-1 0,0 0 1,0 1-1,0 0 0,0-1 1,0 1-1,0-1 0,1 1 1,-1 0-1,2 1 0,1 0-27,0-1-1,1 0 1,-1 0-1,1 0 1,-1-1-1,1 1 1,0-1-1,0 0 1,0 0-1,0 0 1,-1 0 0,1-1-1,-1 0 1,1 0-1,0 0 1,6-1-1,40 1 475,10 2-224,-44-4-242,-1 1 40,0-1 0,1 2 0,18 1 0,42-5-5,-54 7-25,1-2 1,40-3-1,-44-1-24,-1 1 0,1 2 1,23 1-1,-13-5-3,-25 4-6,-1-1 0,1 0-1,-1 1 1,1-1 0,0 1 0,-1 0 0,6 1-1,12 2 11,39 0-1,-24-3-5,-7 0 3,0-2 0,27-5 0,-52 7-8,90-12 8,-87 11-4,-1 1 1,1 0-1,-1 0 1,8 2-1,30-2 6,-16 0-1,30-5 22,-40 4-15,-13 1-8,0-1 0,-1 0 0,1 0 0,0 0 0,0 0 0,0-1 0,0 0 0,6-3 0,-4-20 120,-5 17-120,0-1 1,-1 1-1,0-1 0,0-14 1,-1 13-8,0 0 1,1 0-1,4-16 1,-1 14-1,-1 4 0,-1 0 0,0 0 1,-1 0-1,2-14 1,-1-44 54,-1 65-44,-1 0 0,0 0 0,0 0 0,0 0 0,0 0 0,0 0 0,0-1 0,-1 1 0,1 0 0,0 0 0,-1 0 0,1 0 0,0 1 0,-1-1 0,1 0 0,-1 0 0,1 0 0,-1 1 0,0-1 0,1 0 0,-1 0 0,0 0 0,0 1 0,-1-2 0,0 1 0,0 0-1,0 0 0,0 0 1,0 0-1,0 1 0,-1-1 0,1 1 1,0-1-1,-1 1 0,-3 0 1,-6 0 39,0 1 0,0 1-1,-16 3 1,24-4 1,-8 1-28,0 0 0,1-1 0,-1-1 0,0 0 0,0 0 0,0-2 0,0 1 0,1-1 0,-1-1 0,2 0 0,-13-5 0,13 6-20,-1-1 0,0 2 0,0 0 0,0 0 0,-19 1 0,-7 0 5,-119-3 14,59-1 18,-141 13-1,112-2 22,94-7-28,25 0-33,0 0 0,0 0 0,0 0 0,0 1-1,0 0 1,0 0 0,-10 4 0,10-3-2,0 0 0,0-1 1,0 0-1,0 0 0,-12 0 0,-16 1-2,31-1 0,0 0 0,0 0 0,0-1 0,0 1 0,0 1 0,0-1 0,0 1 0,1 0-1,-1 0 1,1 0 0,-1 1 0,-4 4 0,5-4 1,1 0 0,0 0 0,1 0 0,-1 0-1,1 0 1,-1 1 0,1-1 0,0 0 0,0 1 0,0-1-1,1 1 1,-1-1 0,1 6 0,1 53-37,0-49 36,1 25 11,-6 68 0,6-122-35,2-4-31,2-31-1,-5 24 55,7-31 0,0 5 5,-13 33-1577,5 20 1111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7:02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603 1100 2681,'-11'-1'2199,"9"1"-1235,0 0 0,-1 0-1,1 0 1,0 0 0,0 0 0,0 1-1,0-1 1,1 1 0,-1-1 0,-3 3 0,-8 8-1425,8-5 520,1 0 1,-1 0-1,1 0 1,0 1-1,0 0 1,0 0 0,1 0-1,0 0 1,1 0-1,0 1 1,-2 10-1,2-12-12,1 0 0,0 0 0,1 0 0,-1 0 0,1 1 0,1-1 0,-1 0 0,1 0 0,0 0 0,0 1 0,1-1 0,0 0 0,0-1 0,0 0 0,1 1 0,0-1 0,5 9 0,26 21 61,-26-27 58,-5-3-137,1-1 0,0 0 0,1 0 0,-1-1 0,1 1 1,-1-1-1,1 0 0,8 4 0,-12-6-16,1 0 0,0 0 0,0 0-1,0 0 1,-1 0 0,1 0 0,0-1 0,0 1 0,0-1 0,0 0-1,0 1 1,1-1 0,-1 0 0,0 0 0,0 0 0,0-1 0,0 1-1,0 0 1,0-1 0,0 1 0,0-1 0,0 0 0,0 1 0,-1-1-1,1 0 1,-1 0 0,3-2 0,62-34 674,-54 29-635,-8 5-42,0 0 0,0 0-1,0-1 1,0 1 0,-1-1-1,4-4 1,12-14 46,-15 18-37,0-1-1,0 2 1,-1-2 0,1 0-1,-1 0 1,0 0 0,-1 0-1,4-9 1,3-2-19,-8 15 0,0 0 0,0 0 0,0 0 0,-1 0 0,1 0 0,0 0 0,-1-1 0,1 1 0,-1 0 0,1 0 0,-1-1 0,0 1 0,1 0 0,-1-1 0,0 1 0,0 0 0,0-1 0,0 1 0,0 0 0,0-1 0,-1-1 0,-1-25 30,3 25-26,-1 1 0,0 0 0,0-1 0,0 1 0,0 0 0,0-1 0,-1 1 0,1 0 0,-1 0 0,1-1 0,-1 1 0,0 0 0,0 0 0,0 0 1,0 0-1,0 0 0,0 0 0,-1 0 0,-1-2 0,-1 0-2,-7-7 10,1 1 1,-16-10-1,23 17-9,-1 1-1,0-1 0,0 1 0,0 0 0,0 0 0,-1 1 0,1-1 0,0 1 1,-1 0-1,1 0 0,-10 0 0,-18-5-6,26 5 4,1 0-1,0 0 0,0 0 0,0 0 1,-6 1-1,2 0-137,-1 1-1,1 1 1,-1 0 0,1 0 0,-13 5-1,19-6 75,0 0-1,1 0 0,0 0 0,-1 0 0,1 0 0,0 1 1,0-1-1,0 0 0,0 1 0,0 0 0,0 0 0,0-1 1,0 1-1,1 0 0,-1 0 0,1 0 0,-1 1 0,1-1 1,0 0-1,0 1 0,1-1 0,-1 0 0,1 1 0,-1-1 1,0 5-1,1-4-1726,3 0 768</inkml:trace>
  <inkml:trace contextRef="#ctx0" brushRef="#br0" timeOffset="2216.23">597 993 3257,'-5'14'692,"4"-11"-348,0 0 0,0 0 0,0 0 0,-2 0 0,2 0-1,-1-1 1,-7 5 5729,9-7-5937,-5-8 1513,1-9-1432,3 7 14,-1 1 0,0-1 0,-1 1 0,1 0-1,-2 0 1,2 0 0,-9-12 0,6 12-180,2-1 0,-1 1 0,1-1 1,-3-17-1,4 18 6,0-1 0,-1 0 0,0 2 0,-1-2 0,-5-10 0,-25-31 293,-8-11-270,0-32-134,38 90 53,3 0 0,-1 0 0,0 1 0,0-1 0,0 1 0,-1 0 0,-2-4 0,1 3 19,-4-1-211,5 21 112,-4 81-31,10-64 94,0-63 51,-2 26-27,0-1 0,0 1-1,-1 0 1,1-1 0,-1 1 0,-1-7 0,2-22 36,0 30-37,-1-1 1,0 0-1,1 0 0,-1 0 1,-1 0-1,1 0 0,-1 0 1,1 0-1,-3-5 1,3 9-6,0 0 1,0 0 0,0 0-1,0 0 1,-1-1 0,1 1-1,0 0 1,0 0-1,0 0 1,0 0 0,0-1-1,0 1 1,0 0 0,0 0-1,0 0 1,0-1 0,0 1-1,0 0 1,0 0 0,0-1-1,0 1 1,0 0-1,0 0 1,0 0 0,0-1-1,0 1 1,0 0 0,0 0-1,0 0 1,0-1 0,0 1-1,1 0 1,-1 0 0,0 0-1,0 0 1,0 0-1,0-1 1,0 1 0,1 0-1,-1 0 1,0 0 0,0 0-1,0 0 1,1 0 0,-1-1-1,0 1 1,0 0 0,0 0-1,1 0 1,-1 0 0,0 0-1,0 0 1,0 0-1,1 0 1,-1 0 0,0 0-1,0 0 1,0 0 0,1 0-1,-1 0 1,0 0 0,18 9 31,-12-4-33,-1 0-12,2-1 1,-1 0-1,-1 0 0,1 0 1,1-1-1,-1 0 0,0 0 1,13 4-1,-13-6-482,-6-1 497</inkml:trace>
  <inkml:trace contextRef="#ctx0" brushRef="#br0" timeOffset="3842.9">85 362 2176,'-29'0'1836,"17"5"5976,4 4-5092,-4 14-4005,8-15 1926,2-5-609,0-1-1,0 0 1,0 1-1,1-1 1,-1 1-1,1-1 1,0 1-1,0 0 1,0-1-1,0 1 1,0 0-1,0 0 1,1 0-1,0 0 1,-1-1-1,1 1 1,0 4-1,0 2-7,0-5 39,0 1-1,0 0 0,0 0 1,0-1-1,1 1 0,1 6 1,-1-10-60,-1-1 1,1 1 0,-1 0 0,0 0-1,1 0 1,0 0 0,-1-1 0,1 1-1,-1 0 1,1-1 0,0 1 0,-1 0-1,1-1 1,0 1 0,0-1 0,0 1 0,-1-1-1,1 0 1,0 1 0,0-1 0,0 0-1,0 1 1,0-1 0,0 0 0,0 0-1,-1 0 1,1 0 0,0 0 0,0 0-1,0 0 1,0 0 0,0 0 0,0-1 0,0 1-1,0 0 1,0 0 0,-1-1 0,1 1-1,0-1 1,1 0 0,1 0-192,0 0 0,-1 0 0,1 0 0,0-1 1,-1 1-1,2-1 0,-2 0 0,0 1 0,0-1 0,0-1 0,0 1 1,0 0-1,0 0 0,2-4 0,0-3-482</inkml:trace>
  <inkml:trace contextRef="#ctx0" brushRef="#br0" timeOffset="4512.64">109 470 2737,'5'8'3964,"-7"-29"1397,1 8-4491,-1-61 2552,2 70-3348,0 0 1,0-1-1,0 2 0,0-1 0,3-7 1,-2 3 62,13 27-174,18 26 1,-23-29-32,9 13-244</inkml:trace>
  <inkml:trace contextRef="#ctx0" brushRef="#br0" timeOffset="4859.17">142 416 2080,'-35'7'9106,"35"-8"-8642,2 0-127,4-2-201,2-1-72,15-11-208,-16 9-433,2-1-1863,-1-1 1648</inkml:trace>
  <inkml:trace contextRef="#ctx0" brushRef="#br0" timeOffset="5870.1">190 310 2545,'-11'-3'11638,"14"10"-11019,-1-3-618,-2-1 0,2 1 0,0-1-1,0 0 1,1 0 0,-1 0 0,1 0 0,0 0 0,3 2 0,34 24-8,-8-6-1,-30-36 425,0 0 0,0-22-1,-2 23-221,0-1-106,0 0-1,-1 0 1,-3-18 0,-2 12-80</inkml:trace>
  <inkml:trace contextRef="#ctx0" brushRef="#br0" timeOffset="6468.11">325 232 3009,'1'3'6301,"-1"4"-3310,-1-1-2884,1-1-1,1 1 0,-1-1 0,1 1 1,1 7-1,1-8-55,0 0 1,0 0-1,0 0 0,0 0 1,1 0-1,0 0 1,0-1-1,0 0 0,11 7 1,-14-10-42,0 0 0,0 0 0,1 0 1,-1-1-1,0 1 0,1 0 0,-1-1 1,0 1-1,1-1 0,-1 0 0,0 1 1,1-1-1,-1 0 0,1 0 0,-1 0 1,1 0-1,-1 0 0,1 0 0,-1 0 1,0-1-1,1 1 0,-1 0 0,1-1 1,-1 1-1,0-1 0,1 0 0,-1 1 1,0-1-1,0 0 0,1 0 0,-1 0 0,0 1 1,0-1-1,0-1 0,0 1 0,0 0 1,0 0-1,-1 0 0,1 0 0,0-1 1,0 1-1,-1 0 0,1-1 0,-1-1 1,1 1-33,0-1-181,1 0 1,-1 1-1,0-1 0,0 0 1,0 0-1,0 0 0,-1 0 1,1 0-1,0-6 0,-3 2-436</inkml:trace>
  <inkml:trace contextRef="#ctx0" brushRef="#br0" timeOffset="6829.6">381 219 4649,'-41'6'2015,"31"-9"807,13-4-730,8-3 110,33-30-824,-29 23-5259,-11 15 1100,-2 0 1230</inkml:trace>
  <inkml:trace contextRef="#ctx0" brushRef="#br0" timeOffset="7177.46">349 290 4257,'0'0'2024,"3"-1"-671,3 0-121,0-3-248,0 0-200,2-3-408,-3 1-136,2 2-160,-3-4-56,3 6-200,-1-3-424,0-1 400</inkml:trace>
  <inkml:trace contextRef="#ctx0" brushRef="#br0" timeOffset="7822.69">455 288 1968,'11'18'3578,"-15"-38"822,-3-23-669,3 28-3134,2 1 0,0-1 0,0-25 0,2 39-595,1 0 0,-1 0 0,1 0 0,-1 0 0,1 0 1,0 0-1,0 0 0,-1 1 0,1-1 0,0 0 0,0 0 0,0 1 0,0-1 1,0 0-1,0 1 0,0-1 0,0 1 0,0 0 0,0-1 0,0 1 0,0 0 1,0-1-1,3 1 0,10 1-448,-14-1 393,0 1-1,0-1 1,1 0-1,-1 0 1,0 1-1,0-1 0,0 0 1,0 0-1,1 1 1,-1-1-1,0 0 1,0 1-1,0-1 1,0 0-1,0 1 1,0-1-1,0 0 1,0 1-1,0-1 0,0 0 1,0 1-1,0-1 1,0 0-1,0 1 1,0-1-1,0 0 1,0 1-1,0-1 1,0 0-1,0 0 0,-1 1 1,1-1-1,0 0 1,0 1-1,-10 15-226,-6 20 184,53-19 1022,-28-10-1083,5 0 577,-14-7-554,1 0 0,-1 0 0,1 0 0,-1 0 0,0 0 0,1 0 0,-1 0 0,1 0 0,-1 0 0,1 0 0,-1 0-1,0 0 1,1-1 0,-1 1 0,0 0 0,1 0 0,-1 0 0,1-1 0,-1 1 0,0 0 0,1-1 0,-1 1 0,0 0 0,0-1 0,1 1 0,-1 0 0,0-1 0,0 1 0,0 0 0,1-1 0,-1 0 0,1-2-1144</inkml:trace>
  <inkml:trace contextRef="#ctx0" brushRef="#br0" timeOffset="8513.72">535 230 3737,'0'0'118,"0"1"-1,1-1 1,-1 1 0,1-1-1,-1 0 1,1 1 0,-1-1-1,1 1 1,-1-1 0,1 0 0,-1 0-1,1 1 1,0-1 0,-1 0-1,1 0 1,-1 0 0,1 1 0,0-1-1,-1 0 1,1 0 0,0 0-1,-1 0 1,1 0 0,0 0-1,-1-1 1,0 1 0,0 0 0,1 0-1,0 0 1,-1 0 0,1-1-1,-1 1 1,1 0 0,0-1 0,1-2 383,-1 1-1,0 0 1,0-1 0,0 0 0,0 1 0,0-1 0,0 1 0,0-4 0,1-9 476,0 0-1,-1 0 0,-2-20 1,1 14-391,0 21-584,0 0 0,0 0 0,0 0 0,0 0 0,0 0 0,0 0 0,0 0 0,0 0 0,0 0 0,0-1 0,0 1 0,0 0 0,0 0 0,1 0 0,-1 0 0,0 0 0,0 0 0,0 0 0,0 0 0,0 0 0,0 0 0,0 0 0,0 0 0,0 0 0,0 0 0,0 0 0,0 0 0,1 0 1,-1-1-1,0 1 0,0 0 0,0 0 0,0 0 0,0 0 0,0 0 0,0 0 0,0 0 0,0 0 0,1 0 0,-1 0 0,0 1 0,0-1 0,0 0 0,0 0 0,0 0 0,0 0 0,0 0 0,0 0 0,0 0 0,0 0 0,1 0 0,-1 0 0,0 0 0,0 0 0,9 6-17,9 8-116,-17-13 131,10 18-303,1-3 94,-11-17 221,0-1-1,0 1 1,-1-1 0,1 1-1,-1-1 1,0 1 0,1-1-1,-1 1 1,0-1 0,0 1-1,0-1 1,0 1 0,0-1-1,0-1 1,2-33 130,-1 27-98,0 0 1,0 0-1,-1 0 0,0 0 0,0 0 0,-1 0 0,-1 0 1,1 0-1,-4-10 0,5 19-133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7:15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1054 1712,'-1'32'8383,"1"-32"-8255,0-1 0,-1 1 0,1 0 1,-1 0-1,1 0 0,-1 0 0,1-1 0,0 1 1,-1 0-1,1 0 0,-1-1 0,1 1 1,0 0-1,0-1 0,-1 1 0,1 0 1,0-1-1,-1 1 0,1-1 0,0 1 0,0-1 1,0 1-1,-1-1 0,-2-106 2391,2 97-2403,1 0-1,0-1 0,3-10 0,-1-15-25,1-28 182,-3 48-275,1-8 0,0 19 4,0 0 1,-1 0-1,1-1 1,-1 1 0,-1 0-1,1 0 1,-1 0-1,-1-7 1,-2-31 8,5 31-9,0 6 1,-1-2 0,0 1 0,0 0 1,0 0-1,-2-9 0,3-17 14,-2 28-15,-1-4 7,1 0 0,1 0 0,-1 0 0,1 1 0,1-1 0,1-10 1,-1 5-8,-1 13-1,0-1 1,0 1 0,0-1-1,0 1 1,0-1-1,0 1 1,1-1-1,-1 1 1,1 0-1,-1-1 1,1-1 0,0 1 0,-1 0 0,1 0 0,-1-1 0,0 1 1,0 0-1,0-1 0,0 1 0,0 0 1,-1 0-1,1-1 0,-1 1 0,0-3 0,-3-15 8,5-2-14,0 16 3,0 0-1,-1 0 1,0 0 0,-2-10 0,3 1 2,0 15 0,-1-1 0,0 0 0,0 0 0,0 0 0,1 0 0,-1 0 0,0 0 0,0 0 0,0 0 0,-1 0 0,1 0 0,0 0 0,0 0 0,0 0 0,-1-2 0,0 0-6,0-1 0,1 1 0,-1-1 0,1 1 0,0-1 0,0-3 0,0-2 1,15 12 28,2 1-2,0-2 0,0 1 0,0-2 0,30 0 0,29-6-5,-24 1-8,-41 3 1,-9 1-7,0-1 1,0 1-1,0 0 1,0 0-1,0 0 1,0 0-1,0 0 1,0 1-1,0-1 1,0 1-1,3 1 1,17-1-89,-21-1 67,0 0 0,0-1 1,0 1-1,0 0 1,0 0-1,0 0 0,1 0 1,-1 0-1,0 0 1,0 0-1,0 1 0,0-1 1,0 0-1,0 1 1,0-1-1,0 0 0,0 0 1,0 1-1,0-1 1,0 1-1,0-1 0,0 1 1,0 0-1,0 0 1,-1 0-1,1-1 0,1 2 1,-2 0-617,0 0 260</inkml:trace>
  <inkml:trace contextRef="#ctx0" brushRef="#br0" timeOffset="2128.25">541 149 1992,'3'-3'376,"6"-8"518,-9 8 601,-7 3 1546,-9 7 3576,4 5-4858,-6 19-2989,14-22 1848,0-2-617,3-6 0,1 0 0,-1 0 1,0 0-1,1 1 0,-1-1 0,1 0 0,-1 0 0,1 1 0,0-1 0,0 0 0,-1 0 0,1 1 0,0 1 0,-3 18 4,2-17-5,1-1 1,-1 1 0,1-1-1,-1 1 1,1-1 0,1 8-1,1 3-3,-1-3-9,1 0 0,4 18 1,-5-27 9,-1-1 1,1 1 0,-1 0 0,1 0 0,0-1 0,0 1 0,0-1 0,0 1 0,0 0-1,0-1 1,0 0 0,0 1 0,0-1 0,1 0 0,-1 0 0,1 1 0,-1-1 0,1 0 0,-1 0-1,1-1 1,0 1 0,-1 0 0,3 0 0,0-1-4,0-1 1,0 1-1,0-1 1,0 0-1,0-1 0,-1 1 1,1-1-1,0 1 0,-1-1 1,1 0-1,3-3 1,-2 2 6,-4 1 3,1 1 1,-1-1 0,0 1 0,0-1 0,0 1-1,0-1 1,0 0 0,0 1 0,0-1 0,0 0-1,-1 0 1,1 0 0,-1 0 0,1 0-1,-1 0 1,0 1 0,0-1 0,0 0 0,0 0-1,0 0 1,0 0 0,-1-2 0,2-14 43,0 17-37,-1-1-1,0 1 1,1 0 0,-1 0-1,0-1 1,0 1-1,0 0 1,1-1-1,-1 1 1,-1 0 0,1-1-1,0 1 1,0 0-1,0-1 1,-1 1-1,1 0 1,-1 0-1,1-1 1,-1 1 0,1 0-1,-1 0 1,0 0-1,0 0 1,1 0-1,-1 0 1,0 0 0,0 0-1,0 0 1,0 0-1,0 0 1,0 1-1,0-1 1,-1 0 0,1 1-1,0-1 1,0 1-1,-3-1 1,2 0-7,-1 1 1,1 0-1,-1 0 1,0 0-1,1 0 1,-1 0-1,1 0 1,-1 1-1,1 0 1,-1-1-1,1 1 1,-1 0-1,1 0 1,-1 0-1,1 0 1,0 1-1,0-1 1,-3 3-1,-3 7-24,-4 2-83,12-13-24,-1 1 0,0 0 0,1-1 0,-1 1 0,1 0 0,-1 0 0,0 0 0,1 0 0,0-1 0,-1 1 0,1 0 0,0 0 0,-1 0 0,1 0 0,0 0 0,0 0 0,0 0 0,0 0 0,0 0 0,0 0 0,0 0 0,0 0 0,0 0 0,0 0 0,0-1 0,1 1 0,-1 0 0,0 0 0,1 0 0,-1 0 0,1-1 0,-1 1 0,1 0 0,-1 0 0,2 1 0,4 2-850</inkml:trace>
  <inkml:trace contextRef="#ctx0" brushRef="#br0" timeOffset="2864.99">685 1 5089,'-1'6'7437,"-1"3"-3842,-7 49-3633,-4-10-525,9-37-1613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9:57:21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33 205 1512,'-4'-5'473,"-6"-3"116,10 8-514,0 0 0,-1 0 0,1-1 0,0 1 0,0 0 0,0 0-1,0 0 1,-1 0 0,1 0 0,0 0 0,0 1 0,0-1 0,0 0 0,-1 0 0,1 0 0,0 0 0,0 0 0,0 0 0,0 0 0,0 0 0,-1 0 0,1 0 0,0 0 0,0 1 0,0-1 0,0 0 0,0 0 0,0 0 0,-1 0 0,1 0 0,0 0-1,0 1 1,0-1 0,0 0 0,0 0 0,0 0 0,0 0 0,0 1 0,0-1 0,0 0 0,0 0 0,0 0 0,0 0 0,0 1 0,0-1 0,0 0 0,0 0 0,0 0 0,0 0 0,0 1 0,0-1 0,0 0 0,0 0 0,0 0 0,0 0 0,0 0 0,1 1-1,0 48 5818,3 0-3742,-1-10-2215,-4 74 1,0-102 69,1-1-1,-1 0 1,2 0 0,-1 0 0,1 0-1,6 17 1,-7-26-3,0 0 4,31 10 100,-14-10 81,1 0 0,0-2 1,24-2-1,-32 1-179,1 0-1,1 1 1,10 0 0,-11 1-4,0-1 1,0 0 0,12-3-1,63-8 20,-1 7 2,-84 4-21,1 0-1,-1 0 1,0 0 0,1 1 0,0-1 0,-1-1 0,1 1-1,-1 0 1,0 0 0,0 0 0,0-1 0,0 1 0,0 0 0,0-1-1,0 1 1,-1-1 0,1 1 0,0-3 0,2-1-3,-2-1 0,1 1 0,0-1 0,0-9 0,-1-8 74,-5-37-1,2 43 38,-7-59 558,7 70-632,1-2-1,0 0 0,1 0 1,-1 1-1,2-1 1,-1 0-1,1 1 1,0-1-1,4-12 0,-3 0-49,2-3 8,-3 18 6,0 1 0,-1 0 0,0 0 0,1-1 0,-2 1 0,1 0 0,0-1 0,-1 1 0,0 0 0,0 0 0,0-1 0,-3-5 0,-3-21 12,6 25-12,1 4-2,0 0 0,0 1 0,-1-1 0,1 1 0,0-1 0,-1 1 0,1-1 0,-1 0 0,1 1 0,-1 0 0,1-1-1,-2 1 1,-1-3 0,-3-5 0,5 8 3,1 0 1,-1 0-1,1 0 1,-1 0 0,1 0-1,-1 0 1,0 0-1,0 0 1,1 1-1,-1-1 1,0 0 0,0 0-1,0 1 1,0-1-1,0 1 1,0-1-1,0 1 1,0-1-1,0 1 1,0 0 0,0-1-1,0 1 1,0 0-1,0 0 1,0 0-1,0 0 1,-1 0 0,1 0-1,-1 0 1,-100 5 345,66-4-210,-1 2-1,-69 13 0,53-6-131,44-9-27,-1 1-1,0 0 1,1 1 0,-14 5 0,21-6 15,1 0 0,-1 1 0,1-1 0,0 1 0,0 0 0,0 0 0,0 0 0,0 0 0,1-1 0,-1 1 0,1 5 0,5 123-48,-2-89 31,3-2-600,2-14-2878,-6-19 2731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0:53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3066 81 200,'-32'44'64,"27"-45"-16</inkml:trace>
  <inkml:trace contextRef="#ctx0" brushRef="#br0" timeOffset="2512.98">3038 62 1712,'2'-1'471,"11"-5"8655,-21 6-5897,8 0-3231,0 0-1,0 0 1,-1 0 0,1 0-1,0 0 1,0 0 0,-1 0-1,1 0 1,0 0 0,0 0-1,0 0 1,-1 0-1,1 0 1,0 0 0,0 0-1,0 0 1,-1 0 0,1 0-1,0 0 1,0 0 0,0 0-1,0 0 1,-1 0 0,1 1-1,0-1 1,0 0-1,0 0 1,0 0 0,0 0-1,-1 1 1,1-1 0,0 0-1,0 0 1,0 0 0,0 0-1,0 1 1,0-1-1,0 0 1,0 0 0,0 0-1,0 1 1,0-1 0,0 0-1,-1 0 1,1 0 0,1 1-1,-1-1 1,0 0-1,0 0 1,0 0 0,-31 10 268,19-7-85,-1-1-1,0 0 1,0-1-1,0 0 1,-1-1-1,1 0 1,-22-2 0,19 1-117,0 0 0,1 1 0,-1 0 0,-20 2 0,-61 7 12,82-7-65,-3-1-1,3 0 1,-21-2 0,22 0-7,-1 0 1,0 2 0,-27 3-1,17 1-2,-3-3 0,2 0 0,1 0 0,-45-4 0,57 2 0,2 0 1,-1 1 0,-14 2 0,-28 3 8,22-6-5,0 0 1,-44 6-1,-62 2 9,57-1-8,-109 0 1,13-1 1,41 2-1,105-6-8,-50-4-1,49 1 2,-42 2 0,-134 8 39,198-9-32,-260 3 200,6-2 99,215 0-215,0 1 0,-93 15 0,77-11-52,63-6-41,-2 1 1,2-1 0,-1 1-1,0 0 1,1 0-1,-1-1 1,0 1 0,1 1-1,-3 0 1,2 1 0,1-2 1,-1 1-1,1-1 0,-1 0 1,0 0-1,0 0 1,0 0-1,0 0 1,0-1-1,0 0 1,-3 1-1,-16 0 56,42-27 93,-11 13-142,2 0-1,0 2 1,17-16-1,15-13 11,-30 29-16,-1-1 1,2 1-1,-1 0 0,20-11 1,-29 20-2,6-2 37,-9 4-32,1-1 1,-1 1-1,-1 0 1,1 0-1,0 0 0,0-1 1,0 1-1,0 0 1,-1-1-1,1 1 0,0-1 1,-1 1-1,1-1 1,0 1-1,-1 0 0,2-1 1,-1 1-1,-1-1 1,1 0-1,-1 1 0,1-1 1,-1 0-1,1-1 1,-20 8 56,7 0-78,2 2-1,-2-1 0,2 2 1,0-1-1,0 2 1,-9 10-1,-45 27-95,57-41 116,2 1 0,1 0-1,-2 0 1,2 0 0,-8 11 0,12-17-2,-1 1 1,1 1 0,-1-3-1,1 2 1,0 0 0,-1 0-1,1-1 1,0 1 0,0 0-1,0 0 1,0 0 0,1 0-1,-1-2 1,1 5 0,5 0-1,-1 1 0,0-1 0,2-1 0,-3 1 0,2-1 0,1 0-1,-1 1 1,1-1 0,-1-1 0,2 1 0,-1-1 0,15 4 0,49 9 210,-62-9-1785,-11-7 980</inkml:trace>
  <inkml:trace contextRef="#ctx0" brushRef="#br0" timeOffset="5429.89">3808 513 2521,'-3'11'510,"-5"19"883,8-28-1118,-1 0 0,1-1-1,-1 1 1,0-1 0,1 1 0,-1 0 0,0-1-1,0 1 1,0-1 0,0-1 0,-1 2 0,1-1-1,-4 2 1,-2 0 922,-25 12 4291,3-5-4978,-70 10-389,50-11-50,27-4-13,2-3 0,-1 1 0,1-1 0,-25-1-1,-106 3 324,-4 0-185,49-7-113,-138-8-6,101 8-48,66 3-25,-140 1 3,-50 6 7,-44 3 100,33 0-81,95-3 71,-114-3 119,151 7-137,15-1-30,11-3-57,-68 1-11,133-14 7,39 5 3,-35-2 0,29 3 0,8 0-2,1 0 1,1 1-1,-1 1 1,0-1 0,-19 6-1,25-4 3,-2-1-1,0-1 1,-11 1 0,12-1 0,-1 0 0,1 0 0,0-1 0,-13 6 1,18-5-11,1 1 0,0-1 0,0-1 0,-2 1 0,2 0 0,-1 0 0,1-1 0,0 0 0,0 1 1,-5-1-1,7 0 8,0 0 1,-1-1-1,1 1 1,0 0 0,0 0-1,0 0 1,-1 0-1,1-1 1,0 1-1,0 0 1,0 0 0,0 0-1,-1-1 1,1 1-1,0 0 1,0 0-1,0 0 1,0-1 0,0 1-1,0 0 1,0 0-1,0-1 1,0 1-1,0 0 1,0 0 0,0-1-1,0 1 1,0 0-1,0 0 1,0-1-1,0 1 1,0 0 0,0-1-1,8-17-34,9-10 41,34-35 0,8-2-12,-43 57 4,-16 8 6,0 0-1,1 0 1,-1 0-1,0 0 1,1 0-1,-1 0 1,0 0-1,1 0 1,-1 0-1,0 0 1,1-1-1,-1 1 1,0 0-1,0 0 1,1 0 0,-1 0-1,0-1 1,1 1-1,-1 0 1,0 0-1,0 0 1,0 0-1,1 0 1,-1 0-1,0-2 1,0 2-1,0 0 1,0-1-1,1 1 1,-1 0-1,0-1 1,0 1-1,0-1 1,-1 1-2,1 0 0,-1 0 0,1-1 1,-1 1-1,0 0 0,1 0 0,-1 0 1,0 0-1,1 0 0,-1 0 1,0 0-1,1 0 0,-1 0 0,-1 1 1,2-1-1,-1 0 0,1 0 0,-1 0 1,0 1-1,1-1 0,-1 0 0,1 1 1,-1-1-1,1 0 0,-2 1 0,1 1 1,-16 15-6,7-4 3,9-12 2,-9 9-4,0-1 1,2 1 0,-1 2 0,-13 18 0,14-16-8,5-11 9,1 1 0,1-1 0,-1 1 0,-1-1-1,2 2 1,0-1 0,0-1 0,0 1 0,0 6 0,-1 0 9,2-9-5,0 0 0,-1 0-1,1 0 1,0 0 0,0-1 0,0 1 0,0 0-1,0 0 1,0 0 0,0-1 0,0 1-1,0 0 1,1 0 0,-1-1 0,0 1-1,0 0 1,1 0 0,-1 0 0,0 0-1,1-1 1,-1 1 0,2 1 0,1 3 53,2-2 0,-1 2 1,1 0-1,-1-1 1,0-2-1,2 2 0,0-1 1,-2 1-1,11 1 1,51 19 133,-5-1-93,-50-19-119,32 14 104,-41-17-113,1 0 1,0 0 0,1 0-1,-1 0 1,0-1 0,1 1-1,-1-1 1,1 0 0,0 0-1,4 0 1,-7 0-65,-1 0-1,1 0 1,-1 0 0,0 0 0,1-1-1,-1 1 1,0 0 0,1 0 0,-1 0-1,0-1 1,1 1 0,-1 0 0,0 0 0,2-1-1,-2 1 1,0 0 0,0-1 0,1 1-1,-1 0 1,0-1 0,0 1 0,0 0-1,1-1 1,-1 1 0,1-8-787</inkml:trace>
  <inkml:trace contextRef="#ctx0" brushRef="#br0" timeOffset="7049.12">3693 581 1360,'-15'9'467,"-20"18"2534,35-27-2733,0 0 1,-1 1-1,1-1 1,0 1-1,-1-1 1,1 0-1,-1 2 1,1-2-1,0 0 1,-1 0-1,1 0 1,0 0-1,0 1 1,-1-1-1,1 1 1,0-1-1,0 1 1,0-1-1,0 1 1,0-1-1,-1 2 1,9-2 1464,23-8-1630,36-27 726,-41 21-529,-21 11-261,2 0 1,-1 0 0,0 0 0,-1-1-1,0 1 1,0-1 0,6-6 0,-9 8-5,0 0 1,2-2-1,-2 3 1,1 0-1,0-1 1,0 1-1,0-1 1,0 1-1,0 0 1,5-1-1,-4 1-7,-1 0-1,0 1 0,0-3 1,1 2-1,-1-1 0,1 0 1,-2 0-1,1 0 0,4-1 1,-1-4 0,1 0 1,-1 2-1,1-1 1,1 1-1,0 0 1,1-1-1,-2 0 0,11 0 1,8-14 46,-23 18-69,0-2 1,0 2 0,1 0 0,-1 0 0,1-1 0,3-4 0,-4 4-42,-1 0 0,1 1 0,1-1 0,-1 1 0,0-2 0,7-1 1,-14 3-2412</inkml:trace>
  <inkml:trace contextRef="#ctx0" brushRef="#br0" timeOffset="8327.34">2937 81 2144,'-6'0'1181,"2"0"0,0 0 0,-1 2 0,0-2 0,-1 1 0,2 0-1,-8 3 1,10-3-938,0 0 0,0 0 0,0 0 0,0 0 0,0 0 1,1 1-1,-1 0 0,0-1 0,-3 4 0,5-3-235,-1-2 0,1 0 0,0 0 1,0 0-1,0 0 0,0 0 0,-1 1 0,1-1 1,0 0-1,0 0 0,0 0 0,0 0 1,0 1-1,0-1 0,0 0 0,-1 0 0,1 1 1,0-1-1,0 0 0,0 0 0,0 0 1,0 1-1,0-1 0,0 0 0,0 0 0,0 0 1,0 0-1,0 0 0,0 0 0,0 0 1,1 0-1,-1 0 0,0 0 0,0 0 0,0 2 1,0-2-1,0 0 0,0 0 0,0 0 1,1 0-1,-1 1 0,0-1 0,0 0 0,0 0 1,0 0-1,1 0 0,-1 0 0,0 1 1,0-1-1,0 0 0,1 0 0,-1 0 0,0 0 1,0 0-1,0 0 0,1 0 0,-1 0 1,0 0-1,0 0 0,2 0 0,-2 0 0,0 0 1,0 0-1,0 0 0,1 0 0,-1 0 0,0 0 1,0 0-1,1 0 0,19-4 485,-16 4-477,13-1 72,-2 1 0,3 0 0,15 1 0,-17 1 12,0-2-1,1 0 1,22-2 0,3 1 47,11-4-101,-53 5-46,14-3 8,-2 1 1,1 0-1,17 1 0,-24 1-5,1 0-1,0 0 0,-1-2 1,1 1-1,-2 0 0,9-2 0,34-3 33,-30 5 10,-7 2-29,13-4-21,-15 0-3204,-7 2 2287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5:05.6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206 426 2184,'3'-3'725,"9"-16"5005,-12 19-5666,0 0 0,0 0 0,0 0 1,0 0-1,0 0 0,-1 0 0,1 0 0,0-1 0,0 1 0,0 0 0,0 0 0,-1 0 0,1 0 1,0 0-1,0 0 0,0 0 0,0 0 0,-1 0 0,1 0 0,0 0 0,0 0 0,0 0 0,0 0 1,-1 0-1,1 0 0,0 1 0,0-1 0,0 0 0,0 0 0,-1 0 0,1 0 0,0 0 0,0 0 1,0 0-1,0 0 0,0 1 0,0-1 0,0 0 0,-1 0 0,1 0 0,0 0 0,0 0 0,0 1 0,0-1 1,0 0-1,0 0 0,0 0 0,0 0 0,0 1 0,0-1 0,0 0 0,0 0 0,0 0 0,0 0 1,0 1-1,0-1 0,0 0 0,0 0 0,0 1 0,-2 16-580,2-14 804,-3 13-275,1-7-4,1 1 0,0-1 0,0 20 1,7 19 46,-7-32-1157</inkml:trace>
  <inkml:trace contextRef="#ctx0" brushRef="#br0" timeOffset="2057.63">149 112 1864,'-3'-7'8713,"2"7"-8496,-8 6 1488,-6 12-2337,14-16 639,1 0 1,-1 0-1,0 1 1,1-1-1,-1 1 0,1 0 1,-1-1-1,1 0 1,0 1-1,0-1 1,0 1-1,1-1 1,-1 0-1,0 1 1,1-1-1,0 0 1,-1 1-1,1-1 1,0 0-1,0 0 1,0 0-1,1 0 1,-1 0-1,0 0 1,1 0-1,-1 0 1,1 0-1,0-1 1,0 1-1,0-1 1,-1 1-1,1-1 1,0 0-1,1 1 1,-1-1-1,0 0 1,0-1-1,0 1 1,1 0-1,-1 0 1,0-1-1,1 0 1,-1 1-1,0-1 1,1 0-1,3 0 1,-4-2 6,1 1 1,-1 0-1,0 0 1,0-1 0,1 0-1,-1 1 1,0-1-1,-1 0 1,1 0 0,0 0-1,0 0 1,-1 0-1,1 0 1,-1-1-1,0 1 1,1-3 0,3-3-5,-4 7 20,-1 0 0,1 0 0,-1 0 0,1 1-1,-1-1 1,0 0 0,1 0 0,-1 0 0,0 0 0,0 0-1,0 0 1,0 0 0,0 0 0,0 0 0,0 0 0,0 0-1,0 0 1,0 0 0,-1 0 0,1 0 0,-1-1 0,-11-21 598,3 8-531,9 15-93,0-1 1,0 1-1,0 0 1,-1 0-1,1-1 1,0 1-1,0 0 1,0-1-1,0 1 1,0 0-1,-1 0 0,1-1 1,0 1-1,0 0 1,0 0-1,-1-1 1,1 1-1,0 0 1,-1 0-1,1 0 1,0-1-1,0 1 0,-1 0 1,1 0-1,0 0 1,-1 0-1,1 0 1,0 0-1,-1 0 1,1 0-1,0 0 1,-1 0-1,1 0 0,0 0 1,-1 0-1,1 0 1,-13 8 53,-8 17-136,21-25 78,-2 1-150,1 1-1,0-1 0,0 1 1,0-1-1,1 2 0,-1-1 1,0-1-1,0 1 1,1 0-1,-1-1 0,1 1 1,0 0-1,-1 0 0,1-1 1,0 1-1,0 0 0,0 0 1,0 0-1,1-1 1,-1 1-1,0 0 0,1 2 1,4 2-900</inkml:trace>
  <inkml:trace contextRef="#ctx0" brushRef="#br0" timeOffset="3149.1">198 146 1912,'2'-2'336,"-1"2"-178,0-1 1,0-1-1,-1 1 0,1 0 0,0 0 0,0 0 0,0 0 0,-1 0 1,1 0-1,0 0 0,-1 0 0,1 0 0,0-2 0,0 14 6894,0 22-7217,0-15 473,6 15-278,-1 0 63,-5-33-77,-1 0 1,0 1-1,0-1 1,0 0-1,0 0 1,0 1-1,0-1 1,0 0-1,0 1 1,0-1-1,0 0 1,0 0-1,0 1 1,0-1-1,0 0 1,-1 1-1,1-1 1,0 0-1,0 0 1,0 1-1,0-1 1,0 0-1,-1 0 1,1 1-1,0-1 1,0 0-1,0 0 1,-1 1-1,1-1 1,0 0-1,0 0 1,-1 0-1,1 0 1,0 0-1,0 1 1,-1-1-1,1 0 1,0 0-1,0 0 1,-1 0-1,1 0 1,0 0-1,-1 0 1,-9 3 270,-2 5-91,10-7-147,0 0 0,1 0-1,-1 1 1,0-1 0,0 0-1,0-1 1,0 1 0,0 0-1,0 0 1,0-1 0,0 0-1,0 1 1,0-1 0,0 0 0,0 0-1,0 0 1,-1 0 0,1 0-1,0 0 1,0-1 0,-3 0-1,3 1-129,1-1-1,-1 1 0,0 0 1,1 0-1,-1 0 1,0 0-1,1 1 0,-1-1 1,0 0-1,1 1 0,-1-1 1,1 1-1,-4 1 0,4-2-528</inkml:trace>
  <inkml:trace contextRef="#ctx0" brushRef="#br0" timeOffset="4132.26">18 107 2176,'-13'-37'5616,"15"48"-3394,-1 0-2041,1 0 0,-1 0 0,-1 13-1,0-13-130,0 0 0,1-1-1,4 18 1,-4-21-45,0 0 0,0 0 1,0 0-1,-1 0 0,0 0 1,0 1-1,-2 6 0,3-6 0,0 1 0,1 0-1,-1 0 1,7 15 0,-7-22-3,1 9 28,-2-9-33,-3-7-110,-1-7-4300,4 9 3509</inkml:trace>
  <inkml:trace contextRef="#ctx0" brushRef="#br0" timeOffset="6827.15">5 113 2208,'-1'-17'5553,"-2"-20"-4507,3 35-949,0 1 0,0 0-1,-1 0 1,1-1 0,0 1 0,0 0-1,0 0 1,0-1 0,1 1 0,-1 0-1,0 0 1,0 0 0,1-1-1,-1 1 1,1 0 0,-1 0 0,1 0-1,-1 0 1,1 0 0,0 0 0,0-2-1,2 2 147,-1 0-1,0 0 1,1 0-1,-1 0 1,1 1 0,-1-1-1,1 1 1,-1-1-1,4 1 1,11-2-435,42 1 406,46-9 285,-59 12-426,-28-8-68,-15 5-3,0 0 0,0 0 0,0 0 0,0 0 0,-1 1 0,1-1 0,0 1 0,0-1 0,6 1 0,-7 2 3,0-1 0,0 0 0,0 0 0,-1 1 0,1-1 0,0 1 0,-1-1-1,1 1 1,-1 0 0,1-1 0,-1 1 0,0 0 0,0 0 0,0 0 0,1 4 0,0-3 2,-1 0 0,1 0 0,-1 0 1,0 0-1,-1 0 0,1 1 0,0-1 1,-1 0-1,0 4 0,0 5-3,-1 0 0,1 0 0,3 21 0,-3-33-4,6 104-88,-6-85 82,-1-17 5,1 0 1,0 0-1,0 0 0,0 0 0,0 0 0,0 0 0,0 0 0,0 0 1,1 0-1,-1-1 0,2 5 0,-1-5 2,-1 0-1,0 1 1,0-1-1,0 0 1,0 0 0,0 1-1,0-1 1,0 0 0,0 1-1,0-1 1,0 0-1,-1 1 1,0 0 0,0 9-10,1-11 1,-35 10 201,11-6-79,17-3-86,-1 0 0,1 0 0,0 0 0,0-1 0,-1 0 0,-11-2 0,16 2-25,0 0 1,0 0 0,0 0-1,0 1 1,1-1 0,-1 1-1,-5 1 1,-12 3 8,6-2-9,-5 0 2,-34-2-29,22 2 40,-3-4-1013,34 1 706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1:10.1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3145 97 2641,'0'0'3048,"-2"19"7869,-8-18-10731,0 0 0,0 0 0,-18 6 0,18-4-165,-1-1 1,0 0 0,-19 1 0,-59 2 224,70-2-220,-1-1 0,0-1 0,1-1 0,-1-1 0,1-1 1,-1 0-1,-23-7 0,17 2-19,1 2 1,-1 0-1,0 2 1,-29 0-1,24 4 17,0 1 0,-50 11 1,59-8-8,-1-1 0,1-1 0,0-1 1,-1-1-1,1-1 0,-39-5 1,30 0-14,0 0 1,0 3 0,0 0 0,-36 3 0,-68 1-4,-36 2-1,99 2 4,-137-8 0,83 1-16,41 1 8,-206 4-46,219-2 44,-123-6-2,139 5-4,-69-7 0,97 5-12,0 0 0,-38 5 0,-31 0-55,-68 1 9,96-1 35,20 6 19,35-7-1,1-3 11,18-5 37,0 1-1,1-1 1,0 1-1,-1 1 1,9-5 0,20-15 56,-26 17-68,0 1 0,0-1-1,1 2 1,-1-1 0,1 1 0,0 0 0,13-3 0,-4-5-9,-16 11-10,-1 0-1,0-1 0,1 1 1,-1 0-1,1 0 1,-1 0-1,1 1 0,0-1 1,-1 0-1,1 1 0,0-1 1,2 0-1,18-27-15,-19 19-21,-7 6-100,2 4 125,-1-1 1,1 1-1,0 0 1,0 0-1,0 0 1,0 0-1,0 0 1,0 0-1,-2 3 1,-21 15-12,-38 28-161,31-26 157,31-20 28,-1 0 0,1 1 0,-1-1 0,1 0 1,0 1-1,-1-1 0,1 1 0,0-1 0,0 1 0,0-1 0,0 1 0,0 0 1,0 0-1,0 0 0,1-1 0,-1 4 0,-11-4 59,12-1-60,0 0 1,0 0-1,1 0 0,-1 0 1,0 0-1,0 0 1,0 0-1,0 1 1,1-1-1,-1 0 1,0 0-1,0 0 1,0 0-1,0 0 1,0 0-1,1 0 1,-1 1-1,0-1 0,0 0 1,0 0-1,0 0 1,0 0-1,0 0 1,0 1-1,0-1 1,0 0-1,1 0 1,-1 0-1,0 1 1,0-1-1,0 0 1,0 0-1,0 0 1,0 0-1,0 1 0,0-1 1,0 0-1,0 0 1,0 0-1,-1 1 1,1-1-1,0 0 1,0 0-1,0 0 1,0 0-1,0 1 1,0-1-1,0 0 1,0 0-1,0 0 0,-1 0 1,1 0-1,0 1 1,0-1-1,0 0 1,0 0-1,0 0 1,-1 0-1,1 0 1,0 0-1,4 2 7,0 0 0,0 0 0,1 0 1,-1 0-1,-1 1 0,1-1 0,6 6 0,-6-4 3,0-1 0,1 1-1,-1-1 1,1 0 0,0-1 0,6 3-1,116 56 438,-100-41-372,-27-20-74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1:13.9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4251 8 1544,'0'-1'481,"-1"1"0,0-2 480,1 2-480,-1-1 0,1 1 0,-1 0 0,0-1-1,1 1 1,-2-1 0,2 1 0,-1 0-1,0 0 1,0-1 0,1 1 0,-1 0 0,0 0-1,0 0 1,1 0 0,-2 0 0,1 0-320,1 0 0,-1 0-1,0 1 1,1-1 0,-1 0 0,1 1 0,-2-1 0,2 1 0,-1-1 0,1 1 0,-1-1 0,1 1 0,0-1 0,-1 1-1,1-1 1,0 1 0,-1-1 0,1 1 0,0 0 0,-3 6-418,2-1 1,-1 2-1,-2 12 1,3-10 1158,-6 20-853,3-11-30,-1 1 1,1 26-1,4-38-13,0 1-1,-1 0 1,0 0 0,-1-1 0,-5 16 0,-15-19 80,1 2-84,-3 1 43,2-1-1,-36 6 0,42-12-9,-1 1 1,-30-3 0,-18 2 42,35 1-92,-286 18 848,91-20-670,172 2-150,25 0-10,-40-3 1,32 0-1,-43 3-1,-27 1 7,-200-7 28,160 6-26,45 1-2,-92-4 68,-7 4 136,42 1 27,95-4-167,-105-5-6,48 3-45,4-1 44,-129-5 187,223 7-229,-40 4 0,43-1-5,0-1 0,1-1 0,-23-2 0,15 0 13,1 1 0,-1 1 0,-45 6 0,31-1 11,-29-1 16,-88-6 1,113 4-52,-9-1 3,-3-3-7,44 2-4,-1 0 0,0-1 0,-1 0 0,-23-6 0,31 6-1,-1 0 1,1 0-1,-1 1 1,0 0-1,0 0 1,1 0-1,-1 1 1,-11 2 0,9-1-1,1-1 1,-2 1 0,2-1-1,-14-2 1,5-3-8,15 4 6,-1-1-1,1 0 0,0 1 0,0-1 1,0 1-1,0 0 0,-2 0 0,2-1 0,0 1 1,0 1-1,0-1 0,0 0 0,0 0 1,-2 1-1,2-1 0,-1 1 0,1 0 1,-3 1-1,-31-10-56,-15 10-124,50-2 182,1-1 0,0 1 1,0 0-1,0-1 0,0 1 1,0 0-1,0-1 0,0 1 0,0 0 1,0-1-1,0 1 0,0-1 1,0 1-1,0 0 0,0-1 1,1 1-1,-1 0 0,0-1 0,0 1 1,0 0-1,0-1 0,1 1 1,-1 0-1,0-1 0,0 1 0,1-1 1,86-78-17,-81 73 16,0 1 0,1 0 0,-1-1 0,1 1 0,-1 1 0,12-5 0,11-12-98,-40 31 65,1 0-1,-1-1 0,0 0 0,0 1 0,-19 7 1,-10 10-61,27-18 75,11-8 17,0 1 0,-1-1-1,1 1 1,-1-1-1,2 1 1,-1 0 0,-1-1-1,0 1 1,2 0 0,-1 0-1,1 0 1,-1 1-1,1-1 1,-2 4 0,3-5 5,-1 0 0,1 0 0,0-1-1,-1 1 1,1 0 0,-2-1 0,2 1 0,-1 0 0,1-1 0,-1 1 0,1-1 0,-1 1 0,0-1 0,1 1 0,-1-1 0,0 1 0,1-1 0,-1 0 0,0 1 0,0-1 0,1 0 0,-1 0-1,0 1 1,0-1 0,-1 0 0,2 0 0,-1 0 0,0 0 0,0 0 0,0 0 0,1 0 0,-2-1 151,3 3-142,0-1-1,0 0 1,0 0 0,1 0 0,0 0 0,-1 0 0,1 0-1,-1-1 1,1 1 0,-1 0 0,2 0 0,12 8 22,2-1-21,-5 0 24,1-1 0,-1 2 0,0-1 0,0 3 0,0-2 0,16 20 0,-22-18 4,-5-9-31,0 0 0,0 2 1,2-2-1,-2 0 0,0 0 0,1 0 1,-1 0-1,1 0 0,0 0 1,0 0-1,1 0 0,-1-1 0,0 1 1,0-1-1,2 2 0,0-3 99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1:29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847 26 1808,'-20'-2'10685,"-13"-7"-8248,-7 0-2429,21 7 42,-1 1 0,-1 2 0,-20 1 0,-36 1 63,-70 3-73,143-6-38,-1 1 0,0-1 0,1 1 0,-1 0 0,1 0 0,0 1 0,0-1-1,-1 1 1,1 0 0,-3 2 0,1-1 4,0-1-1,1 0 0,-1 0 1,-10 2-1,13-3-4,0 0 0,0 0 0,-1 0-1,1 1 1,0-1 0,0 1 0,1 0 0,-1 0-1,-4 3 1,4-2 0,0-1 0,0 1 0,-1-1 0,1 0 0,0 0 0,-6 1 0,5-1-1,0 0 0,1 0 0,-2 0 0,2 1 1,-1 0-1,1-1 0,-1 1 0,1 0 0,0 0 0,0 1 0,-4 4 0,3-3 0,0 0 0,0-1 0,-1 1 0,-10 7 0,10-7-1,-1 0 0,0 0 0,0 1 0,-8 11 0,-6 6-2,11-13 1,2 1 0,-1-1-1,1 1 1,-7 16 0,-7 12-3,14-30 6,2-2 0,0 1-1,-1 1 1,2-1 0,0 1 0,0 0-1,0 0 1,-2 14 0,-13 37 7,14-41-9,3-9 1,0 1 1,0-1-1,1 1 1,1 15-1,1-5-6,2-1-1,0 1 1,2-2 0,8 25-1,-2-9 0,-9-24 3,2 0 0,0-1 0,0 1 0,1-1 1,1 0-1,-1 0 0,11 13 0,-5-12-3,1 0 1,-2-1 0,2-1 0,1 0 0,0-1 0,-1 1-1,16 6 1,54 36-14,-51-28 16,-12-9 4,-14-10 0,0 0 0,0 0 0,2-1 0,10 6 0,13 9-1,-27-16 0,1 1 0,0 0 0,1-1 1,-2 1-1,2-1 0,-1 0 0,8 2 0,-9-3 0,0 0 0,0 0 1,-1 0-1,1 1 0,-1-1 0,0 1 0,0-1 0,1 1 0,0 0 0,-2 0 1,1 0-1,0 0 0,0 0 0,3 4 0,11 13-2,-15-19 3,0 0 0,-1 1 0,1-1 0,-1 0 0,1 1 0,-1-1 0,1 0 0,0 0 0,-1 1 0,1-1 0,0 0 0,-1 0 0,1 0 0,0 0 0,-1 0 0,1 0 0,-1 0 0,2 0 0,4 0 0,29 4 0,-29-2 0,2-1 0,-2-1 0,1 1 0,-1-1 0,11-1 0,-16 1 0,1 0 0,-1-1 0,1 1 0,0-1 0,0 0 0,-1 1 0,1-1 0,-1 0 0,0 0 0,1 0 0,-1 0 0,0 0 0,0 0 0,0-1 0,0 1 0,1 0 0,-1 0 0,0-1 0,0 1 0,0-1 0,-1 1 0,1-1 0,0-1 0,0 3 0,-1-1 0,0 1 1,1-1-1,-1 1 0,1-1 0,-1 1 0,1-1 0,0 1 0,-1 0 0,1-1 0,-1 1 1,1 0-1,0 0 0,-1-1 0,2 1 0,-2 0 0,1 0 0,0 0 0,-1 0 0,1 0 0,0 0 1,-1 0-1,1 0 0,0 0 0,0 0 0,24 4 5,-19-3-3,-3 0-1,1 0 1,1-1 0,-1 1-1,0-1 1,0 0 0,1 0 0,-1-1-1,-1 1 1,1-1 0,1 0-1,-1 0 1,0 0 0,7-3 0,-4 2 7,1 1 1,-1-1 0,1 1 0,-1 0 0,8 0 0,-9 1-7,-2 0-1,0 0 1,0 0 0,2-1 0,-2 0-1,0 0 1,0 0 0,2 0-1,-2-1 1,0 1 0,0-1-1,0 0 1,0-1 0,0 1 0,7-6-1,-5 3 7,1 0 0,-1 0 0,2 0-1,-1 1 1,9-4 0,-6 3 5,-1 0 1,17-11-1,77-60 180,-82 58-150,-2 0 1,17-21-1,-30 31-23,-1 0-1,-1 0 1,0-1-1,1 1 1,-2-1-1,0 1 1,0-1-1,-1 0 1,1 0-1,0-11 1,4-18 26,0 12-21,-2 10 6,-2 1 0,0-1 1,2-20-1,-1-82 579,-5 107-555,1 1 0,-2 0 0,1 0 0,-3 0 0,2 0 0,-6-13 0,-8-28 328,13 39-344,-2 0-1,1 0 1,-1 1-1,-1-1 1,-8-10-1,-10-24 8,-3-17-7,23 55-12,0 0 1,-2 1-1,2 0 0,-1 0 1,-2 0-1,2 0 0,-1 1 0,-1 0 1,0 0-1,-1 0 0,1 1 0,-1 0 1,1 1-1,-2 0 0,1 0 1,-1 1-1,-14-6 0,6 4-383,0 1 1,-1 0-1,1 2 0,-1-1 1,1 2-1,-1 0 0,1 1 1,-27 3-1,39-2-396</inkml:trace>
  <inkml:trace contextRef="#ctx0" brushRef="#br0" timeOffset="2515.67">1279 488 1864,'-11'3'8141,"17"3"-5282,23 7-2300,-20-10-495,1-1 0,-2 0 0,2 0 0,-1-1 0,1 0 0,15 0 0,62-8 501,-87 7-561,21-1 182,1 1 0,24 2 0,19-1-27,-9 0-71,-35 0-56,0-1 0,22-2 0,-18-2 6,-13 2-19,1 0 1,-2 1 0,19 0 0,-9 1 23,40-4 0,-15-1 87,47 6-25,-64 0-77,57-4-1,-4-1-17,-61 4-8,-1-1-1,0 0 1,1-2 0,22-5 0,-30 6-1,0 1 0,0-1 0,-1 2 0,1-1 0,17 3 0,5-1-1,-15-1 2,-10 0 1,1 0 0,0 0 0,-1-1 0,20-4-1,-25 5-7,1-1 0,-2 0 0,1 1 1,0 0-1,11 1 0,-13 0 1,1-1 0,-1 0 0,1 0 0,0 0 0,-1 0 0,1 0 0,-1-1 0,1 1 0,0-1 0,-1 0 0,0 0 0,7-3 0,-5 2-11,0 0-1,0 1 1,0-1-1,1 1 1,-1 0-1,7-1 1,-8 2-36,1-1 1,-1 1 0,1-1 0,-1 0 0,0-1-1,1 1 1,-2-1 0,5-2 0,-7 4 31,-1 0 1,1-1-1,-1 1 1,0-1-1,1 1 0,-1-1 1,0 1-1,0-1 1,2 1-1,-2-1 0,0 1 1,0-1-1,0 1 1,0-1-1,0 1 1,0-1-1,0 1 0,0-1 1,0 1-1,0-1 1,0 0-1,0 1 0,0-1 1,0 1-1,0-1 1,0 1-1,-2-1 0,2 1 1,0-1-1,0 1 1,-1-1-1,1 1 1,0-1-1,-1 1 0,1 0 1,0-1-1,-1 1 1,0-1-1,-20-18 80,13 13-52,0-1 12,-1 1 0,-15-11 0,22 16-19,0 0 0,-1 0 0,1 0 0,0 0 0,0 0 0,0 1-1,0-1 1,0 1 0,-1-1 0,1 1 0,0 0 0,0-1 0,-1 1 0,1 0 0,0 0 0,-1 1 0,1-1 0,0 0 0,0 1 0,-4 1 0,6-2 1,-1 0 29,40 2 13,12 3 11,-42-3-53,-4-1 8,2 0 1,-2 0-1,0 1 0,1 0 1,-1 0-1,6 3 0,-10-5-8,0 1-1,0 0 1,1 0 0,-1 0 0,-1 0-1,1 0 1,0 0 0,0 0-1,0 1 1,-1-1 0,1 0-1,0 0 1,-1 0 0,1 1-1,-1-1 1,1 0 0,-1 1 0,0-2-1,0 1 1,0 1 0,2-1-1,-2 1 1,0-1 0,-2 0-1,2 1 1,0-1 0,0 0 0,-1 3-1,0-3 3,1 1 0,-1-1 0,0 0 0,1 1 0,-1-1 0,0 0 0,0 0 0,0 1 0,0-1 0,0 0 0,0 0 0,0 0 0,-3 1 0,-9 11 45,4 0 4,-1-1 0,0-1 0,-1 0 0,0 0 0,-14 11 0,21-19-67,0 1 1,0-1-1,1 0 0,0 1 0,0-1 0,-1 1 1,1 0-1,1 0 0,-1 0 0,1 1 0,0-1 0,-2 6 1,9-13-1514,-5 1 926</inkml:trace>
  <inkml:trace contextRef="#ctx0" brushRef="#br0" timeOffset="3868.96">3341 331 1976,'-50'6'1407,"49"-6"-1019,1 0-1,-1 0 0,1 0 0,-1 0 1,1 0-1,-1 0 0,1 0 0,-1 0 1,1 0-1,-1 0 0,-10-6 8873,5 7-10468,-7 2 1273,0 2 1,1-1-1,-1 2 0,3-1 0,-2 2 0,1-1 0,1 2 0,-1-1 0,-15 14 0,20-14-65,0 0 0,-1 1 1,1 0-1,0 0 0,2 0 0,0 1 0,0-1 0,-6 17 1,8-21-4,1 0 1,0 0 0,1-1 0,-1 1 0,1 0 0,-1 0 0,1 0 0,0 0 0,1 0 0,-1 0 0,1 0 0,0 0 0,0 0 0,0 0 0,0-1 0,1 0 0,-1 1-1,1 0 1,1-1 0,-1 1 0,0-1 0,1 0 0,6 6 0,-8-8 1,0 0 0,1 0 0,-1 0 1,1 0-1,-1 0 0,1 0 0,-1 0 0,1-1 0,1 1 0,-2-1 0,1 1 0,0-1 0,0 0 0,-1 1 0,1-1 1,0 0-1,0 0 0,0 0 0,0-1 0,0 1 0,0 0 0,1-1 0,5-2 8,0 1-1,0-1 0,-1-1 1,7-4-1,-9 6-2,0-1 0,0 0 0,0 1 1,0 0-1,0 0 0,9-2 0,1 3-3,-1-1 1,-1-1-1,19-4 0,-24 6-63,-7 1 7,-1 0 0,0 0 1,0 0-1,0 0 0,0 0 0,1 0 1,-1 0-1,0 0 0,0 0 0,0 0 1,1 0-1,-1 0 0,0 0 0,0 0 1,0 0-1,0 0 0,1 0 0,-1 0 1,0 0-1,0 0 0,0 0 0,0 0 1,0-1-1,1 1 0,-1 0 0,0 0 1,0 0-1,0 0 0,0 0 1,0 0-1,0-1 0,0 1 0,1 0 1,-1 0-1,0 0 0,0 0 0,0-1 1,0 1-1,0 0 0,0 0 0,0 0 1,0 0-1,0-1 0,0 1 0,0 0 1,0 0-1,0 0 0,0 0 0,0-1 1,0 1-1,0 0 0,0 0 0,0 0 1,-1 0-1,1-1 0,0 1 0,0 0 1,0 0-1,0 0 0,0-1 0,-1 0-771</inkml:trace>
  <inkml:trace contextRef="#ctx0" brushRef="#br0" timeOffset="4538.76">3345 574 2929,'5'12'220,"1"0"1243,-1-21 713,2-6-860,18-49 3169,6-32-2149,-30 91-2224,9-28 188,-9 32-282,-1 0 0,0 0-1,1-1 1,-1 1 0,1 0-1,-1 0 1,1 0 0,-1 0-1,1 0 1,0 0 0,1 0 0,-2 0-1,1 0 1,0 1 0,0-1-1,0 0 1,0 0 0,0 1 0,0-1-1,0 1 1,0-1 0,0 1-1,2-1 1,-3 1 189,8 18-216,0-2-4,-3-1-34,-2 2 0,0-1 0,1 22-1,0-3-24,5-3 27,-7-27-86,0-1 0,-1 0 0,1 1 0,0 0 0,-1 9 0,-1-14-130</inkml:trace>
  <inkml:trace contextRef="#ctx0" brushRef="#br0" timeOffset="4903.13">3446 533 2288,'-48'-4'3785,"52"5"-2216,3-1-241,2-2-96,0-2-256,2-1-159,2 1-369,2 1-168,0-1-232,1 2-296,-2-3-1481,0-1 1225</inkml:trace>
  <inkml:trace contextRef="#ctx0" brushRef="#br0" timeOffset="5650.8">3608 397 3689,'-32'-8'9952,"33"10"-8616,1 5-1521,0-1 190,1 2 0,2-1 0,-2 1 0,1-1 0,1 0 0,10 12 0,10 13-11,-6 9 7,-17-34 0,0-1 0,1 0 0,0 0 0,0 0-1,5 7 1,-8-13 0,0 1 0,2-1 0,-2 1 0,0-1 0,1 1 0,-1-1 0,1 1 0,-1-1 0,1 0-1,-1 1 1,1-1 0,-1 1 0,1-1 0,-1 0 0,1 0 0,-1 1 0,1-1 0,0 0 0,-1 0 0,1 0 0,-1 0 0,1 1 0,0-1-1,-1 0 1,1 0 0,-1 0 0,2-1 0,0 1 3,-1-1 1,0 1-1,0-1 0,-1 1 0,1-1 1,0 0-1,0 0 0,-1 1 0,1-1 1,0 0-1,-1 0 0,1 0 0,-1 0 1,2-1-1,13-41 151,-13 35-118,18-55 424,-9 18-265,-10 38-160,0 1 1,2-1-1,-1 0 0,5-12 0,1 12-858</inkml:trace>
  <inkml:trace contextRef="#ctx0" brushRef="#br0" timeOffset="6128.92">3815 364 3769,'0'0'3212,"8"19"1072,-1-2-4058,-1-2 0,-2 2 0,1 0 0,1 18 0,-6-28-135,1 0 0,1-1 0,-1 1 1,2-1-1,-1 0 0,1 0 0,0 1 1,0-2-1,0 1 0,1-1 0,0 0 1,0 1-1,6 5 0,-8-11-57,0 1 0,0 0 0,-1-1 0,1 1 0,1-1 0,-1 0-1,0 1 1,0-1 0,-1 0 0,1 0 0,0 0 0,0 0 0,1-1 0,-1 1-1,0 0 1,-1-1 0,1 1 0,0-1 0,0 0 0,-1 0 0,1 1 0,1-1-1,1-2 1,0 0-5,0 1-1,1-1 1,-1 0-1,0 0 1,-1 0-1,2 1 1,-2-2-1,4-4 1,20-27-2046,-23 28 1359</inkml:trace>
  <inkml:trace contextRef="#ctx0" brushRef="#br0" timeOffset="6473.71">3832 372 2537,'6'-4'8113,"7"-1"-6003,156-39 196,-164 41-4680</inkml:trace>
  <inkml:trace contextRef="#ctx0" brushRef="#br0" timeOffset="6817.48">3843 469 4521,'5'0'2056,"1"-1"-847,4 0-33,3-1-120,1 0-88,2-1-288,3-1-175,2-4-305,3 3-104,-1-5-312,2 1-409,-1-3 409</inkml:trace>
  <inkml:trace contextRef="#ctx0" brushRef="#br0" timeOffset="7754.13">4176 370 4241,'-8'2'7151,"8"-2"-6977,0 0 0,0 0 1,0 1-1,-9 16 1275,1 12-1863,6-17 483,1 0-1,0 1 1,1-1 0,1 14-1,0-15-64,-1 1-1,0-1 1,-2 12 0,-3-6-77,2-15 474,2-30 369,2 1-616,-1 6 160,1 1 0,6-27 0,-6 42-249,0 0 0,1-1-1,-1 1 1,1 1 0,0-1-1,0 0 1,2 0 0,-2 0 0,1 1-1,0-1 1,1 1 0,0 0-1,8-8 1,-11 11-63,2 0 0,-2 0 0,1 0 0,-1 1 0,1-1 0,-1 0 0,1 1 0,0-1 0,-1 1 0,1-1 0,1 1 0,-1 0 0,-1 0 0,1 0 0,0 0 0,2 0 0,-3 1-14,0-1-1,1 0 1,-1 0 0,-1 0-1,1 1 1,0-1 0,0 0-1,-1 1 1,1-1 0,0 1-1,-1-1 1,1 1 0,-1-1-1,1 1 1,0-1 0,-1 1-1,1 0 1,-1-1 0,0 1-1,1 0 1,-1-1 0,1 1-1,-1 0 1,0 0 0,0-1-1,1 1 1,-1 0 0,0 0-1,0-1 1,0 1 0,0 0-1,0 0 1,0 0 0,0-1-1,0 1 1,0 0 0,-1 1-1,-2 22-559,3-16 214,-1 0 0,-1 0 0,1 0 0,-1 0 0,-1 0 0,-5 11 0,6-18 349,1 0 0,-1 0 0,1-1 0,-1 1-1,0-1 1,0 1 0,1-1 0,-1 0 0,1 0-1,-1 0 1,0 0 0,1 0 0,-1 0 0,1 0-1,-2 0 1,1 0 0,-1-1 0,-5 0 1484,26 13-385,56 41-741,-62-45-923,0 0-1,-2 0 1,18 20-1,-27-33-2839</inkml:trace>
  <inkml:trace contextRef="#ctx0" brushRef="#br0" timeOffset="8597.99">4366 539 4633,'-3'17'10184,"4"-20"-10046,-1 1 0,1-2 1,0 1-1,0 0 1,0 0-1,2-1 0,-2 1 1,1 0-1,-1 0 1,1 1-1,0-1 0,0 0 1,0 1-1,4-4 1,1-2 84,0-2-52,-2 1 0,0 0 0,1-1-1,-2 0 1,3-11 0,-4 14-95,-1 0-1,0 0 1,1 1-1,0 0 0,0 0 1,2 0-1,-1 0 1,9-11-1,-12 16-72,-1 1 0,1 0 1,-1-1-1,1 1 0,-1 0 0,1-1 1,-1 1-1,1 0 0,0 0 0,-1-1 1,1 1-1,-1 0 0,1 0 0,0 0 0,-1 0 1,1 0-1,0 0 0,-1 0 0,2 0 1,-2 0-1,1 0 0,0 0 0,-1 0 1,1 1-1,-1-1 0,1 0 0,0 0 0,-1 1 1,1-1-1,-1 0 0,1 1 0,-1-1 1,1 0-1,-1 1 0,1-1 0,-1 1 1,1-1-1,-1 1 0,0-1 0,1 1 0,-1 0 1,18 27 2,-14-23-5,34 72-126,-8-11-432,-28-63 536,-1 0 0,1-1-1,0 1 1,0 0 0,1-1-1,-1 1 1,1-1 0,2 4-1,-4-6 23,-1 0-1,1 1 1,-1-1-1,1 0 1,-1 0 0,2 1-1,-2-1 1,1 0-1,-1 0 1,1 0 0,-1 0-1,1 1 1,-1-1-1,1 0 1,-1 0-1,1 0 1,0 0 0,-1 0-1,1-1 1,-1 1-1,2 0 1,-2-1 1,1 1-1,0-1 1,0 1 0,0-1 0,-1 0-1,1 1 1,1-1 0,-2 0 0,1 0-1,-1 0 1,1 0 0,-1 1 0,1-1 0,-1 0-1,1 0 1,-1-1 0,1-2 3,0 0 1,0 0 0,-1 0-1,1 0 1,-1 0-1,0 0 1,-1 0 0,0-6-1,0 4 3,0 1 0,1 0 0,0-1 0,0 1 0,0 0 1,2-6-1,2-3 22,3-13 77,19-47 0,-19 61 230,-3 7-1180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1:54.9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1209 27 1216,'-24'17'1153,"14"-18"5964,-3-5-3337,7 3-3227,-6 1-281,0 0 1,-1 0-1,0 1 1,1 0-1,-1 1 1,-17 2-1,-36-2 196,-56 1-135,44 2-216,52-1-101,20-2 21,-1 0 0,0 0 0,0 0 0,-9 0 0,-4-1 8,1 0 1,-1 1-1,0 1 1,1 0-1,-26 7 1,-6 0-7,18-2-19,0 1-1,1 1 1,-32 14 0,12-6-20,46-13-1,-1 0 0,1 0 0,0 1 0,0 0 0,0 0 0,-6 6 0,-24 14-8,25-19 9,1 2-1,-1-1 1,1 1 0,0 2 0,1-1 0,0-1-1,0 2 1,1 1 0,-9 12 0,-4 10-12,-27 56-1,43-78 9,3-6 2,-2 3-6,0 1 1,0 1-1,1-1 1,0 1-1,0-2 1,-2 17-1,-2 13-2,-1 14 3,7-37-1,0-2-1,1 1 1,1 0 0,0 0 0,1 1-1,0-2 1,1 1 0,5 15-1,12 26-14,-18-46 18,0 1 0,1-1 0,0 1 0,1-1 0,0 0 0,0 0 0,1-1 0,0 2 0,0-3 0,1 2 0,0-2 0,7 9 0,12 5-4,2 0-1,0-2 0,50 26 1,1 3-6,-19-14-2,-51-29 16,12 4 0,1 1-1,0-3 1,0 2-1,24 3 1,19-6-2,-45-4 2,0 1-1,0 0 1,30 10 0,-42-10 1,-1-1 0,1 0 0,0 0 0,-1 0 0,1 0 0,0-1 0,0 0 0,-1-1 0,1 1 0,0-1 0,12-3 0,-11 4 0,-1 0 0,1 0 0,-1 1 0,0 0 0,1-1 0,-1 1 0,10 4 0,-10-4-1,1 1 0,-1-1 0,0-1 0,1 0 1,-1 0-1,1 0 0,8-2 0,9 0 0,187 1 9,-164 4-10,-33-2 0,0 0 1,0-1 0,0-1 0,28-4 0,-24 1 4,0 2 0,1-1 0,0 0 0,36 3 1,-47 0-6,0 0 1,0-1-1,0-1 1,0 1 0,10-4-1,-8 2 8,-1 1-1,22-2 1,-20 3 0,0 0 0,0-1 1,0 0-1,0-1 0,0 0 1,-1-1-1,0 0 1,12-7-1,-2 3 34,-16 7-36,-1 0 0,0-1 0,0 0 0,0 0-1,0 0 1,0-2 0,0 2 0,-1-1 0,4-3 0,1 0-1,0 0 0,0 0 0,0 2 0,1-2 0,9-4 0,-10 7 3,-1 0 0,1-1-1,-1-1 1,0 0 0,0-1 0,0 2 0,-1-2 0,8-7-1,8-12 4,-16 19-7,0-1 1,0 1-1,7-13 1,3-19 20,-14 32-19,0 1 0,0-2 0,1 1 0,0 0 0,5-7 0,-4 9-1,-2-2 0,1 2 1,-1-1-1,1 0 1,-1 0-1,-1 0 0,1 0 1,-1-2-1,0 2 0,0 0 1,0-7-1,7-31 45,-6 34-39,-1 2 0,0-2 1,0 1-1,0 0 0,-1-1 1,0 2-1,-1-2 0,0 1 1,0 0-1,-1 0 0,0-1 1,-5-12-1,-10-32 92,10 38-80,0-1-1,-15-18 1,-9-21 16,-37-59 116,62 100-116,0 0 0,-2 0-1,1 1 1,-2-1 0,0 1 0,-1 2-1,-18-21 1,-53-36 20,77 64-52,0 1 0,-1 0 0,1 0 0,-1 0-1,0 1 1,0-1 0,0 1 0,0 1 0,-10-4 0,-51-3 25,27 4-22,11 1-1,-41 0 0,49 3-5,1 0 0,-1-1 0,1-1 0,-33-7 0,43 7 15,-1 1 1,0 0-1,1 1 0,-1 0 0,0 0 1,0 1-1,-18 4 0,-6 0 13,26-4-173,-12 3-467,20-4 596,0 0 0,-1 0 1,1 0-1,0 0 0,-1 0 1,1 0-1,0 0 0,-1 0 0,1 0 1,-1 0-1,1 0 0,0 0 1,-1 0-1,1 0 0,0-1 0,-1 1 1,1 0-1,0 0 0,-1 0 1,1-1-1,0 1 0,-1 0 1,1 0-1,0-1 0,0 1 0,-1 0 1,1 0-1,0-1 0,0 1 1,-1 0-1,1-1 0,0 1 0,0 0 1,0 0-1,0 0 0,0-1 1,-1-7-287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2:01.9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884 30 1888,'-22'23'1278,"20"-23"-783,1 1 0,0-1 0,-1 1 0,1-1 0,0 0 0,-1 0 0,1 0 0,0 0 0,-1 0 0,1 0 0,-1 0 1,1-1-1,0 1 0,-1 0 0,1-1 0,0 1 0,-2-1 0,-11-2 296,-14 2-376,6 1-203,0 0 1,1 2-1,-27 4 0,38-5-23,0 0 0,-1 0 0,-12-1 0,-15 0 61,25 1-159,-76 11 251,68-6-230,14-4-71,1-1 0,-1 1 0,0-1 1,-12 1-1,13-2-29,1 1 0,-1 0 1,1 0-1,-1 1 0,1 0 1,-9 3-1,-14 6 8,24-10-18,-2 1-1,2-1 1,0 1-1,0 0 0,1 0 1,-1 0-1,0 1 0,1-1 1,-1 1-1,1 0 0,-5 5 1,0 1-2,1 1-1,-11 20 1,-8 10 16,-60 74 0,61-90-16,22-22 0,0 0-1,0 1 0,-1-1 1,2 1-1,-1 0 0,1 1 1,0-2-1,0 2 0,0-1 1,0 0-1,-2 5 0,-1 3-1,0-1-1,-13 20 0,11-19 1,0 0-1,-7 18 0,4-5-4,6-15-1,1 0 0,-1 0 0,1 0-1,-2 17 1,1 11-12,1 67 0,4-68 11,-1-30 1,2 0-1,-1-1 1,0 1 0,1-1-1,0 2 1,0-2 0,1 0-1,4 7 1,9 23 10,-13-28-6,0-2-1,0 0 1,0 0 0,0 0 0,1-1-1,0 1 1,0-1 0,8 7 0,9 11 2,-14-14-9,1-1 0,0-1 0,0 0 0,0 0 0,1-1 1,0 0-1,-1 0 0,12 3 0,3 3 15,-11-4-9,-1-2 0,1 0 0,0 0 0,1-1 0,-1-1 0,1 0 0,14 1 0,-24-4 5,-1 1 0,1 0 0,-1-1 1,1 1-1,-1 0 0,1 1 0,4 1 0,-5-2-1,0 1 1,0-1-1,1 0 1,-1 0-1,0 0 0,0-1 1,1 1-1,-1 0 1,0-1-1,1 0 1,-1 1-1,5-1 1,0 0-1,0 0 1,0 0 0,0 1 0,0 0-1,0 0 1,11 4 0,-10-3-7,0 0 1,0 0 0,0-1 0,14 0-1,-9-2-2,1 0-1,-1-2 1,1 1-1,22-9 0,-30 10 10,-1 0 0,1 1 0,-1-1 0,1 1 0,-1 0 0,1 1 0,-1-1 0,11 3 0,25 2 0,-10-5 2,-22 0-1,1 0 0,0-1 1,10-1-1,-17 2 1,1 0 0,-1 1 0,1 0-1,-1-1 1,0 1 0,1 0 0,-1 1 0,0-1 0,2 0 0,2 3-1,19 8 4,-11-9-5,14 3-6,0-2 0,0 0 0,34-1 0,-48-4 6,-12 0 0,0 1 0,2 0 0,-2 0 0,0 0 0,1 0 0,-1 1 0,4 0 0,-2 1 0,-1-1 0,1 1 0,0-1 0,0 0 0,-1 0 0,1-1 0,0 0 0,0 0 0,0 0 0,-1 0 0,7-1 0,-6-1 0,1 1 0,0 0 0,0 0 0,0 0 0,0 1 0,0 0 0,0 0 0,9 2 0,-7-1 0,-1 0 0,1-1 0,0 0 0,11-1 0,-7-1 4,0 2 0,19 0 0,-2 0 0,2 2-9,-27-2 4,1 1 0,0-1 0,-1 0 0,1 0 0,-1 0 0,1 0 0,-1-1 0,1 0-1,5-1 1,2-3 4,0 1-1,1 1 0,-1 0 0,1 1 1,0 0-1,18 0 0,-24 2-1,1 0-1,0-1 1,-1 0 0,1 0-1,-1-1 1,1-1-1,-1 0 1,1 1-1,-1-1 1,0-1-1,11-6 1,39-25 26,-42 28-15,-13 6-11,0 1 1,0-1-1,0-1 0,0 1 0,0 0 0,0 0 1,-1 0-1,1-1 0,0 1 0,0 0 0,-1-1 0,1 1 1,-1-1-1,0 0 0,1 1 0,-1-1 0,0 0 1,0 0-1,0 0 0,0 0 0,0-3 0,6-5 5,-2-1 0,1 1-1,0-2 1,10-8 0,-11 13-2,1-1 0,-1 1 0,0-1 0,-1 0 0,1-1 0,-2 0-1,1 1 1,2-11 0,8-32 28,-10 41-20,-1 0 0,0 0-1,-1 0 1,0-2-1,0 2 1,-1-1-1,-1 1 1,0-16-1,-1 18-5,1 0 1,0 0-1,2-14 0,-1 17 0,-1-1 0,1 1 0,-1-1 0,0 1 0,-1-2 0,1 1 0,-1 1 0,-2-7 0,-10-32 58,8 25-31,-1 1-1,0 1 1,-1-2-1,-17-28 1,17 34-12,0-1 1,-9-23-1,11 23 11,-1-1-1,-14-22 0,-6-11 79,-7-10-26,26 48-67,-1 1 1,0 1 0,0-1-1,-14-10 1,10 10-11,0 2 1,0 0 0,-1 0-1,0 1 1,0 1-1,-1 0 1,0 1-1,-16-3 1,22 6-2,1 0-1,-1 0 1,0 1 0,-15 2 0,-3 0 6,20-2-11,0 0 0,0-1 0,-1 0-1,1 0 1,0-1 0,-8-3 0,8 3-1,0 0 1,0 0-1,0 1 1,-1 0 0,1 0-1,-10-1 1,-70 1-1,79 1 0,0-1 0,0 0 0,0 0-1,0-1 1,-12-4 0,11 3 1,-1 1-1,0-1 1,-16-1-1,-22 5 10,34 0-6,0-1 0,0 0 0,1-1 0,-17-3 1,20 1-4,1 2 1,0-1 0,-1 1 0,1 1-1,-1 0 1,1 0 0,-1 0 0,1 1-1,-1 0 1,1 1 0,0 0 0,-1 0-1,1 1 1,0 0 0,-14 7 0,-4 5-523,25-15 357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6:58.9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23 124 4057,'-1'-4'59,"1"1"481,0 1 1,-1 0-1,1-1 0,-1 1 1,0 0-1,0 0 0,1-1 1,-2 1-1,1 0 0,0 0 1,0 0-1,-1 0 1,1 0-1,-9-8 5066,17 23-5561,14 52-31,-14-40 162,12 28 0,-19-53-152,1 1 0,-1 0 0,0 0 0,0 0 0,1 0-1,-1 0 1,1-1 0,-1 1 0,0 0 0,1 0-1,-1-1 1,1 1 0,0 0 0,-1-1 0,1 1 0,0-1-1,-1 1 1,1-1 0,0 1 0,-1-1 0,1 1 0,0-1-1,0 1 1,0-1 0,0 0 0,-1 0 0,1 1-1,0-1 1,0 0 0,0 0 0,0 0 0,0 0 0,-1 0-1,1 0 1,0 0 0,0 0 0,0-1 0,0 1-1,0 0 1,0 0 0,-1-1 0,1 1 0,0 0 0,0-1-1,-1 1 1,1-1 0,0 1 0,0-1 0,-1 1 0,1-1-1,-1 0 1,1 1 0,0-2 0,3-2 46,0 0 0,-1-1 0,0 1 0,0-1 0,0 0 0,0 0 0,2-7 1,2-8-27,15-36-55,-18 50-484,5-14 1017,-5 11-7733</inkml:trace>
  <inkml:trace contextRef="#ctx0" brushRef="#br0" timeOffset="877.54">125 66 2761,'-25'2'1827,"24"-2"-1678,1 0 0,0 0 0,0 0 0,-1 0 0,1 0 0,0 0 0,-1 0 0,1 1 0,0-1 0,0 0 0,-1 0 0,1 0 0,0 1 0,0-1 0,-1 0 0,1 0 0,0 1 0,0-1 0,0 0 1,-1 0-1,1 1 0,0-1 0,0 0 0,0 1 0,0-1 0,0 0 0,0 1 0,0-1 0,0 0 0,0 1 0,-1-1 0,1 0 0,1 1 0,-1-1 0,0 0 0,0 0 0,0 1 0,0-1 0,0 0 0,0 1 0,0-1 0,0 0 0,0 1 1,1-1-1,6 15 1198,-7-14-1069,21 51 703,-18-39-926,2-1 0,0 0 0,0 0 0,14 21 0,-14-25 38,8 13 99,-13-21-186,0 1 0,0-1 0,1 1 1,-1-1-1,1 1 0,-1-1 0,0 1 0,1-1 0,-1 0 0,1 1 0,-1-1 0,1 0 0,-1 1 0,1-1 0,-1 0 0,1 0 0,0 1 0,-1-1 0,1 0 1,-1 0-1,1 0 0,-1 0 0,1 0 0,0 0 0,-1 0 0,1 0 0,-1 0 0,1 0 0,1 0 0,7-29 226,-5 17-193,0 0 1,4-25-1,-7 27-7,1 0 0,0 1 0,1-1 0,0 0 1,1 1-1,0 0 0,8-16 0,-1 6-1847,-9 16 1343</inkml:trace>
  <inkml:trace contextRef="#ctx0" brushRef="#br0" timeOffset="1872.06">385 42 2601,'-4'3'10742,"-15"7"-9510,15-8-1201,0 0 0,0 0 0,1 1 0,-1-1 0,1 1 0,0 0 0,0 0 1,0 0-1,0 0 0,0 1 0,1-1 0,-1 1 0,1-1 0,0 1 0,0 0 0,0 0 0,1 0 0,-1 0 0,1 0 0,-1 8 0,1-8-30,-4 49 77,5-50-74,0 0 1,0 0-1,0 0 1,0 0-1,1 0 1,-1 0-1,1 0 1,0 0-1,0 0 1,0 0-1,0-1 1,1 1-1,-1 0 1,1-1-1,2 4 1,0-4 30,1 1 0,0-1 0,0 0 0,0 0 0,0 0 0,0-1 0,0 0 0,0 0 0,1 0 0,-1-1 0,0 1 0,7-2 0,-8 0 52</inkml:trace>
  <inkml:trace contextRef="#ctx0" brushRef="#br0" timeOffset="3043.07">460 116 2312,'-1'1'356,"0"0"-1,1 0 0,-1 0 1,1 0-1,-1 0 0,1 0 1,0 0-1,-1 1 0,1-1 1,0 0-1,0 0 0,-1 0 1,1 0-1,0 1 0,0-1 0,1 0 1,-1 0-1,0 2 0,14-16 5124,11-11-5027,-18 20-376,-1 0 0,0-1 0,0 0 0,0 0 0,0 0 0,-1-1 0,0 1 0,0-1 0,-1-1 0,0 1 0,5-9 0,-2-14-73,-8 33-1,0-1 1,1 1-1,-1-1 1,1 1 0,-1 0-1,1-1 1,0 1-1,1 4 1,-3 29-13,-2-2 6,3-26 4,0 1-1,0-1 0,-3 10 0,3-15 1,0-1 0,1 1-1,-1-1 1,1 1-1,0-1 1,0 1 0,1-1-1,0 6 1,0-7 0,-1 1-1,1 0 1,-1 0-1,0 0 1,0 0 0,0 0-1,0 0 1,-1-1 0,1 1-1,-1 0 1,0 0 0,-1 4-1,2-7-25,0 0-1,0 0 0,0 1 0,0-1 0,0 0 0,0 0 1,-1 1-1,1-1 0,0 0 0,0 0 0,0 1 0,0-1 1,0 0-1,0 0 0,0 1 0,1-1 0,-1 0 1,0 0-1,0 1 0,0-1 0,0 0 0,0 0 0,0 1 1,0-1-1,1 0 0,-1 0 0,0 0 0,0 1 0,0-1 1,0 0-1,1 0 0,-1 0 0,0 0 0,1 1 0,-1-1-2,0 0 0,0 0-1,0 0 1,0 0-1,0 0 1,1 0-1,-1 0 1,0 1-1,0-1 1,0 0 0,0 0-1,0 0 1,0 0-1,0 0 1,0 0-1,1 1 1,-1-1-1,0 0 1,0 0 0,0 0-1,0 0 1,0 0-1,0 1 1,0-1-1,0 0 1,0 0-1,0 0 1,0 0 0,0 1-1,0-1 1,0 0-1,0 0 1,0 0-1,0 0 1,0 1-1,0-1 1,0 0-1,0 0 1,-1 0 0,1 0-1,0 0 1,0 0-1,0 1 1,0-1-1,0 0 1,0 0-1,0 0 1,-1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7:13.88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8 86 3649,'-7'-9'9694,"7"20"-7115,10 30-4223,-8-35 2481,1 4-826,1 0 0,0 0 0,0-1 0,9 15 0,-12-23-10,-1 0 2,0-1 0,0 0 0,0 0 0,0 0 0,1 0 0,-1 1-1,0-1 1,0 0 0,0 0 0,0 0 0,1 0 0,-1 0 0,0 1 0,0-1 0,0 0-1,1 0 1,-1 0 0,0 0 0,0 0 0,0 0 0,1 0 0,-1 0 0,0 0-1,0 0 1,1 0 0,-1 0 0,0 0 0,0 0 0,1 0 0,-1 0 0,0 0 0,0 0-1,0 0 1,1 0 0,-1 0 0,0 0 0,0-1 0,0 1 0,1 0 0,9-9 45,2-9-35,-12 18-12,4-7 6,0 0 1,-1 0-1,0 0 1,4-13 0,7-17 16,1-2-1037,-11 32-2055,-4 4 2076</inkml:trace>
  <inkml:trace contextRef="#ctx0" brushRef="#br0" timeOffset="782.5">74 46 2152,'-4'0'7793,"4"6"-6091,3 9-1799,5 5 402,-4-10-158,0 0 1,1 0-1,0-1 1,0 1-1,1-1 1,0 0-1,12 12 1,-9-15 16,-9-6-141,0 0-1,0 0 0,0 0 0,0 0 0,1 0 0,-1 0 0,0 0 1,0 0-1,0 0 0,0 0 0,1 0 0,-1 0 0,0 0 1,0 0-1,0 0 0,0 0 0,0 0 0,1 0 0,-1-1 0,0 1 1,0 0-1,0 0 0,0 0 0,0 0 0,0 0 0,1 0 1,-1 0-1,0-1 0,0 1 0,0 0 0,0 0 0,0 0 0,0 0 1,0-1-1,0 1 0,0 0 0,0 0 0,0 0 0,0 0 1,0 0-1,0-1 0,0 1 0,0 0 0,0 0 0,0 0 0,0 0 1,0-1-1,0 1 0,0 0 0,13-45 640,-12 31-593,2 1 0,0-1 1,0 1-1,8-20 0,-8 29-3509</inkml:trace>
  <inkml:trace contextRef="#ctx0" brushRef="#br0" timeOffset="1730.66">247 18 2625,'1'0'146,"-1"0"0,0 0 1,1 0-1,-1 0 1,1 0-1,-1 0 1,1 0-1,-1 0 1,0 0-1,1 0 1,-1 0-1,1 1 0,-1-1 1,0 0-1,1 0 1,-1 1-1,0-1 1,1 0-1,-1 0 1,0 1-1,1-1 1,-1 0-1,0 1 1,0-1-1,1 1 0,-8 7 6453,-2-1-4119,1 4-4148,-1 4 1674,7-12-5,0-1 0,1 1 0,-1 0 0,1 0 1,0 0-1,-1-1 0,1 1 0,1 0 1,-1 1-1,0-1 0,1 0 0,0 0 1,-1 0-1,2 5 0,2 16 269,-3-24-261,0 1 0,0-1 0,0 1 0,0-1 0,1 1 0,-1-1 0,0 1 0,0 0 0,0-1 0,1 1 0,-1-1 0,0 1 0,1-1 0,-1 0 0,0 1 0,1-1 0,-1 1 0,1-1 0,-1 0-1,1 1 1,-1-1 0,1 0 0,-1 1 0,1-1 0,-1 0 0,1 0 0,-1 1 0,1-1 0,-1 0 0,1 0 0,0 0 0,-1 0 0,1 0 0,0 0 0,3-1 25,0 0 0,-1 0 0,1 0 0,-1 0 0,1-1 0,-1 1 1,1-1-1,-1 0 0,0 0 0,5-5 0,-7 7-45,-1 0 1,1-1-1,-1 1 1,1 0-1,-1 0 0,1 0 1,0-1-1,-1 1 1,1 0-1,-1 0 1,1 0-1,-1 0 0,1 0 1,0 0-1,-1 0 1,1 0-1,-1 0 1,1 1-1,0-1 0,-1 0 1,1 0-1,0 1-102,-1-1 0,1 0 0,-1 0 0,0 0 0,1 0 0,-1 1 0,0-1 0,1 0 0,-1 0 0,1 0 0,-1 0 0,0 0 0,1 0 0,-1 0 0,1 0 0,-1 0 0,0 0 0,1 0 0,-1-1 0,1 1 0,-1 0 0,0 0 0,1 0 0,-1 0 0,0-1 0,1 1 0,-1 0 0,0 0 0,1-1 0,-1 1 0,0 0 0,0-1 0,1 1 0,-1-1 0,3-3-1051</inkml:trace>
  <inkml:trace contextRef="#ctx0" brushRef="#br0" timeOffset="2649.43">296 28 4961,'4'-5'5337,"12"-4"-3780,-3 2 239,-13 7-1745,0-1 1,1 1-1,-1-1 1,1 1-1,0-1 0,-1 1 1,1-1-1,-1 1 1,1 0-1,0-1 0,-1 1 1,1 0-1,0-1 1,-1 1-1,1 0 0,0 0 1,-1 0-1,1-1 1,0 1-1,0 0 0,0 0 1,0 1-37,-1-1-1,1 0 1,-1 0 0,1 1-1,-1-1 1,0 0 0,1 1-1,-1-1 1,1 0 0,-1 1 0,0-1-1,1 1 1,-1-1 0,0 1-1,1-1 1,-1 1 0,0-1 0,0 1-1,1-1 1,-1 1 0,0 0-1,1 1-19,-1 0 0,0 0 0,1 1-1,-1-1 1,0 0 0,0 0-1,0 1 1,-1-1 0,1 0-1,0 0 1,-1 0 0,-1 5 0,-1-2-5,1 0 0,0 0 1,0 1-1,0-1 1,1 1-1,-1-1 1,1 1-1,1 0 1,-1-1-1,1 1 0,0 6 1,0-12 8,0 0 0,0 1 0,0-1 0,1 0 0,-1 0 0,0 1 0,0-1 0,0 0 0,1 0 0,-1 0 1,0 1-1,0-1 0,0 0 0,1 0 0,-1 0 0,0 0 0,0 0 0,1 1 0,-1-1 0,0 0 0,0 0 0,1 0 0,-1 0 0,0 0 0,0 0 0,1 0 0,-1 0 1,0 0-1,1 0 0,-1 0 0,0 0 0,0 0 0,1 0 0,14-5 50,13-9 72,-26 13-122,-1 0-40,0 0 1,0 1-1,0 0 0,0-1 0,0 1 1,1 0-1,-1-1 0,0 1 0,0 0 0,0 0 1,0 0-1,0 0 0,0 0 0,1 0 0,-1 0 1,0 0-1,0 0 0,0 1 0,0-1 1,0 0-1,0 1 0,0-1 0,0 1 0,0-1 1,0 1-1,0 0 0,0-1 0,0 1 1,0 0-1,1 1 0,0 0-391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7:30.97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19 41 1408,'-13'-3'1814,"8"3"4522,10 9-3831,-2-4-3419,24 35 1199,-18-27-219,0-1 0,-1 1-1,-1 0 1,11 25 0,-18-38-59,0 0 0,0 0 1,0 0-1,0 0 1,0 0-1,0 0 0,0 0 1,0 0-1,0 0 1,0-1-1,0 1 1,0 0-1,0 0 0,0 0 1,0 0-1,0 0 1,0 0-1,0 0 0,0 0 1,0 0-1,1 0 1,-1-1-1,0 1 1,0 0-1,0 0 0,0 0 1,0 0-1,0 0 1,0 0-1,0 0 0,0 0 1,0 0-1,0 0 1,0 0-1,0 0 1,1 0-1,-1 0 0,0 0 1,0 0-1,0 0 1,0 0-1,0 0 1,0 0-1,0 0 0,0 0 1,0 0-1,0 0 1,1 0-1,-1 0 0,0 0 1,0 0-1,0 0 1,0 0-1,0 0 1,0 0-1,0 0 0,0 0 1,0 0-1,0 0 1,0 0-1,1 0 0,-1 0 1,3-16 192,2-19 66,1-45-43,-2 66-4056,-4 10 2621</inkml:trace>
  <inkml:trace contextRef="#ctx0" brushRef="#br0" timeOffset="808.26">73 26 2505,'0'0'181,"-1"0"1,1 0-1,0 0 0,-1 1 1,1-1-1,0 0 1,-1 0-1,1 0 1,0 0-1,-1 0 1,1 1-1,0-1 1,0 0-1,-1 0 1,1 1-1,0-1 1,0 0-1,-1 0 1,1 1-1,0-1 1,0 0-1,0 1 1,-1-1-1,1 0 1,0 1-1,0-1 1,0 0-1,0 1 1,0-1-1,0 0 1,0 1-1,0-1 1,0 0-1,0 1 1,0-1-1,0 0 1,0 1-1,0-1 1,0 1-1,0-1 1,0 0-1,0 1 1,0-1-1,0 0 1,1 1-1,-1-1 1,0 0-1,0 0 1,0 1-1,1-1 1,-1 0-1,0 1 0,0-1 1,1 0-1,-1 0 1,0 0-1,1 1 1,-1-1-1,5 7-1508,3 6 1385,0 0 0,1-1 0,0-1 0,1 1 0,0-2 0,19 16 0,-29-26-39,1 0 1,-1 1-1,0-1 1,0 0-1,0 0 1,1 0-1,-1 0 1,0 0-1,0 0 1,0 0-1,1 0 1,-1 0-1,0 0 1,0 0 0,1 0-1,-1 0 1,0 0-1,0 0 1,1 0-1,-1 0 1,0 0-1,0 0 1,0 0-1,1 0 1,-1 0-1,0 0 1,0 0-1,0 0 1,1-1-1,-1 1 1,0 0 0,0 0-1,0 0 1,1 0-1,-1 0 1,0-1-1,0 1 1,0 0-1,0 0 1,0 0-1,0-1 1,1 1-1,-1 0 1,0-1-1,4-15 237,-2-19 177,-3 18-265,1 0 0,1-1 0,4-17 0,-4 30-2233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10:07:38.76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13 71 3425,'-1'-3'961,"-5"-3"-387,1 4 8141,14 10-8099,5 9-548,18 31 1,-18-25-31,-14-23-28,0 1 1,0-1-1,1 0 0,-1 0 1,0 0-1,0 0 1,0 0-1,0 1 1,0-1-1,0 0 0,0 0 1,0 0-1,0 0 1,0 0-1,0 0 1,0 0-1,1 1 0,-1-1 1,0 0-1,0 0 1,0 0-1,0 0 1,0 0-1,0 0 0,1 0 1,-1 0-1,0 0 1,0 0-1,0 0 1,0 0-1,0 0 0,1 0 1,-1 0-1,0 0 1,0 0-1,0 0 1,0 0-1,1 0 0,-1 0 1,0 0-1,0 0 1,0 0-1,0 0 1,0 0-1,1 0 0,-1 0 1,0 0-1,0 0 1,0 0-1,0 0 1,0 0-1,1 0 0,-1-1 1,0 1-1,0 0 1,0 0-1,0 0 1,0 0-1,0 0 0,0 0 1,0 0-1,0-1 1,6-13 155,-1-18-8,-4 14-136,8-25-1,0 19-5670,-9 22 4410</inkml:trace>
  <inkml:trace contextRef="#ctx0" brushRef="#br0" timeOffset="737.63">74 36 3921,'0'0'165,"-1"1"0,1-1 0,-1 1-1,0-1 1,1 1 0,-1-1 0,1 1 0,-1 0 0,1-1 0,0 1 0,-1 0 0,1-1-1,0 1 1,-1 0 0,1-1 0,0 1 0,0 0 0,0-1 0,0 1 0,0 0-1,0 0 1,0-1 0,0 2 0,12 13 3786,-1-4-4024,6 11 1089,-14-18-956,-1 1 0,2-1 0,-1 0-1,1 1 1,-1-1 0,1-1 0,0 1 0,1 0 0,-1-1 0,1 0 0,7 4 0,-12-7-22,1 0 0,-1 0-1,0 0 1,1 0 0,-1 0 0,1-1 0,-1 1 0,0 0-1,1 0 1,-1 0 0,0 0 0,1-1 0,-1 1 0,0 0-1,1 0 1,-1-1 0,0 1 0,0 0 0,1-1 0,-1 1-1,0 0 1,0-1 0,0 1 0,1 0 0,-1-1 0,0 1 0,0 0-1,0-1 1,0 1 0,0 0 0,0-1 0,0 1 0,0 0-1,0-1 1,0 1 0,0 0 0,0-1 0,0 1 0,0-1-1,-1 1 1,1-23 67,0 20 26,0-14 70,1 0 1,4-19-1,1-4-16,2 38-1484,-8 2 918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21:37:26.700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 1 2657,'3'8'944,"-3"8"-784,3 20-200,-5-32-136,6-4-512,3-1 448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5:22.03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11 0 1744,'-8'1'7128,"5"-1"-5357,6 0-1212,-2 0-352,5 0-992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10T10:29:50.3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165 438 320,'-22'1'104,"16"-1"10,0 0-1,-1 1 1,1-1 0,-10 4-1,6-1 1439,-10 1 3951,19-4-5210,-4 1 4543,11 1-4724,0 3 0,1-3-1,0 0 1,-1 1 0,1 0 0,0-2-1,0 1 1,0-2 0,12 2 0,6-2 298,36-2 0,-29-3-303,-23 3-93,0 1 1,0 0 0,0 1-1,0-1 1,0 2 0,15 1-1,-10 2-11,-5-1 4,-1-3-1,1 2 1,0-1 0,-1 0-1,1-1 1,0 0 0,12-1-1,2-2 21,1 1 0,-1-1 0,0 3 0,1 2 0,41 4 0,-50-6-15,0 0-1,0 0 1,0-2 0,20-2 0,-19 0-5,0 1 0,0 2 0,22 0-1,69 1 29,-47-1-15,-26-3-2,-28 3-13,0 0-1,0 0 1,0 1 0,0 0-1,0 0 1,9 1 0,-2 1 5,1-1 1,0-1 0,-1 0-1,27-4 1,-21 2 21,34 0 0,0 5 37,55-6 1,-10-2 7,43-7-29,-87 5-30,-40 5-14,1 1-1,-1-1 1,29 3-1,-5 0 11,-26-1-10,-1 0 0,19 2-1,-27-1 0,0-1-1,1 2 0,-1-2 0,1 1 0,-1-1 1,0 0-1,1 0 0,-1-1 0,0 1 0,1-2 1,-1 1-1,0 1 0,5-2 0,-3 1 10,-1 0-1,0 0 1,0 0 0,1 1-1,-1 0 1,0 0 0,1 0 0,-1 0-1,0 1 1,7 1 0,-4-1 10,-1-1 1,0 1 0,0-1 0,13 0 0,25 0 129,-43 0-76,25 0-1,7 1 68,43 7 0,-65-8-75,-9-1-3560,-2-1 2685</inkml:trace>
  <inkml:trace contextRef="#ctx0" brushRef="#br0" timeOffset="2335.15">129 1000 1416,'-37'34'754,"27"-27"431,6-13 2613,3 5-3671,1 1 0,0-1 0,0 1 0,0-1 0,0 1 0,0 0 0,0 0 0,1-1 0,-1 0 0,0 1 0,0-1 0,0 1 0,0-1 0,1 1 0,-1-2 0,0 2 0,0 0 1,1-1-1,-1 1 0,0-1 0,1 1 0,-1-1 0,0 1 0,1 0 0,-1-1 0,1 1 0,-1 0 0,2 0 0,-2-1 0,0 1 0,0 0 0,2-1 0,192-13 2611,-186 14-2713,89 2 381,-56-1-257,-28-2-63,0 2 0,20 2 1,-13-2-23,0 1 0,-1-2 1,1-1-1,30-3 0,89-22 240,-90 19-159,-26 1-69,30 0-1,-22 4-37,-3 1-5,39 2 0,-30-1-4,-27 0-11,1 0 1,-1 0-1,1 1 0,10 3 0,-11-2 20,-1 0-1,1 1 0,0-2 0,-1-1 1,19-1-1,0 1 26,-14 1-47,-1 0 1,1 0-1,-1 2 0,0 0 0,13 4 1,-23-6-9,1-1 1,0 1-1,0-1 1,0 0-1,-1 0 1,1 0-1,0-1 1,0 0-1,-1 1 1,1 0-1,6-4 1,18-2 39,114-12 113,-116 14-104,31-10 17,-48 11-68,23-2 14,-27 5-17,1 0 0,-1-1 1,0 0-1,0 0 0,6-4 1,-5 3-2,1 1 1,-1-1-1,1 1 1,0 1 0,-1 0-1,1 0 1,-1 0-1,1 0 1,11 2 0,-10-1 1,1 0 0,-1-1 1,1 0-1,14-2 1,-19 2-4,-1-1 1,0 0 0,0 0 0,0 0 0,0 0-1,0-1 1,3-2 0,-4 2-1,0 1-1,0 0 1,0 0-1,0-1 1,0 1-1,0 0 1,1 1-1,-1-1 1,0 0-1,1 1 1,-1-1-1,0 1 1,1 0 0,-1 0-1,0 0 1,1 0-1,2 0 1,-5 0-1,4 1 1,1 0 1,0 0-1,-1-1 0,1 1 1,0-1-1,-1 0 1,1-1-1,0 1 1,-1-1-1,6-1 1,-6 1 0,0 0-1,0 1 1,0-1 0,1 1 0,-1 0 0,0 1 0,0-1 0,0 1 0,7 1 0,-5-1 4,0 0 0,0 0 0,0 0 0,8-1 0,-11 0 3,1 0-1,-1 0 1,0 1-1,0-1 1,0 1-1,0 0 1,0-1-1,4 3 1,-5-2 3,0 0 1,0 0-1,0 0 0,0-1 1,0 1-1,0-1 1,0 2-1,0-2 1,0 0-1,0 0 0,0 0 1,0 0-1,0 0 1,0 0-1,0-2 1,3 1-1,-3 1 1,0-1 1,0 1-1,0-1 0,0 1 1,1 0-1,-1 0 0,0 0 1,0 0-1,0 0 0,0 0 1,1 1-1,2 0 0,-3 0 2,0-1-1,0 0 1,0 2-1,0-2 0,0 0 1,1 0-1,-1 0 1,0 0-1,0 0 1,3-2-1,1 0 42,0 1 0,-1 0 0,1 1 0,0-1 0,6 1 0,11-1-1069,-1-3-4019,-15 1 3454</inkml:trace>
  <inkml:trace contextRef="#ctx0" brushRef="#br0" timeOffset="5425.25">2257 182 1304,'-43'-75'676,"30"57"-206,6 16-208,2 0-117,-5-5 110,9 7-173,-1-2 0,0 2 0,0-2 0,-1 1 0,1 0 0,0-1-1,0 1 1,-1 0 0,1 0 0,0 1 0,-1-1 0,1 1 0,-1-1 0,1 1-1,-1 0 1,1 0 0,0 0 0,-1 0 0,1 0 0,-3 1 0,2-1 43,0 0 1,1-1-1,-1 1 1,0-1 0,1 1-1,-1-1 1,1 0-1,-1 1 1,1-3 0,0 2-1,-1 0 1,1-1-1,-3-2 1,-23-10 964,23 13-728,-1-1-1,1 0 0,-1-1 1,1-1-1,-5-1 0,-18-11 3291,27 15-3599,1 1 0,-1 0 0,1-1 0,0 1 0,-1 0 0,1 0 0,-1 0 0,1-1 0,-1 1 0,1 0 0,0 0 0,-1 0 0,1 0 0,-1 0 0,1 0-1,-1 0 1,1 0 0,-1 0 0,1 0 0,-1 0 0,1 0 0,-1 0 0,1 0 0,0 0 0,-1 1 0,1-1 0,-1 0 0,1 0 0,-1 0 0,1 1 0,0-1 0,-1 0 0,1 1 0,0-1 0,-1 0 0,1 1 0,0-1-1,-1 0 1,1 1 0,0-1 0,0 2 0,0-2 0,-1 0 0,1 0 0,0 0 0,0 1 0,0-1 0,0 1 0,0-1 0,0 1 0,0-1 0,0 1 0,0-1 0,0 1 0,0-1 0,0 0 0,0 2 0,1 2-17,0-1 1,0 2-1,0 0 1,0-1-1,1 0 1,0 0-1,3 4 1,2 5 22,1 0 1,1-1-1,0 0 1,20 19-1,-12-17 3,1 1 0,1-2 0,0 2 0,1-3 1,0-1-1,38 15 0,-36-16-18,-1 2 1,0-1 0,-1 3 0,-1-1-1,26 23 1,41 30-9,-30-28 12,59 52 0,-90-71-38,-16-12-5,0 0 1,0 1-1,9 10 1,-14-15-4,0 1 0,0-2 0,0 1 1,0 0-1,1 0 0,-1-1 0,8 3 0,-8-3 0,0 0 0,1 1 0,-1-1 1,-1 0-1,1 0 0,6 8 0,-7-9 3,-1 1 0,0 0 0,1-1 0,-1 1 0,1-1 0,0 1 0,-1-1 0,1 0 0,4 1 0,11 6 26,-18-7-30,1-1 0,-1 1 0,0 2-1,1-3 1,-1 1 0,0 0 0,1 0-1,-1 0 1,0 0 0,0 0 0,0-1-1,0 1 1,0 0 0,0 1 0,0-1-1,0 1 1,-1-2 0,1 2 0,-7 21-26,-6-9 10,-11 3 15,-14 24 0,35-38-1,1-1 0,0 1 0,0-1 0,0 0 1,0 1-1,0 1 0,0-2 0,1 1 0,-2 4 0,2-5 0,0-1 0,1 1 0,-1-1 0,0 2 0,0-3 0,1 2 0,-1-1 0,0 0 0,-1 1 0,1-1 0,0 0 0,0 1 0,0-1 0,-2 1 0,-5 2-3,6-1 1,0-1 0,-1 0 0,0 0 0,1-1 1,-1 0-1,-6 5 0,5-6-2,0 2 0,0-1 1,0 0-1,1 1 0,-1 0 1,0-1-1,1 1 0,0 0 0,-1 0 1,1 2-1,0-2 0,0 0 1,0 0-1,-4 7 0,1-1-12,-1 0 1,-1 0-1,1 0 0,-1-1 0,-1-1 1,1 2-1,-1-3 0,-11 7 0,-35 27-51,33-25 16,0 0 0,1 1 0,-34 33-1,0-1-16,-80 58-67,2-3 48,123-92 78,1-1 1,-12 18 0,17-22 6,-1 2 1,1-1-1,-2-1 1,1 1-1,0-1 1,-1-1-1,0 1 0,0-2 1,-1 2-1,-11 5 1,15-9 0,0 1 1,0-1 0,0 0 0,0 0 0,0 0-1,1 1 1,-1 0 0,0 0 0,1 0 0,0 0-1,-1 1 1,1-1 0,0 1 0,0-1 0,0 1-1,1-1 1,-1 2 0,0-2 0,-1 4 0,2-1 2,0-1 0,0 0 0,-1 1 1,0-1-1,0-1 0,0 0 1,0 0-1,0 2 0,-1-2 0,0 0 1,0 2-1,0-2 0,0-1 0,0 2 1,-1-2-1,0 0 0,1 1 0,-6 2 1,9-5-1,0 0-1,0 0 1,0 0 0,-1 1 0,1-1 0,0 0 0,0 0 0,-1 0 0,1 0-1,0 1 1,0-1 0,-1 0 0,1 0 0,0 0 0,0 0 0,-1 0 0,1 0-1,0 0 1,0 0 0,-1 0 0,1 0 0,0 0 0,0 0 0,-1 0 0,1 0-1,0 0 1,-1 0 0,1 0 0,0 0 0,0 0 0,-1 0 0,1 0 0,0 0-1,0-1 1,-1 1 0,1 0 0,0 0 0,0 0 0,0 0 0,-1-1 0,1 1 0,0 0-1,0 0 1,0-1 0,0 1 0,-1 0 0,1 0 0,0 0 0,0-1 0,0 1-1,0 0 1,0-2 0,0 2 0,0 0 0,0 0 0,0 0 0,0 0 0,0 0-1,0 0 1,0-1 0,0 1 0,0 0 0,0-1 0,0 1 0,0 0 0,0 0-1,0-1 1,0 1 0,10-19 9,25-19-8,15-24 6,-43 55-4,0 1 0,0-1 0,1-1 0,-1 3 1,14-9-1,-12 7 2,-1 1 1,1 0-1,-2-1 1,1 1-1,8-12 1,6-8 13,2 0 0,1 2 0,0 1 0,2 0 0,51-32 0,-58 40 33,0 1 1,27-33 0,-30 30-1,0 1 0,1 2 0,22-16 0,-24 18-42,0 0-1,21-19 1,-22 16-2,32-23 1,-32 26-3,0 1 0,15-17-1,-22 20-2,0 0 0,1-1-1,0 2 1,1-1-1,0 1 1,0 2 0,17-10-1,-11 10 28,0-2 0,27-16 1,-41 22-28,1 0 0,-1 1 0,0-1 0,1 0 0,-1 1 0,0-2 0,1 2 0,-1 0 0,1 0 0,-1 0 0,1 0 0,2 2 0,-3-2-1,0 0 0,0 0 0,0 0 0,1 0 0,-1 0 0,0 0 0,0-2 0,0 2 1,1-1-1,-1 1 0,3-2 0,-5 1-1,1-2 1,0 0 0,-1 0-1,0 0 1,1 1 0,-1-2-1,-1 2 1,1-1-1,-1-3 1,1 1 2,-2 3 1,0-2 1,0 2-1,0 1 1,0-2-1,0 0 1,-1 0 0,1 1-1,-1 1 1,0-1-1,-4-2 1,1 0 1,-84-68 16,87 69-23,-1 0 0,1-2 0,-1 3 0,1-1 0,-5-9 0,-10-12 2,12 19-11,0-2 0,0 2 0,0-2-1,-1 3 1,0-1 0,0 1 0,-1-1 0,1 1 0,-1 0 0,-12-4 0,3 6-3,-1-4 1,1 2 0,0-3-1,0 1 1,1-2 0,0 0 0,0-2-1,1 1 1,-19-14 0,22 13 4,-2 3 1,1-1 0,-19-9-1,20 13 8,1-2 0,0 0 0,0-2 0,0 2 0,-16-14 1,0-10 7,17 18-17,0 0 0,-17-13-1,24 23 4,0 1-1,0-1 1,0 0-1,0-1 0,0 1 1,0 1-1,-1-1 0,1 1 1,-1 0-1,1 1 0,-1-1 1,1-1-1,-1 2 0,1-1 1,-6 1-1,4 0 6,-1 0-1,0-1 0,1 0 1,-1 0-1,0 0 1,1 0-1,0 0 1,-1-1-1,1 0 1,0-1-1,-9-6 0,-1 2 2,14 7-8,1 0-1,-1 0 1,0 0 0,0-1 0,1 1-1,-1 0 1,0 0 0,1 0 0,-1 0-1,0 0 1,0 0 0,1 0 0,-1 0-1,0 0 1,1 1 0,-2-1-1,1 1-7,0-1-1,0 0 1,0 0-1,0 0 1,1 1-1,-1-1 1,0 0-1,0 0 1,0 0-1,0 0 1,0-1-1,0 1 1,0 0-1,0 0 1,0-1-1,1 1 1,-1 0-1,0-1 1,0 1-1,0 0 1,0-3-1,-1 2-131,0 0-1,1 0 1,-1 0-1,0 1 0,1-1 1,0 0-1,-1 0 1,1-2-1,0 2 1,0-1-1,-1 0 0,1 1 1,1-1-1,-1 0 1,0 0-1,0 0 0,1 0 1,-1 1-1,1-1 1,-1-1-1,1 2 0,0-1 1,0 1-1,0-5 1,9-17-685</inkml:trace>
  <inkml:trace contextRef="#ctx0" brushRef="#br0" timeOffset="7190.99">32 557 1736,'0'0'152,"0"1"-1,-1-1 1,1 0-1,0 1 0,0-1 1,-1 0-1,1 1 1,0-1-1,0 0 1,-1 0-1,1 0 0,0 1 1,-1-1-1,1 0 1,0 0-1,-1 0 0,1 0 1,0 1-1,-1-1 1,1 0-1,-1 0 1,1 0-1,0 0 0,-1 0 1,1 0-1,0 0 1,-1 0-1,1 0 1,-1 0-1,1 0 0,0 0 1,-1-1-1,1 1 1,0 0-1,-1 0 0,1 0 1,0 0-1,-1-1 1,1 1-1,0 0 1,-1 0-1,1-1 0,0 1 1,0 0-1,-1 0 1,1-1-1,0 1 0,0 0 1,-1-1-1,1 1 1,0 0-1,0-1 1,0 1-1,0 0 0,0-1 1,0 1-1,0-1 1,-1 1-1,1 0 0,0-1 1,0 1-1,0-1 1,22 1 689,131 3 441,-117-6-1050,-27 1-174,0 1 0,0 0 0,0 1 0,0 0 0,16 3 0,-9 1 26,0-1 0,0-1 0,0 0 0,0-1-1,0 0 1,1-2 0,-1 0 0,0 0 0,28-8 0,-27 5 4,0 2 0,1-2 0,29 2 0,-27 1-14,1-1 0,27-7 1,-30 7-30,0-1 0,0 0 1,35 3-1,-32 1 24,0-2 1,29-3-1,3-4 88,1 2-1,89-1 0,-69 5-16,112-16 0,14-2 59,-69 10-63,35-1 146,-53 14-241,28 0 108,-127-2-140,-11-1-12,0 0 1,0 0-1,-1 0 0,1 0 1,0 0-1,0 0 1,0-1-1,0 1 1,3-2-1,-5-5-2674,-1 4-2237</inkml:trace>
  <inkml:trace contextRef="#ctx0" brushRef="#br0" timeOffset="8848.76">67 1075 1944,'-15'8'1639,"13"-8"-1421,0 1 0,1 0 0,-1-1 0,0 1 0,1 0 0,-1-1 0,1 1 0,-1 0 0,1 2 0,-2 0 0,2-3-99,1 1-1,-1 0 1,0-1-1,0 1 1,0 0-1,1-1 1,-1 1-1,0-1 1,0 0-1,0 0 1,0 0-1,0 2 1,-2-2-1,3 0-34,-1 0 1,0 0-1,0 1 0,1-1 1,-1 0-1,0 0 0,1 1 0,-1-1 1,0 0-1,1 1 0,-1-1 1,1 1-1,-1-1 0,0 0 1,1 1-1,-1-1 0,1 0 1,0 1-1,-1-1 0,1 1 0,-1-1 1,1 1-1,-1 0 0,-3 0 1501,9-2-161,49-3-977,-45 4-403,-1 0 0,1-1-1,0 0 1,-1 0 0,1-1-1,-1 0 1,0-1 0,9-4-1,0 2 93,1-1 0,0 2-1,0 2 1,0-1 0,23-1 0,18-2 109,41-1 162,-67 5-195,57-8 0,-57 4-139,0 3-1,33 1 1,-13 0-43,87-13 152,-60 5 12,-21-2-96,-42 9-68,0 0-1,32-2 0,-13 5 42,1-1 1,47-9 0,-74 9-52,0 0 0,0 0 1,10 1-1,-11 1-7,1-1 1,-1-1-1,17-2 0,-22 3-10,0 0-1,0 0 1,0 0-1,0 0 0,0 0 1,0 0-1,4 2 1,-3-1-1,0 0 1,0-1-1,-1 1 1,1-1-1,7 0 1,126-10 125,-77 1-63,-45 6-39,0 0-1,1 0 0,0 2 1,-1 0-1,20 2 0,-7 2 40,0-3 0,1-2-1,32-2 1,4-3 10,-42 5-45,38 0 20,-49 4-42,-9-2-3,0 1-1,0-1 1,0 0-1,0 0 1,0 0-1,6-1 1,2-8-145,-3 5-863,-3 0 649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5:35.06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15 69 2881,'-6'4'-1072,"-2"3"10401,13-15-7592,17-22-1218,-18 27-512,-1 1 0,1-1 1,0 1-1,0 0 1,1-1-1,-1 1 1,1 0-1,0 1 1,0-1-1,0 1 1,7-3-1,4-1 25,-12 6-25,-1-1 0,0 1 0,1-1 1,-1 1-1,0 0 0,0-1 0,1 1 0,-1 0 1,4 2-1,-3-1 9,3 0-3,0 0 0,0 3 0,-1-3 0,1 1 0,-2 0 1,1 1-1,0 0 0,-1-1 0,5 6 0,-2-2 2,1 0 1,13 7-1,-20-12-9,1-1 0,-1 0 0,1 1 0,0-2 0,0 1 1,0 1-1,0 0 0,0-2 0,0 1 0,0-1 0,0 1 0,1 0 0,5-1 0,-1 1-3,-6-1 2,1 0 1,0 0-1,0 0 0,-1-1 0,1 1 0,0 0 1,0 0-1,-1 0 0,1-1 0,-1 0 0,1 0 1,0 1-1,-1-2 0,0 1 0,4-1 0,0-1 7,0 1 0,0-2-1,-1 1 1,9-7 0,8-4-11,-7 4 5,-11 8-3,0 0 0,0-2 0,0 2 0,0-1 0,3-5 0,-3 5-3,0 1 0,0 0 0,0-1 0,0 2 0,0-1 0,1 0 0,0 0 0,-1 1 0,1-1 0,0 0 0,9 0 0,-11 2 13,0 0 0,0-1-1,0 1 1,0 0 0,0 1 0,0-1 0,0 0 0,0 1-1,-1-1 1,1 0 0,0 0 0,0 1 0,-1 0-1,1 0 1,0-1 0,-1 2 0,1 0 0,-1-1 0,0-1-1,4 4 1,-2-3 8,0 2 0,0-2 0,0 1 0,1-1 0,0 1 0,6 0 0,-8-1-12,-1 1-1,1-1 1,0-1 0,0 1-1,0 1 1,-1-2 0,5 4-1,7 3 115,-5-3-51,8 3 143,-9-5-210,32 7 75,-37-9-75,-1 1-1,1-1 0,-1 0 0,1 0 1,-1 0-1,1 0 0,0 0 1,-1 0-1,1 0 0,-1 0 0,1-1 1,-1 1-1,5-1 0,-4 0-3,1 0 1,0-1-1,-1 1 0,1 1 0,0 0 1,0-1-1,0 1 0,0-1 0,6 1 0,12 0 3,48-4 28,7 3 282,-76 1 12,-11-8-158,-34-15-160,41 19-32,3 4 21,0 0 0,-1-2-1,1 2 1,0-1-1,0 0 1,-1 1-1,1 0 1,-1 0-1,1-1 1,0 1 0,-1-1-1,1 1 1,-1 0-1,0-1 1,1 1-1,-1-1 1,1 1 0,-1 0-1,0 0 1,1 0-1,-1 0 1,0 0-1,1-1 1,-1 1-1,-1 0 1,13 9-44,-7-8 52,0 1 0,0-1 0,0 1 0,-1-1 0,1 1 0,-1 1 0,5 2 0,1 1-5,-9-5 2,0-1 0,1 0 0,-1 0 0,1 0 0,-1 1-1,0-1 1,1 1 0,-1-1 0,0 0 0,1 1 0,-1-1-1,0 0 1,0 0 0,0 1 0,0-1 0,0 1 0,0-1-1,0 1 1,0-1 0,0 1 0,0-1 0,0 0 0,0 1-1,0-1 1,0 0 0,-1 0 0,1 0 0,0 2 0,0-2-1,-1 1 1,-17 13-57,16-13 43,0 0-1,0 0 1,0 0 0,0 0 0,1 0 0,-1 2 0,1-2 0,0 1-1,-2 1 1,-5 3-21,7-6 32,0 0 0,1 0 0,-1 0 0,1 0 0,0 1 0,-1-1 0,1 0 0,-1 0 0,1 1 0,-1-1 0,1 0 0,0 0 0,-1 1 0,1-1 0,0 0 0,-1 1 0,1-1 0,0 0 0,0 0 0,-1 0 0,1 1 0,0-1 0,0 1 0,-1-1-2,1 1 1,-1 1-1,1-2 1,-1 0-1,1 0 0,-1 0 1,0 1-1,1-1 1,-1 1-1,0-1 0,1 0 1,-1 1-1,0-1 1,0 0-1,-1 0 1,0 0-42,15-6 41,-10 5 3,3 0 7,0-2-1,-1 2 1,1-3-1,-1 3 1,0-2-1,0 0 1,0 1-1,-1-1 1,5-4-1,-6 2 141,-3 5-145,-1 0 1,1 1-1,0-1 1,-1 0-1,1 0 1,0 0-1,-1 0 1,1 0-1,0 0 1,-1 0-1,1 0 1,0 0-1,-1 0 1,1 0-1,0 0 1,-1 0-1,1-1 1,0 1-1,-1 0 1,1 0-1,0 0 1,0 0-1,-1 0 1,1 0-1,0 0 1,0 0-1,-1 0 1,1 0 0,0 0-1,0 0 1,-1-1-1,1 1 1,0 0-1,0 0 1,0-1-1,0 1 1,0 0-1,-1 0 1,1 0-1,0-1 1,-2 0-3,0-2 3,0 0 0,0 2 0,-1-2-1,1 2 1,-1-2 0,0 2-1,0-3 1,0 3 0,-1-1 0,1 1-1,-1-1 1,1 1 0,-6-3-1,2-3-910,7 7 814,0-1 1,0 1-1,-1 0 0,1-2 1,0 2-1,-1-1 1,1 1-1,0-1 0,-1 1 1,1 0-1,-1 0 0,1-1 1,-1 1-1,0-1 1,1 1-1,-1 0 0,0-1 1,0 0-1,0 1-635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5:41.96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592 90 1384,'-1'-3'10212,"-1"1"-9599,-9-9-81,9 8-507,0 0 1,0 1 0,0 0 0,0-1 0,0 1 0,-1 0 0,1 0 0,-1 0-1,0 0 1,1 1 0,-1-1 0,0 1 0,0 0 0,0 0 0,0 0 0,0 0-1,0 0 1,0 0 0,-1 1 0,1 0 0,0-1 0,0 1 0,-5 1 0,4-1 2,1 0 0,-1 1 0,0-1 1,1 1-1,-1 0 0,1 0 0,-1 0 1,1 1-1,0-1 0,0 1 0,-1 0 1,1 0-1,0 0 0,0 0 0,1 0 1,-1 1-1,0-1 0,1 1 0,0 0 1,-4 5-1,5-7-26,1 0 0,-1 0 0,0 0 1,0 0-1,0 0 0,0-1 0,0 1 0,0 0 0,0 0 1,0-1-1,0 1 0,0 0 0,0-1 0,0 1 0,0-1 1,0 0-1,-1 1 0,0-1 0,-25 4 49,21-3-47,3-1 11,1 0 0,0 0 1,0 0-1,0 0 0,-1 0 0,1 0 0,0-1 0,0 1 1,0-1-1,0 1 0,0-1 0,0 0 0,0 0 0,0 0 1,0 0-1,-3-2 0,1-1 38,0 0 0,0 0 0,0-1 0,1 1 0,-3-6 0,2 5-44,0 0 41,0 1 0,-1-1-1,1 0 1,-1 1 0,-1 0-1,1 0 1,0 1 0,-1-1-1,0 1 1,0 1 0,0-1-1,-10-3 1,14 6-51,0 0 1,0 1-1,0-1 1,0 0-1,0 1 1,0-1 0,0 1-1,0-1 1,1 1-1,-1 0 1,0 0-1,0 0 1,0 0-1,1 0 1,-1 0-1,0 0 1,1 1-1,-3 2 1,-16 9-6,-3 4 16,21-17-10,0 1 0,0 0 1,0 0-1,0 0 0,1 0 1,-1 1-1,0-1 0,1 0 1,-1 1-1,-1 1 1,1-1-1,1-1 0,-1 1 0,1 0 0,-1-1 1,0 0-1,0 1 0,0-1 0,0 0 0,0 0 1,0 0-1,0 0 0,-4 0 0,2 0-1,0-1 0,0 0 0,0 0-1,0 0 1,1 0 0,-1-1 0,0 0-1,0 1 1,-4-3 0,4 2-1,-1 0 1,1 0-1,0 0 1,0 0 0,0 1-1,0 0 1,-9 0-1,4 1-12,-7 2-83,16 2 52,8 4 25,14 10 25,13 11 6,-17-23 71,-19-8-73,1 1 1,-1-1-1,1 0 0,-1 0 0,1 1 1,-1-1-1,0 0 0,1 1 0,-1-1 0,0 0 1,1 1-1,-1-1 0,0 1 0,0-1 1,0 1-1,0 0 0,-1-1 0,-5-3-10,1-1-1,-1 1 0,1-1 0,0 0 1,0-1-1,1 0 0,-1 1 0,1-2 1,-4-7-1,9 14 11,0 0 0,0-1 0,0 1 0,0-1 0,0 1 1,0-1-1,0 1 0,0-1 0,0 1 0,0-1 0,0 1 0,1-1 0,-1 1 0,0 0 0,0-1 1,1 1-1,-1-1 0,0 1 0,0 0 0,1-1 0,-1 1 0,1 0 0,-1-1 0,0 1 0,1 0 1,-1 0-1,1-1 0,-1 1 0,0 0 0,1 0 0,-1 0 0,1-1 0,-1 1 0,1 0 0,-1 0 1,1 0-1,0 0 0,11-6 54,-9 3-54,-2 1-2,1-1-1,1 1 0,-1 0 0,0 0 1,0 0-1,1 1 0,-1-1 0,1 0 1,-1 1-1,1 0 0,0 0 0,0-1 1,-1 2-1,5-2 0,-7 2-3,0 0-1,0 0 1,0 0 0,0 0 0,0 0-1,1 0 1,-1 0 0,0 0-1,0 0 1,0 0 0,0 0 0,0 0-1,0 0 1,1 0 0,-1 0-1,0 0 1,0 0 0,0 0-1,0 0 1,0 0 0,0 0 0,0 0-1,1 0 1,-1-1 0,0 1-1,0 0 1,0 0 0,0 0 0,0 0-1,0 0 1,0 0 0,0 0-1,0 0 1,0-1 0,0 1-1,1 0 1,-1 0 0,0 0 0,0 0-1,0 0 1,0 0 0,0 0-1,0-1 1,0 1 0,0 0 0,0 0-1,0 0 1,0 0 0,0 0-1,0 0 1,0-1 0,0 1 0,-1 0-1,1 0 1,0 0 0,0 0-1,0 0 1,0-1 0,-1 2 3,0-1 1,0 0 0,1 0-1,-1 0 1,0 0 0,0 0 0,0 1-1,0-1 1,1 0 0,-1 1-1,0-1 1,0 1 0,0-1-1,1 1 1,-1-1 0,0 1-1,1-1 1,-1 1 0,1 0-1,-1-1 1,1 1 0,-2 1-1,-5 6-8,0 0-4,-1 1 1,-1-1-1,-11 8 0,50 11-106,26 26 121,-48-49 187,-8-4-230,0 0 1,0 0 0,0 0 0,0 0-1,0 1 1,0-1 0,0 0 0,0 0-1,0 0 1,0 0 0,0 0 0,0 0-1,0 0 1,0 0 0,0 0-1,1 0 1,-1 0 0,0 0 0,0 0-1,0 0 1,0 1 0,0-1 0,0 0-1,0 0 1,0 0 0,0 0-1,1 0 1,-1 0 0,0 0 0,0 0-1,0 0 1,0 0 0,0 0 0,0 0-1,0 0 1,0 0 0,1-1 0,-1 1-1,0 0 1,0 0 0,0 0-1,0 0 1,0 0 0,0 0 0,0 0-1,0 0 1,0 0 0,0 0 0,0 0-1,1 0 1,-1 0 0,0 0-1,0-1 1,0 1 0,0 0 0,0 0-1,0 0 1,0 0 0,0 0 0,0 0-1,0 0 1,0 0 0,0 0-1,0-1 1,0 1 0,0 0 0,-1-1-718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5:53.23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97 665 1448,'13'13'971,"-15"-20"8981,2 4-9824,0 1 0,-1 0 0,1 0 0,-1 0 0,0 0 0,1 0 0,-1 0 0,0 0 0,0 0 0,0 0 0,-1 0 0,1 1 0,0-1 0,-1 1 0,-1-3 0,-1 2-114,1-1 0,0 0 0,-1 0 0,1-1 0,0 1 0,1-1 0,-1 0 1,0 1-1,1-1 0,0 0 0,0-1 0,-3-6 0,5 10-13,-1-1-1,1 1 1,-1-1 0,1 1 0,-1 0 0,1 0 0,0-1 0,0 1-1,0-1 1,0 0 0,0 1 0,0-1 0,0 1 0,0-1 0,0 0-1,1 1 1,-1-1 0,1 1 0,-1-1 0,1 1 0,-1 0-1,1-1 1,0 1 0,1-2 0,2-1-3,-1 0-1,1 0 1,1 0 0,-1 1-1,7-5 1,-7 5 5,0 1 0,0-1 0,0 1 0,-1-1 1,0 0-1,1-1 0,4-6 0,3-12 10,-9 17-12,0 0 0,0 0 0,1 1 0,0-1 0,6-7-1,-9 11 4,1 0 1,0-1-1,-1 1 0,0 0 0,1-1 0,-1 1 0,0-1 0,0 1 0,1-1 0,-1 1 0,0 0 0,0-1 0,-1 1 0,1-1 0,0 1 0,0-1 0,-1-1 0,0 0 24,1 0-1,-1 0 1,0 0 0,0 0 0,-1 0 0,1 0-1,-3-4 1,1 4-14,-1 0 0,0-1 0,0 1-1,0 0 1,0 0 0,-6-3 0,-19-15 57,26 17-71,1 1-1,-1-1 1,0 0-1,1 0 1,0 0 0,0 1-1,0-1 1,0 0-1,1-1 1,-1 1-1,1 0 1,0-1-1,0 0 1,0-7-1,1-5-3,0 1 0,5-32 0,1-22-1,-6-4 5,0 86 0,1 8 0,-1-16 0,-1-10 0,0-9 1,1 9 0,0 1 0,0-1 0,-1 2 0,0-2 0,0 1 0,0-1 1,-4-7-1,5 13 5,0 0 0,-3 4 0,1 0 1,-1 1-1,1-1 1,0 1-1,-1 5 1,1-6-4,-9 22 5,6-17-2,1-1 0,1 1 0,-1 0 0,1-1 0,1 1 0,0 0 0,-2 17 0,6-36 47,0-1 1,1 0-1,0 1 0,8-18 0,-1 1 9,-9 24-51,1-1-1,-1 1 1,1 0-1,0 0 1,-1 1-1,5-5 1,-1 0-11,0-1 33,-5 8-9,0 0 0,0-1 0,0 1 0,1-1 0,-1 1 0,0-1 1,0 1-1,1 0 0,-1-1 0,0 1 0,0 0 0,1-1 0,-1 1 1,0 0-1,1-1 0,-1 1 0,1 0 0,-1 0 0,0-1 1,1 1-1,-1 0 0,1 0 0,-1 0 0,1 0 0,0-1 0,15 18 97,50 73-39,-61-78-52,-5-11-33,0-1 1,-1 1-1,1-1 0,1 0 1,-1 1-1,0-1 1,0 1-1,0-1 1,0 0-1,0 1 0,0-1 1,0 0-1,0 1 1,0-1-1,1 0 1,-1 1-1,0-1 0,0 0 1,1 1-1,-1-1 1,0 0-1,0 1 0,1-1 1,-1 0-1,0 0 1,1 1-1,-1-1 1,0 0-1,0 0 0,1 0 1,-1 0-1,1 1 1,-1-1-1,1 0 0,-1-1-1155,0 0 736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29T07:56:03.81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15 34 1144,'-1'-12'9739,"0"20"-7500,0 23-2758,3-14 582,0 0 1,-3 26 0,1-13 27,-2-25 357,0 4-2928,2-9 1781</inkml:trace>
  <inkml:trace contextRef="#ctx0" brushRef="#br0" timeOffset="881.33">112 1 2593,'-4'2'8895,"0"10"-7327,2 11-2168,3-14 709,0 2 1,-1-1-1,0 0 0,-3 17 1,1-14 25,1-1 1,1 17 0,0-28-372,1 10 708,1-5-3624</inkml:trace>
  <inkml:trace contextRef="#ctx0" brushRef="#br0" timeOffset="1554.74">19 122 2088,'-18'-11'1747,"18"11"-1569,0 0 0,0 0 1,0 0-1,0 0 1,0 0-1,0 0 0,0 0 1,-1 0-1,1-1 0,0 1 1,0 0-1,0 0 0,0 0 1,0 0-1,0 0 0,0 0 1,0 0-1,0-1 0,0 1 1,0 0-1,0 0 1,0 0-1,0 0 0,0 0 1,1 0-1,-1-1 0,0 1 1,0 0-1,0 0 0,0 0 1,0 0-1,0 0 357,0 0-357,0 0 1,1-1-1,-1 1 1,0 0-1,0 0 0,0 0 1,0 0-1,0 0 0,0 0 1,1 0-1,-1 0 0,0 0 1,0 0-1,0 0 0,0 0 1,0 0-1,1 0 0,15-5 1631,20-1-1972,7 9 297</inkml:trace>
  <inkml:trace contextRef="#ctx0" brushRef="#br0" timeOffset="2663.81">213 43 3345,'4'-2'870,"9"-4"-405,-8-1 6532,-22 12-2528,-4 9-4074,3-2-156,16-10-239,1 0 0,-1 0 0,1 0 0,0 0 0,0 0 0,0 1 0,0-1 0,0 1 0,1-1 0,-1 3 0,-4 10 17,4-13-15,0 0 0,0 0 0,0 0 0,0 0 0,1 1 0,-1-1 0,1 0 0,0 0 0,-1 0 1,1 1-1,0-1 0,1 0 0,-1 0 0,0 1 0,1-1 0,-1 0 0,1 0 0,0 0 0,0 0 0,0 0 0,2 3 0,0-4-4,0 2-1,1-2 0,-1 0 0,1 0 1,-1 0-1,1 0 0,0-1 0,0 1 1,0-1-1,3 0 0,-4 0 3,2 1-114,-3-1-61,0 1 1,-1-1-1,1 0 0,-1 0 0,1 0 0,0 0 0,-1 0 0,1 0 0,1 0 0,-2 0 0,1 0 0,0-1 0,-1 1 0,1 0 0,-1-1 0,1 0 0,-1 1 0,1-1 0,-1 0 0,0 1 0,2-2 0,0-1-927</inkml:trace>
  <inkml:trace contextRef="#ctx0" brushRef="#br0" timeOffset="3818.27">313 83 2625,'-17'12'1769,"32"-24"6211,6-9-5645,13-11-2298,-28 20 139,-3 7 528,-1 15-415,-2 3-261,0 0 0,-5 25-1,0 15 42,2-11 434,3-41-1966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03A4-BED9-43DD-9CC8-DFD8C6F5A927}">
  <dimension ref="A1:CN439"/>
  <sheetViews>
    <sheetView tabSelected="1" topLeftCell="BA37" zoomScale="85" zoomScaleNormal="85" workbookViewId="0">
      <selection activeCell="BI66" sqref="BI66"/>
    </sheetView>
  </sheetViews>
  <sheetFormatPr defaultRowHeight="14.25" x14ac:dyDescent="0.2"/>
  <cols>
    <col min="1" max="1" width="9.375" customWidth="1"/>
    <col min="2" max="2" width="18.125" customWidth="1"/>
    <col min="3" max="3" width="23.125" customWidth="1"/>
    <col min="4" max="5" width="17.5" bestFit="1" customWidth="1"/>
    <col min="6" max="6" width="17.125" bestFit="1" customWidth="1"/>
    <col min="7" max="7" width="16.375" bestFit="1" customWidth="1"/>
    <col min="8" max="10" width="17.125" bestFit="1" customWidth="1"/>
    <col min="11" max="11" width="32.25" bestFit="1" customWidth="1"/>
    <col min="12" max="12" width="18.25" bestFit="1" customWidth="1"/>
    <col min="13" max="13" width="18.5" bestFit="1" customWidth="1"/>
    <col min="14" max="14" width="20.125" customWidth="1"/>
    <col min="15" max="17" width="18.5" bestFit="1" customWidth="1"/>
    <col min="18" max="18" width="19.625" customWidth="1"/>
    <col min="19" max="22" width="18.5" bestFit="1" customWidth="1"/>
    <col min="23" max="23" width="25.875" bestFit="1" customWidth="1"/>
    <col min="24" max="26" width="18.5" bestFit="1" customWidth="1"/>
    <col min="27" max="36" width="17.125" bestFit="1" customWidth="1"/>
    <col min="37" max="37" width="18" bestFit="1" customWidth="1"/>
    <col min="48" max="48" width="31.125" bestFit="1" customWidth="1"/>
    <col min="49" max="49" width="16.625" bestFit="1" customWidth="1"/>
    <col min="50" max="50" width="23.125" bestFit="1" customWidth="1"/>
    <col min="51" max="51" width="15.25" bestFit="1" customWidth="1"/>
    <col min="52" max="52" width="26.125" bestFit="1" customWidth="1"/>
    <col min="53" max="53" width="24.875" bestFit="1" customWidth="1"/>
    <col min="54" max="54" width="10.125" bestFit="1" customWidth="1"/>
    <col min="57" max="57" width="18.875" bestFit="1" customWidth="1"/>
    <col min="58" max="58" width="15.25" bestFit="1" customWidth="1"/>
    <col min="59" max="59" width="16.625" customWidth="1"/>
    <col min="60" max="60" width="11.875" bestFit="1" customWidth="1"/>
  </cols>
  <sheetData>
    <row r="1" spans="1:92" ht="21" thickBot="1" x14ac:dyDescent="0.35">
      <c r="A1" s="28" t="s">
        <v>0</v>
      </c>
      <c r="B1" s="29"/>
      <c r="C1" s="30"/>
      <c r="D1" s="1"/>
      <c r="K1" s="144" t="s">
        <v>36</v>
      </c>
    </row>
    <row r="2" spans="1:92" ht="15" thickBot="1" x14ac:dyDescent="0.25">
      <c r="A2" s="31"/>
      <c r="B2" s="29"/>
      <c r="C2" s="29"/>
      <c r="D2" s="29"/>
      <c r="E2" s="30"/>
      <c r="F2" s="37" t="s">
        <v>1</v>
      </c>
      <c r="G2" s="37" t="s">
        <v>19</v>
      </c>
      <c r="I2" s="25" t="s">
        <v>33</v>
      </c>
      <c r="J2" s="1"/>
      <c r="K2" s="31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 t="s">
        <v>105</v>
      </c>
      <c r="AD2" s="29"/>
      <c r="AE2" s="29"/>
      <c r="AF2" s="29"/>
      <c r="AG2" s="29"/>
      <c r="AH2" s="29"/>
      <c r="AI2" s="29"/>
      <c r="AJ2" s="29" t="s">
        <v>106</v>
      </c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30"/>
    </row>
    <row r="3" spans="1:92" ht="15" thickBot="1" x14ac:dyDescent="0.25">
      <c r="A3" s="32"/>
      <c r="B3" s="1"/>
      <c r="C3" s="1"/>
      <c r="D3" s="1"/>
      <c r="E3" s="33"/>
      <c r="F3" s="10" t="s">
        <v>2</v>
      </c>
      <c r="G3" s="19">
        <v>1</v>
      </c>
      <c r="I3" s="26" t="s">
        <v>34</v>
      </c>
      <c r="J3" s="1"/>
      <c r="K3" s="31"/>
      <c r="L3" s="38" t="s">
        <v>37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 t="s">
        <v>104</v>
      </c>
      <c r="S3" s="4">
        <v>7</v>
      </c>
      <c r="T3" s="4">
        <v>8</v>
      </c>
      <c r="U3" s="4">
        <v>9</v>
      </c>
      <c r="V3" s="4">
        <v>10</v>
      </c>
      <c r="W3" s="4">
        <v>11</v>
      </c>
      <c r="X3" s="4">
        <v>12</v>
      </c>
      <c r="Y3" s="4" t="s">
        <v>21</v>
      </c>
      <c r="Z3" s="4" t="s">
        <v>22</v>
      </c>
      <c r="AA3" s="4" t="s">
        <v>23</v>
      </c>
      <c r="AB3" s="4" t="s">
        <v>24</v>
      </c>
      <c r="AC3" s="4" t="s">
        <v>66</v>
      </c>
      <c r="AD3" s="4" t="s">
        <v>26</v>
      </c>
      <c r="AE3" s="4" t="s">
        <v>27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25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33"/>
    </row>
    <row r="4" spans="1:92" ht="15" thickBot="1" x14ac:dyDescent="0.25">
      <c r="A4" s="32"/>
      <c r="B4" s="1"/>
      <c r="C4" s="1"/>
      <c r="D4" s="1"/>
      <c r="E4" s="33"/>
      <c r="F4" s="11" t="s">
        <v>3</v>
      </c>
      <c r="G4" s="20">
        <v>2</v>
      </c>
      <c r="I4" s="27" t="s">
        <v>35</v>
      </c>
      <c r="J4" s="1"/>
      <c r="K4" s="6" t="s">
        <v>38</v>
      </c>
      <c r="L4" s="6"/>
      <c r="M4" s="6"/>
      <c r="N4" s="6" t="s">
        <v>2</v>
      </c>
      <c r="O4" s="6" t="s">
        <v>3</v>
      </c>
      <c r="P4" s="6" t="s">
        <v>4</v>
      </c>
      <c r="Q4" s="6" t="s">
        <v>5</v>
      </c>
      <c r="R4" s="6" t="s">
        <v>39</v>
      </c>
      <c r="S4" s="6" t="s">
        <v>8</v>
      </c>
      <c r="T4" s="6" t="s">
        <v>9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17</v>
      </c>
      <c r="Z4" s="6" t="s">
        <v>17</v>
      </c>
      <c r="AA4" s="6" t="s">
        <v>3</v>
      </c>
      <c r="AB4" s="6" t="s">
        <v>5</v>
      </c>
      <c r="AC4" s="6" t="s">
        <v>67</v>
      </c>
      <c r="AD4" s="6" t="s">
        <v>15</v>
      </c>
      <c r="AE4" s="6" t="s">
        <v>15</v>
      </c>
      <c r="AF4" s="6" t="s">
        <v>12</v>
      </c>
      <c r="AG4" s="6" t="s">
        <v>10</v>
      </c>
      <c r="AH4" s="6" t="s">
        <v>16</v>
      </c>
      <c r="AI4" s="6" t="s">
        <v>9</v>
      </c>
      <c r="AJ4" s="6" t="s">
        <v>14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33"/>
    </row>
    <row r="5" spans="1:92" ht="15" thickBot="1" x14ac:dyDescent="0.25">
      <c r="A5" s="32"/>
      <c r="B5" s="1"/>
      <c r="C5" s="1"/>
      <c r="D5" s="1"/>
      <c r="E5" s="33"/>
      <c r="F5" s="12" t="s">
        <v>4</v>
      </c>
      <c r="G5" s="20">
        <v>3</v>
      </c>
      <c r="H5" s="1"/>
      <c r="I5" s="1"/>
      <c r="J5" s="1"/>
      <c r="K5" s="7" t="s">
        <v>40</v>
      </c>
      <c r="L5" s="7"/>
      <c r="M5" s="7" t="s">
        <v>2</v>
      </c>
      <c r="N5" s="7" t="s">
        <v>3</v>
      </c>
      <c r="O5" s="7" t="s">
        <v>4</v>
      </c>
      <c r="P5" s="7" t="s">
        <v>5</v>
      </c>
      <c r="Q5" s="7" t="s">
        <v>39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/>
      <c r="Y5" s="7" t="s">
        <v>3</v>
      </c>
      <c r="Z5" s="7" t="s">
        <v>5</v>
      </c>
      <c r="AA5" s="7" t="s">
        <v>14</v>
      </c>
      <c r="AB5" s="7" t="s">
        <v>14</v>
      </c>
      <c r="AC5" s="7" t="s">
        <v>17</v>
      </c>
      <c r="AD5" s="7" t="s">
        <v>12</v>
      </c>
      <c r="AE5" s="7" t="s">
        <v>10</v>
      </c>
      <c r="AF5" s="7" t="s">
        <v>16</v>
      </c>
      <c r="AG5" s="7" t="s">
        <v>16</v>
      </c>
      <c r="AH5" s="7" t="s">
        <v>9</v>
      </c>
      <c r="AI5" s="7" t="s">
        <v>67</v>
      </c>
      <c r="AJ5" s="7" t="s">
        <v>15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33"/>
    </row>
    <row r="6" spans="1:92" ht="15" thickBot="1" x14ac:dyDescent="0.25">
      <c r="A6" s="32"/>
      <c r="B6" s="1"/>
      <c r="C6" s="1"/>
      <c r="D6" s="1"/>
      <c r="E6" s="33"/>
      <c r="F6" s="12" t="s">
        <v>5</v>
      </c>
      <c r="G6" s="20">
        <v>4</v>
      </c>
      <c r="H6" s="1"/>
      <c r="I6" s="38" t="s">
        <v>82</v>
      </c>
      <c r="J6" s="2"/>
      <c r="K6" s="7" t="s">
        <v>41</v>
      </c>
      <c r="L6" s="7"/>
      <c r="M6" s="7" t="s">
        <v>42</v>
      </c>
      <c r="N6" s="7" t="s">
        <v>42</v>
      </c>
      <c r="O6" s="7" t="s">
        <v>42</v>
      </c>
      <c r="P6" s="7" t="s">
        <v>42</v>
      </c>
      <c r="Q6" s="7" t="s">
        <v>42</v>
      </c>
      <c r="R6" s="7" t="s">
        <v>42</v>
      </c>
      <c r="S6" s="7" t="s">
        <v>42</v>
      </c>
      <c r="T6" s="7" t="s">
        <v>42</v>
      </c>
      <c r="U6" s="7" t="s">
        <v>42</v>
      </c>
      <c r="V6" s="7" t="s">
        <v>42</v>
      </c>
      <c r="W6" s="7" t="s">
        <v>42</v>
      </c>
      <c r="X6" s="7" t="s">
        <v>42</v>
      </c>
      <c r="Y6" s="7" t="s">
        <v>65</v>
      </c>
      <c r="Z6" s="7" t="s">
        <v>65</v>
      </c>
      <c r="AA6" s="7" t="s">
        <v>65</v>
      </c>
      <c r="AB6" s="7" t="s">
        <v>65</v>
      </c>
      <c r="AC6" s="7" t="s">
        <v>65</v>
      </c>
      <c r="AD6" s="7" t="s">
        <v>65</v>
      </c>
      <c r="AE6" s="7" t="s">
        <v>65</v>
      </c>
      <c r="AF6" s="7" t="s">
        <v>65</v>
      </c>
      <c r="AG6" s="7" t="s">
        <v>65</v>
      </c>
      <c r="AH6" s="7" t="s">
        <v>65</v>
      </c>
      <c r="AI6" s="7" t="s">
        <v>65</v>
      </c>
      <c r="AJ6" s="7" t="s">
        <v>65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33"/>
    </row>
    <row r="7" spans="1:92" ht="15" thickBot="1" x14ac:dyDescent="0.25">
      <c r="A7" s="32"/>
      <c r="B7" s="1"/>
      <c r="C7" s="1"/>
      <c r="D7" s="1"/>
      <c r="E7" s="33"/>
      <c r="F7" s="12" t="s">
        <v>6</v>
      </c>
      <c r="G7" s="20">
        <v>5</v>
      </c>
      <c r="H7" s="1"/>
      <c r="I7" s="4" t="s">
        <v>83</v>
      </c>
      <c r="J7" s="38">
        <v>298.14999999999998</v>
      </c>
      <c r="K7" s="7" t="s">
        <v>43</v>
      </c>
      <c r="L7" s="7" t="s">
        <v>44</v>
      </c>
      <c r="M7" s="7">
        <v>25</v>
      </c>
      <c r="N7" s="7">
        <v>298.41033659964302</v>
      </c>
      <c r="O7" s="7">
        <v>45</v>
      </c>
      <c r="P7" s="7">
        <v>336.441478225553</v>
      </c>
      <c r="Q7" s="7">
        <v>45</v>
      </c>
      <c r="R7" s="7">
        <v>40</v>
      </c>
      <c r="S7" s="7">
        <v>34.252741357430999</v>
      </c>
      <c r="T7" s="7">
        <v>50</v>
      </c>
      <c r="U7" s="7">
        <v>220</v>
      </c>
      <c r="V7" s="7">
        <v>87.259576476293006</v>
      </c>
      <c r="W7" s="7">
        <v>238</v>
      </c>
      <c r="X7" s="7">
        <v>24.005029251747999</v>
      </c>
      <c r="Y7" s="7">
        <v>25</v>
      </c>
      <c r="Z7" s="7">
        <v>25</v>
      </c>
      <c r="AA7" s="7">
        <v>257.75698469276699</v>
      </c>
      <c r="AB7" s="7">
        <v>258.17685032711699</v>
      </c>
      <c r="AC7" s="7">
        <v>25</v>
      </c>
      <c r="AD7" s="7">
        <v>257.98608877717299</v>
      </c>
      <c r="AE7" s="7">
        <v>257.98608877717299</v>
      </c>
      <c r="AF7" s="7">
        <v>139.180729768974</v>
      </c>
      <c r="AG7" s="7">
        <v>118.71248930824</v>
      </c>
      <c r="AH7" s="7">
        <v>128.986794777402</v>
      </c>
      <c r="AI7" s="7">
        <v>121.821758324236</v>
      </c>
      <c r="AJ7" s="7">
        <v>257.98608877717299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33"/>
    </row>
    <row r="8" spans="1:92" ht="15" thickBot="1" x14ac:dyDescent="0.25">
      <c r="A8" s="32"/>
      <c r="B8" s="1"/>
      <c r="C8" s="1"/>
      <c r="D8" s="1"/>
      <c r="E8" s="33"/>
      <c r="F8" s="12" t="s">
        <v>7</v>
      </c>
      <c r="G8" s="20">
        <v>6</v>
      </c>
      <c r="H8" s="1"/>
      <c r="I8" s="42" t="s">
        <v>84</v>
      </c>
      <c r="J8" s="38">
        <v>1</v>
      </c>
      <c r="K8" s="7" t="s">
        <v>45</v>
      </c>
      <c r="L8" s="7" t="s">
        <v>46</v>
      </c>
      <c r="M8" s="7">
        <v>1</v>
      </c>
      <c r="N8" s="7">
        <v>8.4849999999999994</v>
      </c>
      <c r="O8" s="7">
        <v>8.4849999999999994</v>
      </c>
      <c r="P8" s="7">
        <v>71.995225000000005</v>
      </c>
      <c r="Q8" s="7">
        <v>71.995225000000005</v>
      </c>
      <c r="R8" s="7">
        <v>71.995225000000005</v>
      </c>
      <c r="S8" s="7">
        <v>42</v>
      </c>
      <c r="T8" s="7">
        <v>42</v>
      </c>
      <c r="U8" s="7">
        <v>42</v>
      </c>
      <c r="V8" s="7">
        <v>11</v>
      </c>
      <c r="W8" s="7">
        <v>11</v>
      </c>
      <c r="X8" s="7">
        <v>1</v>
      </c>
      <c r="Y8" s="7">
        <v>50</v>
      </c>
      <c r="Z8" s="7">
        <v>50</v>
      </c>
      <c r="AA8" s="7">
        <v>50</v>
      </c>
      <c r="AB8" s="7">
        <v>50</v>
      </c>
      <c r="AC8" s="7">
        <v>50</v>
      </c>
      <c r="AD8" s="7">
        <v>50</v>
      </c>
      <c r="AE8" s="7">
        <v>50</v>
      </c>
      <c r="AF8" s="7">
        <v>50</v>
      </c>
      <c r="AG8" s="7">
        <v>50</v>
      </c>
      <c r="AH8" s="7">
        <v>50</v>
      </c>
      <c r="AI8" s="7">
        <v>50</v>
      </c>
      <c r="AJ8" s="7">
        <v>50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33"/>
    </row>
    <row r="9" spans="1:92" ht="15" thickBot="1" x14ac:dyDescent="0.25">
      <c r="A9" s="32"/>
      <c r="B9" s="1"/>
      <c r="C9" s="1"/>
      <c r="D9" s="1"/>
      <c r="E9" s="33"/>
      <c r="F9" s="12" t="s">
        <v>8</v>
      </c>
      <c r="G9" s="20" t="s">
        <v>20</v>
      </c>
      <c r="H9" s="1"/>
      <c r="I9" s="44" t="s">
        <v>87</v>
      </c>
      <c r="J9" s="2">
        <v>0.21</v>
      </c>
      <c r="K9" s="7" t="s">
        <v>47</v>
      </c>
      <c r="L9" s="7" t="s">
        <v>48</v>
      </c>
      <c r="M9" s="7">
        <v>-8.0400313665215108</v>
      </c>
      <c r="N9" s="7">
        <v>8093.6501009526201</v>
      </c>
      <c r="O9" s="7">
        <v>524.80800880808101</v>
      </c>
      <c r="P9" s="7">
        <v>9236.9059310526209</v>
      </c>
      <c r="Q9" s="7">
        <v>134.330841347589</v>
      </c>
      <c r="R9" s="7">
        <v>-27.788605105019599</v>
      </c>
      <c r="S9" s="7">
        <v>-27.788605105019599</v>
      </c>
      <c r="T9" s="7">
        <v>462.85353041518999</v>
      </c>
      <c r="U9" s="7">
        <v>5664.74188556423</v>
      </c>
      <c r="V9" s="7">
        <v>1762.4708538842201</v>
      </c>
      <c r="W9" s="7">
        <v>6261.57841053428</v>
      </c>
      <c r="X9" s="7">
        <v>-37.119453165473097</v>
      </c>
      <c r="Y9" s="7">
        <v>-287657.77340897598</v>
      </c>
      <c r="Z9" s="7">
        <v>-287657.77340897598</v>
      </c>
      <c r="AA9" s="7">
        <v>-267240.28060149</v>
      </c>
      <c r="AB9" s="7">
        <v>-267195.40070155897</v>
      </c>
      <c r="AC9" s="7">
        <v>-287657.77340897598</v>
      </c>
      <c r="AD9" s="7">
        <v>-267215.80065607303</v>
      </c>
      <c r="AE9" s="7">
        <v>-267215.80065607303</v>
      </c>
      <c r="AF9" s="7">
        <v>-278249.13190586702</v>
      </c>
      <c r="AG9" s="7">
        <v>-279972.58777977002</v>
      </c>
      <c r="AH9" s="7">
        <v>-279110.859842818</v>
      </c>
      <c r="AI9" s="7">
        <v>-279712.46995528397</v>
      </c>
      <c r="AJ9" s="7">
        <v>-267215.80065607303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33"/>
    </row>
    <row r="10" spans="1:92" ht="15" thickBot="1" x14ac:dyDescent="0.25">
      <c r="A10" s="32"/>
      <c r="B10" s="1"/>
      <c r="C10" s="1"/>
      <c r="D10" s="1"/>
      <c r="E10" s="33"/>
      <c r="F10" s="12" t="s">
        <v>9</v>
      </c>
      <c r="G10" s="20">
        <v>7</v>
      </c>
      <c r="H10" s="1"/>
      <c r="I10" s="44" t="s">
        <v>88</v>
      </c>
      <c r="J10" s="35">
        <v>0.79</v>
      </c>
      <c r="K10" s="7" t="s">
        <v>49</v>
      </c>
      <c r="L10" s="7" t="s">
        <v>50</v>
      </c>
      <c r="M10" s="7">
        <v>-0.27868009271364602</v>
      </c>
      <c r="N10" s="7">
        <v>280.53860211507299</v>
      </c>
      <c r="O10" s="7">
        <v>18.1906684046652</v>
      </c>
      <c r="P10" s="7">
        <v>320.16564163812001</v>
      </c>
      <c r="Q10" s="7">
        <v>4.65611757149704</v>
      </c>
      <c r="R10" s="7">
        <v>-0.96319662125898298</v>
      </c>
      <c r="S10" s="7">
        <v>-0.96319662125898298</v>
      </c>
      <c r="T10" s="7">
        <v>16.043229048340098</v>
      </c>
      <c r="U10" s="7">
        <v>196.34883520994401</v>
      </c>
      <c r="V10" s="7">
        <v>61.090003082668701</v>
      </c>
      <c r="W10" s="7">
        <v>217.036124914574</v>
      </c>
      <c r="X10" s="7">
        <v>-1.28661844438915</v>
      </c>
      <c r="Y10" s="7">
        <v>-15967.4328352918</v>
      </c>
      <c r="Z10" s="7">
        <v>-15967.4328352918</v>
      </c>
      <c r="AA10" s="7">
        <v>-14834.089761662901</v>
      </c>
      <c r="AB10" s="7">
        <v>-14831.598548652</v>
      </c>
      <c r="AC10" s="7">
        <v>-15967.4328352918</v>
      </c>
      <c r="AD10" s="7">
        <v>-14832.7309182024</v>
      </c>
      <c r="AE10" s="7">
        <v>-14832.7309182024</v>
      </c>
      <c r="AF10" s="7">
        <v>-15445.1738693968</v>
      </c>
      <c r="AG10" s="7">
        <v>-15540.840207855201</v>
      </c>
      <c r="AH10" s="7">
        <v>-15493.007038625999</v>
      </c>
      <c r="AI10" s="7">
        <v>-15526.4014744863</v>
      </c>
      <c r="AJ10" s="7">
        <v>-14832.7309182024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33"/>
    </row>
    <row r="11" spans="1:92" ht="15" thickBot="1" x14ac:dyDescent="0.25">
      <c r="A11" s="32"/>
      <c r="B11" s="1"/>
      <c r="C11" s="1"/>
      <c r="D11" s="1"/>
      <c r="E11" s="33"/>
      <c r="F11" s="12" t="s">
        <v>10</v>
      </c>
      <c r="G11" s="20">
        <v>8</v>
      </c>
      <c r="H11" s="1"/>
      <c r="I11" s="44" t="s">
        <v>89</v>
      </c>
      <c r="J11" s="2">
        <v>8.3140000000000001</v>
      </c>
      <c r="K11" s="7" t="s">
        <v>51</v>
      </c>
      <c r="L11" s="7" t="s">
        <v>52</v>
      </c>
      <c r="M11" s="7">
        <v>4.3601378591915596</v>
      </c>
      <c r="N11" s="7">
        <v>5.8117402504957401</v>
      </c>
      <c r="O11" s="7">
        <v>-11.662509997569501</v>
      </c>
      <c r="P11" s="7">
        <v>-10.1995876276058</v>
      </c>
      <c r="Q11" s="7">
        <v>-30.542936542433999</v>
      </c>
      <c r="R11" s="7">
        <v>-31.056554902834399</v>
      </c>
      <c r="S11" s="7">
        <v>-26.638053681453702</v>
      </c>
      <c r="T11" s="7">
        <v>-25.081457872139499</v>
      </c>
      <c r="U11" s="7">
        <v>-12.139772722066001</v>
      </c>
      <c r="V11" s="7">
        <v>-10.164796910993299</v>
      </c>
      <c r="W11" s="7">
        <v>0.25977324476208702</v>
      </c>
      <c r="X11" s="7">
        <v>4.26244188536183</v>
      </c>
      <c r="Y11" s="7">
        <v>-168.04121285665499</v>
      </c>
      <c r="Z11" s="7">
        <v>-168.04121285665499</v>
      </c>
      <c r="AA11" s="7">
        <v>-117.994556861221</v>
      </c>
      <c r="AB11" s="7">
        <v>-117.910055959315</v>
      </c>
      <c r="AC11" s="7">
        <v>-168.04121285665499</v>
      </c>
      <c r="AD11" s="7">
        <v>-117.948457081086</v>
      </c>
      <c r="AE11" s="7">
        <v>-117.948457081086</v>
      </c>
      <c r="AF11" s="7">
        <v>-141.353389896127</v>
      </c>
      <c r="AG11" s="7">
        <v>-145.640202470834</v>
      </c>
      <c r="AH11" s="7">
        <v>-143.469515165421</v>
      </c>
      <c r="AI11" s="7">
        <v>-144.97902450110601</v>
      </c>
      <c r="AJ11" s="7">
        <v>-117.948457081086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33"/>
    </row>
    <row r="12" spans="1:92" ht="15" thickBot="1" x14ac:dyDescent="0.25">
      <c r="A12" s="32"/>
      <c r="B12" s="1"/>
      <c r="C12" s="1"/>
      <c r="D12" s="1"/>
      <c r="E12" s="33"/>
      <c r="F12" s="12" t="s">
        <v>11</v>
      </c>
      <c r="G12" s="20">
        <v>9</v>
      </c>
      <c r="H12" s="1"/>
      <c r="I12" s="44" t="s">
        <v>90</v>
      </c>
      <c r="J12" s="2">
        <v>3970</v>
      </c>
      <c r="K12" s="7" t="s">
        <v>53</v>
      </c>
      <c r="L12" s="7" t="s">
        <v>54</v>
      </c>
      <c r="M12" s="7">
        <v>0.15112921423458101</v>
      </c>
      <c r="N12" s="7">
        <v>0.201444029009616</v>
      </c>
      <c r="O12" s="7">
        <v>-0.40424088156295701</v>
      </c>
      <c r="P12" s="7">
        <v>-0.35353369857957501</v>
      </c>
      <c r="Q12" s="7">
        <v>-1.0586660672538</v>
      </c>
      <c r="R12" s="7">
        <v>-1.07646888490098</v>
      </c>
      <c r="S12" s="7">
        <v>-0.92331670502802299</v>
      </c>
      <c r="T12" s="7">
        <v>-0.86936265377100097</v>
      </c>
      <c r="U12" s="7">
        <v>-0.42078355586958699</v>
      </c>
      <c r="V12" s="7">
        <v>-0.352327797795216</v>
      </c>
      <c r="W12" s="7">
        <v>9.0041479485103004E-3</v>
      </c>
      <c r="X12" s="7">
        <v>0.14774291860916999</v>
      </c>
      <c r="Y12" s="7">
        <v>-9.3277047515584108</v>
      </c>
      <c r="Z12" s="7">
        <v>-9.3277047515584108</v>
      </c>
      <c r="AA12" s="7">
        <v>-6.5496931971760004</v>
      </c>
      <c r="AB12" s="7">
        <v>-6.5450026843499103</v>
      </c>
      <c r="AC12" s="7">
        <v>-9.3277047515584108</v>
      </c>
      <c r="AD12" s="7">
        <v>-6.5471342705240101</v>
      </c>
      <c r="AE12" s="7">
        <v>-6.5471342705240101</v>
      </c>
      <c r="AF12" s="7">
        <v>-7.8463054638133096</v>
      </c>
      <c r="AG12" s="7">
        <v>-8.0842597212385101</v>
      </c>
      <c r="AH12" s="7">
        <v>-7.9637682659065696</v>
      </c>
      <c r="AI12" s="7">
        <v>-8.0475587668416004</v>
      </c>
      <c r="AJ12" s="7">
        <v>-6.5471342705240101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33"/>
    </row>
    <row r="13" spans="1:92" ht="15" thickBot="1" x14ac:dyDescent="0.25">
      <c r="A13" s="32"/>
      <c r="B13" s="1"/>
      <c r="C13" s="1"/>
      <c r="D13" s="1"/>
      <c r="E13" s="33"/>
      <c r="F13" s="12" t="s">
        <v>12</v>
      </c>
      <c r="G13" s="20">
        <v>10</v>
      </c>
      <c r="H13" s="1"/>
      <c r="I13" s="44" t="s">
        <v>91</v>
      </c>
      <c r="J13" s="2">
        <v>720</v>
      </c>
      <c r="K13" s="7" t="s">
        <v>55</v>
      </c>
      <c r="L13" s="7" t="s">
        <v>56</v>
      </c>
      <c r="M13" s="7">
        <v>4.0361760585989101E-2</v>
      </c>
      <c r="N13" s="7">
        <v>0.17808787992677899</v>
      </c>
      <c r="O13" s="7">
        <v>0.32165073664868699</v>
      </c>
      <c r="P13" s="7">
        <v>1.38761256673903</v>
      </c>
      <c r="Q13" s="7">
        <v>2.7523936522153098</v>
      </c>
      <c r="R13" s="7">
        <v>2.80315457448099</v>
      </c>
      <c r="S13" s="7">
        <v>1.6654087129319</v>
      </c>
      <c r="T13" s="7">
        <v>1.5762609351577199</v>
      </c>
      <c r="U13" s="7">
        <v>1.0124979978248501</v>
      </c>
      <c r="V13" s="7">
        <v>0.367298879314227</v>
      </c>
      <c r="W13" s="7">
        <v>0.258047082126517</v>
      </c>
      <c r="X13" s="7">
        <v>4.0497345681536401E-2</v>
      </c>
      <c r="Y13" s="7">
        <v>55.1729975919406</v>
      </c>
      <c r="Z13" s="7">
        <v>55.1729975919406</v>
      </c>
      <c r="AA13" s="7">
        <v>40.080734056840001</v>
      </c>
      <c r="AB13" s="7">
        <v>40.044880001180601</v>
      </c>
      <c r="AC13" s="7">
        <v>55.1729975919406</v>
      </c>
      <c r="AD13" s="7">
        <v>40.061177431228799</v>
      </c>
      <c r="AE13" s="7">
        <v>40.061177431228799</v>
      </c>
      <c r="AF13" s="7">
        <v>48.597791692053001</v>
      </c>
      <c r="AG13" s="7">
        <v>49.857051890113297</v>
      </c>
      <c r="AH13" s="7">
        <v>49.230320001224101</v>
      </c>
      <c r="AI13" s="7">
        <v>49.668486083721803</v>
      </c>
      <c r="AJ13" s="7">
        <v>40.061177431228799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33"/>
    </row>
    <row r="14" spans="1:92" ht="15" thickBot="1" x14ac:dyDescent="0.25">
      <c r="A14" s="32"/>
      <c r="B14" s="1"/>
      <c r="C14" s="1"/>
      <c r="D14" s="1"/>
      <c r="E14" s="33"/>
      <c r="F14" s="12" t="s">
        <v>13</v>
      </c>
      <c r="G14" s="20">
        <v>11</v>
      </c>
      <c r="H14" s="1"/>
      <c r="I14" s="44" t="s">
        <v>92</v>
      </c>
      <c r="J14" s="147">
        <v>900</v>
      </c>
      <c r="K14" s="7" t="s">
        <v>57</v>
      </c>
      <c r="L14" s="7" t="s">
        <v>58</v>
      </c>
      <c r="M14" s="7">
        <v>1.16445282459709</v>
      </c>
      <c r="N14" s="7">
        <v>5.13790607239347</v>
      </c>
      <c r="O14" s="7">
        <v>9.2797515119872305</v>
      </c>
      <c r="P14" s="7">
        <v>40.033173710132601</v>
      </c>
      <c r="Q14" s="7">
        <v>79.407650117170405</v>
      </c>
      <c r="R14" s="7">
        <v>80.872122886773496</v>
      </c>
      <c r="S14" s="7">
        <v>48.0477028684262</v>
      </c>
      <c r="T14" s="7">
        <v>45.4757540701438</v>
      </c>
      <c r="U14" s="7">
        <v>29.210969401451599</v>
      </c>
      <c r="V14" s="7">
        <v>10.5967185593303</v>
      </c>
      <c r="W14" s="7">
        <v>7.4447608156510396</v>
      </c>
      <c r="X14" s="7">
        <v>1.1683645084580301</v>
      </c>
      <c r="Y14" s="7">
        <v>993.95700005813501</v>
      </c>
      <c r="Z14" s="7">
        <v>993.95700005813501</v>
      </c>
      <c r="AA14" s="7">
        <v>722.06564663950905</v>
      </c>
      <c r="AB14" s="7">
        <v>721.41972578766797</v>
      </c>
      <c r="AC14" s="7">
        <v>993.95700005813501</v>
      </c>
      <c r="AD14" s="7">
        <v>721.71332855326796</v>
      </c>
      <c r="AE14" s="7">
        <v>721.71332855326796</v>
      </c>
      <c r="AF14" s="7">
        <v>875.50282471400806</v>
      </c>
      <c r="AG14" s="7">
        <v>898.18874977491998</v>
      </c>
      <c r="AH14" s="7">
        <v>886.89799931165305</v>
      </c>
      <c r="AI14" s="7">
        <v>894.79168397435103</v>
      </c>
      <c r="AJ14" s="7">
        <v>721.71332855326796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33"/>
    </row>
    <row r="15" spans="1:92" ht="15" thickBot="1" x14ac:dyDescent="0.25">
      <c r="A15" s="32"/>
      <c r="B15" s="1"/>
      <c r="C15" s="1"/>
      <c r="D15" s="1"/>
      <c r="E15" s="33"/>
      <c r="F15" s="12" t="s">
        <v>14</v>
      </c>
      <c r="G15" s="20">
        <v>12</v>
      </c>
      <c r="H15" s="1"/>
      <c r="I15" s="1"/>
      <c r="J15" s="1"/>
      <c r="K15" s="7" t="s">
        <v>59</v>
      </c>
      <c r="L15" s="7" t="s">
        <v>60</v>
      </c>
      <c r="M15" s="7">
        <v>3.7434493276231202</v>
      </c>
      <c r="N15" s="7">
        <v>3.7434493276231202</v>
      </c>
      <c r="O15" s="7">
        <v>3.7434493276231202</v>
      </c>
      <c r="P15" s="7">
        <v>3.7434493276231202</v>
      </c>
      <c r="Q15" s="7">
        <v>3.7434493276231202</v>
      </c>
      <c r="R15" s="7">
        <v>3.7434493276231202</v>
      </c>
      <c r="S15" s="7">
        <v>3.7434493276231202</v>
      </c>
      <c r="T15" s="7">
        <v>3.7434493276231202</v>
      </c>
      <c r="U15" s="7">
        <v>3.7434493276231202</v>
      </c>
      <c r="V15" s="7">
        <v>3.7434493276231202</v>
      </c>
      <c r="W15" s="7">
        <v>3.7434493276231202</v>
      </c>
      <c r="X15" s="7">
        <v>3.7434493276231202</v>
      </c>
      <c r="Y15" s="7">
        <v>1.3877108765448001</v>
      </c>
      <c r="Z15" s="7">
        <v>1.66525305185376</v>
      </c>
      <c r="AA15" s="7">
        <v>1.3877108765448001</v>
      </c>
      <c r="AB15" s="7">
        <v>1.66525305185376</v>
      </c>
      <c r="AC15" s="7">
        <v>3.0529639283985599</v>
      </c>
      <c r="AD15" s="7">
        <v>1.52648196419928</v>
      </c>
      <c r="AE15" s="7">
        <v>1.52648196419928</v>
      </c>
      <c r="AF15" s="7">
        <v>1.52648196419928</v>
      </c>
      <c r="AG15" s="7">
        <v>1.52648196419928</v>
      </c>
      <c r="AH15" s="7">
        <v>3.0529639283985599</v>
      </c>
      <c r="AI15" s="7">
        <v>3.0529639283985599</v>
      </c>
      <c r="AJ15" s="7">
        <v>3.0529639283985599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33"/>
    </row>
    <row r="16" spans="1:92" x14ac:dyDescent="0.2">
      <c r="A16" s="32"/>
      <c r="B16" s="1"/>
      <c r="C16" s="1"/>
      <c r="D16" s="1"/>
      <c r="E16" s="33"/>
      <c r="F16" s="21" t="s">
        <v>15</v>
      </c>
      <c r="G16" s="23" t="s">
        <v>21</v>
      </c>
      <c r="H16" s="1"/>
      <c r="I16" s="1"/>
      <c r="J16" s="1"/>
      <c r="K16" s="7" t="s">
        <v>61</v>
      </c>
      <c r="L16" s="7" t="s">
        <v>62</v>
      </c>
      <c r="M16" s="7">
        <v>108</v>
      </c>
      <c r="N16" s="7">
        <v>108</v>
      </c>
      <c r="O16" s="7">
        <v>108</v>
      </c>
      <c r="P16" s="7">
        <v>108</v>
      </c>
      <c r="Q16" s="7">
        <v>108</v>
      </c>
      <c r="R16" s="7">
        <v>108</v>
      </c>
      <c r="S16" s="7">
        <v>108</v>
      </c>
      <c r="T16" s="7">
        <v>108</v>
      </c>
      <c r="U16" s="7">
        <v>108</v>
      </c>
      <c r="V16" s="7">
        <v>108</v>
      </c>
      <c r="W16" s="7">
        <v>108</v>
      </c>
      <c r="X16" s="7">
        <v>108</v>
      </c>
      <c r="Y16" s="7">
        <v>25</v>
      </c>
      <c r="Z16" s="7">
        <v>30</v>
      </c>
      <c r="AA16" s="7">
        <v>25</v>
      </c>
      <c r="AB16" s="7">
        <v>30</v>
      </c>
      <c r="AC16" s="7">
        <v>55</v>
      </c>
      <c r="AD16" s="7">
        <v>27.5</v>
      </c>
      <c r="AE16" s="7">
        <v>27.5</v>
      </c>
      <c r="AF16" s="7">
        <v>27.5</v>
      </c>
      <c r="AG16" s="7">
        <v>27.5</v>
      </c>
      <c r="AH16" s="7">
        <v>55</v>
      </c>
      <c r="AI16" s="7">
        <v>55</v>
      </c>
      <c r="AJ16" s="7">
        <v>55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33"/>
    </row>
    <row r="17" spans="1:92" x14ac:dyDescent="0.2">
      <c r="A17" s="32"/>
      <c r="B17" s="1"/>
      <c r="C17" s="1"/>
      <c r="D17" s="1"/>
      <c r="E17" s="33"/>
      <c r="F17" s="21" t="s">
        <v>16</v>
      </c>
      <c r="G17" s="24" t="s">
        <v>22</v>
      </c>
      <c r="H17" s="1"/>
      <c r="I17" s="1"/>
      <c r="J17" s="1"/>
      <c r="K17" s="7" t="s">
        <v>63</v>
      </c>
      <c r="L17" s="7" t="s">
        <v>48</v>
      </c>
      <c r="M17" s="7">
        <v>-8.0400313665207293</v>
      </c>
      <c r="N17" s="7">
        <v>-8.0400313665207293</v>
      </c>
      <c r="O17" s="7">
        <v>-8.0400313665207293</v>
      </c>
      <c r="P17" s="7">
        <v>-8.0400313665207293</v>
      </c>
      <c r="Q17" s="7">
        <v>-8.0400313665207293</v>
      </c>
      <c r="R17" s="7">
        <v>-8.0400313665207293</v>
      </c>
      <c r="S17" s="7">
        <v>-8.0400313665207293</v>
      </c>
      <c r="T17" s="7">
        <v>-8.0400313665207293</v>
      </c>
      <c r="U17" s="7">
        <v>-8.0400313665207293</v>
      </c>
      <c r="V17" s="7">
        <v>-8.0400313665207293</v>
      </c>
      <c r="W17" s="7">
        <v>-8.0400313665207293</v>
      </c>
      <c r="X17" s="7">
        <v>-8.0400313665207293</v>
      </c>
      <c r="Y17" s="7">
        <v>-287741.40918873</v>
      </c>
      <c r="Z17" s="7">
        <v>-287741.40918873</v>
      </c>
      <c r="AA17" s="7">
        <v>-287741.40918873</v>
      </c>
      <c r="AB17" s="7">
        <v>-287741.40918873</v>
      </c>
      <c r="AC17" s="7">
        <v>-287741.40918873</v>
      </c>
      <c r="AD17" s="7">
        <v>-287741.40918873</v>
      </c>
      <c r="AE17" s="7">
        <v>-287741.40918873</v>
      </c>
      <c r="AF17" s="7">
        <v>-287741.40918873</v>
      </c>
      <c r="AG17" s="7">
        <v>-287741.40918873</v>
      </c>
      <c r="AH17" s="7">
        <v>-287741.40918873</v>
      </c>
      <c r="AI17" s="7">
        <v>-287741.40918873</v>
      </c>
      <c r="AJ17" s="7">
        <v>-287741.40918873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33"/>
    </row>
    <row r="18" spans="1:92" ht="15" thickBot="1" x14ac:dyDescent="0.25">
      <c r="A18" s="32"/>
      <c r="B18" s="1"/>
      <c r="C18" s="1"/>
      <c r="D18" s="1"/>
      <c r="E18" s="33"/>
      <c r="F18" s="21" t="s">
        <v>17</v>
      </c>
      <c r="G18" s="24" t="s">
        <v>23</v>
      </c>
      <c r="H18" s="1"/>
      <c r="I18" s="1"/>
      <c r="J18" s="1"/>
      <c r="K18" s="39" t="s">
        <v>64</v>
      </c>
      <c r="L18" s="39" t="s">
        <v>52</v>
      </c>
      <c r="M18" s="39">
        <v>4.3601378591915498</v>
      </c>
      <c r="N18" s="39">
        <v>4.3601378591915498</v>
      </c>
      <c r="O18" s="39">
        <v>4.3601378591915498</v>
      </c>
      <c r="P18" s="39">
        <v>4.3601378591915498</v>
      </c>
      <c r="Q18" s="39">
        <v>4.3601378591915498</v>
      </c>
      <c r="R18" s="39">
        <v>4.3601378591915498</v>
      </c>
      <c r="S18" s="39">
        <v>4.3601378591915498</v>
      </c>
      <c r="T18" s="39">
        <v>4.3601378591915498</v>
      </c>
      <c r="U18" s="39">
        <v>4.3601378591915498</v>
      </c>
      <c r="V18" s="39">
        <v>4.3601378591915498</v>
      </c>
      <c r="W18" s="39">
        <v>4.3601378591915498</v>
      </c>
      <c r="X18" s="39">
        <v>4.3601378591915498</v>
      </c>
      <c r="Y18" s="39">
        <v>-167.973809145476</v>
      </c>
      <c r="Z18" s="39">
        <v>-167.973809145476</v>
      </c>
      <c r="AA18" s="39">
        <v>-167.973809145476</v>
      </c>
      <c r="AB18" s="39">
        <v>-167.973809145476</v>
      </c>
      <c r="AC18" s="39">
        <v>-167.973809145476</v>
      </c>
      <c r="AD18" s="39">
        <v>-167.973809145476</v>
      </c>
      <c r="AE18" s="39">
        <v>-167.973809145476</v>
      </c>
      <c r="AF18" s="39">
        <v>-167.973809145476</v>
      </c>
      <c r="AG18" s="39">
        <v>-167.973809145476</v>
      </c>
      <c r="AH18" s="39">
        <v>-167.973809145476</v>
      </c>
      <c r="AI18" s="39">
        <v>-167.973809145476</v>
      </c>
      <c r="AJ18" s="39">
        <v>-167.973809145476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33"/>
    </row>
    <row r="19" spans="1:92" ht="15" thickBot="1" x14ac:dyDescent="0.25">
      <c r="A19" s="34"/>
      <c r="B19" s="35"/>
      <c r="C19" s="35"/>
      <c r="D19" s="35"/>
      <c r="E19" s="36"/>
      <c r="F19" s="22" t="s">
        <v>18</v>
      </c>
      <c r="G19" s="24" t="s">
        <v>24</v>
      </c>
      <c r="H19" s="1"/>
      <c r="I19" s="1"/>
      <c r="J19" s="1"/>
      <c r="K19" s="7" t="s">
        <v>86</v>
      </c>
      <c r="L19" s="6" t="s">
        <v>85</v>
      </c>
      <c r="M19" s="11">
        <v>28.8503972</v>
      </c>
      <c r="N19" s="11">
        <v>28.8503972</v>
      </c>
      <c r="O19" s="11">
        <v>28.8503972</v>
      </c>
      <c r="P19" s="11">
        <v>28.8503972</v>
      </c>
      <c r="Q19" s="11">
        <v>28.8503972</v>
      </c>
      <c r="R19" s="11">
        <v>28.8503972</v>
      </c>
      <c r="S19" s="11">
        <v>28.8503972</v>
      </c>
      <c r="T19" s="11">
        <v>28.8503972</v>
      </c>
      <c r="U19" s="11">
        <v>28.8503972</v>
      </c>
      <c r="V19" s="11">
        <v>28.8503972</v>
      </c>
      <c r="W19" s="11">
        <v>28.8503972</v>
      </c>
      <c r="X19" s="11">
        <v>28.8503972</v>
      </c>
      <c r="Y19" s="12">
        <v>18</v>
      </c>
      <c r="Z19" s="12">
        <v>18</v>
      </c>
      <c r="AA19" s="12">
        <v>18</v>
      </c>
      <c r="AB19" s="12">
        <v>18</v>
      </c>
      <c r="AC19" s="12">
        <v>18</v>
      </c>
      <c r="AD19" s="12">
        <v>18</v>
      </c>
      <c r="AE19" s="12">
        <v>18</v>
      </c>
      <c r="AF19" s="12">
        <v>18</v>
      </c>
      <c r="AG19" s="12">
        <v>18</v>
      </c>
      <c r="AH19" s="12">
        <v>18</v>
      </c>
      <c r="AI19" s="12">
        <v>18</v>
      </c>
      <c r="AJ19" s="12">
        <v>18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33"/>
    </row>
    <row r="20" spans="1:92" ht="15" thickBot="1" x14ac:dyDescent="0.25">
      <c r="A20" s="1"/>
      <c r="B20" s="1"/>
      <c r="C20" s="1"/>
      <c r="D20" s="1"/>
      <c r="E20" s="1"/>
      <c r="F20" s="1"/>
      <c r="G20" s="24" t="s">
        <v>99</v>
      </c>
      <c r="I20" s="50" t="s">
        <v>25</v>
      </c>
      <c r="J20" s="1"/>
      <c r="K20" s="41" t="s">
        <v>74</v>
      </c>
      <c r="L20" s="41" t="s">
        <v>50</v>
      </c>
      <c r="M20" s="6">
        <f>M21/M19</f>
        <v>0</v>
      </c>
      <c r="N20" s="6">
        <f t="shared" ref="N20:AJ20" si="0">N21/N19</f>
        <v>265.81592018261006</v>
      </c>
      <c r="O20" s="6">
        <f t="shared" si="0"/>
        <v>184.05294255941504</v>
      </c>
      <c r="P20" s="6">
        <f t="shared" si="0"/>
        <v>470.90956918637403</v>
      </c>
      <c r="Q20" s="6">
        <f t="shared" si="0"/>
        <v>365.63526083997084</v>
      </c>
      <c r="R20" s="6">
        <f t="shared" si="0"/>
        <v>365.32385672872243</v>
      </c>
      <c r="S20" s="6">
        <f t="shared" si="0"/>
        <v>319.66153429959991</v>
      </c>
      <c r="T20" s="6">
        <f t="shared" si="0"/>
        <v>320.58155958691839</v>
      </c>
      <c r="U20" s="6">
        <f t="shared" si="0"/>
        <v>367.14330770921549</v>
      </c>
      <c r="V20" s="6">
        <f t="shared" si="0"/>
        <v>211.4743913120667</v>
      </c>
      <c r="W20" s="6">
        <f t="shared" si="0"/>
        <v>259.68939352047965</v>
      </c>
      <c r="X20" s="6">
        <f t="shared" si="0"/>
        <v>1.6856890406556312E-3</v>
      </c>
      <c r="Y20" s="6">
        <f t="shared" si="0"/>
        <v>5.7628997912246582</v>
      </c>
      <c r="Z20" s="6">
        <f t="shared" si="0"/>
        <v>5.7628997912246582</v>
      </c>
      <c r="AA20" s="6">
        <f t="shared" si="0"/>
        <v>311.10080659385432</v>
      </c>
      <c r="AB20" s="6">
        <f t="shared" si="0"/>
        <v>312.1944708176182</v>
      </c>
      <c r="AC20" s="6">
        <f t="shared" si="0"/>
        <v>5.7628997912246582</v>
      </c>
      <c r="AD20" s="6">
        <f t="shared" si="0"/>
        <v>311.69721192550543</v>
      </c>
      <c r="AE20" s="6">
        <f t="shared" si="0"/>
        <v>311.69721192550543</v>
      </c>
      <c r="AF20" s="6">
        <f t="shared" si="0"/>
        <v>86.411071314976596</v>
      </c>
      <c r="AG20" s="6">
        <f t="shared" si="0"/>
        <v>61.66980993974817</v>
      </c>
      <c r="AH20" s="6">
        <f t="shared" si="0"/>
        <v>73.588560875478223</v>
      </c>
      <c r="AI20" s="6">
        <f t="shared" si="0"/>
        <v>65.169121762617635</v>
      </c>
      <c r="AJ20" s="6">
        <f t="shared" si="0"/>
        <v>311.69721192550543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33"/>
    </row>
    <row r="21" spans="1:92" x14ac:dyDescent="0.2">
      <c r="A21" s="1"/>
      <c r="B21" s="1"/>
      <c r="C21" s="1"/>
      <c r="D21" s="1"/>
      <c r="E21" s="1"/>
      <c r="F21" s="1"/>
      <c r="G21" s="24" t="s">
        <v>100</v>
      </c>
      <c r="I21" s="1"/>
      <c r="J21" s="1"/>
      <c r="K21" s="8" t="s">
        <v>74</v>
      </c>
      <c r="L21" s="8" t="s">
        <v>48</v>
      </c>
      <c r="M21" s="7">
        <f>0</f>
        <v>0</v>
      </c>
      <c r="N21" s="7">
        <f t="shared" ref="N21:AJ21" si="1">(N9-N17)-$J$7*(N11-N18)</f>
        <v>7668.8948793517966</v>
      </c>
      <c r="O21" s="7">
        <f t="shared" si="1"/>
        <v>5310.0004986679087</v>
      </c>
      <c r="P21" s="7">
        <f t="shared" si="1"/>
        <v>13585.928116307772</v>
      </c>
      <c r="Q21" s="7">
        <f t="shared" si="1"/>
        <v>10548.722505558764</v>
      </c>
      <c r="R21" s="7">
        <f t="shared" si="1"/>
        <v>10539.738373259535</v>
      </c>
      <c r="S21" s="7">
        <f t="shared" si="1"/>
        <v>9222.3622341048813</v>
      </c>
      <c r="T21" s="7">
        <f t="shared" si="1"/>
        <v>9248.905329078063</v>
      </c>
      <c r="U21" s="7">
        <f t="shared" si="1"/>
        <v>10592.23025673269</v>
      </c>
      <c r="V21" s="7">
        <f t="shared" si="1"/>
        <v>6101.1201869813531</v>
      </c>
      <c r="W21" s="7">
        <f t="shared" si="1"/>
        <v>7492.1421516929449</v>
      </c>
      <c r="X21" s="7">
        <f t="shared" si="1"/>
        <v>4.8632798378601905E-2</v>
      </c>
      <c r="Y21" s="7">
        <f t="shared" si="1"/>
        <v>103.73219624204386</v>
      </c>
      <c r="Z21" s="7">
        <f t="shared" si="1"/>
        <v>103.73219624204386</v>
      </c>
      <c r="AA21" s="7">
        <f t="shared" si="1"/>
        <v>5599.814518689378</v>
      </c>
      <c r="AB21" s="7">
        <f t="shared" si="1"/>
        <v>5619.5004747171279</v>
      </c>
      <c r="AC21" s="7">
        <f t="shared" si="1"/>
        <v>103.73219624204386</v>
      </c>
      <c r="AD21" s="7">
        <f t="shared" si="1"/>
        <v>5610.549814659098</v>
      </c>
      <c r="AE21" s="7">
        <f t="shared" si="1"/>
        <v>5610.549814659098</v>
      </c>
      <c r="AF21" s="7">
        <f t="shared" si="1"/>
        <v>1555.3992836695788</v>
      </c>
      <c r="AG21" s="7">
        <f t="shared" si="1"/>
        <v>1110.0565789154671</v>
      </c>
      <c r="AH21" s="7">
        <f t="shared" si="1"/>
        <v>1324.5940957586081</v>
      </c>
      <c r="AI21" s="7">
        <f t="shared" si="1"/>
        <v>1173.0441917271173</v>
      </c>
      <c r="AJ21" s="7">
        <f t="shared" si="1"/>
        <v>5610.549814659098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33"/>
    </row>
    <row r="22" spans="1:92" x14ac:dyDescent="0.2">
      <c r="G22" s="24" t="s">
        <v>26</v>
      </c>
      <c r="K22" s="8" t="s">
        <v>75</v>
      </c>
      <c r="L22" s="8" t="s">
        <v>50</v>
      </c>
      <c r="M22" s="7">
        <f>M23/M19</f>
        <v>4.4538169582501492</v>
      </c>
      <c r="N22" s="7">
        <f t="shared" ref="N22:AJ22" si="2">N23/N19</f>
        <v>4.4538169582501492</v>
      </c>
      <c r="O22" s="7">
        <f t="shared" si="2"/>
        <v>4.4538169582501492</v>
      </c>
      <c r="P22" s="7">
        <f t="shared" si="2"/>
        <v>4.4538169582501492</v>
      </c>
      <c r="Q22" s="7">
        <f t="shared" si="2"/>
        <v>4.4538169582501492</v>
      </c>
      <c r="R22" s="7">
        <f t="shared" si="2"/>
        <v>4.4538169582501492</v>
      </c>
      <c r="S22" s="7">
        <f t="shared" si="2"/>
        <v>4.4538169582501492</v>
      </c>
      <c r="T22" s="7">
        <f t="shared" si="2"/>
        <v>4.4538169582501492</v>
      </c>
      <c r="U22" s="7">
        <f t="shared" si="2"/>
        <v>4.4538169582501492</v>
      </c>
      <c r="V22" s="7">
        <f t="shared" si="2"/>
        <v>4.4538169582501492</v>
      </c>
      <c r="W22" s="7">
        <f t="shared" si="2"/>
        <v>4.4538169582501492</v>
      </c>
      <c r="X22" s="7">
        <f t="shared" si="2"/>
        <v>4.4538169582501492</v>
      </c>
      <c r="Y22" s="7">
        <f t="shared" si="2"/>
        <v>50</v>
      </c>
      <c r="Z22" s="7">
        <f t="shared" si="2"/>
        <v>50</v>
      </c>
      <c r="AA22" s="7">
        <f t="shared" si="2"/>
        <v>50</v>
      </c>
      <c r="AB22" s="7">
        <f t="shared" si="2"/>
        <v>50</v>
      </c>
      <c r="AC22" s="7">
        <f t="shared" si="2"/>
        <v>50</v>
      </c>
      <c r="AD22" s="7">
        <f t="shared" si="2"/>
        <v>50</v>
      </c>
      <c r="AE22" s="7">
        <f t="shared" si="2"/>
        <v>50</v>
      </c>
      <c r="AF22" s="7">
        <f t="shared" si="2"/>
        <v>50</v>
      </c>
      <c r="AG22" s="7">
        <f t="shared" si="2"/>
        <v>50</v>
      </c>
      <c r="AH22" s="7">
        <f t="shared" si="2"/>
        <v>50</v>
      </c>
      <c r="AI22" s="7">
        <f t="shared" si="2"/>
        <v>50</v>
      </c>
      <c r="AJ22" s="7">
        <f t="shared" si="2"/>
        <v>50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33"/>
    </row>
    <row r="23" spans="1:92" x14ac:dyDescent="0.2">
      <c r="G23" s="24" t="s">
        <v>27</v>
      </c>
      <c r="K23" s="8" t="s">
        <v>75</v>
      </c>
      <c r="L23" s="8" t="s">
        <v>48</v>
      </c>
      <c r="M23" s="7">
        <f>(J9*J12+J10*J13)+J11*J7*(J9*LN(J9)+J10*LN(J10))</f>
        <v>128.49438830161262</v>
      </c>
      <c r="N23" s="7">
        <v>128.49438830161262</v>
      </c>
      <c r="O23" s="7">
        <v>128.49438830161262</v>
      </c>
      <c r="P23" s="7">
        <v>128.49438830161262</v>
      </c>
      <c r="Q23" s="7">
        <v>128.49438830161262</v>
      </c>
      <c r="R23" s="7">
        <v>128.49438830161262</v>
      </c>
      <c r="S23" s="7">
        <v>128.49438830161262</v>
      </c>
      <c r="T23" s="7">
        <v>128.49438830161262</v>
      </c>
      <c r="U23" s="7">
        <v>128.49438830161262</v>
      </c>
      <c r="V23" s="7">
        <v>128.49438830161262</v>
      </c>
      <c r="W23" s="7">
        <v>128.49438830161262</v>
      </c>
      <c r="X23" s="7">
        <v>128.49438830161262</v>
      </c>
      <c r="Y23" s="7">
        <f>J14</f>
        <v>900</v>
      </c>
      <c r="Z23" s="7">
        <v>900</v>
      </c>
      <c r="AA23" s="7">
        <v>900</v>
      </c>
      <c r="AB23" s="7">
        <v>900</v>
      </c>
      <c r="AC23" s="7">
        <v>900</v>
      </c>
      <c r="AD23" s="7">
        <v>900</v>
      </c>
      <c r="AE23" s="7">
        <v>900</v>
      </c>
      <c r="AF23" s="7">
        <v>900</v>
      </c>
      <c r="AG23" s="7">
        <v>900</v>
      </c>
      <c r="AH23" s="7">
        <v>900</v>
      </c>
      <c r="AI23" s="7">
        <v>900</v>
      </c>
      <c r="AJ23" s="7">
        <v>900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33"/>
    </row>
    <row r="24" spans="1:92" x14ac:dyDescent="0.2">
      <c r="G24" s="24" t="s">
        <v>28</v>
      </c>
      <c r="K24" s="8" t="s">
        <v>76</v>
      </c>
      <c r="L24" s="8" t="s">
        <v>162</v>
      </c>
      <c r="M24" s="7">
        <f>(M23+M21)*M15</f>
        <v>481.01223149101588</v>
      </c>
      <c r="N24" s="7">
        <f t="shared" ref="N24:AJ24" si="3">(N23+N21)*N15</f>
        <v>29189.131611212888</v>
      </c>
      <c r="O24" s="7">
        <f t="shared" si="3"/>
        <v>20358.730027907834</v>
      </c>
      <c r="P24" s="7">
        <f t="shared" si="3"/>
        <v>51339.245703619388</v>
      </c>
      <c r="Q24" s="7">
        <f t="shared" si="3"/>
        <v>39969.620402207853</v>
      </c>
      <c r="R24" s="7">
        <f t="shared" si="3"/>
        <v>39935.988758193023</v>
      </c>
      <c r="S24" s="7">
        <f t="shared" si="3"/>
        <v>35004.457935847793</v>
      </c>
      <c r="T24" s="7">
        <f t="shared" si="3"/>
        <v>35103.820666878186</v>
      </c>
      <c r="U24" s="7">
        <f t="shared" si="3"/>
        <v>40132.489464086277</v>
      </c>
      <c r="V24" s="7">
        <f t="shared" si="3"/>
        <v>23320.246493194205</v>
      </c>
      <c r="W24" s="7">
        <f t="shared" si="3"/>
        <v>28527.466731702807</v>
      </c>
      <c r="X24" s="7">
        <f t="shared" si="3"/>
        <v>481.19428590740671</v>
      </c>
      <c r="Y24" s="7">
        <f t="shared" si="3"/>
        <v>1392.890085863284</v>
      </c>
      <c r="Z24" s="7">
        <f t="shared" si="3"/>
        <v>1671.4681030359407</v>
      </c>
      <c r="AA24" s="7">
        <f t="shared" si="3"/>
        <v>9019.863303109054</v>
      </c>
      <c r="AB24" s="7">
        <f t="shared" si="3"/>
        <v>10856.618062084735</v>
      </c>
      <c r="AC24" s="7">
        <f t="shared" si="3"/>
        <v>3064.3581888992244</v>
      </c>
      <c r="AD24" s="7">
        <f t="shared" si="3"/>
        <v>9938.2368690980784</v>
      </c>
      <c r="AE24" s="7">
        <f t="shared" si="3"/>
        <v>9938.2368690980784</v>
      </c>
      <c r="AF24" s="7">
        <f t="shared" si="3"/>
        <v>3748.1227214294436</v>
      </c>
      <c r="AG24" s="7">
        <f t="shared" si="3"/>
        <v>3068.315114734567</v>
      </c>
      <c r="AH24" s="7">
        <f t="shared" si="3"/>
        <v>6791.605529679442</v>
      </c>
      <c r="AI24" s="7">
        <f t="shared" si="3"/>
        <v>6328.9291393190379</v>
      </c>
      <c r="AJ24" s="7">
        <f t="shared" si="3"/>
        <v>19876.473738196157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33"/>
    </row>
    <row r="25" spans="1:92" ht="15" thickBot="1" x14ac:dyDescent="0.25">
      <c r="G25" s="24" t="s">
        <v>29</v>
      </c>
      <c r="K25" s="45" t="s">
        <v>76</v>
      </c>
      <c r="L25" s="45" t="s">
        <v>162</v>
      </c>
      <c r="M25" s="45">
        <f>(M22+M20)*M16</f>
        <v>481.01223149101611</v>
      </c>
      <c r="N25" s="45">
        <f t="shared" ref="N25:AJ25" si="4">(N22+N20)*N16</f>
        <v>29189.131611212906</v>
      </c>
      <c r="O25" s="45">
        <f t="shared" si="4"/>
        <v>20358.730027907841</v>
      </c>
      <c r="P25" s="45">
        <f t="shared" si="4"/>
        <v>51339.24570361941</v>
      </c>
      <c r="Q25" s="45">
        <f t="shared" si="4"/>
        <v>39969.620402207867</v>
      </c>
      <c r="R25" s="45">
        <f t="shared" si="4"/>
        <v>39935.988758193038</v>
      </c>
      <c r="S25" s="45">
        <f t="shared" si="4"/>
        <v>35004.457935847808</v>
      </c>
      <c r="T25" s="45">
        <f t="shared" si="4"/>
        <v>35103.820666878208</v>
      </c>
      <c r="U25" s="45">
        <f t="shared" si="4"/>
        <v>40132.489464086291</v>
      </c>
      <c r="V25" s="45">
        <f t="shared" si="4"/>
        <v>23320.24649319422</v>
      </c>
      <c r="W25" s="45">
        <f t="shared" si="4"/>
        <v>28527.466731702822</v>
      </c>
      <c r="X25" s="45">
        <f t="shared" si="4"/>
        <v>481.19428590740694</v>
      </c>
      <c r="Y25" s="45">
        <f t="shared" si="4"/>
        <v>1394.0724947806164</v>
      </c>
      <c r="Z25" s="45">
        <f t="shared" si="4"/>
        <v>1672.8869937367397</v>
      </c>
      <c r="AA25" s="45">
        <f t="shared" si="4"/>
        <v>9027.5201648463571</v>
      </c>
      <c r="AB25" s="45">
        <f t="shared" si="4"/>
        <v>10865.834124528546</v>
      </c>
      <c r="AC25" s="45">
        <f t="shared" si="4"/>
        <v>3066.959488517356</v>
      </c>
      <c r="AD25" s="45">
        <f t="shared" si="4"/>
        <v>9946.6733279513992</v>
      </c>
      <c r="AE25" s="45">
        <f t="shared" si="4"/>
        <v>9946.6733279513992</v>
      </c>
      <c r="AF25" s="45">
        <f t="shared" si="4"/>
        <v>3751.3044611618566</v>
      </c>
      <c r="AG25" s="45">
        <f t="shared" si="4"/>
        <v>3070.9197733430747</v>
      </c>
      <c r="AH25" s="45">
        <f t="shared" si="4"/>
        <v>6797.3708481513022</v>
      </c>
      <c r="AI25" s="45">
        <f t="shared" si="4"/>
        <v>6334.3016969439695</v>
      </c>
      <c r="AJ25" s="45">
        <f t="shared" si="4"/>
        <v>19893.346655902798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33"/>
    </row>
    <row r="26" spans="1:92" ht="15" thickBot="1" x14ac:dyDescent="0.25">
      <c r="G26" s="24" t="s">
        <v>30</v>
      </c>
      <c r="K26" s="67" t="s">
        <v>161</v>
      </c>
      <c r="L26" s="67" t="s">
        <v>77</v>
      </c>
      <c r="M26" s="68">
        <f>M25/1000</f>
        <v>0.48101223149101613</v>
      </c>
      <c r="N26" s="68">
        <f>N25/1000</f>
        <v>29.189131611212908</v>
      </c>
      <c r="O26" s="68">
        <f t="shared" ref="O26:AJ26" si="5">O25/1000</f>
        <v>20.358730027907839</v>
      </c>
      <c r="P26" s="68">
        <f t="shared" si="5"/>
        <v>51.339245703619412</v>
      </c>
      <c r="Q26" s="68">
        <f t="shared" si="5"/>
        <v>39.969620402207866</v>
      </c>
      <c r="R26" s="68">
        <f t="shared" si="5"/>
        <v>39.935988758193041</v>
      </c>
      <c r="S26" s="68">
        <f t="shared" si="5"/>
        <v>35.00445793584781</v>
      </c>
      <c r="T26" s="68">
        <f t="shared" si="5"/>
        <v>35.103820666878207</v>
      </c>
      <c r="U26" s="68">
        <f t="shared" si="5"/>
        <v>40.132489464086291</v>
      </c>
      <c r="V26" s="68">
        <f t="shared" si="5"/>
        <v>23.320246493194219</v>
      </c>
      <c r="W26" s="68">
        <f t="shared" si="5"/>
        <v>28.527466731702823</v>
      </c>
      <c r="X26" s="68">
        <f t="shared" si="5"/>
        <v>0.48119428590740693</v>
      </c>
      <c r="Y26" s="68">
        <f t="shared" si="5"/>
        <v>1.3940724947806165</v>
      </c>
      <c r="Z26" s="68">
        <f t="shared" si="5"/>
        <v>1.6728869937367397</v>
      </c>
      <c r="AA26" s="68">
        <f t="shared" si="5"/>
        <v>9.0275201648463579</v>
      </c>
      <c r="AB26" s="68">
        <f t="shared" si="5"/>
        <v>10.865834124528547</v>
      </c>
      <c r="AC26" s="68">
        <f t="shared" si="5"/>
        <v>3.0669594885173561</v>
      </c>
      <c r="AD26" s="68">
        <f t="shared" si="5"/>
        <v>9.9466733279513999</v>
      </c>
      <c r="AE26" s="68">
        <f t="shared" si="5"/>
        <v>9.9466733279513999</v>
      </c>
      <c r="AF26" s="68">
        <f t="shared" si="5"/>
        <v>3.7513044611618565</v>
      </c>
      <c r="AG26" s="68">
        <f t="shared" si="5"/>
        <v>3.0709197733430749</v>
      </c>
      <c r="AH26" s="68">
        <f t="shared" si="5"/>
        <v>6.797370848151302</v>
      </c>
      <c r="AI26" s="68">
        <f t="shared" si="5"/>
        <v>6.3343016969439692</v>
      </c>
      <c r="AJ26" s="69">
        <f t="shared" si="5"/>
        <v>19.8933466559028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33"/>
    </row>
    <row r="27" spans="1:92" ht="15" thickBot="1" x14ac:dyDescent="0.25">
      <c r="G27" s="24" t="s">
        <v>31</v>
      </c>
      <c r="K27" s="3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33"/>
    </row>
    <row r="28" spans="1:92" ht="15" thickBot="1" x14ac:dyDescent="0.25">
      <c r="G28" s="24" t="s">
        <v>101</v>
      </c>
      <c r="I28" s="51" t="s">
        <v>103</v>
      </c>
      <c r="K28" s="3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33"/>
    </row>
    <row r="29" spans="1:92" ht="15" thickBot="1" x14ac:dyDescent="0.25">
      <c r="G29" s="24" t="s">
        <v>102</v>
      </c>
      <c r="K29" s="3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33"/>
    </row>
    <row r="30" spans="1:92" x14ac:dyDescent="0.2">
      <c r="G30" s="16" t="s">
        <v>72</v>
      </c>
      <c r="K30" s="3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33"/>
    </row>
    <row r="31" spans="1:92" ht="15" thickBot="1" x14ac:dyDescent="0.25">
      <c r="G31" s="17" t="s">
        <v>73</v>
      </c>
      <c r="K31" s="3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33"/>
    </row>
    <row r="32" spans="1:92" ht="15" thickBot="1" x14ac:dyDescent="0.25">
      <c r="G32" s="17" t="s">
        <v>32</v>
      </c>
      <c r="K32" s="4" t="s">
        <v>71</v>
      </c>
      <c r="L32" s="38" t="s">
        <v>72</v>
      </c>
      <c r="M32" s="2" t="s">
        <v>73</v>
      </c>
      <c r="N32" s="2" t="s">
        <v>32</v>
      </c>
      <c r="O32" s="2" t="s">
        <v>68</v>
      </c>
      <c r="P32" s="2" t="s">
        <v>69</v>
      </c>
      <c r="Q32" s="3" t="s">
        <v>70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33"/>
    </row>
    <row r="33" spans="7:92" ht="15" thickBot="1" x14ac:dyDescent="0.25">
      <c r="G33" s="17" t="s">
        <v>68</v>
      </c>
      <c r="K33" s="32"/>
      <c r="L33" s="4">
        <v>30.947210999999999</v>
      </c>
      <c r="M33" s="4">
        <v>33.278874999999999</v>
      </c>
      <c r="N33" s="4">
        <v>0.60688600000000004</v>
      </c>
      <c r="O33" s="4">
        <v>14.315795</v>
      </c>
      <c r="P33" s="4">
        <v>23.107278999999998</v>
      </c>
      <c r="Q33" s="4">
        <v>24.256724999999999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33"/>
    </row>
    <row r="34" spans="7:92" x14ac:dyDescent="0.2">
      <c r="G34" s="17" t="s">
        <v>69</v>
      </c>
      <c r="K34" s="3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33"/>
    </row>
    <row r="35" spans="7:92" ht="15" thickBot="1" x14ac:dyDescent="0.25">
      <c r="G35" s="18" t="s">
        <v>70</v>
      </c>
      <c r="K35" s="3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33"/>
    </row>
    <row r="36" spans="7:92" x14ac:dyDescent="0.2">
      <c r="K36" s="3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33"/>
    </row>
    <row r="37" spans="7:92" x14ac:dyDescent="0.2">
      <c r="K37" s="32"/>
      <c r="L37" s="1" t="s">
        <v>79</v>
      </c>
      <c r="M37" s="1">
        <f>L33+M33</f>
        <v>64.226085999999995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33"/>
    </row>
    <row r="38" spans="7:92" x14ac:dyDescent="0.2">
      <c r="K38" s="32"/>
      <c r="L38" s="1" t="s">
        <v>78</v>
      </c>
      <c r="M38" s="1">
        <f>O33+P33</f>
        <v>37.423074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33"/>
    </row>
    <row r="39" spans="7:92" x14ac:dyDescent="0.2">
      <c r="K39" s="32"/>
      <c r="L39" s="1" t="s">
        <v>80</v>
      </c>
      <c r="M39" s="1">
        <f>N33+O33+P33+Q33</f>
        <v>62.286684999999991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33"/>
    </row>
    <row r="40" spans="7:92" x14ac:dyDescent="0.2">
      <c r="K40" s="32"/>
      <c r="L40" s="1" t="s">
        <v>81</v>
      </c>
      <c r="M40" s="1">
        <f>(O33+P33)/(L33+M33)</f>
        <v>0.58267716952267656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33"/>
    </row>
    <row r="41" spans="7:92" x14ac:dyDescent="0.2">
      <c r="K41" s="3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33"/>
    </row>
    <row r="42" spans="7:92" ht="15" thickBot="1" x14ac:dyDescent="0.25">
      <c r="K42" s="3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6"/>
    </row>
    <row r="43" spans="7:92" ht="18.75" thickBot="1" x14ac:dyDescent="0.3">
      <c r="K43" s="148" t="s">
        <v>93</v>
      </c>
    </row>
    <row r="44" spans="7:92" x14ac:dyDescent="0.2">
      <c r="K44" s="31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30"/>
    </row>
    <row r="45" spans="7:92" ht="15" thickBot="1" x14ac:dyDescent="0.25">
      <c r="K45" s="3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 t="s">
        <v>165</v>
      </c>
      <c r="BF45" s="1"/>
      <c r="BG45" s="1"/>
      <c r="BH45" s="1"/>
      <c r="BI45" s="1" t="s">
        <v>166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33"/>
    </row>
    <row r="46" spans="7:92" ht="18.75" thickBot="1" x14ac:dyDescent="0.3">
      <c r="K46" s="4" t="s">
        <v>94</v>
      </c>
      <c r="L46" s="1"/>
      <c r="M46" s="1"/>
      <c r="N46" s="1"/>
      <c r="O46" s="1"/>
      <c r="P46" s="38" t="s">
        <v>133</v>
      </c>
      <c r="Q46" s="81" t="s">
        <v>134</v>
      </c>
      <c r="R46" s="29"/>
      <c r="S46" s="29"/>
      <c r="T46" s="29"/>
      <c r="U46" s="29"/>
      <c r="V46" s="29"/>
      <c r="W46" s="29" t="s">
        <v>137</v>
      </c>
      <c r="X46" s="29"/>
      <c r="Y46" s="29"/>
      <c r="Z46" s="29"/>
      <c r="AA46" s="29"/>
      <c r="AB46" s="29"/>
      <c r="AC46" s="29"/>
      <c r="AD46" s="30"/>
      <c r="AE46" s="31"/>
      <c r="AF46" s="29"/>
      <c r="AG46" s="29"/>
      <c r="AH46" s="29" t="s">
        <v>136</v>
      </c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8"/>
      <c r="AT46" s="2" t="s">
        <v>135</v>
      </c>
      <c r="AU46" s="2"/>
      <c r="AV46" s="2"/>
      <c r="AW46" s="2"/>
      <c r="AX46" s="3"/>
      <c r="AY46" s="1"/>
      <c r="AZ46" s="1"/>
      <c r="BA46" s="67" t="s">
        <v>139</v>
      </c>
      <c r="BB46" s="70" t="s">
        <v>140</v>
      </c>
      <c r="BC46" s="1"/>
      <c r="BD46" s="1"/>
      <c r="BE46" s="73" t="s">
        <v>163</v>
      </c>
      <c r="BF46" s="74" t="s">
        <v>164</v>
      </c>
      <c r="BG46" s="1"/>
      <c r="BH46" s="1"/>
      <c r="BI46" s="74" t="s">
        <v>164</v>
      </c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33"/>
    </row>
    <row r="47" spans="7:92" ht="15" thickBot="1" x14ac:dyDescent="0.25">
      <c r="K47" s="6" t="s">
        <v>95</v>
      </c>
      <c r="L47" s="6" t="s">
        <v>96</v>
      </c>
      <c r="M47" s="6" t="s">
        <v>97</v>
      </c>
      <c r="N47" s="6" t="s">
        <v>98</v>
      </c>
      <c r="O47" s="1"/>
      <c r="P47" s="1"/>
      <c r="Q47" s="82"/>
      <c r="R47" s="80">
        <v>1</v>
      </c>
      <c r="S47" s="19">
        <v>2</v>
      </c>
      <c r="T47" s="19">
        <v>3</v>
      </c>
      <c r="U47" s="19">
        <v>4</v>
      </c>
      <c r="V47" s="19">
        <v>5</v>
      </c>
      <c r="W47" s="19">
        <v>6</v>
      </c>
      <c r="X47" s="19" t="s">
        <v>20</v>
      </c>
      <c r="Y47" s="19">
        <v>7</v>
      </c>
      <c r="Z47" s="19">
        <v>8</v>
      </c>
      <c r="AA47" s="19">
        <v>9</v>
      </c>
      <c r="AB47" s="19">
        <v>10</v>
      </c>
      <c r="AC47" s="19">
        <v>11</v>
      </c>
      <c r="AD47" s="19">
        <v>12</v>
      </c>
      <c r="AE47" s="63" t="s">
        <v>21</v>
      </c>
      <c r="AF47" s="63" t="s">
        <v>22</v>
      </c>
      <c r="AG47" s="63" t="s">
        <v>23</v>
      </c>
      <c r="AH47" s="63" t="s">
        <v>24</v>
      </c>
      <c r="AI47" s="63" t="s">
        <v>99</v>
      </c>
      <c r="AJ47" s="63" t="s">
        <v>100</v>
      </c>
      <c r="AK47" s="63" t="s">
        <v>26</v>
      </c>
      <c r="AL47" s="63" t="s">
        <v>27</v>
      </c>
      <c r="AM47" s="63" t="s">
        <v>28</v>
      </c>
      <c r="AN47" s="63" t="s">
        <v>29</v>
      </c>
      <c r="AO47" s="63" t="s">
        <v>30</v>
      </c>
      <c r="AP47" s="63" t="s">
        <v>31</v>
      </c>
      <c r="AQ47" s="63" t="s">
        <v>101</v>
      </c>
      <c r="AR47" s="63" t="s">
        <v>102</v>
      </c>
      <c r="AS47" s="61" t="s">
        <v>72</v>
      </c>
      <c r="AT47" s="61" t="s">
        <v>73</v>
      </c>
      <c r="AU47" s="61" t="s">
        <v>32</v>
      </c>
      <c r="AV47" s="61" t="s">
        <v>68</v>
      </c>
      <c r="AW47" s="61" t="s">
        <v>69</v>
      </c>
      <c r="AX47" s="62" t="s">
        <v>70</v>
      </c>
      <c r="AY47" s="1"/>
      <c r="AZ47" s="1"/>
      <c r="BA47" s="14">
        <v>1</v>
      </c>
      <c r="BB47" s="71">
        <v>0.48101223149101613</v>
      </c>
      <c r="BC47" s="1"/>
      <c r="BD47" s="1"/>
      <c r="BE47" s="1"/>
      <c r="BF47" s="75">
        <v>2.239091621</v>
      </c>
      <c r="BG47" s="1"/>
      <c r="BH47" s="41" t="s">
        <v>2</v>
      </c>
      <c r="BI47" s="75">
        <v>2.239091621</v>
      </c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33"/>
    </row>
    <row r="48" spans="7:92" x14ac:dyDescent="0.2">
      <c r="K48" s="41" t="s">
        <v>2</v>
      </c>
      <c r="L48" s="6" t="s">
        <v>72</v>
      </c>
      <c r="M48" s="6" t="s">
        <v>108</v>
      </c>
      <c r="N48" s="6" t="s">
        <v>109</v>
      </c>
      <c r="O48" s="1"/>
      <c r="P48" s="1"/>
      <c r="Q48" s="41" t="s">
        <v>2</v>
      </c>
      <c r="R48" s="54">
        <v>1</v>
      </c>
      <c r="S48" s="55">
        <v>-1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55">
        <v>0</v>
      </c>
      <c r="AP48" s="55">
        <v>0</v>
      </c>
      <c r="AQ48" s="55">
        <v>0</v>
      </c>
      <c r="AR48" s="55">
        <v>0</v>
      </c>
      <c r="AS48" s="55">
        <v>1</v>
      </c>
      <c r="AT48" s="55">
        <v>0</v>
      </c>
      <c r="AU48" s="55">
        <v>0</v>
      </c>
      <c r="AV48" s="55">
        <v>0</v>
      </c>
      <c r="AW48" s="55">
        <v>0</v>
      </c>
      <c r="AX48" s="64">
        <v>0</v>
      </c>
      <c r="AY48" s="1"/>
      <c r="AZ48" s="1"/>
      <c r="BA48" s="15">
        <v>2</v>
      </c>
      <c r="BB48" s="72">
        <v>29.189131611212908</v>
      </c>
      <c r="BC48" s="1"/>
      <c r="BD48" s="1"/>
      <c r="BE48" s="1"/>
      <c r="BF48" s="76">
        <v>1.19695391</v>
      </c>
      <c r="BG48" s="1"/>
      <c r="BH48" s="8" t="s">
        <v>3</v>
      </c>
      <c r="BI48" s="76">
        <v>1.19695391</v>
      </c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33"/>
    </row>
    <row r="49" spans="11:92" x14ac:dyDescent="0.2">
      <c r="K49" s="8" t="s">
        <v>3</v>
      </c>
      <c r="L49" s="7" t="s">
        <v>110</v>
      </c>
      <c r="M49" s="7" t="s">
        <v>111</v>
      </c>
      <c r="N49" s="7" t="s">
        <v>109</v>
      </c>
      <c r="O49" s="1"/>
      <c r="P49" s="1"/>
      <c r="Q49" s="8" t="s">
        <v>3</v>
      </c>
      <c r="R49" s="57">
        <v>0</v>
      </c>
      <c r="S49" s="14">
        <v>1</v>
      </c>
      <c r="T49" s="14">
        <v>-1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1</v>
      </c>
      <c r="AF49" s="14">
        <v>0</v>
      </c>
      <c r="AG49" s="14">
        <v>-1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65">
        <v>0</v>
      </c>
      <c r="AY49" s="1"/>
      <c r="AZ49" s="1"/>
      <c r="BA49" s="14">
        <v>3</v>
      </c>
      <c r="BB49" s="72">
        <v>20.358730027907839</v>
      </c>
      <c r="BC49" s="1"/>
      <c r="BD49" s="1"/>
      <c r="BE49" s="1"/>
      <c r="BF49" s="76">
        <v>2.2983593299999998</v>
      </c>
      <c r="BG49" s="1"/>
      <c r="BH49" s="8" t="s">
        <v>4</v>
      </c>
      <c r="BI49" s="76">
        <v>2.2983593299999998</v>
      </c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33"/>
    </row>
    <row r="50" spans="11:92" x14ac:dyDescent="0.2">
      <c r="K50" s="8" t="s">
        <v>4</v>
      </c>
      <c r="L50" s="7" t="s">
        <v>73</v>
      </c>
      <c r="M50" s="7" t="s">
        <v>112</v>
      </c>
      <c r="N50" s="7" t="s">
        <v>109</v>
      </c>
      <c r="O50" s="1"/>
      <c r="P50" s="1"/>
      <c r="Q50" s="8" t="s">
        <v>4</v>
      </c>
      <c r="R50" s="57">
        <v>0</v>
      </c>
      <c r="S50" s="14">
        <v>0</v>
      </c>
      <c r="T50" s="14">
        <v>1</v>
      </c>
      <c r="U50" s="14">
        <v>-1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1</v>
      </c>
      <c r="AU50" s="14">
        <v>0</v>
      </c>
      <c r="AV50" s="14">
        <v>0</v>
      </c>
      <c r="AW50" s="14">
        <v>0</v>
      </c>
      <c r="AX50" s="65">
        <v>0</v>
      </c>
      <c r="AY50" s="1"/>
      <c r="AZ50" s="1"/>
      <c r="BA50" s="15">
        <v>4</v>
      </c>
      <c r="BB50" s="72">
        <v>51.339245703619412</v>
      </c>
      <c r="BC50" s="1"/>
      <c r="BD50" s="1"/>
      <c r="BE50" s="1"/>
      <c r="BF50" s="76">
        <v>2.1766781740000001</v>
      </c>
      <c r="BG50" s="1"/>
      <c r="BH50" s="8" t="s">
        <v>5</v>
      </c>
      <c r="BI50" s="76">
        <v>2.1766781740000001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33"/>
    </row>
    <row r="51" spans="11:92" x14ac:dyDescent="0.2">
      <c r="K51" s="8" t="s">
        <v>5</v>
      </c>
      <c r="L51" s="7" t="s">
        <v>113</v>
      </c>
      <c r="M51" s="7" t="s">
        <v>114</v>
      </c>
      <c r="N51" s="7" t="s">
        <v>109</v>
      </c>
      <c r="O51" s="1"/>
      <c r="P51" s="1"/>
      <c r="Q51" s="8" t="s">
        <v>5</v>
      </c>
      <c r="R51" s="57">
        <v>0</v>
      </c>
      <c r="S51" s="14">
        <v>0</v>
      </c>
      <c r="T51" s="14">
        <v>0</v>
      </c>
      <c r="U51" s="14">
        <v>1</v>
      </c>
      <c r="V51" s="14">
        <v>-1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1</v>
      </c>
      <c r="AG51" s="14">
        <v>0</v>
      </c>
      <c r="AH51" s="14">
        <v>-1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65">
        <v>0</v>
      </c>
      <c r="AY51" s="1"/>
      <c r="AZ51" s="1"/>
      <c r="BA51" s="14">
        <v>5</v>
      </c>
      <c r="BB51" s="72">
        <v>39.969620402207866</v>
      </c>
      <c r="BC51" s="1"/>
      <c r="BD51" s="1"/>
      <c r="BE51" s="1"/>
      <c r="BF51" s="76">
        <v>3.3631639999995903E-2</v>
      </c>
      <c r="BG51" s="1"/>
      <c r="BH51" s="8" t="s">
        <v>107</v>
      </c>
      <c r="BI51" s="76">
        <v>3.3631639999995903E-2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33"/>
    </row>
    <row r="52" spans="11:92" x14ac:dyDescent="0.2">
      <c r="K52" s="8" t="s">
        <v>107</v>
      </c>
      <c r="L52" s="7" t="s">
        <v>115</v>
      </c>
      <c r="M52" s="7" t="s">
        <v>116</v>
      </c>
      <c r="N52" s="7" t="s">
        <v>32</v>
      </c>
      <c r="O52" s="1"/>
      <c r="P52" s="1"/>
      <c r="Q52" s="8" t="s">
        <v>107</v>
      </c>
      <c r="R52" s="57">
        <v>0</v>
      </c>
      <c r="S52" s="14">
        <v>0</v>
      </c>
      <c r="T52" s="14">
        <v>0</v>
      </c>
      <c r="U52" s="14">
        <v>0</v>
      </c>
      <c r="V52" s="14">
        <v>1</v>
      </c>
      <c r="W52" s="14">
        <v>-1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-1</v>
      </c>
      <c r="AV52" s="14">
        <v>0</v>
      </c>
      <c r="AW52" s="14">
        <v>0</v>
      </c>
      <c r="AX52" s="65">
        <v>0</v>
      </c>
      <c r="AY52" s="1"/>
      <c r="AZ52" s="1"/>
      <c r="BA52" s="15">
        <v>6</v>
      </c>
      <c r="BB52" s="72">
        <v>39.935988758193041</v>
      </c>
      <c r="BC52" s="1"/>
      <c r="BD52" s="1"/>
      <c r="BE52" s="1"/>
      <c r="BF52" s="76">
        <v>0</v>
      </c>
      <c r="BG52" s="1"/>
      <c r="BH52" s="8" t="s">
        <v>7</v>
      </c>
      <c r="BI52" s="76">
        <v>0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33"/>
    </row>
    <row r="53" spans="11:92" x14ac:dyDescent="0.2">
      <c r="K53" s="8" t="s">
        <v>7</v>
      </c>
      <c r="L53" s="7" t="s">
        <v>116</v>
      </c>
      <c r="M53" s="7" t="s">
        <v>117</v>
      </c>
      <c r="N53" s="7" t="s">
        <v>109</v>
      </c>
      <c r="O53" s="1"/>
      <c r="P53" s="1"/>
      <c r="Q53" s="8" t="s">
        <v>7</v>
      </c>
      <c r="R53" s="57">
        <v>0</v>
      </c>
      <c r="S53" s="14">
        <v>0</v>
      </c>
      <c r="T53" s="14">
        <v>0</v>
      </c>
      <c r="U53" s="14">
        <v>0</v>
      </c>
      <c r="V53" s="14">
        <v>0</v>
      </c>
      <c r="W53" s="14">
        <v>1</v>
      </c>
      <c r="X53" s="14">
        <v>-1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65">
        <v>0</v>
      </c>
      <c r="AY53" s="1"/>
      <c r="AZ53" s="1"/>
      <c r="BA53" s="14" t="s">
        <v>20</v>
      </c>
      <c r="BB53" s="72">
        <v>39.935988758193041</v>
      </c>
      <c r="BC53" s="1"/>
      <c r="BD53" s="1"/>
      <c r="BE53" s="1"/>
      <c r="BF53" s="76">
        <v>4.9315308199999999</v>
      </c>
      <c r="BG53" s="1"/>
      <c r="BH53" s="8" t="s">
        <v>8</v>
      </c>
      <c r="BI53" s="76">
        <v>4.9315308199999999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33"/>
    </row>
    <row r="54" spans="11:92" x14ac:dyDescent="0.2">
      <c r="K54" s="8" t="s">
        <v>8</v>
      </c>
      <c r="L54" s="7" t="s">
        <v>117</v>
      </c>
      <c r="M54" s="7" t="s">
        <v>118</v>
      </c>
      <c r="N54" s="7" t="s">
        <v>109</v>
      </c>
      <c r="O54" s="1"/>
      <c r="P54" s="1"/>
      <c r="Q54" s="8" t="s">
        <v>8</v>
      </c>
      <c r="R54" s="57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1</v>
      </c>
      <c r="Y54" s="14">
        <v>-1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65">
        <v>0</v>
      </c>
      <c r="AY54" s="1"/>
      <c r="AZ54" s="1"/>
      <c r="BA54" s="15">
        <v>7</v>
      </c>
      <c r="BB54" s="72">
        <v>35.00445793584781</v>
      </c>
      <c r="BC54" s="1"/>
      <c r="BD54" s="1"/>
      <c r="BE54" s="1"/>
      <c r="BF54" s="76">
        <v>0.363706421000004</v>
      </c>
      <c r="BG54" s="1"/>
      <c r="BH54" s="8" t="s">
        <v>9</v>
      </c>
      <c r="BI54" s="76">
        <v>0.363706421000004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33"/>
    </row>
    <row r="55" spans="11:92" x14ac:dyDescent="0.2">
      <c r="K55" s="8" t="s">
        <v>9</v>
      </c>
      <c r="L55" s="7" t="s">
        <v>119</v>
      </c>
      <c r="M55" s="7" t="s">
        <v>120</v>
      </c>
      <c r="N55" s="7" t="s">
        <v>109</v>
      </c>
      <c r="O55" s="1"/>
      <c r="P55" s="1"/>
      <c r="Q55" s="8" t="s">
        <v>9</v>
      </c>
      <c r="R55" s="57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1</v>
      </c>
      <c r="Z55" s="14">
        <v>-1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1</v>
      </c>
      <c r="AP55" s="14">
        <v>-1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65">
        <v>0</v>
      </c>
      <c r="AY55" s="1"/>
      <c r="AZ55" s="1"/>
      <c r="BA55" s="15">
        <v>8</v>
      </c>
      <c r="BB55" s="72">
        <v>35.103820666878207</v>
      </c>
      <c r="BC55" s="1"/>
      <c r="BD55" s="1"/>
      <c r="BE55" s="1"/>
      <c r="BF55" s="76">
        <v>1.84708476499999</v>
      </c>
      <c r="BG55" s="1"/>
      <c r="BH55" s="8" t="s">
        <v>10</v>
      </c>
      <c r="BI55" s="76">
        <v>1.84708476499999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33"/>
    </row>
    <row r="56" spans="11:92" x14ac:dyDescent="0.2">
      <c r="K56" s="8" t="s">
        <v>10</v>
      </c>
      <c r="L56" s="7" t="s">
        <v>121</v>
      </c>
      <c r="M56" s="7" t="s">
        <v>122</v>
      </c>
      <c r="N56" s="7" t="s">
        <v>109</v>
      </c>
      <c r="O56" s="1"/>
      <c r="P56" s="1"/>
      <c r="Q56" s="8" t="s">
        <v>10</v>
      </c>
      <c r="R56" s="57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1</v>
      </c>
      <c r="AA56" s="14">
        <v>-1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1</v>
      </c>
      <c r="AM56" s="14">
        <v>0</v>
      </c>
      <c r="AN56" s="14">
        <v>-1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65">
        <v>0</v>
      </c>
      <c r="AY56" s="1"/>
      <c r="AZ56" s="1"/>
      <c r="BA56" s="15">
        <v>9</v>
      </c>
      <c r="BB56" s="72">
        <v>40.132489464086291</v>
      </c>
      <c r="BC56" s="1"/>
      <c r="BD56" s="1"/>
      <c r="BE56" s="1"/>
      <c r="BF56" s="76">
        <v>2.4964479700000002</v>
      </c>
      <c r="BG56" s="1"/>
      <c r="BH56" s="8" t="s">
        <v>11</v>
      </c>
      <c r="BI56" s="76">
        <v>2.4964479700000002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33"/>
    </row>
    <row r="57" spans="11:92" x14ac:dyDescent="0.2">
      <c r="K57" s="8" t="s">
        <v>11</v>
      </c>
      <c r="L57" s="7" t="s">
        <v>123</v>
      </c>
      <c r="M57" s="7" t="s">
        <v>68</v>
      </c>
      <c r="N57" s="7" t="s">
        <v>109</v>
      </c>
      <c r="O57" s="1"/>
      <c r="P57" s="1"/>
      <c r="Q57" s="8" t="s">
        <v>11</v>
      </c>
      <c r="R57" s="57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1</v>
      </c>
      <c r="AB57" s="14">
        <v>-1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-1</v>
      </c>
      <c r="AW57" s="14">
        <v>0</v>
      </c>
      <c r="AX57" s="65">
        <v>0</v>
      </c>
      <c r="AY57" s="1"/>
      <c r="AZ57" s="1"/>
      <c r="BA57" s="15">
        <v>10</v>
      </c>
      <c r="BB57" s="72">
        <v>23.320246493194219</v>
      </c>
      <c r="BC57" s="1"/>
      <c r="BD57" s="1"/>
      <c r="BE57" s="1"/>
      <c r="BF57" s="76">
        <v>0.98814862699999795</v>
      </c>
      <c r="BG57" s="1"/>
      <c r="BH57" s="8" t="s">
        <v>12</v>
      </c>
      <c r="BI57" s="76">
        <v>0.98814862699999795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33"/>
    </row>
    <row r="58" spans="11:92" x14ac:dyDescent="0.2">
      <c r="K58" s="8" t="s">
        <v>12</v>
      </c>
      <c r="L58" s="7" t="s">
        <v>124</v>
      </c>
      <c r="M58" s="7" t="s">
        <v>125</v>
      </c>
      <c r="N58" s="7" t="s">
        <v>109</v>
      </c>
      <c r="O58" s="1"/>
      <c r="P58" s="1"/>
      <c r="Q58" s="8" t="s">
        <v>12</v>
      </c>
      <c r="R58" s="57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1</v>
      </c>
      <c r="AC58" s="14">
        <v>-1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1</v>
      </c>
      <c r="AL58" s="14">
        <v>0</v>
      </c>
      <c r="AM58" s="14">
        <v>-1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65">
        <v>0</v>
      </c>
      <c r="AY58" s="1"/>
      <c r="AZ58" s="1"/>
      <c r="BA58" s="15">
        <v>11</v>
      </c>
      <c r="BB58" s="72">
        <v>28.527466731702823</v>
      </c>
      <c r="BC58" s="1"/>
      <c r="BD58" s="1"/>
      <c r="BE58" s="1"/>
      <c r="BF58" s="76">
        <v>4.9389934440000003</v>
      </c>
      <c r="BG58" s="1"/>
      <c r="BH58" s="8" t="s">
        <v>13</v>
      </c>
      <c r="BI58" s="76">
        <v>4.9389934440000003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33"/>
    </row>
    <row r="59" spans="11:92" x14ac:dyDescent="0.2">
      <c r="K59" s="8" t="s">
        <v>13</v>
      </c>
      <c r="L59" s="7" t="s">
        <v>126</v>
      </c>
      <c r="M59" s="7" t="s">
        <v>69</v>
      </c>
      <c r="N59" s="7" t="s">
        <v>127</v>
      </c>
      <c r="O59" s="1"/>
      <c r="P59" s="1"/>
      <c r="Q59" s="8" t="s">
        <v>13</v>
      </c>
      <c r="R59" s="57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1</v>
      </c>
      <c r="AD59" s="14">
        <v>-1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-1</v>
      </c>
      <c r="AX59" s="65">
        <v>0</v>
      </c>
      <c r="AY59" s="1"/>
      <c r="AZ59" s="1"/>
      <c r="BA59" s="15">
        <v>12</v>
      </c>
      <c r="BB59" s="72">
        <v>0.48119428590740693</v>
      </c>
      <c r="BC59" s="1"/>
      <c r="BD59" s="1"/>
      <c r="BE59" s="1"/>
      <c r="BF59" s="77">
        <v>7.6250000020650103E-6</v>
      </c>
      <c r="BG59" s="1"/>
      <c r="BH59" s="8" t="s">
        <v>14</v>
      </c>
      <c r="BI59" s="76">
        <v>0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33"/>
    </row>
    <row r="60" spans="11:92" x14ac:dyDescent="0.2">
      <c r="K60" s="8" t="s">
        <v>14</v>
      </c>
      <c r="L60" s="7" t="s">
        <v>128</v>
      </c>
      <c r="M60" s="7" t="s">
        <v>99</v>
      </c>
      <c r="N60" s="7" t="s">
        <v>109</v>
      </c>
      <c r="O60" s="1"/>
      <c r="P60" s="1"/>
      <c r="Q60" s="8" t="s">
        <v>14</v>
      </c>
      <c r="R60" s="57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1</v>
      </c>
      <c r="AH60" s="14">
        <v>1</v>
      </c>
      <c r="AI60" s="14">
        <v>-1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65">
        <v>0</v>
      </c>
      <c r="AY60" s="1"/>
      <c r="AZ60" s="1"/>
      <c r="BA60" s="14" t="s">
        <v>141</v>
      </c>
      <c r="BB60" s="72">
        <v>1.3940724947806165</v>
      </c>
      <c r="BC60" s="1"/>
      <c r="BD60" s="1"/>
      <c r="BE60" s="1"/>
      <c r="BF60" s="76">
        <v>0</v>
      </c>
      <c r="BG60" s="1"/>
      <c r="BH60" s="8" t="s">
        <v>132</v>
      </c>
      <c r="BI60" s="76">
        <v>0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33"/>
    </row>
    <row r="61" spans="11:92" x14ac:dyDescent="0.2">
      <c r="K61" s="8" t="s">
        <v>132</v>
      </c>
      <c r="L61" s="7" t="s">
        <v>99</v>
      </c>
      <c r="M61" s="7" t="s">
        <v>100</v>
      </c>
      <c r="N61" s="7" t="s">
        <v>109</v>
      </c>
      <c r="O61" s="1"/>
      <c r="P61" s="1"/>
      <c r="Q61" s="8" t="s">
        <v>132</v>
      </c>
      <c r="R61" s="57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1</v>
      </c>
      <c r="AJ61" s="14">
        <v>-1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65">
        <v>0</v>
      </c>
      <c r="AY61" s="1"/>
      <c r="AZ61" s="1"/>
      <c r="BA61" s="14" t="s">
        <v>142</v>
      </c>
      <c r="BB61" s="72">
        <v>1.6728869937367397</v>
      </c>
      <c r="BC61" s="1"/>
      <c r="BD61" s="1"/>
      <c r="BE61" s="1"/>
      <c r="BF61" s="77">
        <v>4.0000003309614799E-9</v>
      </c>
      <c r="BG61" s="1"/>
      <c r="BH61" s="8" t="s">
        <v>15</v>
      </c>
      <c r="BI61" s="76">
        <v>0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33"/>
    </row>
    <row r="62" spans="11:92" x14ac:dyDescent="0.2">
      <c r="K62" s="8" t="s">
        <v>15</v>
      </c>
      <c r="L62" s="7" t="s">
        <v>100</v>
      </c>
      <c r="M62" s="7" t="s">
        <v>129</v>
      </c>
      <c r="N62" s="7" t="s">
        <v>109</v>
      </c>
      <c r="O62" s="1"/>
      <c r="P62" s="1"/>
      <c r="Q62" s="8" t="s">
        <v>15</v>
      </c>
      <c r="R62" s="57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1</v>
      </c>
      <c r="AK62" s="14">
        <v>-1</v>
      </c>
      <c r="AL62" s="14">
        <v>-1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65">
        <v>0</v>
      </c>
      <c r="AY62" s="1"/>
      <c r="AZ62" s="1"/>
      <c r="BA62" s="14" t="s">
        <v>143</v>
      </c>
      <c r="BB62" s="72">
        <v>9.0275201648463579</v>
      </c>
      <c r="BC62" s="1"/>
      <c r="BD62" s="1"/>
      <c r="BE62" s="1"/>
      <c r="BF62" s="76">
        <v>2.4853386000000199E-2</v>
      </c>
      <c r="BG62" s="1"/>
      <c r="BH62" s="8" t="s">
        <v>16</v>
      </c>
      <c r="BI62" s="76">
        <v>0</v>
      </c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33"/>
    </row>
    <row r="63" spans="11:92" x14ac:dyDescent="0.2">
      <c r="K63" s="8" t="s">
        <v>16</v>
      </c>
      <c r="L63" s="7" t="s">
        <v>130</v>
      </c>
      <c r="M63" s="7" t="s">
        <v>30</v>
      </c>
      <c r="N63" s="7" t="s">
        <v>109</v>
      </c>
      <c r="O63" s="1"/>
      <c r="P63" s="1"/>
      <c r="Q63" s="8" t="s">
        <v>16</v>
      </c>
      <c r="R63" s="57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1</v>
      </c>
      <c r="AN63" s="14">
        <v>1</v>
      </c>
      <c r="AO63" s="14">
        <v>-1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65">
        <v>0</v>
      </c>
      <c r="AY63" s="1"/>
      <c r="AZ63" s="1"/>
      <c r="BA63" s="14" t="s">
        <v>144</v>
      </c>
      <c r="BB63" s="72">
        <v>10.865834124528547</v>
      </c>
      <c r="BC63" s="1"/>
      <c r="BD63" s="1"/>
      <c r="BE63" s="1"/>
      <c r="BF63" s="76">
        <v>3.2673422080000001</v>
      </c>
      <c r="BG63" s="1"/>
      <c r="BH63" s="8" t="s">
        <v>67</v>
      </c>
      <c r="BI63" s="76">
        <v>3.2673422080000001</v>
      </c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33"/>
    </row>
    <row r="64" spans="11:92" x14ac:dyDescent="0.2">
      <c r="K64" s="8" t="s">
        <v>67</v>
      </c>
      <c r="L64" s="7" t="s">
        <v>31</v>
      </c>
      <c r="M64" s="7" t="s">
        <v>101</v>
      </c>
      <c r="N64" s="7" t="s">
        <v>70</v>
      </c>
      <c r="O64" s="1"/>
      <c r="P64" s="1"/>
      <c r="Q64" s="8" t="s">
        <v>67</v>
      </c>
      <c r="R64" s="57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1</v>
      </c>
      <c r="AQ64" s="14">
        <v>-1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65">
        <v>-1</v>
      </c>
      <c r="AY64" s="1"/>
      <c r="AZ64" s="1"/>
      <c r="BA64" s="14" t="s">
        <v>145</v>
      </c>
      <c r="BB64" s="72">
        <v>19.8933466559028</v>
      </c>
      <c r="BC64" s="1"/>
      <c r="BD64" s="1"/>
      <c r="BE64" s="1"/>
      <c r="BF64" s="76">
        <v>0</v>
      </c>
      <c r="BG64" s="1"/>
      <c r="BH64" s="8" t="s">
        <v>131</v>
      </c>
      <c r="BI64" s="76">
        <v>0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33"/>
    </row>
    <row r="65" spans="11:92" ht="15" thickBot="1" x14ac:dyDescent="0.25">
      <c r="K65" s="8" t="s">
        <v>131</v>
      </c>
      <c r="L65" s="7" t="s">
        <v>101</v>
      </c>
      <c r="M65" s="7" t="s">
        <v>102</v>
      </c>
      <c r="N65" s="7" t="s">
        <v>109</v>
      </c>
      <c r="O65" s="1"/>
      <c r="P65" s="1"/>
      <c r="Q65" s="8" t="s">
        <v>131</v>
      </c>
      <c r="R65" s="57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1</v>
      </c>
      <c r="AR65" s="14">
        <v>-1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65">
        <v>0</v>
      </c>
      <c r="AY65" s="1"/>
      <c r="AZ65" s="1"/>
      <c r="BA65" s="14" t="s">
        <v>146</v>
      </c>
      <c r="BB65" s="72">
        <v>19.8933466559028</v>
      </c>
      <c r="BC65" s="1"/>
      <c r="BD65" s="1"/>
      <c r="BE65" s="1"/>
      <c r="BF65" s="78">
        <v>-4.4408920985006301E-16</v>
      </c>
      <c r="BG65" s="1"/>
      <c r="BH65" s="9" t="s">
        <v>17</v>
      </c>
      <c r="BI65" s="79">
        <v>0</v>
      </c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33"/>
    </row>
    <row r="66" spans="11:92" ht="15" thickBot="1" x14ac:dyDescent="0.25">
      <c r="K66" s="9" t="s">
        <v>17</v>
      </c>
      <c r="L66" s="9" t="s">
        <v>102</v>
      </c>
      <c r="M66" s="9" t="s">
        <v>138</v>
      </c>
      <c r="N66" s="9" t="s">
        <v>109</v>
      </c>
      <c r="O66" s="1"/>
      <c r="P66" s="1"/>
      <c r="Q66" s="9" t="s">
        <v>17</v>
      </c>
      <c r="R66" s="59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-1</v>
      </c>
      <c r="AF66" s="60">
        <v>-1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0</v>
      </c>
      <c r="AM66" s="60">
        <v>0</v>
      </c>
      <c r="AN66" s="60">
        <v>0</v>
      </c>
      <c r="AO66" s="60">
        <v>0</v>
      </c>
      <c r="AP66" s="60">
        <v>0</v>
      </c>
      <c r="AQ66" s="60">
        <v>0</v>
      </c>
      <c r="AR66" s="60">
        <v>1</v>
      </c>
      <c r="AS66" s="60">
        <v>0</v>
      </c>
      <c r="AT66" s="60">
        <v>0</v>
      </c>
      <c r="AU66" s="60">
        <v>0</v>
      </c>
      <c r="AV66" s="60">
        <v>0</v>
      </c>
      <c r="AW66" s="60">
        <v>0</v>
      </c>
      <c r="AX66" s="66">
        <v>0</v>
      </c>
      <c r="AY66" s="1"/>
      <c r="AZ66" s="1"/>
      <c r="BA66" s="14" t="s">
        <v>147</v>
      </c>
      <c r="BB66" s="72">
        <v>9.9466733279513999</v>
      </c>
      <c r="BC66" s="1"/>
      <c r="BD66" s="1"/>
      <c r="BE66" s="1"/>
      <c r="BF66" s="1"/>
      <c r="BG66" s="1"/>
      <c r="BH66" s="1"/>
      <c r="BI66" s="1">
        <f>SUM(BI47:BI65)</f>
        <v>26.777968929999986</v>
      </c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33"/>
    </row>
    <row r="67" spans="11:92" x14ac:dyDescent="0.2">
      <c r="K67" s="3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4" t="s">
        <v>148</v>
      </c>
      <c r="BB67" s="72">
        <v>9.9466733279513999</v>
      </c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33"/>
    </row>
    <row r="68" spans="11:92" x14ac:dyDescent="0.2">
      <c r="K68" s="3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4" t="s">
        <v>149</v>
      </c>
      <c r="BB68" s="72">
        <v>3.7513044611618565</v>
      </c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33"/>
    </row>
    <row r="69" spans="11:92" x14ac:dyDescent="0.2">
      <c r="K69" s="3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4" t="s">
        <v>150</v>
      </c>
      <c r="BB69" s="72">
        <v>3.0709197733430749</v>
      </c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33"/>
    </row>
    <row r="70" spans="11:92" x14ac:dyDescent="0.2">
      <c r="K70" s="3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4" t="s">
        <v>151</v>
      </c>
      <c r="BB70" s="72">
        <v>6.797370848151302</v>
      </c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33"/>
    </row>
    <row r="71" spans="11:92" x14ac:dyDescent="0.2">
      <c r="K71" s="3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4" t="s">
        <v>152</v>
      </c>
      <c r="BB71" s="72">
        <v>6.3343016969439692</v>
      </c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33"/>
    </row>
    <row r="72" spans="11:92" x14ac:dyDescent="0.2">
      <c r="K72" s="3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4" t="s">
        <v>153</v>
      </c>
      <c r="BB72" s="72">
        <v>3.0669594885173561</v>
      </c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33"/>
    </row>
    <row r="73" spans="11:92" x14ac:dyDescent="0.2">
      <c r="K73" s="3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4" t="s">
        <v>154</v>
      </c>
      <c r="BB73" s="72">
        <v>3.0669594885173561</v>
      </c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33"/>
    </row>
    <row r="74" spans="11:92" x14ac:dyDescent="0.2">
      <c r="K74" s="3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4" t="s">
        <v>155</v>
      </c>
      <c r="BB74" s="72">
        <v>30.947210999999999</v>
      </c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33"/>
    </row>
    <row r="75" spans="11:92" x14ac:dyDescent="0.2">
      <c r="K75" s="3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4" t="s">
        <v>156</v>
      </c>
      <c r="BB75" s="72">
        <v>33.278874999999999</v>
      </c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33"/>
    </row>
    <row r="76" spans="11:92" x14ac:dyDescent="0.2">
      <c r="K76" s="3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4" t="s">
        <v>157</v>
      </c>
      <c r="BB76" s="72">
        <v>0</v>
      </c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33"/>
    </row>
    <row r="77" spans="11:92" x14ac:dyDescent="0.2">
      <c r="K77" s="3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4" t="s">
        <v>158</v>
      </c>
      <c r="BB77" s="72">
        <v>14.315795</v>
      </c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33"/>
    </row>
    <row r="78" spans="11:92" x14ac:dyDescent="0.2">
      <c r="K78" s="3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4" t="s">
        <v>159</v>
      </c>
      <c r="BB78" s="72">
        <v>23.107278999999998</v>
      </c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33"/>
    </row>
    <row r="79" spans="11:92" ht="15" thickBot="1" x14ac:dyDescent="0.25">
      <c r="K79" s="3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4" t="s">
        <v>160</v>
      </c>
      <c r="BB79" s="45">
        <v>0</v>
      </c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33"/>
    </row>
    <row r="80" spans="11:92" x14ac:dyDescent="0.2">
      <c r="K80" s="3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33"/>
    </row>
    <row r="81" spans="11:92" x14ac:dyDescent="0.2">
      <c r="K81" s="3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33"/>
    </row>
    <row r="82" spans="11:92" x14ac:dyDescent="0.2">
      <c r="K82" s="32"/>
      <c r="L82" s="1"/>
      <c r="M82" s="1"/>
      <c r="N82" s="1"/>
      <c r="O82" s="1"/>
      <c r="P82" s="1"/>
      <c r="Q82" s="1"/>
      <c r="R82" s="1">
        <v>1</v>
      </c>
      <c r="S82" s="1">
        <v>2</v>
      </c>
      <c r="T82" s="1">
        <v>3</v>
      </c>
      <c r="U82" s="1">
        <v>4</v>
      </c>
      <c r="V82" s="1">
        <v>5</v>
      </c>
      <c r="W82" s="1">
        <v>6</v>
      </c>
      <c r="X82" s="1">
        <v>7</v>
      </c>
      <c r="Y82" s="1">
        <v>8</v>
      </c>
      <c r="Z82" s="1">
        <v>9</v>
      </c>
      <c r="AA82" s="1">
        <v>10</v>
      </c>
      <c r="AB82" s="1">
        <v>11</v>
      </c>
      <c r="AC82" s="1">
        <v>12</v>
      </c>
      <c r="AD82" s="1">
        <v>13</v>
      </c>
      <c r="AE82" s="1">
        <v>14</v>
      </c>
      <c r="AF82" s="1">
        <v>15</v>
      </c>
      <c r="AG82" s="1">
        <v>16</v>
      </c>
      <c r="AH82" s="1">
        <v>17</v>
      </c>
      <c r="AI82" s="1">
        <v>18</v>
      </c>
      <c r="AJ82" s="1">
        <v>19</v>
      </c>
      <c r="AK82" s="1">
        <v>20</v>
      </c>
      <c r="AL82" s="1">
        <v>21</v>
      </c>
      <c r="AM82" s="1">
        <v>22</v>
      </c>
      <c r="AN82" s="1">
        <v>23</v>
      </c>
      <c r="AO82" s="1">
        <v>24</v>
      </c>
      <c r="AP82" s="1">
        <v>25</v>
      </c>
      <c r="AQ82" s="1">
        <v>26</v>
      </c>
      <c r="AR82" s="1">
        <v>27</v>
      </c>
      <c r="AS82" s="1">
        <v>28</v>
      </c>
      <c r="AT82" s="1">
        <v>29</v>
      </c>
      <c r="AU82" s="1">
        <v>30</v>
      </c>
      <c r="AV82" s="1">
        <v>31</v>
      </c>
      <c r="AW82" s="1">
        <v>32</v>
      </c>
      <c r="AX82" s="1">
        <v>33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33"/>
    </row>
    <row r="83" spans="11:92" ht="15" thickBot="1" x14ac:dyDescent="0.25">
      <c r="K83" s="3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33"/>
    </row>
    <row r="84" spans="11:92" ht="15" thickBot="1" x14ac:dyDescent="0.25">
      <c r="K84" s="32"/>
      <c r="L84" s="6" t="s">
        <v>170</v>
      </c>
      <c r="M84" s="1"/>
      <c r="N84" s="1"/>
      <c r="O84" s="1"/>
      <c r="P84" s="38" t="s">
        <v>167</v>
      </c>
      <c r="Q84" s="2"/>
      <c r="R84" s="3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33"/>
    </row>
    <row r="85" spans="11:92" ht="18.75" thickBot="1" x14ac:dyDescent="0.3">
      <c r="K85" s="32"/>
      <c r="L85" s="31" t="s">
        <v>171</v>
      </c>
      <c r="M85" s="30" t="s">
        <v>172</v>
      </c>
      <c r="N85" s="1"/>
      <c r="O85" s="1"/>
      <c r="P85" s="1"/>
      <c r="Q85" s="84" t="s">
        <v>168</v>
      </c>
      <c r="R85" s="29"/>
      <c r="S85" s="29"/>
      <c r="T85" s="29"/>
      <c r="U85" s="29"/>
      <c r="V85" s="29"/>
      <c r="W85" s="29" t="s">
        <v>137</v>
      </c>
      <c r="X85" s="29"/>
      <c r="Y85" s="29"/>
      <c r="Z85" s="29"/>
      <c r="AA85" s="29"/>
      <c r="AB85" s="29"/>
      <c r="AC85" s="29"/>
      <c r="AD85" s="30"/>
      <c r="AE85" s="31"/>
      <c r="AF85" s="29"/>
      <c r="AG85" s="29"/>
      <c r="AH85" s="29" t="s">
        <v>136</v>
      </c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38"/>
      <c r="AT85" s="2" t="s">
        <v>135</v>
      </c>
      <c r="AU85" s="2"/>
      <c r="AV85" s="2"/>
      <c r="AW85" s="2"/>
      <c r="AX85" s="3"/>
      <c r="AY85" s="1"/>
      <c r="AZ85" s="1"/>
      <c r="BA85" s="1"/>
      <c r="BB85" s="1"/>
      <c r="BC85" s="1"/>
      <c r="BD85" s="1"/>
      <c r="BE85" s="1" t="s">
        <v>165</v>
      </c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33"/>
    </row>
    <row r="86" spans="11:92" ht="15" thickBot="1" x14ac:dyDescent="0.25">
      <c r="K86" s="32"/>
      <c r="L86" s="32" t="s">
        <v>175</v>
      </c>
      <c r="M86" s="33" t="s">
        <v>176</v>
      </c>
      <c r="N86" s="1"/>
      <c r="O86" s="1"/>
      <c r="P86" s="1"/>
      <c r="Q86" s="39"/>
      <c r="R86" s="52">
        <v>1</v>
      </c>
      <c r="S86" s="52">
        <v>2</v>
      </c>
      <c r="T86" s="52">
        <v>3</v>
      </c>
      <c r="U86" s="52">
        <v>4</v>
      </c>
      <c r="V86" s="52">
        <v>5</v>
      </c>
      <c r="W86" s="52">
        <v>6</v>
      </c>
      <c r="X86" s="52" t="s">
        <v>20</v>
      </c>
      <c r="Y86" s="52">
        <v>7</v>
      </c>
      <c r="Z86" s="52">
        <v>8</v>
      </c>
      <c r="AA86" s="52">
        <v>9</v>
      </c>
      <c r="AB86" s="52">
        <v>10</v>
      </c>
      <c r="AC86" s="52">
        <v>11</v>
      </c>
      <c r="AD86" s="52">
        <v>12</v>
      </c>
      <c r="AE86" s="51" t="s">
        <v>21</v>
      </c>
      <c r="AF86" s="51" t="s">
        <v>22</v>
      </c>
      <c r="AG86" s="51" t="s">
        <v>23</v>
      </c>
      <c r="AH86" s="51" t="s">
        <v>24</v>
      </c>
      <c r="AI86" s="51" t="s">
        <v>99</v>
      </c>
      <c r="AJ86" s="51" t="s">
        <v>100</v>
      </c>
      <c r="AK86" s="51" t="s">
        <v>26</v>
      </c>
      <c r="AL86" s="51" t="s">
        <v>27</v>
      </c>
      <c r="AM86" s="51" t="s">
        <v>28</v>
      </c>
      <c r="AN86" s="51" t="s">
        <v>29</v>
      </c>
      <c r="AO86" s="51" t="s">
        <v>30</v>
      </c>
      <c r="AP86" s="51" t="s">
        <v>31</v>
      </c>
      <c r="AQ86" s="51" t="s">
        <v>101</v>
      </c>
      <c r="AR86" s="51" t="s">
        <v>102</v>
      </c>
      <c r="AS86" s="53" t="s">
        <v>72</v>
      </c>
      <c r="AT86" s="53" t="s">
        <v>73</v>
      </c>
      <c r="AU86" s="53" t="s">
        <v>32</v>
      </c>
      <c r="AV86" s="53" t="s">
        <v>68</v>
      </c>
      <c r="AW86" s="53" t="s">
        <v>69</v>
      </c>
      <c r="AX86" s="53" t="s">
        <v>70</v>
      </c>
      <c r="AY86" s="1"/>
      <c r="AZ86" s="1"/>
      <c r="BA86" s="94" t="s">
        <v>173</v>
      </c>
      <c r="BB86" s="95" t="s">
        <v>174</v>
      </c>
      <c r="BC86" s="1"/>
      <c r="BD86" s="1"/>
      <c r="BE86" s="96" t="s">
        <v>200</v>
      </c>
      <c r="BF86" s="97" t="s">
        <v>201</v>
      </c>
      <c r="BG86" s="96" t="s">
        <v>202</v>
      </c>
      <c r="BH86" s="97" t="s">
        <v>203</v>
      </c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33"/>
    </row>
    <row r="87" spans="11:92" x14ac:dyDescent="0.2">
      <c r="K87" s="32"/>
      <c r="L87" s="32" t="s">
        <v>177</v>
      </c>
      <c r="M87" s="33" t="s">
        <v>178</v>
      </c>
      <c r="N87" s="1"/>
      <c r="O87" s="1"/>
      <c r="P87" s="1"/>
      <c r="Q87" s="6" t="s">
        <v>2</v>
      </c>
      <c r="R87" s="54">
        <v>1</v>
      </c>
      <c r="S87" s="55">
        <v>-1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  <c r="AS87" s="55">
        <v>1</v>
      </c>
      <c r="AT87" s="55">
        <v>0</v>
      </c>
      <c r="AU87" s="55">
        <v>0</v>
      </c>
      <c r="AV87" s="55">
        <v>0</v>
      </c>
      <c r="AW87" s="55">
        <v>0</v>
      </c>
      <c r="AX87" s="56">
        <v>0</v>
      </c>
      <c r="AY87" s="1"/>
      <c r="AZ87" s="1"/>
      <c r="BA87" s="14">
        <v>1</v>
      </c>
      <c r="BB87" s="92">
        <v>0</v>
      </c>
      <c r="BC87" s="1">
        <v>1</v>
      </c>
      <c r="BD87" s="1"/>
      <c r="BE87" s="1"/>
      <c r="BF87" s="98">
        <v>0.48101223099999402</v>
      </c>
      <c r="BG87" s="1"/>
      <c r="BH87" s="101">
        <f>BF87/BB47</f>
        <v>0.99999999897919001</v>
      </c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33"/>
    </row>
    <row r="88" spans="11:92" x14ac:dyDescent="0.2">
      <c r="K88" s="32"/>
      <c r="L88" s="32" t="s">
        <v>179</v>
      </c>
      <c r="M88" s="33" t="s">
        <v>180</v>
      </c>
      <c r="N88" s="1"/>
      <c r="O88" s="1"/>
      <c r="P88" s="1"/>
      <c r="Q88" s="7" t="s">
        <v>3</v>
      </c>
      <c r="R88" s="57">
        <v>0</v>
      </c>
      <c r="S88" s="14">
        <v>1</v>
      </c>
      <c r="T88" s="14">
        <v>-1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1</v>
      </c>
      <c r="AF88" s="14">
        <v>0</v>
      </c>
      <c r="AG88" s="14">
        <v>-1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58">
        <v>0</v>
      </c>
      <c r="AY88" s="1"/>
      <c r="AZ88" s="1"/>
      <c r="BA88" s="14">
        <v>2</v>
      </c>
      <c r="BB88" s="92">
        <v>0</v>
      </c>
      <c r="BC88" s="1">
        <v>2</v>
      </c>
      <c r="BD88" s="1"/>
      <c r="BE88" s="1"/>
      <c r="BF88" s="99">
        <v>31.428223231</v>
      </c>
      <c r="BG88" s="1"/>
      <c r="BH88" s="102">
        <f t="shared" ref="BH88:BH118" si="6">BF88/BB48</f>
        <v>1.0767097716235914</v>
      </c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33"/>
    </row>
    <row r="89" spans="11:92" x14ac:dyDescent="0.2">
      <c r="K89" s="32"/>
      <c r="L89" s="32" t="s">
        <v>181</v>
      </c>
      <c r="M89" s="33" t="s">
        <v>182</v>
      </c>
      <c r="N89" s="1"/>
      <c r="O89" s="1"/>
      <c r="P89" s="1"/>
      <c r="Q89" s="7" t="s">
        <v>4</v>
      </c>
      <c r="R89" s="57">
        <v>0</v>
      </c>
      <c r="S89" s="14">
        <v>0</v>
      </c>
      <c r="T89" s="14">
        <v>1</v>
      </c>
      <c r="U89" s="14">
        <v>-1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1</v>
      </c>
      <c r="AU89" s="14">
        <v>0</v>
      </c>
      <c r="AV89" s="14">
        <v>0</v>
      </c>
      <c r="AW89" s="14">
        <v>0</v>
      </c>
      <c r="AX89" s="58">
        <v>0</v>
      </c>
      <c r="AY89" s="1"/>
      <c r="AZ89" s="1"/>
      <c r="BA89" s="14">
        <v>3</v>
      </c>
      <c r="BB89" s="92">
        <v>0</v>
      </c>
      <c r="BC89" s="1">
        <v>3</v>
      </c>
      <c r="BD89" s="1"/>
      <c r="BE89" s="1"/>
      <c r="BF89" s="99">
        <v>21.9204435575591</v>
      </c>
      <c r="BG89" s="1"/>
      <c r="BH89" s="102">
        <f t="shared" si="6"/>
        <v>1.0767097715579732</v>
      </c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33"/>
    </row>
    <row r="90" spans="11:92" x14ac:dyDescent="0.2">
      <c r="K90" s="32"/>
      <c r="L90" s="32" t="s">
        <v>183</v>
      </c>
      <c r="M90" s="33" t="s">
        <v>184</v>
      </c>
      <c r="N90" s="1"/>
      <c r="O90" s="1"/>
      <c r="P90" s="1"/>
      <c r="Q90" s="7" t="s">
        <v>5</v>
      </c>
      <c r="R90" s="57">
        <v>0</v>
      </c>
      <c r="S90" s="14">
        <v>0</v>
      </c>
      <c r="T90" s="14">
        <v>0</v>
      </c>
      <c r="U90" s="14">
        <v>1</v>
      </c>
      <c r="V90" s="14">
        <v>-1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1</v>
      </c>
      <c r="AG90" s="14">
        <v>0</v>
      </c>
      <c r="AH90" s="14">
        <v>-1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58">
        <v>0</v>
      </c>
      <c r="AY90" s="1"/>
      <c r="AZ90" s="1"/>
      <c r="BA90" s="14">
        <v>4</v>
      </c>
      <c r="BB90" s="92">
        <v>0</v>
      </c>
      <c r="BC90" s="1">
        <v>4</v>
      </c>
      <c r="BD90" s="1"/>
      <c r="BE90" s="1"/>
      <c r="BF90" s="99">
        <v>55.199318557559103</v>
      </c>
      <c r="BG90" s="1"/>
      <c r="BH90" s="102">
        <f t="shared" si="6"/>
        <v>1.0751875646211053</v>
      </c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33"/>
    </row>
    <row r="91" spans="11:92" x14ac:dyDescent="0.2">
      <c r="K91" s="32"/>
      <c r="L91" s="32" t="s">
        <v>185</v>
      </c>
      <c r="M91" s="33" t="s">
        <v>188</v>
      </c>
      <c r="N91" s="1"/>
      <c r="O91" s="1"/>
      <c r="P91" s="1"/>
      <c r="Q91" s="7" t="s">
        <v>107</v>
      </c>
      <c r="R91" s="57">
        <v>0</v>
      </c>
      <c r="S91" s="14">
        <v>0</v>
      </c>
      <c r="T91" s="14">
        <v>0</v>
      </c>
      <c r="U91" s="14">
        <v>0</v>
      </c>
      <c r="V91" s="14">
        <v>1</v>
      </c>
      <c r="W91" s="14">
        <v>-1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-1</v>
      </c>
      <c r="AV91" s="14">
        <v>0</v>
      </c>
      <c r="AW91" s="14">
        <v>0</v>
      </c>
      <c r="AX91" s="58">
        <v>0</v>
      </c>
      <c r="AY91" s="1"/>
      <c r="AZ91" s="1"/>
      <c r="BA91" s="14">
        <v>5</v>
      </c>
      <c r="BB91" s="92">
        <v>0</v>
      </c>
      <c r="BC91" s="1">
        <v>5</v>
      </c>
      <c r="BD91" s="1"/>
      <c r="BE91" s="1"/>
      <c r="BF91" s="99">
        <v>42.974838830279097</v>
      </c>
      <c r="BG91" s="1"/>
      <c r="BH91" s="102">
        <f t="shared" si="6"/>
        <v>1.0751875649012976</v>
      </c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33"/>
    </row>
    <row r="92" spans="11:92" x14ac:dyDescent="0.2">
      <c r="K92" s="32"/>
      <c r="L92" s="32" t="s">
        <v>186</v>
      </c>
      <c r="M92" s="33" t="s">
        <v>189</v>
      </c>
      <c r="N92" s="1"/>
      <c r="O92" s="1"/>
      <c r="P92" s="145" t="s">
        <v>169</v>
      </c>
      <c r="Q92" s="7" t="s">
        <v>7</v>
      </c>
      <c r="R92" s="57">
        <v>0</v>
      </c>
      <c r="S92" s="14">
        <v>0</v>
      </c>
      <c r="T92" s="14">
        <v>0</v>
      </c>
      <c r="U92" s="14">
        <v>0</v>
      </c>
      <c r="V92" s="14">
        <v>0</v>
      </c>
      <c r="W92" s="14">
        <v>1</v>
      </c>
      <c r="X92" s="14">
        <v>-1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58">
        <v>0</v>
      </c>
      <c r="AY92" s="1"/>
      <c r="AZ92" s="1"/>
      <c r="BA92" s="14">
        <v>6</v>
      </c>
      <c r="BB92" s="92">
        <v>0</v>
      </c>
      <c r="BC92" s="1">
        <v>6</v>
      </c>
      <c r="BD92" s="1"/>
      <c r="BE92" s="1"/>
      <c r="BF92" s="99">
        <v>42.974838830279097</v>
      </c>
      <c r="BG92" s="1"/>
      <c r="BH92" s="102">
        <f t="shared" si="6"/>
        <v>1.0760930220229648</v>
      </c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33"/>
    </row>
    <row r="93" spans="11:92" x14ac:dyDescent="0.2">
      <c r="K93" s="32"/>
      <c r="L93" s="32" t="s">
        <v>187</v>
      </c>
      <c r="M93" s="33" t="s">
        <v>190</v>
      </c>
      <c r="N93" s="1"/>
      <c r="O93" s="1"/>
      <c r="P93" s="1"/>
      <c r="Q93" s="7" t="s">
        <v>8</v>
      </c>
      <c r="R93" s="57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1</v>
      </c>
      <c r="Y93" s="14">
        <v>-1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58">
        <v>0</v>
      </c>
      <c r="AY93" s="1"/>
      <c r="AZ93" s="1"/>
      <c r="BA93" s="14" t="s">
        <v>20</v>
      </c>
      <c r="BB93" s="92">
        <v>0</v>
      </c>
      <c r="BC93" s="1">
        <v>7</v>
      </c>
      <c r="BD93" s="1"/>
      <c r="BE93" s="1"/>
      <c r="BF93" s="99">
        <v>42.974838830279097</v>
      </c>
      <c r="BG93" s="1"/>
      <c r="BH93" s="102">
        <f t="shared" si="6"/>
        <v>1.0760930220229648</v>
      </c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33"/>
    </row>
    <row r="94" spans="11:92" x14ac:dyDescent="0.2">
      <c r="K94" s="32"/>
      <c r="L94" s="32" t="s">
        <v>191</v>
      </c>
      <c r="M94" s="33" t="s">
        <v>192</v>
      </c>
      <c r="N94" s="1"/>
      <c r="O94" s="1"/>
      <c r="P94" s="1"/>
      <c r="Q94" s="7" t="s">
        <v>9</v>
      </c>
      <c r="R94" s="57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1</v>
      </c>
      <c r="Z94" s="14">
        <v>-1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1</v>
      </c>
      <c r="AP94" s="14">
        <v>-1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58">
        <v>0</v>
      </c>
      <c r="AY94" s="1"/>
      <c r="AZ94" s="1"/>
      <c r="BA94" s="14">
        <v>7</v>
      </c>
      <c r="BB94" s="92">
        <v>0</v>
      </c>
      <c r="BC94" s="1">
        <v>8</v>
      </c>
      <c r="BD94" s="1"/>
      <c r="BE94" s="1"/>
      <c r="BF94" s="99">
        <v>42.974838830279097</v>
      </c>
      <c r="BG94" s="1"/>
      <c r="BH94" s="102">
        <f t="shared" si="6"/>
        <v>1.2276961668436202</v>
      </c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33"/>
    </row>
    <row r="95" spans="11:92" x14ac:dyDescent="0.2">
      <c r="K95" s="32"/>
      <c r="L95" s="32" t="s">
        <v>193</v>
      </c>
      <c r="M95" s="33" t="s">
        <v>194</v>
      </c>
      <c r="N95" s="1"/>
      <c r="O95" s="1"/>
      <c r="P95" s="1"/>
      <c r="Q95" s="7" t="s">
        <v>10</v>
      </c>
      <c r="R95" s="57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1</v>
      </c>
      <c r="AA95" s="14">
        <v>-1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1</v>
      </c>
      <c r="AM95" s="14">
        <v>0</v>
      </c>
      <c r="AN95" s="14">
        <v>-1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58">
        <v>0</v>
      </c>
      <c r="AY95" s="1"/>
      <c r="AZ95" s="1"/>
      <c r="BA95" s="14">
        <v>8</v>
      </c>
      <c r="BB95" s="92">
        <v>0</v>
      </c>
      <c r="BC95" s="1">
        <v>9</v>
      </c>
      <c r="BD95" s="1"/>
      <c r="BE95" s="1"/>
      <c r="BF95" s="99">
        <v>43.721028284194098</v>
      </c>
      <c r="BG95" s="1"/>
      <c r="BH95" s="102">
        <f t="shared" si="6"/>
        <v>1.2454777700436055</v>
      </c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33"/>
    </row>
    <row r="96" spans="11:92" x14ac:dyDescent="0.2">
      <c r="K96" s="32"/>
      <c r="L96" s="32" t="s">
        <v>195</v>
      </c>
      <c r="M96" s="33" t="s">
        <v>196</v>
      </c>
      <c r="N96" s="1"/>
      <c r="O96" s="1"/>
      <c r="P96" s="1"/>
      <c r="Q96" s="7" t="s">
        <v>11</v>
      </c>
      <c r="R96" s="57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1</v>
      </c>
      <c r="AB96" s="14">
        <v>-1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-1</v>
      </c>
      <c r="AW96" s="14">
        <v>0</v>
      </c>
      <c r="AX96" s="58">
        <v>0</v>
      </c>
      <c r="AY96" s="1"/>
      <c r="AZ96" s="1"/>
      <c r="BA96" s="14">
        <v>9</v>
      </c>
      <c r="BB96" s="92">
        <v>0</v>
      </c>
      <c r="BC96" s="1">
        <v>10</v>
      </c>
      <c r="BD96" s="1"/>
      <c r="BE96" s="1"/>
      <c r="BF96" s="99">
        <v>54.7602520350936</v>
      </c>
      <c r="BG96" s="1"/>
      <c r="BH96" s="102">
        <f t="shared" si="6"/>
        <v>1.3644867977626303</v>
      </c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33"/>
    </row>
    <row r="97" spans="11:92" x14ac:dyDescent="0.2">
      <c r="K97" s="32"/>
      <c r="L97" s="32" t="s">
        <v>197</v>
      </c>
      <c r="M97" s="33" t="s">
        <v>328</v>
      </c>
      <c r="N97" s="1"/>
      <c r="O97" s="1"/>
      <c r="P97" s="1"/>
      <c r="Q97" s="7" t="s">
        <v>12</v>
      </c>
      <c r="R97" s="57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1</v>
      </c>
      <c r="AC97" s="14">
        <v>-1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1</v>
      </c>
      <c r="AL97" s="14">
        <v>0</v>
      </c>
      <c r="AM97" s="14">
        <v>-1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58">
        <v>0</v>
      </c>
      <c r="AY97" s="1"/>
      <c r="AZ97" s="1"/>
      <c r="BA97" s="14">
        <v>10</v>
      </c>
      <c r="BB97" s="92">
        <v>0</v>
      </c>
      <c r="BC97" s="1">
        <v>11</v>
      </c>
      <c r="BD97" s="1"/>
      <c r="BE97" s="1"/>
      <c r="BF97" s="99">
        <v>31.820168462005999</v>
      </c>
      <c r="BG97" s="1"/>
      <c r="BH97" s="102">
        <f t="shared" si="6"/>
        <v>1.3644867978257604</v>
      </c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33"/>
    </row>
    <row r="98" spans="11:92" ht="15" thickBot="1" x14ac:dyDescent="0.25">
      <c r="K98" s="32"/>
      <c r="L98" s="34" t="s">
        <v>198</v>
      </c>
      <c r="M98" s="36" t="s">
        <v>199</v>
      </c>
      <c r="N98" s="1"/>
      <c r="O98" s="1"/>
      <c r="P98" s="1"/>
      <c r="Q98" s="7" t="s">
        <v>13</v>
      </c>
      <c r="R98" s="57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1</v>
      </c>
      <c r="AD98" s="14">
        <v>-1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-1</v>
      </c>
      <c r="AX98" s="58">
        <v>0</v>
      </c>
      <c r="AY98" s="1"/>
      <c r="AZ98" s="1"/>
      <c r="BA98" s="14">
        <v>11</v>
      </c>
      <c r="BB98" s="92">
        <v>0</v>
      </c>
      <c r="BC98" s="1">
        <v>12</v>
      </c>
      <c r="BD98" s="1"/>
      <c r="BE98" s="1"/>
      <c r="BF98" s="99">
        <v>41.767014657912398</v>
      </c>
      <c r="BG98" s="1"/>
      <c r="BH98" s="102">
        <f t="shared" si="6"/>
        <v>1.4640982688973343</v>
      </c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33"/>
    </row>
    <row r="99" spans="11:92" x14ac:dyDescent="0.2">
      <c r="K99" s="32"/>
      <c r="L99" s="1"/>
      <c r="M99" s="1"/>
      <c r="N99" s="1"/>
      <c r="O99" s="1"/>
      <c r="P99" s="1"/>
      <c r="Q99" s="7" t="s">
        <v>14</v>
      </c>
      <c r="R99" s="57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1</v>
      </c>
      <c r="AH99" s="14">
        <v>1</v>
      </c>
      <c r="AI99" s="14">
        <v>-1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58">
        <v>0</v>
      </c>
      <c r="AY99" s="1"/>
      <c r="AZ99" s="1"/>
      <c r="BA99" s="14">
        <v>12</v>
      </c>
      <c r="BB99" s="92">
        <v>0</v>
      </c>
      <c r="BC99" s="1">
        <v>13</v>
      </c>
      <c r="BD99" s="1"/>
      <c r="BE99" s="1"/>
      <c r="BF99" s="99">
        <v>0</v>
      </c>
      <c r="BG99" s="1"/>
      <c r="BH99" s="102">
        <f t="shared" si="6"/>
        <v>0</v>
      </c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33"/>
    </row>
    <row r="100" spans="11:92" x14ac:dyDescent="0.2">
      <c r="K100" s="32"/>
      <c r="L100" s="1"/>
      <c r="M100" s="1"/>
      <c r="N100" s="1"/>
      <c r="O100" s="1"/>
      <c r="P100" s="1"/>
      <c r="Q100" s="7" t="s">
        <v>132</v>
      </c>
      <c r="R100" s="57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1</v>
      </c>
      <c r="AJ100" s="14">
        <v>-1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58">
        <v>0</v>
      </c>
      <c r="AY100" s="1"/>
      <c r="AZ100" s="1"/>
      <c r="BA100" s="14" t="s">
        <v>21</v>
      </c>
      <c r="BB100" s="92">
        <v>0</v>
      </c>
      <c r="BC100" s="1">
        <v>14</v>
      </c>
      <c r="BD100" s="1"/>
      <c r="BE100" s="1"/>
      <c r="BF100" s="99">
        <v>4.6395869985448499</v>
      </c>
      <c r="BG100" s="1"/>
      <c r="BH100" s="102">
        <f t="shared" si="6"/>
        <v>3.3280815853661729</v>
      </c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33"/>
    </row>
    <row r="101" spans="11:92" x14ac:dyDescent="0.2">
      <c r="K101" s="32"/>
      <c r="L101" s="1"/>
      <c r="M101" s="1"/>
      <c r="N101" s="1"/>
      <c r="O101" s="1"/>
      <c r="P101" s="1"/>
      <c r="Q101" s="7" t="s">
        <v>15</v>
      </c>
      <c r="R101" s="57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1</v>
      </c>
      <c r="AK101" s="14">
        <v>-1</v>
      </c>
      <c r="AL101" s="14">
        <v>-1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58">
        <v>0</v>
      </c>
      <c r="AY101" s="1"/>
      <c r="AZ101" s="1"/>
      <c r="BA101" s="14" t="s">
        <v>22</v>
      </c>
      <c r="BB101" s="92">
        <v>0</v>
      </c>
      <c r="BC101" s="1">
        <v>15</v>
      </c>
      <c r="BD101" s="1"/>
      <c r="BE101" s="1"/>
      <c r="BF101" s="99">
        <v>5.5675043982538099</v>
      </c>
      <c r="BG101" s="1"/>
      <c r="BH101" s="102">
        <f t="shared" si="6"/>
        <v>3.3280815853661672</v>
      </c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33"/>
    </row>
    <row r="102" spans="11:92" x14ac:dyDescent="0.2">
      <c r="K102" s="32"/>
      <c r="L102" s="1"/>
      <c r="M102" s="1"/>
      <c r="N102" s="1"/>
      <c r="O102" s="1"/>
      <c r="P102" s="1"/>
      <c r="Q102" s="7" t="s">
        <v>16</v>
      </c>
      <c r="R102" s="57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1</v>
      </c>
      <c r="AN102" s="14">
        <v>1</v>
      </c>
      <c r="AO102" s="14">
        <v>-1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58">
        <v>0</v>
      </c>
      <c r="AY102" s="1"/>
      <c r="AZ102" s="1"/>
      <c r="BA102" s="14" t="s">
        <v>23</v>
      </c>
      <c r="BB102" s="92">
        <v>0</v>
      </c>
      <c r="BC102" s="1">
        <v>16</v>
      </c>
      <c r="BD102" s="1"/>
      <c r="BE102" s="1"/>
      <c r="BF102" s="99">
        <v>14.147366671985701</v>
      </c>
      <c r="BG102" s="1"/>
      <c r="BH102" s="102">
        <f t="shared" si="6"/>
        <v>1.567137642857481</v>
      </c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33"/>
    </row>
    <row r="103" spans="11:92" x14ac:dyDescent="0.2">
      <c r="K103" s="32"/>
      <c r="L103" s="1"/>
      <c r="M103" s="1"/>
      <c r="N103" s="1"/>
      <c r="O103" s="1"/>
      <c r="P103" s="1"/>
      <c r="Q103" s="7" t="s">
        <v>67</v>
      </c>
      <c r="R103" s="57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1</v>
      </c>
      <c r="AQ103" s="14">
        <v>-1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58">
        <v>-1</v>
      </c>
      <c r="AY103" s="1"/>
      <c r="AZ103" s="1"/>
      <c r="BA103" s="14" t="s">
        <v>24</v>
      </c>
      <c r="BB103" s="92">
        <v>0</v>
      </c>
      <c r="BC103" s="1">
        <v>17</v>
      </c>
      <c r="BD103" s="1"/>
      <c r="BE103" s="1"/>
      <c r="BF103" s="99">
        <v>17.791984125533801</v>
      </c>
      <c r="BG103" s="1"/>
      <c r="BH103" s="102">
        <f t="shared" si="6"/>
        <v>1.6374246028080031</v>
      </c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33"/>
    </row>
    <row r="104" spans="11:92" x14ac:dyDescent="0.2">
      <c r="K104" s="32"/>
      <c r="L104" s="1"/>
      <c r="M104" s="1"/>
      <c r="N104" s="1"/>
      <c r="O104" s="1"/>
      <c r="P104" s="1"/>
      <c r="Q104" s="7" t="s">
        <v>131</v>
      </c>
      <c r="R104" s="57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1</v>
      </c>
      <c r="AR104" s="14">
        <v>-1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58">
        <v>0</v>
      </c>
      <c r="AY104" s="1"/>
      <c r="AZ104" s="1"/>
      <c r="BA104" s="14" t="s">
        <v>99</v>
      </c>
      <c r="BB104" s="92">
        <v>0</v>
      </c>
      <c r="BC104" s="1">
        <v>18</v>
      </c>
      <c r="BD104" s="1"/>
      <c r="BE104" s="1"/>
      <c r="BF104" s="99">
        <v>31.939350797519602</v>
      </c>
      <c r="BG104" s="1"/>
      <c r="BH104" s="102">
        <f t="shared" si="6"/>
        <v>1.6055292932847216</v>
      </c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33"/>
    </row>
    <row r="105" spans="11:92" ht="15" thickBot="1" x14ac:dyDescent="0.25">
      <c r="K105" s="32"/>
      <c r="L105" s="1"/>
      <c r="M105" s="1"/>
      <c r="N105" s="1"/>
      <c r="O105" s="1"/>
      <c r="P105" s="1"/>
      <c r="Q105" s="39" t="s">
        <v>17</v>
      </c>
      <c r="R105" s="57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-1</v>
      </c>
      <c r="AF105" s="14">
        <v>-1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1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58">
        <v>0</v>
      </c>
      <c r="AY105" s="1"/>
      <c r="AZ105" s="1"/>
      <c r="BA105" s="14" t="s">
        <v>100</v>
      </c>
      <c r="BB105" s="92">
        <v>0</v>
      </c>
      <c r="BC105" s="1">
        <v>19</v>
      </c>
      <c r="BD105" s="1"/>
      <c r="BE105" s="1"/>
      <c r="BF105" s="99">
        <v>31.939350797519602</v>
      </c>
      <c r="BG105" s="1"/>
      <c r="BH105" s="102">
        <f t="shared" si="6"/>
        <v>1.6055292932847216</v>
      </c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33"/>
    </row>
    <row r="106" spans="11:92" x14ac:dyDescent="0.2">
      <c r="K106" s="32"/>
      <c r="L106" s="1"/>
      <c r="M106" s="1"/>
      <c r="N106" s="1"/>
      <c r="O106" s="1"/>
      <c r="P106" s="1"/>
      <c r="Q106" s="86" t="s">
        <v>171</v>
      </c>
      <c r="R106" s="57">
        <v>1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58">
        <v>0</v>
      </c>
      <c r="AY106" s="1"/>
      <c r="AZ106" s="1"/>
      <c r="BA106" s="14" t="s">
        <v>26</v>
      </c>
      <c r="BB106" s="92">
        <v>0.48101223149101613</v>
      </c>
      <c r="BC106" s="1">
        <v>20</v>
      </c>
      <c r="BD106" s="1"/>
      <c r="BE106" s="1"/>
      <c r="BF106" s="99">
        <v>15.969675398759801</v>
      </c>
      <c r="BG106" s="1"/>
      <c r="BH106" s="102">
        <f t="shared" si="6"/>
        <v>1.6055292932847216</v>
      </c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33"/>
    </row>
    <row r="107" spans="11:92" x14ac:dyDescent="0.2">
      <c r="K107" s="32"/>
      <c r="L107" s="1"/>
      <c r="M107" s="1"/>
      <c r="N107" s="1"/>
      <c r="O107" s="1"/>
      <c r="P107" s="1"/>
      <c r="Q107" s="87" t="s">
        <v>175</v>
      </c>
      <c r="R107" s="57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1</v>
      </c>
      <c r="AT107" s="14">
        <v>0</v>
      </c>
      <c r="AU107" s="14">
        <v>0</v>
      </c>
      <c r="AV107" s="14">
        <v>0</v>
      </c>
      <c r="AW107" s="14">
        <v>0</v>
      </c>
      <c r="AX107" s="58">
        <v>0</v>
      </c>
      <c r="AY107" s="1"/>
      <c r="AZ107" s="1"/>
      <c r="BA107" s="14" t="s">
        <v>27</v>
      </c>
      <c r="BB107" s="92">
        <v>30.947210999999999</v>
      </c>
      <c r="BC107" s="1">
        <v>21</v>
      </c>
      <c r="BD107" s="1"/>
      <c r="BE107" s="1"/>
      <c r="BF107" s="99">
        <v>15.969675398759801</v>
      </c>
      <c r="BG107" s="1"/>
      <c r="BH107" s="102">
        <f t="shared" si="6"/>
        <v>1.6055292932847216</v>
      </c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33"/>
    </row>
    <row r="108" spans="11:92" x14ac:dyDescent="0.2">
      <c r="K108" s="32"/>
      <c r="L108" s="1"/>
      <c r="M108" s="1"/>
      <c r="N108" s="1"/>
      <c r="O108" s="1"/>
      <c r="P108" s="1"/>
      <c r="Q108" s="87" t="s">
        <v>177</v>
      </c>
      <c r="R108" s="57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1</v>
      </c>
      <c r="AU108" s="14">
        <v>0</v>
      </c>
      <c r="AV108" s="14">
        <v>0</v>
      </c>
      <c r="AW108" s="14">
        <v>0</v>
      </c>
      <c r="AX108" s="58">
        <v>0</v>
      </c>
      <c r="AY108" s="1"/>
      <c r="AZ108" s="1"/>
      <c r="BA108" s="14" t="s">
        <v>28</v>
      </c>
      <c r="BB108" s="92">
        <v>33.278874999999999</v>
      </c>
      <c r="BC108" s="1">
        <v>22</v>
      </c>
      <c r="BD108" s="1"/>
      <c r="BE108" s="1"/>
      <c r="BF108" s="99">
        <v>6.0228292028533801</v>
      </c>
      <c r="BG108" s="1"/>
      <c r="BH108" s="102">
        <f t="shared" si="6"/>
        <v>1.6055292939320593</v>
      </c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33"/>
    </row>
    <row r="109" spans="11:92" x14ac:dyDescent="0.2">
      <c r="K109" s="32"/>
      <c r="L109" s="1"/>
      <c r="M109" s="1"/>
      <c r="N109" s="1"/>
      <c r="O109" s="1"/>
      <c r="P109" s="1"/>
      <c r="Q109" s="85" t="s">
        <v>179</v>
      </c>
      <c r="R109" s="57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1</v>
      </c>
      <c r="AV109" s="14">
        <v>0</v>
      </c>
      <c r="AW109" s="14">
        <v>0</v>
      </c>
      <c r="AX109" s="58">
        <v>0</v>
      </c>
      <c r="AY109" s="1"/>
      <c r="AZ109" s="1"/>
      <c r="BA109" s="14" t="s">
        <v>29</v>
      </c>
      <c r="BB109" s="92">
        <v>0</v>
      </c>
      <c r="BC109" s="1">
        <v>23</v>
      </c>
      <c r="BD109" s="1"/>
      <c r="BE109" s="1"/>
      <c r="BF109" s="99">
        <v>4.9304516478602496</v>
      </c>
      <c r="BG109" s="1"/>
      <c r="BH109" s="102">
        <f t="shared" si="6"/>
        <v>1.6055292914711494</v>
      </c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33"/>
    </row>
    <row r="110" spans="11:92" x14ac:dyDescent="0.2">
      <c r="K110" s="32"/>
      <c r="L110" s="1"/>
      <c r="M110" s="1"/>
      <c r="N110" s="1"/>
      <c r="O110" s="1"/>
      <c r="P110" s="1"/>
      <c r="Q110" s="85" t="s">
        <v>181</v>
      </c>
      <c r="R110" s="57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58">
        <v>1</v>
      </c>
      <c r="AY110" s="1"/>
      <c r="AZ110" s="1"/>
      <c r="BA110" s="14" t="s">
        <v>30</v>
      </c>
      <c r="BB110" s="92">
        <v>0</v>
      </c>
      <c r="BC110" s="1">
        <v>24</v>
      </c>
      <c r="BD110" s="1"/>
      <c r="BE110" s="1"/>
      <c r="BF110" s="99">
        <v>10.9532808507136</v>
      </c>
      <c r="BG110" s="1"/>
      <c r="BH110" s="102">
        <f t="shared" si="6"/>
        <v>1.6113996272091866</v>
      </c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33"/>
    </row>
    <row r="111" spans="11:92" x14ac:dyDescent="0.2">
      <c r="K111" s="32"/>
      <c r="L111" s="1"/>
      <c r="M111" s="1"/>
      <c r="N111" s="1"/>
      <c r="O111" s="1"/>
      <c r="P111" s="1"/>
      <c r="Q111" s="85" t="s">
        <v>183</v>
      </c>
      <c r="R111" s="57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1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58">
        <v>0</v>
      </c>
      <c r="AY111" s="1"/>
      <c r="AZ111" s="1"/>
      <c r="BA111" s="14" t="s">
        <v>31</v>
      </c>
      <c r="BB111" s="92">
        <v>0</v>
      </c>
      <c r="BC111" s="1">
        <v>25</v>
      </c>
      <c r="BD111" s="1"/>
      <c r="BE111" s="1"/>
      <c r="BF111" s="99">
        <v>10.207091396798701</v>
      </c>
      <c r="BG111" s="1"/>
      <c r="BH111" s="102">
        <f t="shared" si="6"/>
        <v>1.6113996277953082</v>
      </c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33"/>
    </row>
    <row r="112" spans="11:92" x14ac:dyDescent="0.2">
      <c r="K112" s="32"/>
      <c r="L112" s="1"/>
      <c r="M112" s="1"/>
      <c r="N112" s="1"/>
      <c r="O112" s="1"/>
      <c r="P112" s="1"/>
      <c r="Q112" s="88" t="s">
        <v>185</v>
      </c>
      <c r="R112" s="57">
        <v>0</v>
      </c>
      <c r="S112" s="14">
        <f>-(BB49/BB48)</f>
        <v>-0.69747638604250561</v>
      </c>
      <c r="T112" s="14">
        <v>1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58">
        <v>0</v>
      </c>
      <c r="AY112" s="1"/>
      <c r="AZ112" s="1"/>
      <c r="BA112" s="14" t="s">
        <v>101</v>
      </c>
      <c r="BB112" s="92">
        <v>0</v>
      </c>
      <c r="BC112" s="1">
        <v>26</v>
      </c>
      <c r="BD112" s="1"/>
      <c r="BE112" s="1"/>
      <c r="BF112" s="99">
        <v>10.207091396798701</v>
      </c>
      <c r="BG112" s="1"/>
      <c r="BH112" s="102">
        <f t="shared" si="6"/>
        <v>3.3280815853661831</v>
      </c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33"/>
    </row>
    <row r="113" spans="11:92" x14ac:dyDescent="0.2">
      <c r="K113" s="32"/>
      <c r="L113" s="1"/>
      <c r="M113" s="1"/>
      <c r="N113" s="1"/>
      <c r="O113" s="1"/>
      <c r="P113" s="1"/>
      <c r="Q113" s="89" t="s">
        <v>186</v>
      </c>
      <c r="R113" s="57">
        <v>0</v>
      </c>
      <c r="S113" s="14">
        <v>0</v>
      </c>
      <c r="T113" s="14">
        <v>0</v>
      </c>
      <c r="U113" s="14">
        <f>-(BB51/BB50)</f>
        <v>-0.77853929979711434</v>
      </c>
      <c r="V113" s="14">
        <v>1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58">
        <v>0</v>
      </c>
      <c r="AY113" s="1"/>
      <c r="AZ113" s="1"/>
      <c r="BA113" s="14" t="s">
        <v>102</v>
      </c>
      <c r="BB113" s="92">
        <v>0</v>
      </c>
      <c r="BC113" s="1">
        <v>27</v>
      </c>
      <c r="BD113" s="1"/>
      <c r="BE113" s="1"/>
      <c r="BF113" s="99">
        <v>10.207091396798701</v>
      </c>
      <c r="BG113" s="1"/>
      <c r="BH113" s="102">
        <f t="shared" si="6"/>
        <v>3.3280815853661831</v>
      </c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33"/>
    </row>
    <row r="114" spans="11:92" x14ac:dyDescent="0.2">
      <c r="K114" s="32"/>
      <c r="L114" s="1"/>
      <c r="M114" s="1"/>
      <c r="N114" s="1"/>
      <c r="O114" s="1"/>
      <c r="P114" s="1"/>
      <c r="Q114" s="89" t="s">
        <v>187</v>
      </c>
      <c r="R114" s="57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f>-(BB71/BB70)</f>
        <v>-0.93187525566105089</v>
      </c>
      <c r="AP114" s="14">
        <v>1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58">
        <v>0</v>
      </c>
      <c r="AY114" s="1"/>
      <c r="AZ114" s="1"/>
      <c r="BA114" s="14" t="s">
        <v>72</v>
      </c>
      <c r="BB114" s="92">
        <v>0</v>
      </c>
      <c r="BC114" s="1">
        <v>28</v>
      </c>
      <c r="BD114" s="1"/>
      <c r="BE114" s="1"/>
      <c r="BF114" s="99">
        <v>30.947210999999999</v>
      </c>
      <c r="BG114" s="1"/>
      <c r="BH114" s="102">
        <f t="shared" si="6"/>
        <v>1</v>
      </c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33"/>
    </row>
    <row r="115" spans="11:92" x14ac:dyDescent="0.2">
      <c r="K115" s="32"/>
      <c r="L115" s="1"/>
      <c r="M115" s="1"/>
      <c r="N115" s="1"/>
      <c r="O115" s="1"/>
      <c r="P115" s="1"/>
      <c r="Q115" s="89" t="s">
        <v>191</v>
      </c>
      <c r="R115" s="57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f>-(BB69/BB67)</f>
        <v>-0.30873837634874418</v>
      </c>
      <c r="AM115" s="14">
        <v>0</v>
      </c>
      <c r="AN115" s="14">
        <v>1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58">
        <v>0</v>
      </c>
      <c r="AY115" s="1"/>
      <c r="AZ115" s="1"/>
      <c r="BA115" s="14" t="s">
        <v>73</v>
      </c>
      <c r="BB115" s="92">
        <v>0</v>
      </c>
      <c r="BC115" s="1">
        <v>29</v>
      </c>
      <c r="BD115" s="1"/>
      <c r="BE115" s="1"/>
      <c r="BF115" s="99">
        <v>33.278874999999999</v>
      </c>
      <c r="BG115" s="1"/>
      <c r="BH115" s="102">
        <f t="shared" si="6"/>
        <v>1</v>
      </c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33"/>
    </row>
    <row r="116" spans="11:92" x14ac:dyDescent="0.2">
      <c r="K116" s="32"/>
      <c r="L116" s="1"/>
      <c r="M116" s="1"/>
      <c r="N116" s="1"/>
      <c r="O116" s="1"/>
      <c r="P116" s="1"/>
      <c r="Q116" s="89" t="s">
        <v>193</v>
      </c>
      <c r="R116" s="57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f>-(BB68/BB66)</f>
        <v>-0.37714161684793851</v>
      </c>
      <c r="AL116" s="14">
        <v>0</v>
      </c>
      <c r="AM116" s="14">
        <v>1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58">
        <v>0</v>
      </c>
      <c r="AY116" s="1"/>
      <c r="AZ116" s="1"/>
      <c r="BA116" s="14" t="s">
        <v>32</v>
      </c>
      <c r="BB116" s="92">
        <v>0</v>
      </c>
      <c r="BC116" s="1">
        <v>30</v>
      </c>
      <c r="BD116" s="1"/>
      <c r="BE116" s="1"/>
      <c r="BF116" s="99">
        <v>0</v>
      </c>
      <c r="BG116" s="1"/>
      <c r="BH116" s="102">
        <f>0</f>
        <v>0</v>
      </c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33"/>
    </row>
    <row r="117" spans="11:92" x14ac:dyDescent="0.2">
      <c r="K117" s="32"/>
      <c r="L117" s="1"/>
      <c r="M117" s="1"/>
      <c r="N117" s="1"/>
      <c r="O117" s="1"/>
      <c r="P117" s="1"/>
      <c r="Q117" s="89" t="s">
        <v>195</v>
      </c>
      <c r="R117" s="57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">
        <f>-(BB57/BB56)</f>
        <v>-0.58108148297311613</v>
      </c>
      <c r="AB117" s="14">
        <v>1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58">
        <v>0</v>
      </c>
      <c r="AY117" s="1"/>
      <c r="AZ117" s="1"/>
      <c r="BA117" s="14" t="s">
        <v>68</v>
      </c>
      <c r="BB117" s="92">
        <v>0</v>
      </c>
      <c r="BC117" s="1">
        <v>31</v>
      </c>
      <c r="BD117" s="1"/>
      <c r="BE117" s="1"/>
      <c r="BF117" s="99">
        <v>22.940083573087598</v>
      </c>
      <c r="BG117" s="1"/>
      <c r="BH117" s="102">
        <f t="shared" si="6"/>
        <v>1.6024316898284447</v>
      </c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33"/>
    </row>
    <row r="118" spans="11:92" x14ac:dyDescent="0.2">
      <c r="K118" s="32"/>
      <c r="L118" s="1"/>
      <c r="M118" s="1"/>
      <c r="N118" s="1"/>
      <c r="O118" s="1"/>
      <c r="P118" s="1"/>
      <c r="Q118" s="89" t="s">
        <v>197</v>
      </c>
      <c r="R118" s="57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">
        <f>-(BB61/BB60)</f>
        <v>-1.2</v>
      </c>
      <c r="AF118" s="14">
        <v>1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58">
        <v>0</v>
      </c>
      <c r="AY118" s="1"/>
      <c r="AZ118" s="1"/>
      <c r="BA118" s="14" t="s">
        <v>69</v>
      </c>
      <c r="BB118" s="92">
        <v>0</v>
      </c>
      <c r="BC118" s="1">
        <v>32</v>
      </c>
      <c r="BD118" s="1"/>
      <c r="BE118" s="1"/>
      <c r="BF118" s="99">
        <v>41.767014657912398</v>
      </c>
      <c r="BG118" s="1"/>
      <c r="BH118" s="102">
        <f t="shared" si="6"/>
        <v>1.8075263062307076</v>
      </c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33"/>
    </row>
    <row r="119" spans="11:92" ht="15" thickBot="1" x14ac:dyDescent="0.25">
      <c r="K119" s="32"/>
      <c r="L119" s="1"/>
      <c r="M119" s="1"/>
      <c r="N119" s="1"/>
      <c r="O119" s="1"/>
      <c r="P119" s="1"/>
      <c r="Q119" s="90" t="s">
        <v>198</v>
      </c>
      <c r="R119" s="59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35">
        <f>-(BB67/BB66)</f>
        <v>-1</v>
      </c>
      <c r="AL119" s="60">
        <v>1</v>
      </c>
      <c r="AM119" s="60">
        <v>0</v>
      </c>
      <c r="AN119" s="60">
        <v>0</v>
      </c>
      <c r="AO119" s="60">
        <v>0</v>
      </c>
      <c r="AP119" s="60">
        <v>0</v>
      </c>
      <c r="AQ119" s="60">
        <v>0</v>
      </c>
      <c r="AR119" s="60">
        <v>0</v>
      </c>
      <c r="AS119" s="60">
        <v>0</v>
      </c>
      <c r="AT119" s="60">
        <v>0</v>
      </c>
      <c r="AU119" s="60">
        <v>0</v>
      </c>
      <c r="AV119" s="60">
        <v>0</v>
      </c>
      <c r="AW119" s="60">
        <v>0</v>
      </c>
      <c r="AX119" s="91">
        <v>0</v>
      </c>
      <c r="AY119" s="1"/>
      <c r="AZ119" s="1"/>
      <c r="BA119" s="14" t="s">
        <v>70</v>
      </c>
      <c r="BB119" s="93">
        <v>0</v>
      </c>
      <c r="BC119" s="1">
        <v>33</v>
      </c>
      <c r="BD119" s="1"/>
      <c r="BE119" s="1"/>
      <c r="BF119" s="100">
        <v>0</v>
      </c>
      <c r="BG119" s="1"/>
      <c r="BH119" s="103">
        <f>0</f>
        <v>0</v>
      </c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33"/>
    </row>
    <row r="120" spans="11:92" x14ac:dyDescent="0.2">
      <c r="K120" s="3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33"/>
    </row>
    <row r="121" spans="11:92" x14ac:dyDescent="0.2">
      <c r="K121" s="3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33"/>
    </row>
    <row r="122" spans="11:92" x14ac:dyDescent="0.2">
      <c r="K122" s="3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33"/>
    </row>
    <row r="123" spans="11:92" x14ac:dyDescent="0.2">
      <c r="K123" s="3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33"/>
    </row>
    <row r="124" spans="11:92" x14ac:dyDescent="0.2">
      <c r="K124" s="3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33"/>
    </row>
    <row r="125" spans="11:92" x14ac:dyDescent="0.2">
      <c r="K125" s="3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33"/>
    </row>
    <row r="126" spans="11:92" x14ac:dyDescent="0.2">
      <c r="K126" s="3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33"/>
    </row>
    <row r="127" spans="11:92" ht="15" thickBot="1" x14ac:dyDescent="0.25">
      <c r="K127" s="3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33"/>
    </row>
    <row r="128" spans="11:92" ht="18.75" thickBot="1" x14ac:dyDescent="0.3">
      <c r="K128" s="32"/>
      <c r="L128" s="49" t="s">
        <v>204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46">
        <v>0.1</v>
      </c>
      <c r="AI128" s="146">
        <v>0.2</v>
      </c>
      <c r="AJ128" s="146">
        <v>0.2</v>
      </c>
      <c r="AK128" s="121"/>
      <c r="AL128" s="122"/>
      <c r="AM128" s="122"/>
      <c r="AN128" s="122"/>
      <c r="AO128" s="122"/>
      <c r="AP128" s="122"/>
      <c r="AQ128" s="122" t="s">
        <v>232</v>
      </c>
      <c r="AR128" s="122"/>
      <c r="AS128" s="122"/>
      <c r="AT128" s="122"/>
      <c r="AU128" s="123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33"/>
    </row>
    <row r="129" spans="11:92" ht="15" thickBot="1" x14ac:dyDescent="0.25">
      <c r="K129" s="3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233</v>
      </c>
      <c r="AI129" s="1" t="s">
        <v>234</v>
      </c>
      <c r="AJ129" s="1" t="s">
        <v>235</v>
      </c>
      <c r="AK129" s="107" t="s">
        <v>236</v>
      </c>
      <c r="AL129" s="108"/>
      <c r="AM129" s="112"/>
      <c r="AN129" s="113"/>
      <c r="AO129" s="113" t="s">
        <v>237</v>
      </c>
      <c r="AP129" s="113"/>
      <c r="AQ129" s="114"/>
      <c r="AR129" s="117"/>
      <c r="AS129" s="118" t="s">
        <v>238</v>
      </c>
      <c r="AT129" s="119"/>
      <c r="AU129" s="124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33"/>
    </row>
    <row r="130" spans="11:92" ht="15" thickBot="1" x14ac:dyDescent="0.25">
      <c r="K130" s="32"/>
      <c r="L130" s="83" t="s">
        <v>205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4" t="s">
        <v>95</v>
      </c>
      <c r="AD130" s="38" t="s">
        <v>239</v>
      </c>
      <c r="AE130" s="4" t="s">
        <v>240</v>
      </c>
      <c r="AF130" s="4" t="s">
        <v>241</v>
      </c>
      <c r="AG130" s="4" t="s">
        <v>260</v>
      </c>
      <c r="AH130" s="4" t="s">
        <v>242</v>
      </c>
      <c r="AI130" s="4" t="s">
        <v>243</v>
      </c>
      <c r="AJ130" s="67" t="s">
        <v>244</v>
      </c>
      <c r="AK130" s="109" t="s">
        <v>245</v>
      </c>
      <c r="AL130" s="109" t="s">
        <v>246</v>
      </c>
      <c r="AM130" s="115" t="s">
        <v>247</v>
      </c>
      <c r="AN130" s="115" t="s">
        <v>248</v>
      </c>
      <c r="AO130" s="115" t="s">
        <v>249</v>
      </c>
      <c r="AP130" s="115" t="s">
        <v>250</v>
      </c>
      <c r="AQ130" s="115" t="s">
        <v>251</v>
      </c>
      <c r="AR130" s="53" t="s">
        <v>252</v>
      </c>
      <c r="AS130" s="53" t="s">
        <v>253</v>
      </c>
      <c r="AT130" s="53" t="s">
        <v>254</v>
      </c>
      <c r="AU130" s="125" t="s">
        <v>232</v>
      </c>
      <c r="AV130" s="4" t="s">
        <v>255</v>
      </c>
      <c r="AW130" s="4" t="s">
        <v>256</v>
      </c>
      <c r="AX130" s="4" t="s">
        <v>257</v>
      </c>
      <c r="AY130" s="38" t="s">
        <v>258</v>
      </c>
      <c r="AZ130" s="3"/>
      <c r="BA130" s="128" t="s">
        <v>259</v>
      </c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33"/>
    </row>
    <row r="131" spans="11:92" ht="15" thickBot="1" x14ac:dyDescent="0.25">
      <c r="K131" s="32"/>
      <c r="L131" s="31" t="s">
        <v>206</v>
      </c>
      <c r="M131" s="29"/>
      <c r="N131" s="29"/>
      <c r="O131" s="29"/>
      <c r="P131" s="29"/>
      <c r="Q131" s="29"/>
      <c r="R131" s="30"/>
      <c r="S131" s="31" t="s">
        <v>207</v>
      </c>
      <c r="T131" s="29"/>
      <c r="U131" s="30"/>
      <c r="V131" s="29" t="s">
        <v>208</v>
      </c>
      <c r="W131" s="30"/>
      <c r="X131" s="1"/>
      <c r="Y131" s="1"/>
      <c r="Z131" s="1"/>
      <c r="AA131" s="1"/>
      <c r="AB131" s="1"/>
      <c r="AC131" s="6" t="s">
        <v>2</v>
      </c>
      <c r="AD131" s="6">
        <f>N142*U136*W133</f>
        <v>6572921.5496220645</v>
      </c>
      <c r="AE131" s="3">
        <v>394</v>
      </c>
      <c r="AF131" s="38">
        <v>607.5</v>
      </c>
      <c r="AG131" s="6">
        <f>AD131*($AF$131/$AE$131)</f>
        <v>10134644.267501025</v>
      </c>
      <c r="AH131" s="6">
        <f>AG131+$AH$128*AG131</f>
        <v>11148108.694251128</v>
      </c>
      <c r="AI131" s="6">
        <f>AH131+$AI$128*AH131</f>
        <v>13377730.433101352</v>
      </c>
      <c r="AJ131" s="71">
        <f>AI131+$AJ$128*AI131</f>
        <v>16053276.519721624</v>
      </c>
      <c r="AK131" s="110">
        <v>0.5</v>
      </c>
      <c r="AL131" s="111">
        <v>0.5</v>
      </c>
      <c r="AM131" s="116">
        <v>2.2499999999999999E-2</v>
      </c>
      <c r="AN131" s="116">
        <v>8.2500000000000004E-2</v>
      </c>
      <c r="AO131" s="115">
        <v>0</v>
      </c>
      <c r="AP131" s="115">
        <v>1</v>
      </c>
      <c r="AQ131" s="116">
        <v>8.2500000000000004E-2</v>
      </c>
      <c r="AR131" s="120">
        <v>8.0000000000000002E-3</v>
      </c>
      <c r="AS131" s="120">
        <v>0.01</v>
      </c>
      <c r="AT131" s="120">
        <v>1.8000000000000002E-2</v>
      </c>
      <c r="AU131" s="126">
        <v>5.0250000000000003E-2</v>
      </c>
      <c r="AV131" s="38">
        <v>35</v>
      </c>
      <c r="AW131" s="6">
        <f>AJ131*(($AU$131*(1+$AU$131)^$AV$131)/((1+$AU$131)^$AV$131-1))</f>
        <v>983495.93394034787</v>
      </c>
      <c r="AX131" s="127">
        <v>0.6</v>
      </c>
      <c r="AY131" s="38"/>
      <c r="AZ131" s="2">
        <v>8760</v>
      </c>
      <c r="BA131" s="129">
        <f>AW131/($AX$131*$AZ$131)/3600</f>
        <v>5.1977419136877846E-2</v>
      </c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33"/>
    </row>
    <row r="132" spans="11:92" x14ac:dyDescent="0.2">
      <c r="K132" s="32"/>
      <c r="L132" s="32" t="s">
        <v>209</v>
      </c>
      <c r="M132" s="1" t="s">
        <v>210</v>
      </c>
      <c r="N132" s="1"/>
      <c r="O132" s="1"/>
      <c r="P132" s="1"/>
      <c r="Q132" s="1"/>
      <c r="R132" s="33"/>
      <c r="S132" s="32" t="s">
        <v>211</v>
      </c>
      <c r="T132" s="1">
        <v>0</v>
      </c>
      <c r="U132" s="33"/>
      <c r="V132" s="1" t="s">
        <v>212</v>
      </c>
      <c r="W132" s="33"/>
      <c r="X132" s="1"/>
      <c r="Y132" s="1"/>
      <c r="Z132" s="1"/>
      <c r="AA132" s="1"/>
      <c r="AB132" s="1"/>
      <c r="AC132" s="7" t="s">
        <v>3</v>
      </c>
      <c r="AD132" s="7">
        <f>M160*U149*W146</f>
        <v>664671.13406638196</v>
      </c>
      <c r="AE132" s="1"/>
      <c r="AF132" s="1"/>
      <c r="AG132" s="7">
        <f t="shared" ref="AG132:AG149" si="7">AD132*($AF$131/$AE$131)</f>
        <v>1024841.9135668199</v>
      </c>
      <c r="AH132" s="7">
        <f t="shared" ref="AH132:AH149" si="8">AG132+$AH$128*AG132</f>
        <v>1127326.1049235018</v>
      </c>
      <c r="AI132" s="7">
        <f t="shared" ref="AI132:AI149" si="9">AH132+$AI$128*AH132</f>
        <v>1352791.3259082022</v>
      </c>
      <c r="AJ132" s="72">
        <f t="shared" ref="AJ132:AJ149" si="10">AI132+$AJ$128*AI132</f>
        <v>1623349.5910898426</v>
      </c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7">
        <f t="shared" ref="AW132:AW152" si="11">AJ132*(($AU$131*(1+$AU$131)^$AV$131)/((1+$AU$131)^$AV$131-1))</f>
        <v>99453.698454592639</v>
      </c>
      <c r="AX132" s="1"/>
      <c r="AY132" s="1"/>
      <c r="AZ132" s="1"/>
      <c r="BA132" s="130">
        <f t="shared" ref="BA132:BA149" si="12">AW132/($AX$131*$AZ$131)/3600</f>
        <v>5.2560934833519703E-3</v>
      </c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33"/>
    </row>
    <row r="133" spans="11:92" x14ac:dyDescent="0.2">
      <c r="K133" s="32"/>
      <c r="L133" s="32" t="s">
        <v>213</v>
      </c>
      <c r="M133" s="1">
        <v>2.2896999999999998</v>
      </c>
      <c r="N133" s="1"/>
      <c r="O133" s="1"/>
      <c r="P133" s="1"/>
      <c r="Q133" s="1"/>
      <c r="R133" s="33"/>
      <c r="S133" s="32" t="s">
        <v>214</v>
      </c>
      <c r="T133" s="1">
        <v>0</v>
      </c>
      <c r="U133" s="33"/>
      <c r="V133" s="1" t="s">
        <v>215</v>
      </c>
      <c r="W133" s="105">
        <v>2.7</v>
      </c>
      <c r="X133" s="1"/>
      <c r="Y133" s="1"/>
      <c r="Z133" s="1"/>
      <c r="AA133" s="1"/>
      <c r="AB133" s="1"/>
      <c r="AC133" s="7" t="s">
        <v>4</v>
      </c>
      <c r="AD133" s="7">
        <f>M173*U167*W164</f>
        <v>6865730.0102545181</v>
      </c>
      <c r="AE133" s="1"/>
      <c r="AF133" s="1"/>
      <c r="AG133" s="7">
        <f t="shared" si="7"/>
        <v>10586119.241699543</v>
      </c>
      <c r="AH133" s="7">
        <f t="shared" si="8"/>
        <v>11644731.165869497</v>
      </c>
      <c r="AI133" s="7">
        <f t="shared" si="9"/>
        <v>13973677.399043396</v>
      </c>
      <c r="AJ133" s="72">
        <f t="shared" si="10"/>
        <v>16768412.878852075</v>
      </c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7">
        <f t="shared" si="11"/>
        <v>1027308.404282689</v>
      </c>
      <c r="AX133" s="1"/>
      <c r="AY133" s="1"/>
      <c r="AZ133" s="1"/>
      <c r="BA133" s="130">
        <f t="shared" si="12"/>
        <v>5.4292893004962005E-2</v>
      </c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33"/>
    </row>
    <row r="134" spans="11:92" x14ac:dyDescent="0.2">
      <c r="K134" s="32"/>
      <c r="L134" s="32" t="s">
        <v>216</v>
      </c>
      <c r="M134" s="1">
        <v>1.3604000000000001</v>
      </c>
      <c r="N134" s="1"/>
      <c r="O134" s="1"/>
      <c r="P134" s="1"/>
      <c r="Q134" s="1"/>
      <c r="R134" s="33"/>
      <c r="S134" s="32" t="s">
        <v>217</v>
      </c>
      <c r="T134" s="1">
        <v>0</v>
      </c>
      <c r="U134" s="33"/>
      <c r="V134" s="1"/>
      <c r="W134" s="33"/>
      <c r="X134" s="1"/>
      <c r="Y134" s="1"/>
      <c r="Z134" s="1"/>
      <c r="AA134" s="1"/>
      <c r="AB134" s="1"/>
      <c r="AC134" s="7" t="s">
        <v>279</v>
      </c>
      <c r="AD134" s="7">
        <f>M191*U180*W177</f>
        <v>705527.61433053273</v>
      </c>
      <c r="AE134" s="1"/>
      <c r="AF134" s="1"/>
      <c r="AG134" s="7">
        <f t="shared" si="7"/>
        <v>1087837.6286949203</v>
      </c>
      <c r="AH134" s="7">
        <f t="shared" si="8"/>
        <v>1196621.3915644123</v>
      </c>
      <c r="AI134" s="7">
        <f t="shared" si="9"/>
        <v>1435945.6698772947</v>
      </c>
      <c r="AJ134" s="72">
        <f t="shared" si="10"/>
        <v>1723134.8038527537</v>
      </c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7">
        <f t="shared" si="11"/>
        <v>105566.9894640094</v>
      </c>
      <c r="AX134" s="1"/>
      <c r="AY134" s="1"/>
      <c r="AZ134" s="1"/>
      <c r="BA134" s="130">
        <f t="shared" si="12"/>
        <v>5.5791787937600089E-3</v>
      </c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33"/>
    </row>
    <row r="135" spans="11:92" x14ac:dyDescent="0.2">
      <c r="K135" s="32"/>
      <c r="L135" s="32" t="s">
        <v>218</v>
      </c>
      <c r="M135" s="1">
        <v>-0.1027</v>
      </c>
      <c r="N135" s="1"/>
      <c r="O135" s="1"/>
      <c r="P135" s="1"/>
      <c r="Q135" s="1"/>
      <c r="R135" s="33"/>
      <c r="S135" s="32" t="s">
        <v>219</v>
      </c>
      <c r="T135" s="1"/>
      <c r="U135" s="33"/>
      <c r="V135" s="1"/>
      <c r="W135" s="33"/>
      <c r="X135" s="1"/>
      <c r="Y135" s="1"/>
      <c r="Z135" s="1"/>
      <c r="AA135" s="1"/>
      <c r="AB135" s="1"/>
      <c r="AC135" s="7" t="s">
        <v>39</v>
      </c>
      <c r="AD135" s="7">
        <f>M212*U198*W195</f>
        <v>74073.839498101035</v>
      </c>
      <c r="AE135" s="1"/>
      <c r="AF135" s="1"/>
      <c r="AG135" s="7">
        <f t="shared" si="7"/>
        <v>114212.83628197049</v>
      </c>
      <c r="AH135" s="7">
        <f t="shared" si="8"/>
        <v>125634.11991016754</v>
      </c>
      <c r="AI135" s="7">
        <f t="shared" si="9"/>
        <v>150760.94389220106</v>
      </c>
      <c r="AJ135" s="72">
        <f t="shared" si="10"/>
        <v>180913.13267064127</v>
      </c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7">
        <f t="shared" si="11"/>
        <v>11083.552330229953</v>
      </c>
      <c r="AX135" s="1"/>
      <c r="AY135" s="1"/>
      <c r="AZ135" s="1"/>
      <c r="BA135" s="130">
        <f t="shared" si="12"/>
        <v>5.8576189805460178E-4</v>
      </c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33"/>
    </row>
    <row r="136" spans="11:92" x14ac:dyDescent="0.2">
      <c r="K136" s="32"/>
      <c r="L136" s="32" t="s">
        <v>220</v>
      </c>
      <c r="M136" s="1" t="s">
        <v>221</v>
      </c>
      <c r="N136" s="1"/>
      <c r="O136" s="1" t="s">
        <v>222</v>
      </c>
      <c r="P136" s="1">
        <v>450</v>
      </c>
      <c r="Q136" s="1" t="s">
        <v>223</v>
      </c>
      <c r="R136" s="33">
        <v>3000</v>
      </c>
      <c r="S136" s="32" t="s">
        <v>224</v>
      </c>
      <c r="T136" s="1"/>
      <c r="U136" s="105">
        <v>1</v>
      </c>
      <c r="V136" s="1"/>
      <c r="W136" s="33"/>
      <c r="X136" s="1"/>
      <c r="Y136" s="1"/>
      <c r="Z136" s="1"/>
      <c r="AA136" s="1"/>
      <c r="AB136" s="1"/>
      <c r="AC136" s="7" t="s">
        <v>7</v>
      </c>
      <c r="AD136" s="7">
        <f>M215</f>
        <v>4720867.5000000009</v>
      </c>
      <c r="AE136" s="1"/>
      <c r="AF136" s="1"/>
      <c r="AG136" s="7">
        <f t="shared" si="7"/>
        <v>7279002.5539340116</v>
      </c>
      <c r="AH136" s="7">
        <f t="shared" si="8"/>
        <v>8006902.8093274124</v>
      </c>
      <c r="AI136" s="7">
        <f t="shared" si="9"/>
        <v>9608283.3711928949</v>
      </c>
      <c r="AJ136" s="72">
        <f t="shared" si="10"/>
        <v>11529940.045431474</v>
      </c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7">
        <f t="shared" si="11"/>
        <v>706375.99366876681</v>
      </c>
      <c r="AX136" s="1"/>
      <c r="AY136" s="1"/>
      <c r="AZ136" s="1"/>
      <c r="BA136" s="130">
        <f t="shared" si="12"/>
        <v>3.7331726369269347E-2</v>
      </c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33"/>
    </row>
    <row r="137" spans="11:92" x14ac:dyDescent="0.2">
      <c r="K137" s="32"/>
      <c r="L137" s="32"/>
      <c r="M137" s="1"/>
      <c r="N137" s="1"/>
      <c r="O137" s="1"/>
      <c r="P137" s="1"/>
      <c r="Q137" s="1"/>
      <c r="R137" s="33"/>
      <c r="S137" s="32"/>
      <c r="T137" s="1"/>
      <c r="U137" s="33"/>
      <c r="V137" s="1"/>
      <c r="W137" s="33"/>
      <c r="X137" s="1"/>
      <c r="Y137" s="1"/>
      <c r="Z137" s="1"/>
      <c r="AA137" s="1"/>
      <c r="AB137" s="1"/>
      <c r="AC137" s="7" t="s">
        <v>8</v>
      </c>
      <c r="AD137" s="7">
        <f>M217</f>
        <v>300000</v>
      </c>
      <c r="AE137" s="1"/>
      <c r="AF137" s="1"/>
      <c r="AG137" s="7">
        <f t="shared" si="7"/>
        <v>462563.45177664974</v>
      </c>
      <c r="AH137" s="7">
        <f t="shared" si="8"/>
        <v>508819.79695431469</v>
      </c>
      <c r="AI137" s="7">
        <f t="shared" si="9"/>
        <v>610583.75634517765</v>
      </c>
      <c r="AJ137" s="72">
        <f t="shared" si="10"/>
        <v>732700.50761421316</v>
      </c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7">
        <f t="shared" si="11"/>
        <v>44888.529089331569</v>
      </c>
      <c r="AX137" s="1"/>
      <c r="AY137" s="1"/>
      <c r="AZ137" s="1"/>
      <c r="BA137" s="130">
        <f t="shared" si="12"/>
        <v>2.3723431997997825E-3</v>
      </c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33"/>
    </row>
    <row r="138" spans="11:92" x14ac:dyDescent="0.2">
      <c r="K138" s="32"/>
      <c r="L138" s="32" t="s">
        <v>225</v>
      </c>
      <c r="M138" s="1"/>
      <c r="N138" s="1"/>
      <c r="O138" s="1">
        <v>600197.97789300827</v>
      </c>
      <c r="P138" s="1"/>
      <c r="Q138" s="1"/>
      <c r="R138" s="33"/>
      <c r="S138" s="32"/>
      <c r="T138" s="1"/>
      <c r="U138" s="33"/>
      <c r="V138" s="1"/>
      <c r="W138" s="33"/>
      <c r="X138" s="1"/>
      <c r="Y138" s="1"/>
      <c r="Z138" s="1"/>
      <c r="AA138" s="1"/>
      <c r="AB138" s="1"/>
      <c r="AC138" s="7" t="s">
        <v>9</v>
      </c>
      <c r="AD138" s="7">
        <f>M236*U225*W222</f>
        <v>68555.043029351466</v>
      </c>
      <c r="AE138" s="1"/>
      <c r="AF138" s="1"/>
      <c r="AG138" s="7">
        <f t="shared" si="7"/>
        <v>105703.52446784521</v>
      </c>
      <c r="AH138" s="7">
        <f t="shared" si="8"/>
        <v>116273.87691462974</v>
      </c>
      <c r="AI138" s="7">
        <f t="shared" si="9"/>
        <v>139528.6522975557</v>
      </c>
      <c r="AJ138" s="72">
        <f t="shared" si="10"/>
        <v>167434.38275706684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7">
        <f t="shared" si="11"/>
        <v>10257.783477478071</v>
      </c>
      <c r="AX138" s="1"/>
      <c r="AY138" s="1"/>
      <c r="AZ138" s="1"/>
      <c r="BA138" s="130">
        <f t="shared" si="12"/>
        <v>5.4212030047554494E-4</v>
      </c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33"/>
    </row>
    <row r="139" spans="11:92" x14ac:dyDescent="0.2">
      <c r="K139" s="32"/>
      <c r="L139" s="32" t="s">
        <v>226</v>
      </c>
      <c r="M139" s="1"/>
      <c r="N139" s="1"/>
      <c r="O139" s="1"/>
      <c r="P139" s="1"/>
      <c r="Q139" s="1"/>
      <c r="R139" s="33"/>
      <c r="S139" s="32"/>
      <c r="T139" s="1"/>
      <c r="U139" s="33"/>
      <c r="V139" s="1"/>
      <c r="W139" s="33"/>
      <c r="X139" s="1"/>
      <c r="Y139" s="1"/>
      <c r="Z139" s="1"/>
      <c r="AA139" s="1"/>
      <c r="AB139" s="1"/>
      <c r="AC139" s="7" t="s">
        <v>10</v>
      </c>
      <c r="AD139" s="7">
        <f>M254*U243*W240</f>
        <v>375459.31069422315</v>
      </c>
      <c r="AE139" s="1"/>
      <c r="AF139" s="1"/>
      <c r="AG139" s="7">
        <f t="shared" si="7"/>
        <v>578912.51585467148</v>
      </c>
      <c r="AH139" s="7">
        <f t="shared" si="8"/>
        <v>636803.76744013862</v>
      </c>
      <c r="AI139" s="7">
        <f t="shared" si="9"/>
        <v>764164.52092816634</v>
      </c>
      <c r="AJ139" s="72">
        <f t="shared" si="10"/>
        <v>916997.42511379963</v>
      </c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7">
        <f t="shared" si="11"/>
        <v>56179.387299860056</v>
      </c>
      <c r="AX139" s="1"/>
      <c r="AY139" s="1"/>
      <c r="AZ139" s="1"/>
      <c r="BA139" s="130">
        <f t="shared" si="12"/>
        <v>2.9690611417565139E-3</v>
      </c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33"/>
    </row>
    <row r="140" spans="11:92" x14ac:dyDescent="0.2">
      <c r="K140" s="32"/>
      <c r="L140" s="32" t="s">
        <v>227</v>
      </c>
      <c r="M140" s="1">
        <v>0.6</v>
      </c>
      <c r="N140" s="1" t="s">
        <v>228</v>
      </c>
      <c r="O140" s="1"/>
      <c r="P140" s="1"/>
      <c r="Q140" s="1"/>
      <c r="R140" s="33"/>
      <c r="S140" s="32"/>
      <c r="T140" s="1"/>
      <c r="U140" s="33"/>
      <c r="V140" s="1"/>
      <c r="W140" s="33"/>
      <c r="X140" s="1"/>
      <c r="Y140" s="1"/>
      <c r="Z140" s="1"/>
      <c r="AA140" s="1"/>
      <c r="AB140" s="1"/>
      <c r="AC140" s="7" t="s">
        <v>11</v>
      </c>
      <c r="AD140" s="7">
        <f>M267*U261*W260</f>
        <v>4271922.1804041518</v>
      </c>
      <c r="AE140" s="1"/>
      <c r="AF140" s="1"/>
      <c r="AG140" s="7">
        <f t="shared" si="7"/>
        <v>6586783.5649632541</v>
      </c>
      <c r="AH140" s="7">
        <f t="shared" si="8"/>
        <v>7245461.9214595798</v>
      </c>
      <c r="AI140" s="7">
        <f t="shared" si="9"/>
        <v>8694554.3057514951</v>
      </c>
      <c r="AJ140" s="72">
        <f t="shared" si="10"/>
        <v>10433465.166901793</v>
      </c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7">
        <f t="shared" si="11"/>
        <v>639201.01020810835</v>
      </c>
      <c r="AX140" s="1"/>
      <c r="AY140" s="1"/>
      <c r="AZ140" s="1"/>
      <c r="BA140" s="130">
        <f t="shared" si="12"/>
        <v>3.3781551782518834E-2</v>
      </c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33"/>
    </row>
    <row r="141" spans="11:92" x14ac:dyDescent="0.2">
      <c r="K141" s="32"/>
      <c r="L141" s="32" t="s">
        <v>229</v>
      </c>
      <c r="M141" s="1">
        <f>L33*1000</f>
        <v>30947.210999999999</v>
      </c>
      <c r="N141" s="1"/>
      <c r="O141" s="1"/>
      <c r="P141" s="1"/>
      <c r="Q141" s="1"/>
      <c r="R141" s="33"/>
      <c r="S141" s="32"/>
      <c r="T141" s="1"/>
      <c r="U141" s="33"/>
      <c r="V141" s="1"/>
      <c r="W141" s="33"/>
      <c r="X141" s="1"/>
      <c r="Y141" s="1"/>
      <c r="Z141" s="1"/>
      <c r="AA141" s="1"/>
      <c r="AB141" s="1"/>
      <c r="AC141" s="7" t="s">
        <v>12</v>
      </c>
      <c r="AD141" s="7">
        <f>M285*U274*W271</f>
        <v>447610.24264864624</v>
      </c>
      <c r="AE141" s="1"/>
      <c r="AF141" s="1"/>
      <c r="AG141" s="7">
        <f t="shared" si="7"/>
        <v>690160.4629671385</v>
      </c>
      <c r="AH141" s="7">
        <f t="shared" si="8"/>
        <v>759176.50926385238</v>
      </c>
      <c r="AI141" s="7">
        <f t="shared" si="9"/>
        <v>911011.81111662288</v>
      </c>
      <c r="AJ141" s="72">
        <f t="shared" si="10"/>
        <v>1093214.1733399476</v>
      </c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7">
        <f t="shared" si="11"/>
        <v>66975.217992721737</v>
      </c>
      <c r="AX141" s="1"/>
      <c r="AY141" s="1"/>
      <c r="AZ141" s="1"/>
      <c r="BA141" s="130">
        <f t="shared" si="12"/>
        <v>3.5396170510274892E-3</v>
      </c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33"/>
    </row>
    <row r="142" spans="11:92" ht="15" thickBot="1" x14ac:dyDescent="0.25">
      <c r="K142" s="32"/>
      <c r="L142" s="34" t="s">
        <v>230</v>
      </c>
      <c r="M142" s="35"/>
      <c r="N142" s="47">
        <v>2434415.3887489126</v>
      </c>
      <c r="O142" s="35" t="s">
        <v>231</v>
      </c>
      <c r="P142" s="35"/>
      <c r="Q142" s="35"/>
      <c r="R142" s="36"/>
      <c r="S142" s="34"/>
      <c r="T142" s="35"/>
      <c r="U142" s="36"/>
      <c r="V142" s="35"/>
      <c r="W142" s="36"/>
      <c r="X142" s="1"/>
      <c r="Y142" s="1"/>
      <c r="Z142" s="1"/>
      <c r="AA142" s="1"/>
      <c r="AB142" s="1"/>
      <c r="AC142" s="7" t="s">
        <v>261</v>
      </c>
      <c r="AD142" s="7">
        <f>M298*U292*W291</f>
        <v>5693552.5728864362</v>
      </c>
      <c r="AE142" s="1"/>
      <c r="AF142" s="1"/>
      <c r="AG142" s="7">
        <f t="shared" si="7"/>
        <v>8778764.4366205838</v>
      </c>
      <c r="AH142" s="7">
        <f t="shared" si="8"/>
        <v>9656640.8802826423</v>
      </c>
      <c r="AI142" s="7">
        <f t="shared" si="9"/>
        <v>11587969.056339171</v>
      </c>
      <c r="AJ142" s="72">
        <f t="shared" si="10"/>
        <v>13905562.867607005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7">
        <f t="shared" si="11"/>
        <v>851917.33429883805</v>
      </c>
      <c r="AX142" s="1"/>
      <c r="AY142" s="1"/>
      <c r="AZ142" s="1"/>
      <c r="BA142" s="130">
        <f t="shared" si="12"/>
        <v>4.5023535763298983E-2</v>
      </c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33"/>
    </row>
    <row r="143" spans="11:92" ht="15" thickBot="1" x14ac:dyDescent="0.25">
      <c r="K143" s="32"/>
      <c r="L143" s="83" t="s">
        <v>3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 t="s">
        <v>14</v>
      </c>
      <c r="AD143" s="7">
        <v>0</v>
      </c>
      <c r="AE143" s="1"/>
      <c r="AF143" s="1"/>
      <c r="AG143" s="7">
        <f t="shared" si="7"/>
        <v>0</v>
      </c>
      <c r="AH143" s="7">
        <f t="shared" si="8"/>
        <v>0</v>
      </c>
      <c r="AI143" s="7">
        <f t="shared" si="9"/>
        <v>0</v>
      </c>
      <c r="AJ143" s="72">
        <f t="shared" si="10"/>
        <v>0</v>
      </c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7">
        <f t="shared" si="11"/>
        <v>0</v>
      </c>
      <c r="AX143" s="1"/>
      <c r="AY143" s="1"/>
      <c r="AZ143" s="1"/>
      <c r="BA143" s="130">
        <f t="shared" si="12"/>
        <v>0</v>
      </c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33"/>
    </row>
    <row r="144" spans="11:92" x14ac:dyDescent="0.2">
      <c r="K144" s="32"/>
      <c r="L144" s="31" t="s">
        <v>206</v>
      </c>
      <c r="M144" s="29"/>
      <c r="N144" s="29"/>
      <c r="O144" s="29"/>
      <c r="P144" s="29"/>
      <c r="Q144" s="29"/>
      <c r="R144" s="30"/>
      <c r="S144" s="31" t="s">
        <v>207</v>
      </c>
      <c r="T144" s="29"/>
      <c r="U144" s="30"/>
      <c r="V144" s="31" t="s">
        <v>208</v>
      </c>
      <c r="W144" s="30"/>
      <c r="X144" s="1"/>
      <c r="Y144" s="1"/>
      <c r="Z144" s="1"/>
      <c r="AA144" s="1"/>
      <c r="AB144" s="1"/>
      <c r="AC144" s="7" t="s">
        <v>25</v>
      </c>
      <c r="AD144" s="7">
        <f>M313*(X301+Y301*T310*W302)</f>
        <v>693382.90391809109</v>
      </c>
      <c r="AE144" s="1"/>
      <c r="AF144" s="1"/>
      <c r="AG144" s="7">
        <f t="shared" si="7"/>
        <v>1069111.9647975643</v>
      </c>
      <c r="AH144" s="7">
        <f t="shared" si="8"/>
        <v>1176023.1612773207</v>
      </c>
      <c r="AI144" s="7">
        <f t="shared" si="9"/>
        <v>1411227.7935327848</v>
      </c>
      <c r="AJ144" s="72">
        <f t="shared" si="10"/>
        <v>1693473.3522393417</v>
      </c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7">
        <f t="shared" si="11"/>
        <v>103749.79550857475</v>
      </c>
      <c r="AX144" s="1"/>
      <c r="AY144" s="1"/>
      <c r="AZ144" s="1"/>
      <c r="BA144" s="130">
        <f t="shared" si="12"/>
        <v>5.483140723225032E-3</v>
      </c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33"/>
    </row>
    <row r="145" spans="11:92" x14ac:dyDescent="0.2">
      <c r="K145" s="32"/>
      <c r="L145" s="32" t="s">
        <v>209</v>
      </c>
      <c r="M145" s="1" t="s">
        <v>262</v>
      </c>
      <c r="N145" s="1"/>
      <c r="O145" s="1"/>
      <c r="P145" s="1"/>
      <c r="Q145" s="1"/>
      <c r="R145" s="33"/>
      <c r="S145" s="32" t="s">
        <v>211</v>
      </c>
      <c r="T145" s="1">
        <v>3.8809999999999997E-2</v>
      </c>
      <c r="U145" s="33"/>
      <c r="V145" s="32" t="s">
        <v>263</v>
      </c>
      <c r="W145" s="33"/>
      <c r="X145" s="1"/>
      <c r="Y145" s="1"/>
      <c r="Z145" s="1"/>
      <c r="AA145" s="1"/>
      <c r="AB145" s="1"/>
      <c r="AC145" s="7" t="s">
        <v>15</v>
      </c>
      <c r="AD145" s="7">
        <v>0</v>
      </c>
      <c r="AE145" s="1"/>
      <c r="AF145" s="1"/>
      <c r="AG145" s="7">
        <f t="shared" si="7"/>
        <v>0</v>
      </c>
      <c r="AH145" s="7">
        <f t="shared" si="8"/>
        <v>0</v>
      </c>
      <c r="AI145" s="7">
        <f t="shared" si="9"/>
        <v>0</v>
      </c>
      <c r="AJ145" s="72">
        <f t="shared" si="10"/>
        <v>0</v>
      </c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7">
        <f t="shared" si="11"/>
        <v>0</v>
      </c>
      <c r="AX145" s="1"/>
      <c r="AY145" s="1"/>
      <c r="AZ145" s="1"/>
      <c r="BA145" s="130">
        <f t="shared" si="12"/>
        <v>0</v>
      </c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33"/>
    </row>
    <row r="146" spans="11:92" x14ac:dyDescent="0.2">
      <c r="K146" s="32"/>
      <c r="L146" s="32" t="s">
        <v>213</v>
      </c>
      <c r="M146" s="1">
        <v>4.8305999999999996</v>
      </c>
      <c r="N146" s="1"/>
      <c r="O146" s="1"/>
      <c r="P146" s="1"/>
      <c r="Q146" s="1"/>
      <c r="R146" s="33"/>
      <c r="S146" s="32" t="s">
        <v>214</v>
      </c>
      <c r="T146" s="1">
        <v>-0.11272</v>
      </c>
      <c r="U146" s="33"/>
      <c r="V146" s="32" t="s">
        <v>215</v>
      </c>
      <c r="W146" s="105">
        <v>1</v>
      </c>
      <c r="X146" s="1"/>
      <c r="Y146" s="1"/>
      <c r="Z146" s="1"/>
      <c r="AA146" s="1"/>
      <c r="AB146" s="1"/>
      <c r="AC146" s="7" t="s">
        <v>16</v>
      </c>
      <c r="AD146" s="7">
        <v>0</v>
      </c>
      <c r="AE146" s="1"/>
      <c r="AF146" s="1"/>
      <c r="AG146" s="7">
        <f t="shared" si="7"/>
        <v>0</v>
      </c>
      <c r="AH146" s="7">
        <f t="shared" si="8"/>
        <v>0</v>
      </c>
      <c r="AI146" s="7">
        <f t="shared" si="9"/>
        <v>0</v>
      </c>
      <c r="AJ146" s="72">
        <f t="shared" si="10"/>
        <v>0</v>
      </c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7">
        <f t="shared" si="11"/>
        <v>0</v>
      </c>
      <c r="AX146" s="1"/>
      <c r="AY146" s="1"/>
      <c r="AZ146" s="1"/>
      <c r="BA146" s="130">
        <f t="shared" si="12"/>
        <v>0</v>
      </c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33"/>
    </row>
    <row r="147" spans="11:92" x14ac:dyDescent="0.2">
      <c r="K147" s="32"/>
      <c r="L147" s="32" t="s">
        <v>216</v>
      </c>
      <c r="M147" s="1">
        <v>-0.85089999999999999</v>
      </c>
      <c r="N147" s="1"/>
      <c r="O147" s="1"/>
      <c r="P147" s="1"/>
      <c r="Q147" s="1"/>
      <c r="R147" s="33"/>
      <c r="S147" s="32" t="s">
        <v>217</v>
      </c>
      <c r="T147" s="1">
        <v>8.183E-2</v>
      </c>
      <c r="U147" s="33"/>
      <c r="V147" s="32"/>
      <c r="W147" s="33"/>
      <c r="X147" s="1"/>
      <c r="Y147" s="1"/>
      <c r="Z147" s="1"/>
      <c r="AA147" s="1"/>
      <c r="AB147" s="1"/>
      <c r="AC147" s="7" t="s">
        <v>67</v>
      </c>
      <c r="AD147" s="7">
        <v>0</v>
      </c>
      <c r="AE147" s="1"/>
      <c r="AF147" s="1"/>
      <c r="AG147" s="7">
        <f t="shared" si="7"/>
        <v>0</v>
      </c>
      <c r="AH147" s="7">
        <f t="shared" si="8"/>
        <v>0</v>
      </c>
      <c r="AI147" s="7">
        <f t="shared" si="9"/>
        <v>0</v>
      </c>
      <c r="AJ147" s="72">
        <f t="shared" si="10"/>
        <v>0</v>
      </c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7">
        <f t="shared" si="11"/>
        <v>0</v>
      </c>
      <c r="AX147" s="1"/>
      <c r="AY147" s="1"/>
      <c r="AZ147" s="1"/>
      <c r="BA147" s="130">
        <f t="shared" si="12"/>
        <v>0</v>
      </c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33"/>
    </row>
    <row r="148" spans="11:92" x14ac:dyDescent="0.2">
      <c r="K148" s="32"/>
      <c r="L148" s="32" t="s">
        <v>218</v>
      </c>
      <c r="M148" s="1">
        <v>0.31869999999999998</v>
      </c>
      <c r="N148" s="1"/>
      <c r="O148" s="1"/>
      <c r="P148" s="1"/>
      <c r="Q148" s="1"/>
      <c r="R148" s="33"/>
      <c r="S148" s="32" t="s">
        <v>264</v>
      </c>
      <c r="T148" s="1">
        <v>50</v>
      </c>
      <c r="U148" s="33"/>
      <c r="V148" s="32"/>
      <c r="W148" s="33"/>
      <c r="X148" s="1"/>
      <c r="Y148" s="1"/>
      <c r="Z148" s="1"/>
      <c r="AA148" s="1"/>
      <c r="AB148" s="1"/>
      <c r="AC148" s="7" t="s">
        <v>131</v>
      </c>
      <c r="AD148" s="7">
        <f>M328*(X316+Y316*T325*W317)</f>
        <v>693382.90391809109</v>
      </c>
      <c r="AE148" s="1"/>
      <c r="AF148" s="1"/>
      <c r="AG148" s="7">
        <f t="shared" si="7"/>
        <v>1069111.9647975643</v>
      </c>
      <c r="AH148" s="7">
        <f t="shared" si="8"/>
        <v>1176023.1612773207</v>
      </c>
      <c r="AI148" s="7">
        <f t="shared" si="9"/>
        <v>1411227.7935327848</v>
      </c>
      <c r="AJ148" s="72">
        <f t="shared" si="10"/>
        <v>1693473.3522393417</v>
      </c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7">
        <f t="shared" si="11"/>
        <v>103749.79550857475</v>
      </c>
      <c r="AX148" s="1"/>
      <c r="AY148" s="1"/>
      <c r="AZ148" s="1"/>
      <c r="BA148" s="130">
        <f t="shared" si="12"/>
        <v>5.483140723225032E-3</v>
      </c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33"/>
    </row>
    <row r="149" spans="11:92" ht="15" thickBot="1" x14ac:dyDescent="0.25">
      <c r="K149" s="32"/>
      <c r="L149" s="32" t="s">
        <v>220</v>
      </c>
      <c r="M149" s="1" t="s">
        <v>265</v>
      </c>
      <c r="N149" s="1"/>
      <c r="O149" s="1" t="s">
        <v>222</v>
      </c>
      <c r="P149" s="1">
        <v>10</v>
      </c>
      <c r="Q149" s="1" t="s">
        <v>223</v>
      </c>
      <c r="R149" s="33">
        <v>1000</v>
      </c>
      <c r="S149" s="32" t="s">
        <v>224</v>
      </c>
      <c r="T149" s="1"/>
      <c r="U149" s="105">
        <f>10^(T145+T146*LOG10(T148)+T147*(LOG10(T148))^2)</f>
        <v>1.2120047460418784</v>
      </c>
      <c r="V149" s="32"/>
      <c r="W149" s="33"/>
      <c r="X149" s="1"/>
      <c r="Y149" s="1"/>
      <c r="Z149" s="1"/>
      <c r="AA149" s="1"/>
      <c r="AB149" s="1"/>
      <c r="AC149" s="39" t="s">
        <v>17</v>
      </c>
      <c r="AD149" s="39">
        <v>0</v>
      </c>
      <c r="AE149" s="1"/>
      <c r="AF149" s="1"/>
      <c r="AG149" s="39">
        <f t="shared" si="7"/>
        <v>0</v>
      </c>
      <c r="AH149" s="39">
        <f t="shared" si="8"/>
        <v>0</v>
      </c>
      <c r="AI149" s="39">
        <f t="shared" si="9"/>
        <v>0</v>
      </c>
      <c r="AJ149" s="45">
        <f t="shared" si="10"/>
        <v>0</v>
      </c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39">
        <f t="shared" si="11"/>
        <v>0</v>
      </c>
      <c r="AX149" s="1"/>
      <c r="AY149" s="1"/>
      <c r="AZ149" s="1"/>
      <c r="BA149" s="131">
        <f t="shared" si="12"/>
        <v>0</v>
      </c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33"/>
    </row>
    <row r="150" spans="11:92" x14ac:dyDescent="0.2">
      <c r="K150" s="32"/>
      <c r="L150" s="32"/>
      <c r="M150" s="1"/>
      <c r="N150" s="1"/>
      <c r="O150" s="1"/>
      <c r="P150" s="1"/>
      <c r="Q150" s="1"/>
      <c r="R150" s="33"/>
      <c r="S150" s="32"/>
      <c r="T150" s="1"/>
      <c r="U150" s="33"/>
      <c r="V150" s="32"/>
      <c r="W150" s="33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33"/>
    </row>
    <row r="151" spans="11:92" ht="15" thickBot="1" x14ac:dyDescent="0.25">
      <c r="K151" s="32"/>
      <c r="L151" s="32" t="s">
        <v>225</v>
      </c>
      <c r="M151" s="1"/>
      <c r="N151" s="1"/>
      <c r="O151" s="1">
        <v>140023.20047858494</v>
      </c>
      <c r="P151" s="1"/>
      <c r="Q151" s="1"/>
      <c r="R151" s="33"/>
      <c r="S151" s="32"/>
      <c r="T151" s="1"/>
      <c r="U151" s="33"/>
      <c r="V151" s="32"/>
      <c r="W151" s="33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33"/>
    </row>
    <row r="152" spans="11:92" ht="15" thickBot="1" x14ac:dyDescent="0.25">
      <c r="K152" s="32"/>
      <c r="L152" s="32"/>
      <c r="M152" s="1"/>
      <c r="N152" s="1"/>
      <c r="O152" s="1"/>
      <c r="P152" s="1"/>
      <c r="Q152" s="1"/>
      <c r="R152" s="33"/>
      <c r="S152" s="32"/>
      <c r="T152" s="1"/>
      <c r="U152" s="33"/>
      <c r="V152" s="32"/>
      <c r="W152" s="33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 t="s">
        <v>348</v>
      </c>
      <c r="AJ152" s="1">
        <f>SUM(AJ131:AJ149)</f>
        <v>78515348.199430913</v>
      </c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 t="s">
        <v>375</v>
      </c>
      <c r="AW152" s="4">
        <f t="shared" si="11"/>
        <v>4810203.425524123</v>
      </c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33"/>
    </row>
    <row r="153" spans="11:92" x14ac:dyDescent="0.2">
      <c r="K153" s="32"/>
      <c r="L153" s="32" t="s">
        <v>273</v>
      </c>
      <c r="M153" s="1">
        <f>N16*(N10-O10)</f>
        <v>28333.576840724043</v>
      </c>
      <c r="N153" s="1"/>
      <c r="O153" s="1"/>
      <c r="P153" s="1"/>
      <c r="Q153" s="1"/>
      <c r="R153" s="33"/>
      <c r="S153" s="32"/>
      <c r="T153" s="1"/>
      <c r="U153" s="33"/>
      <c r="V153" s="32"/>
      <c r="W153" s="33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33"/>
    </row>
    <row r="154" spans="11:92" x14ac:dyDescent="0.2">
      <c r="K154" s="32"/>
      <c r="L154" s="32" t="s">
        <v>268</v>
      </c>
      <c r="M154" s="1">
        <v>0.1</v>
      </c>
      <c r="N154" s="1"/>
      <c r="O154" s="1"/>
      <c r="P154" s="1"/>
      <c r="Q154" s="1"/>
      <c r="R154" s="33"/>
      <c r="S154" s="32"/>
      <c r="T154" s="1"/>
      <c r="U154" s="33"/>
      <c r="V154" s="32"/>
      <c r="W154" s="33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33"/>
    </row>
    <row r="155" spans="11:92" x14ac:dyDescent="0.2">
      <c r="K155" s="32"/>
      <c r="L155" s="32" t="s">
        <v>274</v>
      </c>
      <c r="M155" s="1">
        <f>((N7-AA7)-(O7-Z7))/LN((N7-AA7)/(O7-Z7))</f>
        <v>29.115923781498935</v>
      </c>
      <c r="N155" s="1"/>
      <c r="O155" s="1"/>
      <c r="P155" s="1"/>
      <c r="Q155" s="1"/>
      <c r="R155" s="33"/>
      <c r="S155" s="32"/>
      <c r="T155" s="1"/>
      <c r="U155" s="33"/>
      <c r="V155" s="32"/>
      <c r="W155" s="33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33"/>
    </row>
    <row r="156" spans="11:92" x14ac:dyDescent="0.2">
      <c r="K156" s="32"/>
      <c r="L156" s="32"/>
      <c r="M156" s="1"/>
      <c r="N156" s="1"/>
      <c r="O156" s="1"/>
      <c r="P156" s="1">
        <v>79.190834466844862</v>
      </c>
      <c r="Q156" s="1"/>
      <c r="R156" s="33"/>
      <c r="S156" s="32"/>
      <c r="T156" s="1"/>
      <c r="U156" s="33"/>
      <c r="V156" s="32"/>
      <c r="W156" s="33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33"/>
    </row>
    <row r="157" spans="11:92" x14ac:dyDescent="0.2">
      <c r="K157" s="32"/>
      <c r="L157" s="32" t="s">
        <v>226</v>
      </c>
      <c r="M157" s="1"/>
      <c r="N157" s="1"/>
      <c r="O157" s="1"/>
      <c r="P157" s="1"/>
      <c r="Q157" s="1"/>
      <c r="R157" s="33"/>
      <c r="S157" s="32"/>
      <c r="T157" s="1"/>
      <c r="U157" s="33"/>
      <c r="V157" s="32"/>
      <c r="W157" s="33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33"/>
    </row>
    <row r="158" spans="11:92" x14ac:dyDescent="0.2">
      <c r="K158" s="32"/>
      <c r="L158" s="32" t="s">
        <v>227</v>
      </c>
      <c r="M158" s="1">
        <v>0.6</v>
      </c>
      <c r="N158" s="1"/>
      <c r="O158" s="1"/>
      <c r="P158" s="1"/>
      <c r="Q158" s="1"/>
      <c r="R158" s="33"/>
      <c r="S158" s="32"/>
      <c r="T158" s="1"/>
      <c r="U158" s="33"/>
      <c r="V158" s="32"/>
      <c r="W158" s="33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33"/>
    </row>
    <row r="159" spans="11:92" x14ac:dyDescent="0.2">
      <c r="K159" s="32"/>
      <c r="L159" s="32" t="s">
        <v>229</v>
      </c>
      <c r="M159" s="1">
        <f>M153/(M154*M155)</f>
        <v>9731.2992894726485</v>
      </c>
      <c r="N159" s="1"/>
      <c r="O159" s="1"/>
      <c r="P159" s="1"/>
      <c r="Q159" s="1"/>
      <c r="R159" s="33"/>
      <c r="S159" s="32"/>
      <c r="T159" s="1"/>
      <c r="U159" s="33"/>
      <c r="V159" s="32"/>
      <c r="W159" s="33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33"/>
    </row>
    <row r="160" spans="11:92" ht="15" thickBot="1" x14ac:dyDescent="0.25">
      <c r="K160" s="32"/>
      <c r="L160" s="34" t="s">
        <v>230</v>
      </c>
      <c r="M160" s="47">
        <f>O151*(M159/R149)^M158</f>
        <v>548406.37896595791</v>
      </c>
      <c r="N160" s="35" t="s">
        <v>231</v>
      </c>
      <c r="O160" s="35"/>
      <c r="P160" s="35"/>
      <c r="Q160" s="35"/>
      <c r="R160" s="36"/>
      <c r="S160" s="34"/>
      <c r="T160" s="35"/>
      <c r="U160" s="36"/>
      <c r="V160" s="34"/>
      <c r="W160" s="36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33"/>
    </row>
    <row r="161" spans="11:92" ht="15" thickBot="1" x14ac:dyDescent="0.25">
      <c r="K161" s="32"/>
      <c r="L161" s="83" t="s">
        <v>4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33"/>
    </row>
    <row r="162" spans="11:92" x14ac:dyDescent="0.2">
      <c r="K162" s="32"/>
      <c r="L162" s="31" t="s">
        <v>206</v>
      </c>
      <c r="M162" s="29"/>
      <c r="N162" s="29"/>
      <c r="O162" s="29"/>
      <c r="P162" s="29"/>
      <c r="Q162" s="29"/>
      <c r="R162" s="30"/>
      <c r="S162" s="31" t="s">
        <v>207</v>
      </c>
      <c r="T162" s="29"/>
      <c r="U162" s="30"/>
      <c r="V162" s="31" t="s">
        <v>208</v>
      </c>
      <c r="W162" s="30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33"/>
    </row>
    <row r="163" spans="11:92" x14ac:dyDescent="0.2">
      <c r="K163" s="32"/>
      <c r="L163" s="32" t="s">
        <v>209</v>
      </c>
      <c r="M163" s="1" t="s">
        <v>210</v>
      </c>
      <c r="N163" s="1"/>
      <c r="O163" s="1"/>
      <c r="P163" s="1"/>
      <c r="Q163" s="1"/>
      <c r="R163" s="33"/>
      <c r="S163" s="32" t="s">
        <v>211</v>
      </c>
      <c r="T163" s="1">
        <v>0</v>
      </c>
      <c r="U163" s="33"/>
      <c r="V163" s="32" t="s">
        <v>212</v>
      </c>
      <c r="W163" s="33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33"/>
    </row>
    <row r="164" spans="11:92" x14ac:dyDescent="0.2">
      <c r="K164" s="32"/>
      <c r="L164" s="32" t="s">
        <v>213</v>
      </c>
      <c r="M164" s="1">
        <v>2.2896999999999998</v>
      </c>
      <c r="N164" s="1"/>
      <c r="O164" s="1"/>
      <c r="P164" s="1"/>
      <c r="Q164" s="1"/>
      <c r="R164" s="33"/>
      <c r="S164" s="32" t="s">
        <v>214</v>
      </c>
      <c r="T164" s="1">
        <v>0</v>
      </c>
      <c r="U164" s="33"/>
      <c r="V164" s="32" t="s">
        <v>215</v>
      </c>
      <c r="W164" s="105">
        <v>2.7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33"/>
    </row>
    <row r="165" spans="11:92" x14ac:dyDescent="0.2">
      <c r="K165" s="32"/>
      <c r="L165" s="32" t="s">
        <v>216</v>
      </c>
      <c r="M165" s="1">
        <v>1.3604000000000001</v>
      </c>
      <c r="N165" s="1"/>
      <c r="O165" s="1"/>
      <c r="P165" s="1"/>
      <c r="Q165" s="1"/>
      <c r="R165" s="33"/>
      <c r="S165" s="32" t="s">
        <v>217</v>
      </c>
      <c r="T165" s="1">
        <v>0</v>
      </c>
      <c r="U165" s="33"/>
      <c r="V165" s="32"/>
      <c r="W165" s="33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33"/>
    </row>
    <row r="166" spans="11:92" x14ac:dyDescent="0.2">
      <c r="K166" s="32"/>
      <c r="L166" s="32" t="s">
        <v>218</v>
      </c>
      <c r="M166" s="1">
        <v>-0.1027</v>
      </c>
      <c r="N166" s="1"/>
      <c r="O166" s="1"/>
      <c r="P166" s="1"/>
      <c r="Q166" s="1"/>
      <c r="R166" s="33"/>
      <c r="S166" s="32" t="s">
        <v>277</v>
      </c>
      <c r="T166" s="1"/>
      <c r="U166" s="33"/>
      <c r="V166" s="32"/>
      <c r="W166" s="33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33"/>
    </row>
    <row r="167" spans="11:92" x14ac:dyDescent="0.2">
      <c r="K167" s="32"/>
      <c r="L167" s="32" t="s">
        <v>220</v>
      </c>
      <c r="M167" s="1" t="s">
        <v>221</v>
      </c>
      <c r="N167" s="1"/>
      <c r="O167" s="1" t="s">
        <v>222</v>
      </c>
      <c r="P167" s="1">
        <v>450</v>
      </c>
      <c r="Q167" s="1" t="s">
        <v>223</v>
      </c>
      <c r="R167" s="33">
        <v>3000</v>
      </c>
      <c r="S167" s="32" t="s">
        <v>278</v>
      </c>
      <c r="T167" s="1"/>
      <c r="U167" s="105">
        <v>1</v>
      </c>
      <c r="V167" s="32"/>
      <c r="W167" s="33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33"/>
    </row>
    <row r="168" spans="11:92" x14ac:dyDescent="0.2">
      <c r="K168" s="32"/>
      <c r="L168" s="32"/>
      <c r="M168" s="1"/>
      <c r="N168" s="1"/>
      <c r="O168" s="1"/>
      <c r="P168" s="1"/>
      <c r="Q168" s="1"/>
      <c r="R168" s="33"/>
      <c r="S168" s="32"/>
      <c r="T168" s="1"/>
      <c r="U168" s="33"/>
      <c r="V168" s="32"/>
      <c r="W168" s="33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33"/>
    </row>
    <row r="169" spans="11:92" x14ac:dyDescent="0.2">
      <c r="K169" s="32"/>
      <c r="L169" s="32" t="s">
        <v>225</v>
      </c>
      <c r="M169" s="1"/>
      <c r="N169" s="1"/>
      <c r="O169" s="1">
        <v>600197.97789300827</v>
      </c>
      <c r="P169" s="1"/>
      <c r="Q169" s="1"/>
      <c r="R169" s="33"/>
      <c r="S169" s="32"/>
      <c r="T169" s="1"/>
      <c r="U169" s="33"/>
      <c r="V169" s="32"/>
      <c r="W169" s="33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33"/>
    </row>
    <row r="170" spans="11:92" x14ac:dyDescent="0.2">
      <c r="K170" s="32"/>
      <c r="L170" s="32" t="s">
        <v>226</v>
      </c>
      <c r="M170" s="1"/>
      <c r="N170" s="1"/>
      <c r="O170" s="1"/>
      <c r="P170" s="1"/>
      <c r="Q170" s="1"/>
      <c r="R170" s="33"/>
      <c r="S170" s="32"/>
      <c r="T170" s="1"/>
      <c r="U170" s="33"/>
      <c r="V170" s="32"/>
      <c r="W170" s="33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33"/>
    </row>
    <row r="171" spans="11:92" x14ac:dyDescent="0.2">
      <c r="K171" s="32"/>
      <c r="L171" s="32" t="s">
        <v>227</v>
      </c>
      <c r="M171" s="1">
        <v>0.6</v>
      </c>
      <c r="N171" s="1" t="s">
        <v>228</v>
      </c>
      <c r="O171" s="1"/>
      <c r="P171" s="1"/>
      <c r="Q171" s="1"/>
      <c r="R171" s="33"/>
      <c r="S171" s="32"/>
      <c r="T171" s="1"/>
      <c r="U171" s="33"/>
      <c r="V171" s="32"/>
      <c r="W171" s="33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33"/>
    </row>
    <row r="172" spans="11:92" x14ac:dyDescent="0.2">
      <c r="K172" s="32"/>
      <c r="L172" s="32" t="s">
        <v>229</v>
      </c>
      <c r="M172" s="1">
        <f>M33*1000</f>
        <v>33278.875</v>
      </c>
      <c r="N172" s="1"/>
      <c r="O172" s="1"/>
      <c r="P172" s="1"/>
      <c r="Q172" s="1"/>
      <c r="R172" s="33"/>
      <c r="S172" s="32"/>
      <c r="T172" s="1"/>
      <c r="U172" s="33"/>
      <c r="V172" s="32"/>
      <c r="W172" s="33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33"/>
    </row>
    <row r="173" spans="11:92" ht="15" thickBot="1" x14ac:dyDescent="0.25">
      <c r="K173" s="32"/>
      <c r="L173" s="34" t="s">
        <v>230</v>
      </c>
      <c r="M173" s="47">
        <f>O169*(M172/R167)^M171</f>
        <v>2542862.9667609325</v>
      </c>
      <c r="N173" s="35" t="s">
        <v>231</v>
      </c>
      <c r="O173" s="35"/>
      <c r="P173" s="35"/>
      <c r="Q173" s="35"/>
      <c r="R173" s="36"/>
      <c r="S173" s="34"/>
      <c r="T173" s="35"/>
      <c r="U173" s="36"/>
      <c r="V173" s="34"/>
      <c r="W173" s="36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33"/>
    </row>
    <row r="174" spans="11:92" ht="15" thickBot="1" x14ac:dyDescent="0.25">
      <c r="K174" s="32"/>
      <c r="L174" s="83" t="s">
        <v>5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33"/>
    </row>
    <row r="175" spans="11:92" x14ac:dyDescent="0.2">
      <c r="K175" s="32"/>
      <c r="L175" s="31" t="s">
        <v>206</v>
      </c>
      <c r="M175" s="29"/>
      <c r="N175" s="29"/>
      <c r="O175" s="29"/>
      <c r="P175" s="29"/>
      <c r="Q175" s="29"/>
      <c r="R175" s="30"/>
      <c r="S175" s="31" t="s">
        <v>207</v>
      </c>
      <c r="T175" s="29"/>
      <c r="U175" s="30"/>
      <c r="V175" s="31" t="s">
        <v>208</v>
      </c>
      <c r="W175" s="30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33"/>
    </row>
    <row r="176" spans="11:92" x14ac:dyDescent="0.2">
      <c r="K176" s="32"/>
      <c r="L176" s="32" t="s">
        <v>209</v>
      </c>
      <c r="M176" s="1" t="s">
        <v>262</v>
      </c>
      <c r="N176" s="1"/>
      <c r="O176" s="1"/>
      <c r="P176" s="1"/>
      <c r="Q176" s="1"/>
      <c r="R176" s="33"/>
      <c r="S176" s="32" t="s">
        <v>211</v>
      </c>
      <c r="T176" s="1">
        <v>3.8809999999999997E-2</v>
      </c>
      <c r="U176" s="33"/>
      <c r="V176" s="32" t="s">
        <v>263</v>
      </c>
      <c r="W176" s="33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33"/>
    </row>
    <row r="177" spans="11:92" x14ac:dyDescent="0.2">
      <c r="K177" s="32"/>
      <c r="L177" s="32" t="s">
        <v>213</v>
      </c>
      <c r="M177" s="1">
        <v>4.8305999999999996</v>
      </c>
      <c r="N177" s="1"/>
      <c r="O177" s="1"/>
      <c r="P177" s="1"/>
      <c r="Q177" s="1"/>
      <c r="R177" s="33"/>
      <c r="S177" s="32" t="s">
        <v>214</v>
      </c>
      <c r="T177" s="1">
        <v>-0.11272</v>
      </c>
      <c r="U177" s="33"/>
      <c r="V177" s="32" t="s">
        <v>215</v>
      </c>
      <c r="W177" s="105">
        <v>1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33"/>
    </row>
    <row r="178" spans="11:92" x14ac:dyDescent="0.2">
      <c r="K178" s="32"/>
      <c r="L178" s="32" t="s">
        <v>216</v>
      </c>
      <c r="M178" s="1">
        <v>-0.85089999999999999</v>
      </c>
      <c r="N178" s="1"/>
      <c r="O178" s="1"/>
      <c r="P178" s="1"/>
      <c r="Q178" s="1"/>
      <c r="R178" s="33"/>
      <c r="S178" s="32" t="s">
        <v>217</v>
      </c>
      <c r="T178" s="1">
        <v>8.183E-2</v>
      </c>
      <c r="U178" s="33"/>
      <c r="V178" s="32"/>
      <c r="W178" s="33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33"/>
    </row>
    <row r="179" spans="11:92" x14ac:dyDescent="0.2">
      <c r="K179" s="32"/>
      <c r="L179" s="32" t="s">
        <v>218</v>
      </c>
      <c r="M179" s="1">
        <v>0.31869999999999998</v>
      </c>
      <c r="N179" s="1"/>
      <c r="O179" s="1"/>
      <c r="P179" s="1"/>
      <c r="Q179" s="1"/>
      <c r="R179" s="33"/>
      <c r="S179" s="32" t="s">
        <v>264</v>
      </c>
      <c r="T179" s="1">
        <v>70</v>
      </c>
      <c r="U179" s="33"/>
      <c r="V179" s="32"/>
      <c r="W179" s="33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33"/>
    </row>
    <row r="180" spans="11:92" x14ac:dyDescent="0.2">
      <c r="K180" s="32"/>
      <c r="L180" s="32" t="s">
        <v>220</v>
      </c>
      <c r="M180" s="1" t="s">
        <v>265</v>
      </c>
      <c r="N180" s="1"/>
      <c r="O180" s="1" t="s">
        <v>222</v>
      </c>
      <c r="P180" s="1">
        <v>10</v>
      </c>
      <c r="Q180" s="1" t="s">
        <v>223</v>
      </c>
      <c r="R180" s="33">
        <v>1000</v>
      </c>
      <c r="S180" s="32" t="s">
        <v>224</v>
      </c>
      <c r="T180" s="1"/>
      <c r="U180" s="105">
        <f>10^(T176+T177*LOG10(T179)+T178*(LOG10(T179))^2)</f>
        <v>1.2865051199091324</v>
      </c>
      <c r="V180" s="32"/>
      <c r="W180" s="33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33"/>
    </row>
    <row r="181" spans="11:92" x14ac:dyDescent="0.2">
      <c r="K181" s="32"/>
      <c r="L181" s="32"/>
      <c r="M181" s="1"/>
      <c r="N181" s="1"/>
      <c r="O181" s="1"/>
      <c r="P181" s="1"/>
      <c r="Q181" s="1"/>
      <c r="R181" s="33"/>
      <c r="S181" s="32"/>
      <c r="T181" s="1"/>
      <c r="U181" s="33"/>
      <c r="V181" s="32"/>
      <c r="W181" s="33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33"/>
    </row>
    <row r="182" spans="11:92" x14ac:dyDescent="0.2">
      <c r="K182" s="32"/>
      <c r="L182" s="32" t="s">
        <v>225</v>
      </c>
      <c r="M182" s="1"/>
      <c r="N182" s="1"/>
      <c r="O182" s="1">
        <v>140023.20047858494</v>
      </c>
      <c r="P182" s="1"/>
      <c r="Q182" s="1"/>
      <c r="R182" s="33"/>
      <c r="S182" s="32"/>
      <c r="T182" s="1"/>
      <c r="U182" s="33"/>
      <c r="V182" s="32"/>
      <c r="W182" s="33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33"/>
    </row>
    <row r="183" spans="11:92" x14ac:dyDescent="0.2">
      <c r="K183" s="32"/>
      <c r="L183" s="32"/>
      <c r="M183" s="1"/>
      <c r="N183" s="1"/>
      <c r="O183" s="1"/>
      <c r="P183" s="1"/>
      <c r="Q183" s="1"/>
      <c r="R183" s="33"/>
      <c r="S183" s="32"/>
      <c r="T183" s="1"/>
      <c r="U183" s="33"/>
      <c r="V183" s="32"/>
      <c r="W183" s="33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33"/>
    </row>
    <row r="184" spans="11:92" x14ac:dyDescent="0.2">
      <c r="K184" s="32"/>
      <c r="L184" s="32" t="s">
        <v>273</v>
      </c>
      <c r="M184" s="1">
        <f>P16*(P10-Q10)</f>
        <v>34075.028599195284</v>
      </c>
      <c r="N184" s="1"/>
      <c r="O184" s="1"/>
      <c r="P184" s="1"/>
      <c r="Q184" s="1"/>
      <c r="R184" s="33"/>
      <c r="S184" s="32"/>
      <c r="T184" s="1"/>
      <c r="U184" s="33"/>
      <c r="V184" s="32"/>
      <c r="W184" s="33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33"/>
    </row>
    <row r="185" spans="11:92" x14ac:dyDescent="0.2">
      <c r="K185" s="32"/>
      <c r="L185" s="32" t="s">
        <v>268</v>
      </c>
      <c r="M185" s="1">
        <v>0.1</v>
      </c>
      <c r="N185" s="1"/>
      <c r="O185" s="1"/>
      <c r="P185" s="1"/>
      <c r="Q185" s="1"/>
      <c r="R185" s="33"/>
      <c r="S185" s="32"/>
      <c r="T185" s="1"/>
      <c r="U185" s="33"/>
      <c r="V185" s="32"/>
      <c r="W185" s="33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33"/>
    </row>
    <row r="186" spans="11:92" x14ac:dyDescent="0.2">
      <c r="K186" s="32"/>
      <c r="L186" s="32" t="s">
        <v>274</v>
      </c>
      <c r="M186" s="1">
        <f>((P7-AB7)-(Q7-Z7))/LN((P7-AB7)/(Q7-Z7))</f>
        <v>42.704623002953724</v>
      </c>
      <c r="N186" s="1"/>
      <c r="O186" s="1"/>
      <c r="P186" s="1"/>
      <c r="Q186" s="1"/>
      <c r="R186" s="33"/>
      <c r="S186" s="32"/>
      <c r="T186" s="1"/>
      <c r="U186" s="33"/>
      <c r="V186" s="32"/>
      <c r="W186" s="33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33"/>
    </row>
    <row r="187" spans="11:92" x14ac:dyDescent="0.2">
      <c r="K187" s="32"/>
      <c r="L187" s="32"/>
      <c r="M187" s="1"/>
      <c r="N187" s="1"/>
      <c r="O187" s="1"/>
      <c r="P187" s="1">
        <v>79.190834466844862</v>
      </c>
      <c r="Q187" s="1"/>
      <c r="R187" s="33"/>
      <c r="S187" s="32"/>
      <c r="T187" s="1"/>
      <c r="U187" s="33"/>
      <c r="V187" s="32"/>
      <c r="W187" s="33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33"/>
    </row>
    <row r="188" spans="11:92" x14ac:dyDescent="0.2">
      <c r="K188" s="32"/>
      <c r="L188" s="32" t="s">
        <v>226</v>
      </c>
      <c r="M188" s="1"/>
      <c r="N188" s="1"/>
      <c r="O188" s="1"/>
      <c r="P188" s="1"/>
      <c r="Q188" s="1"/>
      <c r="R188" s="33"/>
      <c r="S188" s="32"/>
      <c r="T188" s="1"/>
      <c r="U188" s="33"/>
      <c r="V188" s="32"/>
      <c r="W188" s="33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33"/>
    </row>
    <row r="189" spans="11:92" x14ac:dyDescent="0.2">
      <c r="K189" s="32"/>
      <c r="L189" s="32" t="s">
        <v>227</v>
      </c>
      <c r="M189" s="1">
        <v>0.6</v>
      </c>
      <c r="N189" s="1"/>
      <c r="O189" s="1"/>
      <c r="P189" s="1"/>
      <c r="Q189" s="1"/>
      <c r="R189" s="33"/>
      <c r="S189" s="32"/>
      <c r="T189" s="1"/>
      <c r="U189" s="33"/>
      <c r="V189" s="32"/>
      <c r="W189" s="33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33"/>
    </row>
    <row r="190" spans="11:92" x14ac:dyDescent="0.2">
      <c r="K190" s="32"/>
      <c r="L190" s="32" t="s">
        <v>229</v>
      </c>
      <c r="M190" s="1">
        <v>9731.2992894726485</v>
      </c>
      <c r="N190" s="1"/>
      <c r="O190" s="1"/>
      <c r="P190" s="1"/>
      <c r="Q190" s="1"/>
      <c r="R190" s="33"/>
      <c r="S190" s="32"/>
      <c r="T190" s="1"/>
      <c r="U190" s="33"/>
      <c r="V190" s="32"/>
      <c r="W190" s="33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33"/>
    </row>
    <row r="191" spans="11:92" ht="15" thickBot="1" x14ac:dyDescent="0.25">
      <c r="K191" s="32"/>
      <c r="L191" s="34" t="s">
        <v>230</v>
      </c>
      <c r="M191" s="47">
        <f>O182*(M190/R180)^M189</f>
        <v>548406.37896595791</v>
      </c>
      <c r="N191" s="35" t="s">
        <v>231</v>
      </c>
      <c r="O191" s="35"/>
      <c r="P191" s="35"/>
      <c r="Q191" s="35"/>
      <c r="R191" s="36"/>
      <c r="S191" s="34"/>
      <c r="T191" s="35"/>
      <c r="U191" s="36"/>
      <c r="V191" s="34"/>
      <c r="W191" s="36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33"/>
    </row>
    <row r="192" spans="11:92" ht="15" thickBot="1" x14ac:dyDescent="0.25">
      <c r="K192" s="32"/>
      <c r="L192" s="83" t="s">
        <v>107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33"/>
    </row>
    <row r="193" spans="11:92" x14ac:dyDescent="0.2">
      <c r="K193" s="32"/>
      <c r="L193" s="31" t="s">
        <v>206</v>
      </c>
      <c r="M193" s="29"/>
      <c r="N193" s="29"/>
      <c r="O193" s="29"/>
      <c r="P193" s="29"/>
      <c r="Q193" s="29"/>
      <c r="R193" s="30"/>
      <c r="S193" s="31" t="s">
        <v>207</v>
      </c>
      <c r="T193" s="29"/>
      <c r="U193" s="30"/>
      <c r="V193" s="31" t="s">
        <v>208</v>
      </c>
      <c r="W193" s="30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33"/>
    </row>
    <row r="194" spans="11:92" x14ac:dyDescent="0.2">
      <c r="K194" s="32"/>
      <c r="L194" s="32" t="s">
        <v>209</v>
      </c>
      <c r="M194" s="1" t="s">
        <v>262</v>
      </c>
      <c r="N194" s="1"/>
      <c r="O194" s="1"/>
      <c r="P194" s="1"/>
      <c r="Q194" s="1"/>
      <c r="R194" s="33"/>
      <c r="S194" s="32" t="s">
        <v>211</v>
      </c>
      <c r="T194" s="1">
        <v>3.8809999999999997E-2</v>
      </c>
      <c r="U194" s="33"/>
      <c r="V194" s="32" t="s">
        <v>263</v>
      </c>
      <c r="W194" s="33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33"/>
    </row>
    <row r="195" spans="11:92" x14ac:dyDescent="0.2">
      <c r="K195" s="32"/>
      <c r="L195" s="32" t="s">
        <v>213</v>
      </c>
      <c r="M195" s="1">
        <v>4.8305999999999996</v>
      </c>
      <c r="N195" s="1"/>
      <c r="O195" s="1"/>
      <c r="P195" s="1"/>
      <c r="Q195" s="1"/>
      <c r="R195" s="33"/>
      <c r="S195" s="32" t="s">
        <v>214</v>
      </c>
      <c r="T195" s="1">
        <v>-0.11272</v>
      </c>
      <c r="U195" s="33"/>
      <c r="V195" s="32" t="s">
        <v>215</v>
      </c>
      <c r="W195" s="105">
        <v>1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33"/>
    </row>
    <row r="196" spans="11:92" x14ac:dyDescent="0.2">
      <c r="K196" s="32"/>
      <c r="L196" s="32" t="s">
        <v>216</v>
      </c>
      <c r="M196" s="1">
        <v>-0.85089999999999999</v>
      </c>
      <c r="N196" s="1"/>
      <c r="O196" s="1"/>
      <c r="P196" s="1"/>
      <c r="Q196" s="1"/>
      <c r="R196" s="33"/>
      <c r="S196" s="32" t="s">
        <v>217</v>
      </c>
      <c r="T196" s="1">
        <v>8.183E-2</v>
      </c>
      <c r="U196" s="33"/>
      <c r="V196" s="32"/>
      <c r="W196" s="33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33"/>
    </row>
    <row r="197" spans="11:92" x14ac:dyDescent="0.2">
      <c r="K197" s="32"/>
      <c r="L197" s="32" t="s">
        <v>218</v>
      </c>
      <c r="M197" s="1">
        <v>0.31869999999999998</v>
      </c>
      <c r="N197" s="1"/>
      <c r="O197" s="1"/>
      <c r="P197" s="1"/>
      <c r="Q197" s="1"/>
      <c r="R197" s="33"/>
      <c r="S197" s="32" t="s">
        <v>264</v>
      </c>
      <c r="T197" s="1">
        <v>72</v>
      </c>
      <c r="U197" s="33"/>
      <c r="V197" s="32"/>
      <c r="W197" s="33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33"/>
    </row>
    <row r="198" spans="11:92" x14ac:dyDescent="0.2">
      <c r="K198" s="32"/>
      <c r="L198" s="32" t="s">
        <v>220</v>
      </c>
      <c r="M198" s="1" t="s">
        <v>265</v>
      </c>
      <c r="N198" s="1"/>
      <c r="O198" s="1" t="s">
        <v>222</v>
      </c>
      <c r="P198" s="1">
        <v>10</v>
      </c>
      <c r="Q198" s="1" t="s">
        <v>223</v>
      </c>
      <c r="R198" s="33">
        <v>1000</v>
      </c>
      <c r="S198" s="32" t="s">
        <v>224</v>
      </c>
      <c r="T198" s="1"/>
      <c r="U198" s="105">
        <f>10^(T194+T195*LOG10(T197)+T196*(LOG10(T197))^2)</f>
        <v>1.293418662199</v>
      </c>
      <c r="V198" s="32"/>
      <c r="W198" s="33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33"/>
    </row>
    <row r="199" spans="11:92" x14ac:dyDescent="0.2">
      <c r="K199" s="32"/>
      <c r="L199" s="32"/>
      <c r="M199" s="1"/>
      <c r="N199" s="1"/>
      <c r="O199" s="1"/>
      <c r="P199" s="1"/>
      <c r="Q199" s="1"/>
      <c r="R199" s="33"/>
      <c r="S199" s="32"/>
      <c r="T199" s="1"/>
      <c r="U199" s="33"/>
      <c r="V199" s="32"/>
      <c r="W199" s="33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33"/>
    </row>
    <row r="200" spans="11:92" x14ac:dyDescent="0.2">
      <c r="K200" s="32"/>
      <c r="L200" s="32" t="s">
        <v>225</v>
      </c>
      <c r="M200" s="1"/>
      <c r="N200" s="1"/>
      <c r="O200" s="1">
        <v>140023.20047858494</v>
      </c>
      <c r="P200" s="1"/>
      <c r="Q200" s="1"/>
      <c r="R200" s="33"/>
      <c r="S200" s="32"/>
      <c r="T200" s="1"/>
      <c r="U200" s="33"/>
      <c r="V200" s="32"/>
      <c r="W200" s="33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33"/>
    </row>
    <row r="201" spans="11:92" x14ac:dyDescent="0.2">
      <c r="K201" s="32"/>
      <c r="L201" s="32"/>
      <c r="M201" s="1"/>
      <c r="N201" s="1"/>
      <c r="O201" s="1"/>
      <c r="P201" s="1"/>
      <c r="Q201" s="1"/>
      <c r="R201" s="33"/>
      <c r="S201" s="32"/>
      <c r="T201" s="1"/>
      <c r="U201" s="33"/>
      <c r="V201" s="32"/>
      <c r="W201" s="33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33"/>
    </row>
    <row r="202" spans="11:92" x14ac:dyDescent="0.2">
      <c r="K202" s="32"/>
      <c r="L202" s="32" t="s">
        <v>266</v>
      </c>
      <c r="M202" s="1" t="s">
        <v>267</v>
      </c>
      <c r="N202" s="1"/>
      <c r="O202" s="1" t="s">
        <v>268</v>
      </c>
      <c r="P202" s="1">
        <v>0.1</v>
      </c>
      <c r="Q202" s="1"/>
      <c r="R202" s="33"/>
      <c r="S202" s="32"/>
      <c r="T202" s="1"/>
      <c r="U202" s="33"/>
      <c r="V202" s="32"/>
      <c r="W202" s="33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33"/>
    </row>
    <row r="203" spans="11:92" x14ac:dyDescent="0.2">
      <c r="K203" s="32"/>
      <c r="L203" s="32" t="s">
        <v>269</v>
      </c>
      <c r="M203" s="1">
        <v>15</v>
      </c>
      <c r="N203" s="1"/>
      <c r="O203" s="1" t="s">
        <v>270</v>
      </c>
      <c r="P203" s="1">
        <v>4.1859999999999999</v>
      </c>
      <c r="Q203" s="1"/>
      <c r="R203" s="33"/>
      <c r="S203" s="32"/>
      <c r="T203" s="1"/>
      <c r="U203" s="33"/>
      <c r="V203" s="32"/>
      <c r="W203" s="33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33"/>
    </row>
    <row r="204" spans="11:92" x14ac:dyDescent="0.2">
      <c r="K204" s="32"/>
      <c r="L204" s="32" t="s">
        <v>271</v>
      </c>
      <c r="M204" s="1">
        <v>138.88999999999999</v>
      </c>
      <c r="N204" s="1"/>
      <c r="O204" s="1" t="s">
        <v>272</v>
      </c>
      <c r="P204" s="1">
        <f>M203+M205/(P203*M204)</f>
        <v>16.043847167617308</v>
      </c>
      <c r="Q204" s="1"/>
      <c r="R204" s="33"/>
      <c r="S204" s="32"/>
      <c r="T204" s="1"/>
      <c r="U204" s="33"/>
      <c r="V204" s="32"/>
      <c r="W204" s="33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33"/>
    </row>
    <row r="205" spans="11:92" x14ac:dyDescent="0.2">
      <c r="K205" s="32"/>
      <c r="L205" s="32" t="s">
        <v>273</v>
      </c>
      <c r="M205" s="1">
        <f>N33*1000</f>
        <v>606.88600000000008</v>
      </c>
      <c r="N205" s="1"/>
      <c r="O205" s="1" t="s">
        <v>274</v>
      </c>
      <c r="P205" s="1">
        <f>((M206-P204)-(M207-M203))/LN((M206-P204)/(M207-M203))</f>
        <v>26.92966165237435</v>
      </c>
      <c r="Q205" s="1"/>
      <c r="R205" s="33"/>
      <c r="S205" s="32"/>
      <c r="T205" s="1"/>
      <c r="U205" s="33"/>
      <c r="V205" s="32"/>
      <c r="W205" s="33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33"/>
    </row>
    <row r="206" spans="11:92" x14ac:dyDescent="0.2">
      <c r="K206" s="32"/>
      <c r="L206" s="32" t="s">
        <v>275</v>
      </c>
      <c r="M206" s="1">
        <f>Q7</f>
        <v>45</v>
      </c>
      <c r="N206" s="1"/>
      <c r="O206" s="1"/>
      <c r="P206" s="1"/>
      <c r="Q206" s="1"/>
      <c r="R206" s="33"/>
      <c r="S206" s="32"/>
      <c r="T206" s="1"/>
      <c r="U206" s="33"/>
      <c r="V206" s="32"/>
      <c r="W206" s="33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33"/>
    </row>
    <row r="207" spans="11:92" x14ac:dyDescent="0.2">
      <c r="K207" s="32"/>
      <c r="L207" s="32" t="s">
        <v>276</v>
      </c>
      <c r="M207" s="1">
        <v>40</v>
      </c>
      <c r="N207" s="1"/>
      <c r="O207" s="1"/>
      <c r="P207" s="1"/>
      <c r="Q207" s="1"/>
      <c r="R207" s="33"/>
      <c r="S207" s="32"/>
      <c r="T207" s="1"/>
      <c r="U207" s="33"/>
      <c r="V207" s="32"/>
      <c r="W207" s="33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33"/>
    </row>
    <row r="208" spans="11:92" x14ac:dyDescent="0.2">
      <c r="K208" s="32"/>
      <c r="L208" s="32"/>
      <c r="M208" s="1"/>
      <c r="N208" s="1"/>
      <c r="O208" s="1"/>
      <c r="P208" s="1"/>
      <c r="Q208" s="1"/>
      <c r="R208" s="33"/>
      <c r="S208" s="32"/>
      <c r="T208" s="1"/>
      <c r="U208" s="33"/>
      <c r="V208" s="32"/>
      <c r="W208" s="33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33"/>
    </row>
    <row r="209" spans="11:92" x14ac:dyDescent="0.2">
      <c r="K209" s="32"/>
      <c r="L209" s="32" t="s">
        <v>226</v>
      </c>
      <c r="M209" s="1"/>
      <c r="N209" s="1"/>
      <c r="O209" s="1"/>
      <c r="P209" s="1"/>
      <c r="Q209" s="1"/>
      <c r="R209" s="33"/>
      <c r="S209" s="32"/>
      <c r="T209" s="1"/>
      <c r="U209" s="33"/>
      <c r="V209" s="32"/>
      <c r="W209" s="33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33"/>
    </row>
    <row r="210" spans="11:92" x14ac:dyDescent="0.2">
      <c r="K210" s="32"/>
      <c r="L210" s="32" t="s">
        <v>227</v>
      </c>
      <c r="M210" s="1">
        <v>0.6</v>
      </c>
      <c r="N210" s="1"/>
      <c r="O210" s="1"/>
      <c r="P210" s="1"/>
      <c r="Q210" s="1"/>
      <c r="R210" s="33"/>
      <c r="S210" s="32"/>
      <c r="T210" s="1"/>
      <c r="U210" s="33"/>
      <c r="V210" s="32"/>
      <c r="W210" s="33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33"/>
    </row>
    <row r="211" spans="11:92" x14ac:dyDescent="0.2">
      <c r="K211" s="32"/>
      <c r="L211" s="32" t="s">
        <v>229</v>
      </c>
      <c r="M211" s="1">
        <f>M205/(P205*P202)</f>
        <v>225.35968250699941</v>
      </c>
      <c r="N211" s="1"/>
      <c r="O211" s="1"/>
      <c r="P211" s="1"/>
      <c r="Q211" s="1"/>
      <c r="R211" s="33"/>
      <c r="S211" s="32"/>
      <c r="T211" s="1"/>
      <c r="U211" s="33"/>
      <c r="V211" s="32"/>
      <c r="W211" s="33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33"/>
    </row>
    <row r="212" spans="11:92" ht="15" thickBot="1" x14ac:dyDescent="0.25">
      <c r="K212" s="32"/>
      <c r="L212" s="34" t="s">
        <v>230</v>
      </c>
      <c r="M212" s="47">
        <f>O200*(M211/R198)^M210</f>
        <v>57269.808812070733</v>
      </c>
      <c r="N212" s="35" t="s">
        <v>231</v>
      </c>
      <c r="O212" s="35"/>
      <c r="P212" s="35"/>
      <c r="Q212" s="35"/>
      <c r="R212" s="36"/>
      <c r="S212" s="34"/>
      <c r="T212" s="35"/>
      <c r="U212" s="36"/>
      <c r="V212" s="34"/>
      <c r="W212" s="36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33"/>
    </row>
    <row r="213" spans="11:92" ht="15" thickBot="1" x14ac:dyDescent="0.25">
      <c r="K213" s="32"/>
      <c r="L213" s="83" t="s">
        <v>7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33"/>
    </row>
    <row r="214" spans="11:92" x14ac:dyDescent="0.2">
      <c r="K214" s="32"/>
      <c r="L214" s="43" t="s">
        <v>280</v>
      </c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30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33"/>
    </row>
    <row r="215" spans="11:92" ht="15" thickBot="1" x14ac:dyDescent="0.25">
      <c r="K215" s="32"/>
      <c r="L215" s="34" t="s">
        <v>281</v>
      </c>
      <c r="M215" s="47">
        <v>4720867.5000000009</v>
      </c>
      <c r="N215" s="35" t="s">
        <v>231</v>
      </c>
      <c r="O215" s="35"/>
      <c r="P215" s="35"/>
      <c r="Q215" s="35"/>
      <c r="R215" s="35"/>
      <c r="S215" s="35"/>
      <c r="T215" s="35"/>
      <c r="U215" s="35"/>
      <c r="V215" s="35"/>
      <c r="W215" s="36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33"/>
    </row>
    <row r="216" spans="11:92" ht="15" thickBot="1" x14ac:dyDescent="0.25">
      <c r="K216" s="32"/>
      <c r="L216" s="83" t="s">
        <v>8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33"/>
    </row>
    <row r="217" spans="11:92" x14ac:dyDescent="0.2">
      <c r="K217" s="32"/>
      <c r="L217" s="31" t="s">
        <v>282</v>
      </c>
      <c r="M217" s="106">
        <v>300000</v>
      </c>
      <c r="N217" s="29" t="s">
        <v>231</v>
      </c>
      <c r="O217" s="29"/>
      <c r="P217" s="29"/>
      <c r="Q217" s="29"/>
      <c r="R217" s="29"/>
      <c r="S217" s="29"/>
      <c r="T217" s="29"/>
      <c r="U217" s="29"/>
      <c r="V217" s="29"/>
      <c r="W217" s="30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33"/>
    </row>
    <row r="218" spans="11:92" ht="15" thickBot="1" x14ac:dyDescent="0.25">
      <c r="K218" s="32"/>
      <c r="L218" s="34" t="s">
        <v>283</v>
      </c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6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33"/>
    </row>
    <row r="219" spans="11:92" ht="15" thickBot="1" x14ac:dyDescent="0.25">
      <c r="K219" s="32"/>
      <c r="L219" s="83" t="s">
        <v>9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33"/>
    </row>
    <row r="220" spans="11:92" x14ac:dyDescent="0.2">
      <c r="K220" s="32"/>
      <c r="L220" s="31" t="s">
        <v>206</v>
      </c>
      <c r="M220" s="29"/>
      <c r="N220" s="29"/>
      <c r="O220" s="29"/>
      <c r="P220" s="29"/>
      <c r="Q220" s="29"/>
      <c r="R220" s="30"/>
      <c r="S220" s="31" t="s">
        <v>207</v>
      </c>
      <c r="T220" s="29"/>
      <c r="U220" s="30"/>
      <c r="V220" s="31" t="s">
        <v>208</v>
      </c>
      <c r="W220" s="30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33"/>
    </row>
    <row r="221" spans="11:92" x14ac:dyDescent="0.2">
      <c r="K221" s="32"/>
      <c r="L221" s="32" t="s">
        <v>209</v>
      </c>
      <c r="M221" s="1" t="s">
        <v>262</v>
      </c>
      <c r="N221" s="1"/>
      <c r="O221" s="1"/>
      <c r="P221" s="1"/>
      <c r="Q221" s="1"/>
      <c r="R221" s="33"/>
      <c r="S221" s="32" t="s">
        <v>211</v>
      </c>
      <c r="T221" s="1">
        <v>3.8809999999999997E-2</v>
      </c>
      <c r="U221" s="33"/>
      <c r="V221" s="32" t="s">
        <v>263</v>
      </c>
      <c r="W221" s="33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33"/>
    </row>
    <row r="222" spans="11:92" x14ac:dyDescent="0.2">
      <c r="K222" s="32"/>
      <c r="L222" s="32" t="s">
        <v>213</v>
      </c>
      <c r="M222" s="1">
        <v>4.8305999999999996</v>
      </c>
      <c r="N222" s="1"/>
      <c r="O222" s="1"/>
      <c r="P222" s="1"/>
      <c r="Q222" s="1"/>
      <c r="R222" s="33"/>
      <c r="S222" s="32" t="s">
        <v>214</v>
      </c>
      <c r="T222" s="1">
        <v>-0.11272</v>
      </c>
      <c r="U222" s="33"/>
      <c r="V222" s="32" t="s">
        <v>215</v>
      </c>
      <c r="W222" s="105">
        <v>1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33"/>
    </row>
    <row r="223" spans="11:92" x14ac:dyDescent="0.2">
      <c r="K223" s="32"/>
      <c r="L223" s="32" t="s">
        <v>216</v>
      </c>
      <c r="M223" s="1">
        <v>-0.85089999999999999</v>
      </c>
      <c r="N223" s="1"/>
      <c r="O223" s="1"/>
      <c r="P223" s="1"/>
      <c r="Q223" s="1"/>
      <c r="R223" s="33"/>
      <c r="S223" s="32" t="s">
        <v>217</v>
      </c>
      <c r="T223" s="1">
        <v>8.183E-2</v>
      </c>
      <c r="U223" s="33"/>
      <c r="V223" s="32"/>
      <c r="W223" s="33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33"/>
    </row>
    <row r="224" spans="11:92" x14ac:dyDescent="0.2">
      <c r="K224" s="32"/>
      <c r="L224" s="32" t="s">
        <v>218</v>
      </c>
      <c r="M224" s="1">
        <v>0.31869999999999998</v>
      </c>
      <c r="N224" s="1"/>
      <c r="O224" s="1"/>
      <c r="P224" s="1"/>
      <c r="Q224" s="1"/>
      <c r="R224" s="33"/>
      <c r="S224" s="32" t="s">
        <v>264</v>
      </c>
      <c r="T224" s="1">
        <v>50</v>
      </c>
      <c r="U224" s="33"/>
      <c r="V224" s="32"/>
      <c r="W224" s="33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33"/>
    </row>
    <row r="225" spans="11:92" x14ac:dyDescent="0.2">
      <c r="K225" s="32"/>
      <c r="L225" s="32" t="s">
        <v>220</v>
      </c>
      <c r="M225" s="1" t="s">
        <v>265</v>
      </c>
      <c r="N225" s="1"/>
      <c r="O225" s="1" t="s">
        <v>222</v>
      </c>
      <c r="P225" s="1">
        <v>10</v>
      </c>
      <c r="Q225" s="1" t="s">
        <v>223</v>
      </c>
      <c r="R225" s="33">
        <v>1000</v>
      </c>
      <c r="S225" s="32" t="s">
        <v>224</v>
      </c>
      <c r="T225" s="1"/>
      <c r="U225" s="105">
        <f>10^(T221+T222*LOG10(T224)+T223*(LOG10(T224))^2)</f>
        <v>1.2120047460418784</v>
      </c>
      <c r="V225" s="32"/>
      <c r="W225" s="33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33"/>
    </row>
    <row r="226" spans="11:92" x14ac:dyDescent="0.2">
      <c r="K226" s="32"/>
      <c r="L226" s="32"/>
      <c r="M226" s="1"/>
      <c r="N226" s="1"/>
      <c r="O226" s="1"/>
      <c r="P226" s="1"/>
      <c r="Q226" s="1"/>
      <c r="R226" s="33"/>
      <c r="S226" s="32"/>
      <c r="T226" s="1"/>
      <c r="U226" s="33"/>
      <c r="V226" s="32"/>
      <c r="W226" s="33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33"/>
    </row>
    <row r="227" spans="11:92" x14ac:dyDescent="0.2">
      <c r="K227" s="32"/>
      <c r="L227" s="32" t="s">
        <v>225</v>
      </c>
      <c r="M227" s="1"/>
      <c r="N227" s="1"/>
      <c r="O227" s="1">
        <v>140023.20047858494</v>
      </c>
      <c r="P227" s="1"/>
      <c r="Q227" s="1"/>
      <c r="R227" s="33"/>
      <c r="S227" s="32"/>
      <c r="T227" s="1"/>
      <c r="U227" s="33"/>
      <c r="V227" s="32"/>
      <c r="W227" s="33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33"/>
    </row>
    <row r="228" spans="11:92" x14ac:dyDescent="0.2">
      <c r="K228" s="32"/>
      <c r="L228" s="32"/>
      <c r="M228" s="1"/>
      <c r="N228" s="1"/>
      <c r="O228" s="1"/>
      <c r="P228" s="1"/>
      <c r="Q228" s="1"/>
      <c r="R228" s="33"/>
      <c r="S228" s="32"/>
      <c r="T228" s="1"/>
      <c r="U228" s="33"/>
      <c r="V228" s="32"/>
      <c r="W228" s="33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33"/>
    </row>
    <row r="229" spans="11:92" x14ac:dyDescent="0.2">
      <c r="K229" s="32"/>
      <c r="L229" s="32" t="s">
        <v>273</v>
      </c>
      <c r="M229" s="1">
        <f>AH16*(AH10-AI10)</f>
        <v>1836.693972316516</v>
      </c>
      <c r="N229" s="1"/>
      <c r="O229" s="1"/>
      <c r="P229" s="1"/>
      <c r="Q229" s="1"/>
      <c r="R229" s="33"/>
      <c r="S229" s="32"/>
      <c r="T229" s="1"/>
      <c r="U229" s="33"/>
      <c r="V229" s="32"/>
      <c r="W229" s="33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33"/>
    </row>
    <row r="230" spans="11:92" x14ac:dyDescent="0.2">
      <c r="K230" s="32"/>
      <c r="L230" s="32" t="s">
        <v>268</v>
      </c>
      <c r="M230" s="1">
        <v>0.1</v>
      </c>
      <c r="N230" s="1"/>
      <c r="O230" s="1"/>
      <c r="P230" s="1"/>
      <c r="Q230" s="1"/>
      <c r="R230" s="33"/>
      <c r="S230" s="32"/>
      <c r="T230" s="1"/>
      <c r="U230" s="33"/>
      <c r="V230" s="32"/>
      <c r="W230" s="33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33"/>
    </row>
    <row r="231" spans="11:92" x14ac:dyDescent="0.2">
      <c r="K231" s="32"/>
      <c r="L231" s="32" t="s">
        <v>274</v>
      </c>
      <c r="M231" s="1">
        <f>((AH7-T7)-(AI7-S7))/LN((AH7-T7)/(AI7-S7))</f>
        <v>83.204150055308901</v>
      </c>
      <c r="N231" s="1"/>
      <c r="O231" s="1"/>
      <c r="P231" s="1"/>
      <c r="Q231" s="1"/>
      <c r="R231" s="33"/>
      <c r="S231" s="32"/>
      <c r="T231" s="1"/>
      <c r="U231" s="33"/>
      <c r="V231" s="32"/>
      <c r="W231" s="33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33"/>
    </row>
    <row r="232" spans="11:92" x14ac:dyDescent="0.2">
      <c r="K232" s="32"/>
      <c r="L232" s="32"/>
      <c r="M232" s="1"/>
      <c r="N232" s="1"/>
      <c r="O232" s="1"/>
      <c r="P232" s="1">
        <v>79.190834466844862</v>
      </c>
      <c r="Q232" s="1"/>
      <c r="R232" s="33"/>
      <c r="S232" s="32"/>
      <c r="T232" s="1"/>
      <c r="U232" s="33"/>
      <c r="V232" s="32"/>
      <c r="W232" s="33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33"/>
    </row>
    <row r="233" spans="11:92" x14ac:dyDescent="0.2">
      <c r="K233" s="32"/>
      <c r="L233" s="32" t="s">
        <v>226</v>
      </c>
      <c r="M233" s="1"/>
      <c r="N233" s="1"/>
      <c r="O233" s="1"/>
      <c r="P233" s="1"/>
      <c r="Q233" s="1"/>
      <c r="R233" s="33"/>
      <c r="S233" s="32"/>
      <c r="T233" s="1"/>
      <c r="U233" s="33"/>
      <c r="V233" s="32"/>
      <c r="W233" s="33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33"/>
    </row>
    <row r="234" spans="11:92" x14ac:dyDescent="0.2">
      <c r="K234" s="32"/>
      <c r="L234" s="32" t="s">
        <v>227</v>
      </c>
      <c r="M234" s="1">
        <v>0.6</v>
      </c>
      <c r="N234" s="1"/>
      <c r="O234" s="1"/>
      <c r="P234" s="1"/>
      <c r="Q234" s="1"/>
      <c r="R234" s="33"/>
      <c r="S234" s="32"/>
      <c r="T234" s="1"/>
      <c r="U234" s="33"/>
      <c r="V234" s="32"/>
      <c r="W234" s="33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33"/>
    </row>
    <row r="235" spans="11:92" x14ac:dyDescent="0.2">
      <c r="K235" s="32"/>
      <c r="L235" s="32" t="s">
        <v>229</v>
      </c>
      <c r="M235" s="1">
        <f>M229/(M230*M231)</f>
        <v>220.74547616862824</v>
      </c>
      <c r="N235" s="1"/>
      <c r="O235" s="1"/>
      <c r="P235" s="1"/>
      <c r="Q235" s="1"/>
      <c r="R235" s="33"/>
      <c r="S235" s="32"/>
      <c r="T235" s="1"/>
      <c r="U235" s="33"/>
      <c r="V235" s="32"/>
      <c r="W235" s="33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33"/>
    </row>
    <row r="236" spans="11:92" ht="15" thickBot="1" x14ac:dyDescent="0.25">
      <c r="K236" s="32"/>
      <c r="L236" s="34" t="s">
        <v>230</v>
      </c>
      <c r="M236" s="47">
        <f>O227*(M235/R225)^M234</f>
        <v>56563.345360846208</v>
      </c>
      <c r="N236" s="35" t="s">
        <v>231</v>
      </c>
      <c r="O236" s="35"/>
      <c r="P236" s="35"/>
      <c r="Q236" s="35"/>
      <c r="R236" s="36"/>
      <c r="S236" s="34"/>
      <c r="T236" s="35"/>
      <c r="U236" s="36"/>
      <c r="V236" s="34"/>
      <c r="W236" s="36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33"/>
    </row>
    <row r="237" spans="11:92" ht="15" thickBot="1" x14ac:dyDescent="0.25">
      <c r="K237" s="32"/>
      <c r="L237" s="83" t="s">
        <v>10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33"/>
    </row>
    <row r="238" spans="11:92" x14ac:dyDescent="0.2">
      <c r="K238" s="32"/>
      <c r="L238" s="31" t="s">
        <v>206</v>
      </c>
      <c r="M238" s="29"/>
      <c r="N238" s="29"/>
      <c r="O238" s="29"/>
      <c r="P238" s="29"/>
      <c r="Q238" s="29"/>
      <c r="R238" s="30"/>
      <c r="S238" s="31" t="s">
        <v>207</v>
      </c>
      <c r="T238" s="29"/>
      <c r="U238" s="30"/>
      <c r="V238" s="31" t="s">
        <v>208</v>
      </c>
      <c r="W238" s="30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33"/>
    </row>
    <row r="239" spans="11:92" x14ac:dyDescent="0.2">
      <c r="K239" s="32"/>
      <c r="L239" s="32" t="s">
        <v>209</v>
      </c>
      <c r="M239" s="1" t="s">
        <v>262</v>
      </c>
      <c r="N239" s="1"/>
      <c r="O239" s="1"/>
      <c r="P239" s="1"/>
      <c r="Q239" s="1"/>
      <c r="R239" s="33"/>
      <c r="S239" s="32" t="s">
        <v>211</v>
      </c>
      <c r="T239" s="1">
        <v>3.8809999999999997E-2</v>
      </c>
      <c r="U239" s="33"/>
      <c r="V239" s="32" t="s">
        <v>263</v>
      </c>
      <c r="W239" s="33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33"/>
    </row>
    <row r="240" spans="11:92" x14ac:dyDescent="0.2">
      <c r="K240" s="32"/>
      <c r="L240" s="32" t="s">
        <v>213</v>
      </c>
      <c r="M240" s="1">
        <v>4.8305999999999996</v>
      </c>
      <c r="N240" s="1"/>
      <c r="O240" s="1"/>
      <c r="P240" s="1"/>
      <c r="Q240" s="1"/>
      <c r="R240" s="33"/>
      <c r="S240" s="32" t="s">
        <v>214</v>
      </c>
      <c r="T240" s="1">
        <v>-0.11272</v>
      </c>
      <c r="U240" s="33"/>
      <c r="V240" s="32" t="s">
        <v>215</v>
      </c>
      <c r="W240" s="105">
        <v>1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33"/>
    </row>
    <row r="241" spans="11:92" x14ac:dyDescent="0.2">
      <c r="K241" s="32"/>
      <c r="L241" s="32" t="s">
        <v>216</v>
      </c>
      <c r="M241" s="1">
        <v>-0.85089999999999999</v>
      </c>
      <c r="N241" s="1"/>
      <c r="O241" s="1"/>
      <c r="P241" s="1"/>
      <c r="Q241" s="1"/>
      <c r="R241" s="33"/>
      <c r="S241" s="32" t="s">
        <v>217</v>
      </c>
      <c r="T241" s="1">
        <v>8.183E-2</v>
      </c>
      <c r="U241" s="33"/>
      <c r="V241" s="32"/>
      <c r="W241" s="33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33"/>
    </row>
    <row r="242" spans="11:92" x14ac:dyDescent="0.2">
      <c r="K242" s="32"/>
      <c r="L242" s="32" t="s">
        <v>218</v>
      </c>
      <c r="M242" s="1">
        <v>0.31869999999999998</v>
      </c>
      <c r="N242" s="1"/>
      <c r="O242" s="1"/>
      <c r="P242" s="1"/>
      <c r="Q242" s="1"/>
      <c r="R242" s="33"/>
      <c r="S242" s="32" t="s">
        <v>264</v>
      </c>
      <c r="T242" s="1">
        <v>50</v>
      </c>
      <c r="U242" s="33"/>
      <c r="V242" s="32"/>
      <c r="W242" s="33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33"/>
    </row>
    <row r="243" spans="11:92" x14ac:dyDescent="0.2">
      <c r="K243" s="32"/>
      <c r="L243" s="32" t="s">
        <v>220</v>
      </c>
      <c r="M243" s="1" t="s">
        <v>265</v>
      </c>
      <c r="N243" s="1"/>
      <c r="O243" s="1" t="s">
        <v>222</v>
      </c>
      <c r="P243" s="1">
        <v>10</v>
      </c>
      <c r="Q243" s="1" t="s">
        <v>223</v>
      </c>
      <c r="R243" s="33">
        <v>1000</v>
      </c>
      <c r="S243" s="32" t="s">
        <v>224</v>
      </c>
      <c r="T243" s="1"/>
      <c r="U243" s="105">
        <f>10^(T239+T240*LOG10(T242)+T241*(LOG10(T242))^2)</f>
        <v>1.2120047460418784</v>
      </c>
      <c r="V243" s="32"/>
      <c r="W243" s="33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33"/>
    </row>
    <row r="244" spans="11:92" x14ac:dyDescent="0.2">
      <c r="K244" s="32"/>
      <c r="L244" s="32"/>
      <c r="M244" s="1"/>
      <c r="N244" s="1"/>
      <c r="O244" s="1"/>
      <c r="P244" s="1"/>
      <c r="Q244" s="1"/>
      <c r="R244" s="33"/>
      <c r="S244" s="32"/>
      <c r="T244" s="1"/>
      <c r="U244" s="33"/>
      <c r="V244" s="32"/>
      <c r="W244" s="33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33"/>
    </row>
    <row r="245" spans="11:92" x14ac:dyDescent="0.2">
      <c r="K245" s="32"/>
      <c r="L245" s="32" t="s">
        <v>225</v>
      </c>
      <c r="M245" s="1"/>
      <c r="N245" s="1"/>
      <c r="O245" s="1">
        <v>140023.20047858494</v>
      </c>
      <c r="P245" s="1"/>
      <c r="Q245" s="1"/>
      <c r="R245" s="33"/>
      <c r="S245" s="32"/>
      <c r="T245" s="1"/>
      <c r="U245" s="33"/>
      <c r="V245" s="32"/>
      <c r="W245" s="33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33"/>
    </row>
    <row r="246" spans="11:92" x14ac:dyDescent="0.2">
      <c r="K246" s="32"/>
      <c r="L246" s="32"/>
      <c r="M246" s="1"/>
      <c r="N246" s="1"/>
      <c r="O246" s="1"/>
      <c r="P246" s="1"/>
      <c r="Q246" s="1"/>
      <c r="R246" s="33"/>
      <c r="S246" s="32"/>
      <c r="T246" s="1"/>
      <c r="U246" s="33"/>
      <c r="V246" s="32"/>
      <c r="W246" s="33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33"/>
    </row>
    <row r="247" spans="11:92" x14ac:dyDescent="0.2">
      <c r="K247" s="32"/>
      <c r="L247" s="32" t="s">
        <v>273</v>
      </c>
      <c r="M247" s="1">
        <f>AE16*(AE10-AG10)</f>
        <v>19473.005465452021</v>
      </c>
      <c r="N247" s="1"/>
      <c r="O247" s="1"/>
      <c r="P247" s="1"/>
      <c r="Q247" s="1"/>
      <c r="R247" s="33"/>
      <c r="S247" s="32"/>
      <c r="T247" s="1"/>
      <c r="U247" s="33"/>
      <c r="V247" s="32"/>
      <c r="W247" s="33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33"/>
    </row>
    <row r="248" spans="11:92" x14ac:dyDescent="0.2">
      <c r="K248" s="32"/>
      <c r="L248" s="32" t="s">
        <v>268</v>
      </c>
      <c r="M248" s="1">
        <v>0.1</v>
      </c>
      <c r="N248" s="1"/>
      <c r="O248" s="1"/>
      <c r="P248" s="1"/>
      <c r="Q248" s="1"/>
      <c r="R248" s="33"/>
      <c r="S248" s="32"/>
      <c r="T248" s="1"/>
      <c r="U248" s="33"/>
      <c r="V248" s="32"/>
      <c r="W248" s="33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33"/>
    </row>
    <row r="249" spans="11:92" x14ac:dyDescent="0.2">
      <c r="K249" s="32"/>
      <c r="L249" s="32" t="s">
        <v>274</v>
      </c>
      <c r="M249" s="1">
        <f>((AE7-U7)-(AG7-T7))/LN((AE7-U7)/(AG7-T7))</f>
        <v>51.840445178271708</v>
      </c>
      <c r="N249" s="1"/>
      <c r="O249" s="1"/>
      <c r="P249" s="1"/>
      <c r="Q249" s="1"/>
      <c r="R249" s="33"/>
      <c r="S249" s="32"/>
      <c r="T249" s="1"/>
      <c r="U249" s="33"/>
      <c r="V249" s="32"/>
      <c r="W249" s="33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33"/>
    </row>
    <row r="250" spans="11:92" x14ac:dyDescent="0.2">
      <c r="K250" s="32"/>
      <c r="L250" s="32"/>
      <c r="M250" s="1"/>
      <c r="N250" s="1"/>
      <c r="O250" s="1"/>
      <c r="P250" s="1">
        <v>79.190834466844862</v>
      </c>
      <c r="Q250" s="1"/>
      <c r="R250" s="33"/>
      <c r="S250" s="32"/>
      <c r="T250" s="1"/>
      <c r="U250" s="33"/>
      <c r="V250" s="32"/>
      <c r="W250" s="33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33"/>
    </row>
    <row r="251" spans="11:92" x14ac:dyDescent="0.2">
      <c r="K251" s="32"/>
      <c r="L251" s="32" t="s">
        <v>226</v>
      </c>
      <c r="M251" s="1"/>
      <c r="N251" s="1"/>
      <c r="O251" s="1"/>
      <c r="P251" s="1"/>
      <c r="Q251" s="1"/>
      <c r="R251" s="33"/>
      <c r="S251" s="32"/>
      <c r="T251" s="1"/>
      <c r="U251" s="33"/>
      <c r="V251" s="32"/>
      <c r="W251" s="33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33"/>
    </row>
    <row r="252" spans="11:92" x14ac:dyDescent="0.2">
      <c r="K252" s="32"/>
      <c r="L252" s="32" t="s">
        <v>227</v>
      </c>
      <c r="M252" s="1">
        <v>0.6</v>
      </c>
      <c r="N252" s="1"/>
      <c r="O252" s="1"/>
      <c r="P252" s="1"/>
      <c r="Q252" s="1"/>
      <c r="R252" s="33"/>
      <c r="S252" s="32"/>
      <c r="T252" s="1"/>
      <c r="U252" s="33"/>
      <c r="V252" s="32"/>
      <c r="W252" s="33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33"/>
    </row>
    <row r="253" spans="11:92" x14ac:dyDescent="0.2">
      <c r="K253" s="32"/>
      <c r="L253" s="32" t="s">
        <v>229</v>
      </c>
      <c r="M253" s="1">
        <f>M247/(M248*M249)</f>
        <v>3756.3345373457346</v>
      </c>
      <c r="N253" s="1"/>
      <c r="O253" s="1"/>
      <c r="P253" s="1"/>
      <c r="Q253" s="1"/>
      <c r="R253" s="33"/>
      <c r="S253" s="32"/>
      <c r="T253" s="1"/>
      <c r="U253" s="33"/>
      <c r="V253" s="32"/>
      <c r="W253" s="33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33"/>
    </row>
    <row r="254" spans="11:92" ht="15" thickBot="1" x14ac:dyDescent="0.25">
      <c r="K254" s="32"/>
      <c r="L254" s="34" t="s">
        <v>230</v>
      </c>
      <c r="M254" s="47">
        <f>O245*(M253/R243)^M252</f>
        <v>309783.69673912972</v>
      </c>
      <c r="N254" s="35" t="s">
        <v>231</v>
      </c>
      <c r="O254" s="35"/>
      <c r="P254" s="35"/>
      <c r="Q254" s="35"/>
      <c r="R254" s="36"/>
      <c r="S254" s="34"/>
      <c r="T254" s="35"/>
      <c r="U254" s="36"/>
      <c r="V254" s="34"/>
      <c r="W254" s="36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33"/>
    </row>
    <row r="255" spans="11:92" ht="15" thickBot="1" x14ac:dyDescent="0.25">
      <c r="K255" s="32"/>
      <c r="L255" s="83" t="s">
        <v>11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33"/>
    </row>
    <row r="256" spans="11:92" x14ac:dyDescent="0.2">
      <c r="K256" s="32"/>
      <c r="L256" s="31" t="s">
        <v>206</v>
      </c>
      <c r="M256" s="29"/>
      <c r="N256" s="29"/>
      <c r="O256" s="29"/>
      <c r="P256" s="29"/>
      <c r="Q256" s="29"/>
      <c r="R256" s="30"/>
      <c r="S256" s="31" t="s">
        <v>207</v>
      </c>
      <c r="T256" s="29"/>
      <c r="U256" s="30"/>
      <c r="V256" s="31" t="s">
        <v>208</v>
      </c>
      <c r="W256" s="30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33"/>
    </row>
    <row r="257" spans="11:92" x14ac:dyDescent="0.2">
      <c r="K257" s="32"/>
      <c r="L257" s="32" t="s">
        <v>284</v>
      </c>
      <c r="M257" s="1" t="s">
        <v>285</v>
      </c>
      <c r="N257" s="1"/>
      <c r="O257" s="1"/>
      <c r="P257" s="1"/>
      <c r="Q257" s="1"/>
      <c r="R257" s="33"/>
      <c r="S257" s="32" t="s">
        <v>211</v>
      </c>
      <c r="T257" s="1">
        <v>0</v>
      </c>
      <c r="U257" s="33"/>
      <c r="V257" s="32" t="s">
        <v>286</v>
      </c>
      <c r="W257" s="33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33"/>
    </row>
    <row r="258" spans="11:92" x14ac:dyDescent="0.2">
      <c r="K258" s="32"/>
      <c r="L258" s="32" t="s">
        <v>213</v>
      </c>
      <c r="M258" s="1">
        <v>2.7050999999999998</v>
      </c>
      <c r="N258" s="1"/>
      <c r="O258" s="1"/>
      <c r="P258" s="1"/>
      <c r="Q258" s="1"/>
      <c r="R258" s="33"/>
      <c r="S258" s="32" t="s">
        <v>214</v>
      </c>
      <c r="T258" s="1">
        <v>0</v>
      </c>
      <c r="U258" s="33"/>
      <c r="V258" s="32" t="s">
        <v>288</v>
      </c>
      <c r="W258" s="33">
        <v>220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33"/>
    </row>
    <row r="259" spans="11:92" x14ac:dyDescent="0.2">
      <c r="K259" s="32"/>
      <c r="L259" s="32" t="s">
        <v>216</v>
      </c>
      <c r="M259" s="1">
        <v>1.4398</v>
      </c>
      <c r="N259" s="1"/>
      <c r="O259" s="1"/>
      <c r="P259" s="1"/>
      <c r="Q259" s="1"/>
      <c r="R259" s="33"/>
      <c r="S259" s="32" t="s">
        <v>217</v>
      </c>
      <c r="T259" s="1">
        <v>0</v>
      </c>
      <c r="U259" s="33"/>
      <c r="V259" s="32" t="s">
        <v>289</v>
      </c>
      <c r="W259" s="33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33"/>
    </row>
    <row r="260" spans="11:92" x14ac:dyDescent="0.2">
      <c r="K260" s="32"/>
      <c r="L260" s="32" t="s">
        <v>218</v>
      </c>
      <c r="M260" s="1">
        <v>-0.17760000000000001</v>
      </c>
      <c r="N260" s="1"/>
      <c r="O260" s="1"/>
      <c r="P260" s="1"/>
      <c r="Q260" s="1"/>
      <c r="R260" s="33"/>
      <c r="S260" s="32" t="s">
        <v>287</v>
      </c>
      <c r="T260" s="1">
        <v>42</v>
      </c>
      <c r="U260" s="33"/>
      <c r="V260" s="32" t="s">
        <v>215</v>
      </c>
      <c r="W260" s="105">
        <v>3.6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33"/>
    </row>
    <row r="261" spans="11:92" x14ac:dyDescent="0.2">
      <c r="K261" s="32"/>
      <c r="L261" s="32" t="s">
        <v>220</v>
      </c>
      <c r="M261" s="1" t="s">
        <v>221</v>
      </c>
      <c r="N261" s="1"/>
      <c r="O261" s="1" t="s">
        <v>222</v>
      </c>
      <c r="P261" s="1">
        <v>100</v>
      </c>
      <c r="Q261" s="1" t="s">
        <v>223</v>
      </c>
      <c r="R261" s="33">
        <v>1500</v>
      </c>
      <c r="S261" s="32" t="s">
        <v>278</v>
      </c>
      <c r="T261" s="1"/>
      <c r="U261" s="105">
        <v>1</v>
      </c>
      <c r="V261" s="32"/>
      <c r="W261" s="33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33"/>
    </row>
    <row r="262" spans="11:92" x14ac:dyDescent="0.2">
      <c r="K262" s="32"/>
      <c r="L262" s="32"/>
      <c r="M262" s="1"/>
      <c r="N262" s="1"/>
      <c r="O262" s="1"/>
      <c r="P262" s="1"/>
      <c r="Q262" s="1"/>
      <c r="R262" s="33"/>
      <c r="S262" s="32"/>
      <c r="T262" s="1"/>
      <c r="U262" s="33"/>
      <c r="V262" s="32"/>
      <c r="W262" s="33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33"/>
    </row>
    <row r="263" spans="11:92" x14ac:dyDescent="0.2">
      <c r="K263" s="32"/>
      <c r="L263" s="32" t="s">
        <v>225</v>
      </c>
      <c r="M263" s="1"/>
      <c r="N263" s="1"/>
      <c r="O263" s="1">
        <v>306539.40139335563</v>
      </c>
      <c r="P263" s="1"/>
      <c r="Q263" s="1"/>
      <c r="R263" s="33"/>
      <c r="S263" s="32"/>
      <c r="T263" s="1"/>
      <c r="U263" s="33"/>
      <c r="V263" s="32"/>
      <c r="W263" s="33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33"/>
    </row>
    <row r="264" spans="11:92" x14ac:dyDescent="0.2">
      <c r="K264" s="32"/>
      <c r="L264" s="32" t="s">
        <v>226</v>
      </c>
      <c r="M264" s="1"/>
      <c r="N264" s="1"/>
      <c r="O264" s="1"/>
      <c r="P264" s="1"/>
      <c r="Q264" s="1"/>
      <c r="R264" s="33"/>
      <c r="S264" s="32"/>
      <c r="T264" s="1"/>
      <c r="U264" s="33"/>
      <c r="V264" s="32"/>
      <c r="W264" s="33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33"/>
    </row>
    <row r="265" spans="11:92" x14ac:dyDescent="0.2">
      <c r="K265" s="32"/>
      <c r="L265" s="32" t="s">
        <v>227</v>
      </c>
      <c r="M265" s="1">
        <v>0.6</v>
      </c>
      <c r="N265" s="1"/>
      <c r="O265" s="1"/>
      <c r="P265" s="1"/>
      <c r="Q265" s="1"/>
      <c r="R265" s="33"/>
      <c r="S265" s="32"/>
      <c r="T265" s="1"/>
      <c r="U265" s="33"/>
      <c r="V265" s="32"/>
      <c r="W265" s="33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33"/>
    </row>
    <row r="266" spans="11:92" x14ac:dyDescent="0.2">
      <c r="K266" s="32"/>
      <c r="L266" s="32" t="s">
        <v>229</v>
      </c>
      <c r="M266" s="1">
        <f>O33*1000</f>
        <v>14315.795</v>
      </c>
      <c r="N266" s="1"/>
      <c r="O266" s="1"/>
      <c r="P266" s="1"/>
      <c r="Q266" s="1"/>
      <c r="R266" s="33"/>
      <c r="S266" s="32"/>
      <c r="T266" s="1"/>
      <c r="U266" s="33"/>
      <c r="V266" s="32"/>
      <c r="W266" s="33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33"/>
    </row>
    <row r="267" spans="11:92" ht="15" thickBot="1" x14ac:dyDescent="0.25">
      <c r="K267" s="32"/>
      <c r="L267" s="34" t="s">
        <v>230</v>
      </c>
      <c r="M267" s="47">
        <f>O263*(M266/R261)^M265</f>
        <v>1186645.0501122645</v>
      </c>
      <c r="N267" s="35" t="s">
        <v>231</v>
      </c>
      <c r="O267" s="35"/>
      <c r="P267" s="35"/>
      <c r="Q267" s="35"/>
      <c r="R267" s="36"/>
      <c r="S267" s="34"/>
      <c r="T267" s="35"/>
      <c r="U267" s="36"/>
      <c r="V267" s="34"/>
      <c r="W267" s="36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33"/>
    </row>
    <row r="268" spans="11:92" ht="15" thickBot="1" x14ac:dyDescent="0.25">
      <c r="K268" s="32"/>
      <c r="L268" s="83" t="s">
        <v>12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33"/>
    </row>
    <row r="269" spans="11:92" x14ac:dyDescent="0.2">
      <c r="K269" s="32"/>
      <c r="L269" s="31" t="s">
        <v>206</v>
      </c>
      <c r="M269" s="29"/>
      <c r="N269" s="29"/>
      <c r="O269" s="29"/>
      <c r="P269" s="29"/>
      <c r="Q269" s="29"/>
      <c r="R269" s="30"/>
      <c r="S269" s="31" t="s">
        <v>207</v>
      </c>
      <c r="T269" s="29"/>
      <c r="U269" s="30"/>
      <c r="V269" s="31" t="s">
        <v>208</v>
      </c>
      <c r="W269" s="30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33"/>
    </row>
    <row r="270" spans="11:92" x14ac:dyDescent="0.2">
      <c r="K270" s="32"/>
      <c r="L270" s="32" t="s">
        <v>209</v>
      </c>
      <c r="M270" s="1" t="s">
        <v>262</v>
      </c>
      <c r="N270" s="1"/>
      <c r="O270" s="1"/>
      <c r="P270" s="1"/>
      <c r="Q270" s="1"/>
      <c r="R270" s="33"/>
      <c r="S270" s="32" t="s">
        <v>211</v>
      </c>
      <c r="T270" s="1">
        <v>3.8809999999999997E-2</v>
      </c>
      <c r="U270" s="33"/>
      <c r="V270" s="32" t="s">
        <v>263</v>
      </c>
      <c r="W270" s="33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33"/>
    </row>
    <row r="271" spans="11:92" x14ac:dyDescent="0.2">
      <c r="K271" s="32"/>
      <c r="L271" s="32" t="s">
        <v>213</v>
      </c>
      <c r="M271" s="1">
        <v>4.8305999999999996</v>
      </c>
      <c r="N271" s="1"/>
      <c r="O271" s="1"/>
      <c r="P271" s="1"/>
      <c r="Q271" s="1"/>
      <c r="R271" s="33"/>
      <c r="S271" s="32" t="s">
        <v>214</v>
      </c>
      <c r="T271" s="1">
        <v>-0.11272</v>
      </c>
      <c r="U271" s="33"/>
      <c r="V271" s="32" t="s">
        <v>215</v>
      </c>
      <c r="W271" s="105">
        <v>1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33"/>
    </row>
    <row r="272" spans="11:92" x14ac:dyDescent="0.2">
      <c r="K272" s="32"/>
      <c r="L272" s="32" t="s">
        <v>216</v>
      </c>
      <c r="M272" s="1">
        <v>-0.85089999999999999</v>
      </c>
      <c r="N272" s="1"/>
      <c r="O272" s="1"/>
      <c r="P272" s="1"/>
      <c r="Q272" s="1"/>
      <c r="R272" s="33"/>
      <c r="S272" s="32" t="s">
        <v>217</v>
      </c>
      <c r="T272" s="1">
        <v>8.183E-2</v>
      </c>
      <c r="U272" s="33"/>
      <c r="V272" s="32"/>
      <c r="W272" s="33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33"/>
    </row>
    <row r="273" spans="11:92" x14ac:dyDescent="0.2">
      <c r="K273" s="32"/>
      <c r="L273" s="32" t="s">
        <v>218</v>
      </c>
      <c r="M273" s="1">
        <v>0.31869999999999998</v>
      </c>
      <c r="N273" s="1"/>
      <c r="O273" s="1"/>
      <c r="P273" s="1"/>
      <c r="Q273" s="1"/>
      <c r="R273" s="33"/>
      <c r="S273" s="32" t="s">
        <v>264</v>
      </c>
      <c r="T273" s="1">
        <v>50</v>
      </c>
      <c r="U273" s="33"/>
      <c r="V273" s="32"/>
      <c r="W273" s="33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33"/>
    </row>
    <row r="274" spans="11:92" x14ac:dyDescent="0.2">
      <c r="K274" s="32"/>
      <c r="L274" s="32" t="s">
        <v>220</v>
      </c>
      <c r="M274" s="1" t="s">
        <v>265</v>
      </c>
      <c r="N274" s="1"/>
      <c r="O274" s="1" t="s">
        <v>222</v>
      </c>
      <c r="P274" s="1">
        <v>10</v>
      </c>
      <c r="Q274" s="1" t="s">
        <v>223</v>
      </c>
      <c r="R274" s="33">
        <v>1000</v>
      </c>
      <c r="S274" s="32" t="s">
        <v>224</v>
      </c>
      <c r="T274" s="1"/>
      <c r="U274" s="105">
        <f>10^(T270+T271*LOG10(T273)+T272*(LOG10(T273))^2)</f>
        <v>1.2120047460418784</v>
      </c>
      <c r="V274" s="32"/>
      <c r="W274" s="33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33"/>
    </row>
    <row r="275" spans="11:92" x14ac:dyDescent="0.2">
      <c r="K275" s="32"/>
      <c r="L275" s="32"/>
      <c r="M275" s="1"/>
      <c r="N275" s="1"/>
      <c r="O275" s="1"/>
      <c r="P275" s="1"/>
      <c r="Q275" s="1"/>
      <c r="R275" s="33"/>
      <c r="S275" s="32"/>
      <c r="T275" s="1"/>
      <c r="U275" s="33"/>
      <c r="V275" s="32"/>
      <c r="W275" s="33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33"/>
    </row>
    <row r="276" spans="11:92" x14ac:dyDescent="0.2">
      <c r="K276" s="32"/>
      <c r="L276" s="32" t="s">
        <v>225</v>
      </c>
      <c r="M276" s="1"/>
      <c r="N276" s="1"/>
      <c r="O276" s="1">
        <v>140023.20047858494</v>
      </c>
      <c r="P276" s="1"/>
      <c r="Q276" s="1"/>
      <c r="R276" s="33"/>
      <c r="S276" s="32"/>
      <c r="T276" s="1"/>
      <c r="U276" s="33"/>
      <c r="V276" s="32"/>
      <c r="W276" s="33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33"/>
    </row>
    <row r="277" spans="11:92" x14ac:dyDescent="0.2">
      <c r="K277" s="32"/>
      <c r="L277" s="32"/>
      <c r="M277" s="1"/>
      <c r="N277" s="1"/>
      <c r="O277" s="1"/>
      <c r="P277" s="1"/>
      <c r="Q277" s="1"/>
      <c r="R277" s="33"/>
      <c r="S277" s="32"/>
      <c r="T277" s="1"/>
      <c r="U277" s="33"/>
      <c r="V277" s="32"/>
      <c r="W277" s="33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33"/>
    </row>
    <row r="278" spans="11:92" x14ac:dyDescent="0.2">
      <c r="K278" s="32"/>
      <c r="L278" s="32" t="s">
        <v>273</v>
      </c>
      <c r="M278" s="1">
        <f>AF16*(AD10-AF10)</f>
        <v>16842.181157845996</v>
      </c>
      <c r="N278" s="1"/>
      <c r="O278" s="1"/>
      <c r="P278" s="1"/>
      <c r="Q278" s="1"/>
      <c r="R278" s="33"/>
      <c r="S278" s="32"/>
      <c r="T278" s="1"/>
      <c r="U278" s="33"/>
      <c r="V278" s="32"/>
      <c r="W278" s="33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33"/>
    </row>
    <row r="279" spans="11:92" x14ac:dyDescent="0.2">
      <c r="K279" s="32"/>
      <c r="L279" s="32" t="s">
        <v>268</v>
      </c>
      <c r="M279" s="1">
        <v>0.1</v>
      </c>
      <c r="N279" s="1"/>
      <c r="O279" s="1"/>
      <c r="P279" s="1"/>
      <c r="Q279" s="1"/>
      <c r="R279" s="33"/>
      <c r="S279" s="32"/>
      <c r="T279" s="1"/>
      <c r="U279" s="33"/>
      <c r="V279" s="32"/>
      <c r="W279" s="33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33"/>
    </row>
    <row r="280" spans="11:92" x14ac:dyDescent="0.2">
      <c r="K280" s="32"/>
      <c r="L280" s="32" t="s">
        <v>274</v>
      </c>
      <c r="M280" s="1">
        <f>((AD7-W7)-(AF7-V7))/LN((AD7-W7)/(AF7-V7))</f>
        <v>33.450722974215623</v>
      </c>
      <c r="N280" s="1"/>
      <c r="O280" s="1"/>
      <c r="P280" s="1"/>
      <c r="Q280" s="1"/>
      <c r="R280" s="33"/>
      <c r="S280" s="32"/>
      <c r="T280" s="1"/>
      <c r="U280" s="33"/>
      <c r="V280" s="32"/>
      <c r="W280" s="33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33"/>
    </row>
    <row r="281" spans="11:92" x14ac:dyDescent="0.2">
      <c r="K281" s="32"/>
      <c r="L281" s="32"/>
      <c r="M281" s="1"/>
      <c r="N281" s="1"/>
      <c r="O281" s="1"/>
      <c r="P281" s="1">
        <v>79.190834466844862</v>
      </c>
      <c r="Q281" s="1"/>
      <c r="R281" s="33"/>
      <c r="S281" s="32"/>
      <c r="T281" s="1"/>
      <c r="U281" s="33"/>
      <c r="V281" s="32"/>
      <c r="W281" s="33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33"/>
    </row>
    <row r="282" spans="11:92" x14ac:dyDescent="0.2">
      <c r="K282" s="32"/>
      <c r="L282" s="32" t="s">
        <v>226</v>
      </c>
      <c r="M282" s="1"/>
      <c r="N282" s="1"/>
      <c r="O282" s="1"/>
      <c r="P282" s="1"/>
      <c r="Q282" s="1"/>
      <c r="R282" s="33"/>
      <c r="S282" s="32"/>
      <c r="T282" s="1"/>
      <c r="U282" s="33"/>
      <c r="V282" s="32"/>
      <c r="W282" s="33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33"/>
    </row>
    <row r="283" spans="11:92" x14ac:dyDescent="0.2">
      <c r="K283" s="32"/>
      <c r="L283" s="32" t="s">
        <v>227</v>
      </c>
      <c r="M283" s="1">
        <v>0.6</v>
      </c>
      <c r="N283" s="1"/>
      <c r="O283" s="1"/>
      <c r="P283" s="1"/>
      <c r="Q283" s="1"/>
      <c r="R283" s="33"/>
      <c r="S283" s="32"/>
      <c r="T283" s="1"/>
      <c r="U283" s="33"/>
      <c r="V283" s="32"/>
      <c r="W283" s="33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33"/>
    </row>
    <row r="284" spans="11:92" x14ac:dyDescent="0.2">
      <c r="K284" s="32"/>
      <c r="L284" s="32" t="s">
        <v>229</v>
      </c>
      <c r="M284" s="1">
        <f>M278/(M279*M280)</f>
        <v>5034.9229135729684</v>
      </c>
      <c r="N284" s="1"/>
      <c r="O284" s="1"/>
      <c r="P284" s="1"/>
      <c r="Q284" s="1"/>
      <c r="R284" s="33"/>
      <c r="S284" s="32"/>
      <c r="T284" s="1"/>
      <c r="U284" s="33"/>
      <c r="V284" s="32"/>
      <c r="W284" s="33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33"/>
    </row>
    <row r="285" spans="11:92" ht="15" thickBot="1" x14ac:dyDescent="0.25">
      <c r="K285" s="32"/>
      <c r="L285" s="34" t="s">
        <v>230</v>
      </c>
      <c r="M285" s="47">
        <f>O276*(M284/R274)^M283</f>
        <v>369313.93553567817</v>
      </c>
      <c r="N285" s="35" t="s">
        <v>231</v>
      </c>
      <c r="O285" s="35"/>
      <c r="P285" s="35"/>
      <c r="Q285" s="35"/>
      <c r="R285" s="36"/>
      <c r="S285" s="34"/>
      <c r="T285" s="35"/>
      <c r="U285" s="36"/>
      <c r="V285" s="34"/>
      <c r="W285" s="36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33"/>
    </row>
    <row r="286" spans="11:92" ht="15" thickBot="1" x14ac:dyDescent="0.25">
      <c r="K286" s="32"/>
      <c r="L286" s="83" t="s">
        <v>13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33"/>
    </row>
    <row r="287" spans="11:92" x14ac:dyDescent="0.2">
      <c r="K287" s="32"/>
      <c r="L287" s="31" t="s">
        <v>206</v>
      </c>
      <c r="M287" s="29"/>
      <c r="N287" s="29"/>
      <c r="O287" s="29"/>
      <c r="P287" s="29"/>
      <c r="Q287" s="29"/>
      <c r="R287" s="30"/>
      <c r="S287" s="31" t="s">
        <v>207</v>
      </c>
      <c r="T287" s="29"/>
      <c r="U287" s="30"/>
      <c r="V287" s="31" t="s">
        <v>208</v>
      </c>
      <c r="W287" s="30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33"/>
    </row>
    <row r="288" spans="11:92" x14ac:dyDescent="0.2">
      <c r="K288" s="32"/>
      <c r="L288" s="32" t="s">
        <v>284</v>
      </c>
      <c r="M288" s="1" t="s">
        <v>285</v>
      </c>
      <c r="N288" s="1"/>
      <c r="O288" s="1"/>
      <c r="P288" s="1"/>
      <c r="Q288" s="1"/>
      <c r="R288" s="33"/>
      <c r="S288" s="32" t="s">
        <v>211</v>
      </c>
      <c r="T288" s="1">
        <v>0</v>
      </c>
      <c r="U288" s="33"/>
      <c r="V288" s="32" t="s">
        <v>286</v>
      </c>
      <c r="W288" s="33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33"/>
    </row>
    <row r="289" spans="11:92" x14ac:dyDescent="0.2">
      <c r="K289" s="32"/>
      <c r="L289" s="32" t="s">
        <v>213</v>
      </c>
      <c r="M289" s="1">
        <v>2.7050999999999998</v>
      </c>
      <c r="N289" s="1"/>
      <c r="O289" s="1"/>
      <c r="P289" s="1"/>
      <c r="Q289" s="1"/>
      <c r="R289" s="33"/>
      <c r="S289" s="32" t="s">
        <v>214</v>
      </c>
      <c r="T289" s="1">
        <v>0</v>
      </c>
      <c r="U289" s="33"/>
      <c r="V289" s="32" t="s">
        <v>288</v>
      </c>
      <c r="W289" s="33">
        <v>220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33"/>
    </row>
    <row r="290" spans="11:92" x14ac:dyDescent="0.2">
      <c r="K290" s="32"/>
      <c r="L290" s="32" t="s">
        <v>216</v>
      </c>
      <c r="M290" s="1">
        <v>1.4398</v>
      </c>
      <c r="N290" s="1"/>
      <c r="O290" s="1"/>
      <c r="P290" s="1"/>
      <c r="Q290" s="1"/>
      <c r="R290" s="33"/>
      <c r="S290" s="32" t="s">
        <v>217</v>
      </c>
      <c r="T290" s="1">
        <v>0</v>
      </c>
      <c r="U290" s="33"/>
      <c r="V290" s="32" t="s">
        <v>289</v>
      </c>
      <c r="W290" s="33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33"/>
    </row>
    <row r="291" spans="11:92" x14ac:dyDescent="0.2">
      <c r="K291" s="32"/>
      <c r="L291" s="32" t="s">
        <v>218</v>
      </c>
      <c r="M291" s="1">
        <v>-0.17760000000000001</v>
      </c>
      <c r="N291" s="1"/>
      <c r="O291" s="1"/>
      <c r="P291" s="1"/>
      <c r="Q291" s="1"/>
      <c r="R291" s="33"/>
      <c r="S291" s="32" t="s">
        <v>287</v>
      </c>
      <c r="T291" s="1">
        <v>11</v>
      </c>
      <c r="U291" s="33"/>
      <c r="V291" s="32" t="s">
        <v>215</v>
      </c>
      <c r="W291" s="105">
        <v>3.6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33"/>
    </row>
    <row r="292" spans="11:92" x14ac:dyDescent="0.2">
      <c r="K292" s="32"/>
      <c r="L292" s="32" t="s">
        <v>220</v>
      </c>
      <c r="M292" s="1" t="s">
        <v>221</v>
      </c>
      <c r="N292" s="1"/>
      <c r="O292" s="1" t="s">
        <v>222</v>
      </c>
      <c r="P292" s="1">
        <v>100</v>
      </c>
      <c r="Q292" s="1" t="s">
        <v>223</v>
      </c>
      <c r="R292" s="33">
        <v>1500</v>
      </c>
      <c r="S292" s="32" t="s">
        <v>278</v>
      </c>
      <c r="T292" s="1"/>
      <c r="U292" s="105">
        <v>1</v>
      </c>
      <c r="V292" s="32"/>
      <c r="W292" s="33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33"/>
    </row>
    <row r="293" spans="11:92" x14ac:dyDescent="0.2">
      <c r="K293" s="32"/>
      <c r="L293" s="32"/>
      <c r="M293" s="1"/>
      <c r="N293" s="1"/>
      <c r="O293" s="1"/>
      <c r="P293" s="1"/>
      <c r="Q293" s="1"/>
      <c r="R293" s="33"/>
      <c r="S293" s="32"/>
      <c r="T293" s="1"/>
      <c r="U293" s="33"/>
      <c r="V293" s="32"/>
      <c r="W293" s="33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33"/>
    </row>
    <row r="294" spans="11:92" x14ac:dyDescent="0.2">
      <c r="K294" s="32"/>
      <c r="L294" s="32" t="s">
        <v>225</v>
      </c>
      <c r="M294" s="1"/>
      <c r="N294" s="1"/>
      <c r="O294" s="1">
        <v>306539.40139335563</v>
      </c>
      <c r="P294" s="1"/>
      <c r="Q294" s="1"/>
      <c r="R294" s="33"/>
      <c r="S294" s="32"/>
      <c r="T294" s="1"/>
      <c r="U294" s="33"/>
      <c r="V294" s="32"/>
      <c r="W294" s="33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33"/>
    </row>
    <row r="295" spans="11:92" x14ac:dyDescent="0.2">
      <c r="K295" s="32"/>
      <c r="L295" s="32" t="s">
        <v>226</v>
      </c>
      <c r="M295" s="1"/>
      <c r="N295" s="1"/>
      <c r="O295" s="1"/>
      <c r="P295" s="1"/>
      <c r="Q295" s="1"/>
      <c r="R295" s="33"/>
      <c r="S295" s="32"/>
      <c r="T295" s="1"/>
      <c r="U295" s="33"/>
      <c r="V295" s="32"/>
      <c r="W295" s="33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33"/>
    </row>
    <row r="296" spans="11:92" x14ac:dyDescent="0.2">
      <c r="K296" s="32"/>
      <c r="L296" s="32" t="s">
        <v>227</v>
      </c>
      <c r="M296" s="1">
        <v>0.6</v>
      </c>
      <c r="N296" s="1"/>
      <c r="O296" s="1"/>
      <c r="P296" s="1"/>
      <c r="Q296" s="1"/>
      <c r="R296" s="33"/>
      <c r="S296" s="32"/>
      <c r="T296" s="1"/>
      <c r="U296" s="33"/>
      <c r="V296" s="32"/>
      <c r="W296" s="33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33"/>
    </row>
    <row r="297" spans="11:92" x14ac:dyDescent="0.2">
      <c r="K297" s="32"/>
      <c r="L297" s="32" t="s">
        <v>229</v>
      </c>
      <c r="M297" s="1">
        <f>P33*1000</f>
        <v>23107.278999999999</v>
      </c>
      <c r="N297" s="1"/>
      <c r="O297" s="1"/>
      <c r="P297" s="1"/>
      <c r="Q297" s="1"/>
      <c r="R297" s="33"/>
      <c r="S297" s="32"/>
      <c r="T297" s="1"/>
      <c r="U297" s="33"/>
      <c r="V297" s="32"/>
      <c r="W297" s="33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33"/>
    </row>
    <row r="298" spans="11:92" ht="15" thickBot="1" x14ac:dyDescent="0.25">
      <c r="K298" s="32"/>
      <c r="L298" s="34" t="s">
        <v>230</v>
      </c>
      <c r="M298" s="47">
        <f>O294*(M297/R292)^M296</f>
        <v>1581542.3813573434</v>
      </c>
      <c r="N298" s="35" t="s">
        <v>231</v>
      </c>
      <c r="O298" s="35"/>
      <c r="P298" s="35"/>
      <c r="Q298" s="35"/>
      <c r="R298" s="36"/>
      <c r="S298" s="34"/>
      <c r="T298" s="35"/>
      <c r="U298" s="36"/>
      <c r="V298" s="34"/>
      <c r="W298" s="36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33"/>
    </row>
    <row r="299" spans="11:92" ht="15" thickBot="1" x14ac:dyDescent="0.25">
      <c r="K299" s="32"/>
      <c r="L299" s="83" t="s">
        <v>132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33"/>
    </row>
    <row r="300" spans="11:92" ht="15" thickBot="1" x14ac:dyDescent="0.25">
      <c r="K300" s="32"/>
      <c r="L300" s="31" t="s">
        <v>206</v>
      </c>
      <c r="M300" s="29"/>
      <c r="N300" s="29"/>
      <c r="O300" s="29"/>
      <c r="P300" s="29"/>
      <c r="Q300" s="29"/>
      <c r="R300" s="30"/>
      <c r="S300" s="31" t="s">
        <v>207</v>
      </c>
      <c r="T300" s="29"/>
      <c r="U300" s="30"/>
      <c r="V300" s="31" t="s">
        <v>208</v>
      </c>
      <c r="W300" s="30"/>
      <c r="X300" s="4" t="s">
        <v>290</v>
      </c>
      <c r="Y300" s="30" t="s">
        <v>291</v>
      </c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33"/>
    </row>
    <row r="301" spans="11:92" ht="15" thickBot="1" x14ac:dyDescent="0.25">
      <c r="K301" s="32"/>
      <c r="L301" s="32" t="s">
        <v>284</v>
      </c>
      <c r="M301" s="1" t="s">
        <v>305</v>
      </c>
      <c r="N301" s="1"/>
      <c r="O301" s="1"/>
      <c r="P301" s="1"/>
      <c r="Q301" s="1"/>
      <c r="R301" s="33"/>
      <c r="S301" s="32" t="s">
        <v>292</v>
      </c>
      <c r="T301" s="1"/>
      <c r="U301" s="33"/>
      <c r="V301" s="32" t="s">
        <v>306</v>
      </c>
      <c r="W301" s="33"/>
      <c r="X301" s="46">
        <v>2.25</v>
      </c>
      <c r="Y301" s="67">
        <v>1.82</v>
      </c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33"/>
    </row>
    <row r="302" spans="11:92" x14ac:dyDescent="0.2">
      <c r="K302" s="32"/>
      <c r="L302" s="32" t="s">
        <v>213</v>
      </c>
      <c r="M302" s="1">
        <v>3.5565000000000002</v>
      </c>
      <c r="N302" s="1"/>
      <c r="O302" s="1"/>
      <c r="P302" s="1"/>
      <c r="Q302" s="1"/>
      <c r="R302" s="33"/>
      <c r="S302" s="32" t="s">
        <v>294</v>
      </c>
      <c r="T302" s="1"/>
      <c r="U302" s="33">
        <v>10</v>
      </c>
      <c r="V302" s="32" t="s">
        <v>215</v>
      </c>
      <c r="W302" s="105">
        <v>3.1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33"/>
    </row>
    <row r="303" spans="11:92" x14ac:dyDescent="0.2">
      <c r="K303" s="32"/>
      <c r="L303" s="32" t="s">
        <v>216</v>
      </c>
      <c r="M303" s="1">
        <v>0.37759999999999999</v>
      </c>
      <c r="N303" s="1"/>
      <c r="O303" s="1"/>
      <c r="P303" s="1"/>
      <c r="Q303" s="1"/>
      <c r="R303" s="33"/>
      <c r="S303" s="32" t="s">
        <v>295</v>
      </c>
      <c r="T303" s="1"/>
      <c r="U303" s="33">
        <f>M311/(3.14*U302^2/4)</f>
        <v>12.611464968152866</v>
      </c>
      <c r="V303" s="32"/>
      <c r="W303" s="33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33"/>
    </row>
    <row r="304" spans="11:92" x14ac:dyDescent="0.2">
      <c r="K304" s="32"/>
      <c r="L304" s="32" t="s">
        <v>218</v>
      </c>
      <c r="M304" s="1">
        <v>9.0499999999999997E-2</v>
      </c>
      <c r="N304" s="1"/>
      <c r="O304" s="1"/>
      <c r="P304" s="1"/>
      <c r="Q304" s="1"/>
      <c r="R304" s="33"/>
      <c r="S304" s="32" t="s">
        <v>296</v>
      </c>
      <c r="T304" s="1"/>
      <c r="U304" s="33">
        <v>50</v>
      </c>
      <c r="V304" s="32"/>
      <c r="W304" s="33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33"/>
    </row>
    <row r="305" spans="11:92" x14ac:dyDescent="0.2">
      <c r="K305" s="32"/>
      <c r="L305" s="32" t="s">
        <v>220</v>
      </c>
      <c r="M305" s="1" t="s">
        <v>297</v>
      </c>
      <c r="N305" s="1"/>
      <c r="O305" s="1" t="s">
        <v>222</v>
      </c>
      <c r="P305" s="1">
        <v>0.1</v>
      </c>
      <c r="Q305" s="1" t="s">
        <v>223</v>
      </c>
      <c r="R305" s="33">
        <v>628</v>
      </c>
      <c r="S305" s="32"/>
      <c r="T305" s="1"/>
      <c r="U305" s="33"/>
      <c r="V305" s="32"/>
      <c r="W305" s="33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33"/>
    </row>
    <row r="306" spans="11:92" x14ac:dyDescent="0.2">
      <c r="K306" s="32"/>
      <c r="L306" s="32"/>
      <c r="M306" s="1"/>
      <c r="N306" s="1"/>
      <c r="O306" s="1"/>
      <c r="P306" s="1"/>
      <c r="Q306" s="1"/>
      <c r="R306" s="33"/>
      <c r="S306" s="32"/>
      <c r="T306" s="1"/>
      <c r="U306" s="33"/>
      <c r="V306" s="32"/>
      <c r="W306" s="33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33"/>
    </row>
    <row r="307" spans="11:92" x14ac:dyDescent="0.2">
      <c r="K307" s="32"/>
      <c r="L307" s="32" t="s">
        <v>298</v>
      </c>
      <c r="M307" s="1"/>
      <c r="N307" s="1"/>
      <c r="O307" s="1">
        <v>1859.5163444624698</v>
      </c>
      <c r="P307" s="1"/>
      <c r="Q307" s="1"/>
      <c r="R307" s="33"/>
      <c r="S307" s="32"/>
      <c r="T307" s="1"/>
      <c r="U307" s="33"/>
      <c r="V307" s="32"/>
      <c r="W307" s="33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33"/>
    </row>
    <row r="308" spans="11:92" x14ac:dyDescent="0.2">
      <c r="K308" s="32"/>
      <c r="L308" s="32"/>
      <c r="M308" s="1"/>
      <c r="N308" s="1"/>
      <c r="O308" s="1"/>
      <c r="P308" s="1"/>
      <c r="Q308" s="1"/>
      <c r="R308" s="33"/>
      <c r="S308" s="32"/>
      <c r="T308" s="1"/>
      <c r="U308" s="33"/>
      <c r="V308" s="32"/>
      <c r="W308" s="33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33"/>
    </row>
    <row r="309" spans="11:92" x14ac:dyDescent="0.2">
      <c r="K309" s="32"/>
      <c r="L309" s="32" t="s">
        <v>299</v>
      </c>
      <c r="M309" s="1"/>
      <c r="N309" s="1"/>
      <c r="O309" s="1"/>
      <c r="P309" s="1"/>
      <c r="Q309" s="1"/>
      <c r="R309" s="33"/>
      <c r="S309" s="32"/>
      <c r="T309" s="1"/>
      <c r="U309" s="33"/>
      <c r="V309" s="32"/>
      <c r="W309" s="33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33"/>
    </row>
    <row r="310" spans="11:92" x14ac:dyDescent="0.2">
      <c r="K310" s="32"/>
      <c r="L310" s="40" t="s">
        <v>301</v>
      </c>
      <c r="M310" s="1" t="s">
        <v>302</v>
      </c>
      <c r="N310" s="1" t="s">
        <v>304</v>
      </c>
      <c r="O310" s="5" t="s">
        <v>303</v>
      </c>
      <c r="P310" s="1"/>
      <c r="Q310" s="1"/>
      <c r="R310" s="33"/>
      <c r="S310" s="32" t="s">
        <v>300</v>
      </c>
      <c r="T310" s="104">
        <f>(((U304+1)*U302)/(2*(850-0.6*(U304+1)))+0.00315)/0.0063</f>
        <v>49.897352301916612</v>
      </c>
      <c r="U310" s="33"/>
      <c r="V310" s="32"/>
      <c r="W310" s="33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33"/>
    </row>
    <row r="311" spans="11:92" x14ac:dyDescent="0.2">
      <c r="K311" s="32"/>
      <c r="L311" s="32" t="s">
        <v>229</v>
      </c>
      <c r="M311" s="1">
        <v>990</v>
      </c>
      <c r="N311" s="1"/>
      <c r="O311" s="1"/>
      <c r="P311" s="1"/>
      <c r="Q311" s="1"/>
      <c r="R311" s="33"/>
      <c r="S311" s="32"/>
      <c r="T311" s="1"/>
      <c r="U311" s="33"/>
      <c r="V311" s="32"/>
      <c r="W311" s="33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33"/>
    </row>
    <row r="312" spans="11:92" x14ac:dyDescent="0.2">
      <c r="K312" s="32"/>
      <c r="L312" s="32" t="s">
        <v>227</v>
      </c>
      <c r="M312" s="1">
        <v>0.6</v>
      </c>
      <c r="N312" s="1"/>
      <c r="O312" s="1"/>
      <c r="P312" s="1"/>
      <c r="Q312" s="1"/>
      <c r="R312" s="33"/>
      <c r="S312" s="32"/>
      <c r="T312" s="1"/>
      <c r="U312" s="33"/>
      <c r="V312" s="32"/>
      <c r="W312" s="33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33"/>
    </row>
    <row r="313" spans="11:92" ht="15" thickBot="1" x14ac:dyDescent="0.25">
      <c r="K313" s="32"/>
      <c r="L313" s="34" t="s">
        <v>230</v>
      </c>
      <c r="M313" s="47">
        <f>O307*(M311/R305)^M312</f>
        <v>2443.4605434644091</v>
      </c>
      <c r="N313" s="35" t="s">
        <v>231</v>
      </c>
      <c r="O313" s="35"/>
      <c r="P313" s="35"/>
      <c r="Q313" s="35"/>
      <c r="R313" s="36"/>
      <c r="S313" s="34"/>
      <c r="T313" s="35"/>
      <c r="U313" s="36"/>
      <c r="V313" s="34"/>
      <c r="W313" s="36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33"/>
    </row>
    <row r="314" spans="11:92" ht="15" thickBot="1" x14ac:dyDescent="0.25">
      <c r="K314" s="32"/>
      <c r="L314" s="83" t="s">
        <v>131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33"/>
    </row>
    <row r="315" spans="11:92" ht="15" thickBot="1" x14ac:dyDescent="0.25">
      <c r="K315" s="32"/>
      <c r="L315" s="31" t="s">
        <v>206</v>
      </c>
      <c r="M315" s="29"/>
      <c r="N315" s="29"/>
      <c r="O315" s="29"/>
      <c r="P315" s="29"/>
      <c r="Q315" s="29"/>
      <c r="R315" s="30"/>
      <c r="S315" s="31" t="s">
        <v>207</v>
      </c>
      <c r="T315" s="29"/>
      <c r="U315" s="30"/>
      <c r="V315" s="31" t="s">
        <v>208</v>
      </c>
      <c r="W315" s="30"/>
      <c r="X315" s="4" t="s">
        <v>290</v>
      </c>
      <c r="Y315" s="4" t="s">
        <v>291</v>
      </c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33"/>
    </row>
    <row r="316" spans="11:92" ht="15" thickBot="1" x14ac:dyDescent="0.25">
      <c r="K316" s="32"/>
      <c r="L316" s="32" t="s">
        <v>284</v>
      </c>
      <c r="M316" s="1" t="s">
        <v>305</v>
      </c>
      <c r="N316" s="1"/>
      <c r="O316" s="1"/>
      <c r="P316" s="1"/>
      <c r="Q316" s="1"/>
      <c r="R316" s="33"/>
      <c r="S316" s="32" t="s">
        <v>292</v>
      </c>
      <c r="T316" s="1"/>
      <c r="U316" s="33"/>
      <c r="V316" s="32" t="s">
        <v>293</v>
      </c>
      <c r="W316" s="33"/>
      <c r="X316" s="67">
        <v>2.25</v>
      </c>
      <c r="Y316" s="67">
        <v>1.82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33"/>
    </row>
    <row r="317" spans="11:92" x14ac:dyDescent="0.2">
      <c r="K317" s="32"/>
      <c r="L317" s="32" t="s">
        <v>213</v>
      </c>
      <c r="M317" s="1">
        <v>3.5565000000000002</v>
      </c>
      <c r="N317" s="1"/>
      <c r="O317" s="1"/>
      <c r="P317" s="1"/>
      <c r="Q317" s="1"/>
      <c r="R317" s="33"/>
      <c r="S317" s="32" t="s">
        <v>294</v>
      </c>
      <c r="T317" s="1"/>
      <c r="U317" s="33">
        <v>10</v>
      </c>
      <c r="V317" s="32" t="s">
        <v>215</v>
      </c>
      <c r="W317" s="105">
        <v>3.1</v>
      </c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33"/>
    </row>
    <row r="318" spans="11:92" x14ac:dyDescent="0.2">
      <c r="K318" s="32"/>
      <c r="L318" s="32" t="s">
        <v>216</v>
      </c>
      <c r="M318" s="1">
        <v>0.37759999999999999</v>
      </c>
      <c r="N318" s="1"/>
      <c r="O318" s="1"/>
      <c r="P318" s="1"/>
      <c r="Q318" s="1"/>
      <c r="R318" s="33"/>
      <c r="S318" s="32" t="s">
        <v>295</v>
      </c>
      <c r="T318" s="1"/>
      <c r="U318" s="33">
        <v>12.611464968152866</v>
      </c>
      <c r="V318" s="32"/>
      <c r="W318" s="33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33"/>
    </row>
    <row r="319" spans="11:92" x14ac:dyDescent="0.2">
      <c r="K319" s="32"/>
      <c r="L319" s="32" t="s">
        <v>218</v>
      </c>
      <c r="M319" s="1">
        <v>9.0499999999999997E-2</v>
      </c>
      <c r="N319" s="1"/>
      <c r="O319" s="1"/>
      <c r="P319" s="1"/>
      <c r="Q319" s="1"/>
      <c r="R319" s="33"/>
      <c r="S319" s="32" t="s">
        <v>296</v>
      </c>
      <c r="T319" s="1"/>
      <c r="U319" s="33">
        <v>50</v>
      </c>
      <c r="V319" s="32"/>
      <c r="W319" s="33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33"/>
    </row>
    <row r="320" spans="11:92" x14ac:dyDescent="0.2">
      <c r="K320" s="32"/>
      <c r="L320" s="32" t="s">
        <v>220</v>
      </c>
      <c r="M320" s="1" t="s">
        <v>297</v>
      </c>
      <c r="N320" s="1"/>
      <c r="O320" s="1" t="s">
        <v>222</v>
      </c>
      <c r="P320" s="1">
        <v>0.1</v>
      </c>
      <c r="Q320" s="1" t="s">
        <v>223</v>
      </c>
      <c r="R320" s="33">
        <v>628</v>
      </c>
      <c r="S320" s="32"/>
      <c r="T320" s="1"/>
      <c r="U320" s="33"/>
      <c r="V320" s="32"/>
      <c r="W320" s="33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33"/>
    </row>
    <row r="321" spans="11:92" x14ac:dyDescent="0.2">
      <c r="K321" s="32"/>
      <c r="L321" s="32"/>
      <c r="M321" s="1"/>
      <c r="N321" s="1"/>
      <c r="O321" s="1"/>
      <c r="P321" s="1"/>
      <c r="Q321" s="1"/>
      <c r="R321" s="33"/>
      <c r="S321" s="32"/>
      <c r="T321" s="1"/>
      <c r="U321" s="33"/>
      <c r="V321" s="32"/>
      <c r="W321" s="33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33"/>
    </row>
    <row r="322" spans="11:92" x14ac:dyDescent="0.2">
      <c r="K322" s="32"/>
      <c r="L322" s="32" t="s">
        <v>298</v>
      </c>
      <c r="M322" s="1"/>
      <c r="N322" s="1"/>
      <c r="O322" s="1">
        <v>1859.5163444624698</v>
      </c>
      <c r="P322" s="1"/>
      <c r="Q322" s="1"/>
      <c r="R322" s="33"/>
      <c r="S322" s="32"/>
      <c r="T322" s="1"/>
      <c r="U322" s="33"/>
      <c r="V322" s="32"/>
      <c r="W322" s="33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33"/>
    </row>
    <row r="323" spans="11:92" x14ac:dyDescent="0.2">
      <c r="K323" s="32"/>
      <c r="L323" s="32"/>
      <c r="M323" s="1"/>
      <c r="N323" s="1"/>
      <c r="O323" s="1"/>
      <c r="P323" s="1"/>
      <c r="Q323" s="1"/>
      <c r="R323" s="33"/>
      <c r="S323" s="32"/>
      <c r="T323" s="1"/>
      <c r="U323" s="33"/>
      <c r="V323" s="32"/>
      <c r="W323" s="33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33"/>
    </row>
    <row r="324" spans="11:92" x14ac:dyDescent="0.2">
      <c r="K324" s="32"/>
      <c r="L324" s="32" t="s">
        <v>299</v>
      </c>
      <c r="M324" s="1"/>
      <c r="N324" s="1"/>
      <c r="O324" s="1"/>
      <c r="P324" s="1"/>
      <c r="Q324" s="1"/>
      <c r="R324" s="33"/>
      <c r="S324" s="32"/>
      <c r="T324" s="1"/>
      <c r="U324" s="33"/>
      <c r="V324" s="32"/>
      <c r="W324" s="33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33"/>
    </row>
    <row r="325" spans="11:92" x14ac:dyDescent="0.2">
      <c r="K325" s="32"/>
      <c r="L325" s="32" t="s">
        <v>301</v>
      </c>
      <c r="M325" s="1" t="s">
        <v>302</v>
      </c>
      <c r="N325" s="1" t="s">
        <v>304</v>
      </c>
      <c r="O325" s="1" t="s">
        <v>303</v>
      </c>
      <c r="P325" s="1"/>
      <c r="Q325" s="1"/>
      <c r="R325" s="33"/>
      <c r="S325" s="32" t="s">
        <v>300</v>
      </c>
      <c r="T325" s="104">
        <v>49.897352301916612</v>
      </c>
      <c r="U325" s="33"/>
      <c r="V325" s="32"/>
      <c r="W325" s="33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33"/>
    </row>
    <row r="326" spans="11:92" x14ac:dyDescent="0.2">
      <c r="K326" s="32"/>
      <c r="L326" s="32" t="s">
        <v>229</v>
      </c>
      <c r="M326" s="1">
        <v>990</v>
      </c>
      <c r="N326" s="1"/>
      <c r="O326" s="1"/>
      <c r="P326" s="1"/>
      <c r="Q326" s="1"/>
      <c r="R326" s="33"/>
      <c r="S326" s="32"/>
      <c r="T326" s="1"/>
      <c r="U326" s="33"/>
      <c r="V326" s="32"/>
      <c r="W326" s="33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33"/>
    </row>
    <row r="327" spans="11:92" x14ac:dyDescent="0.2">
      <c r="K327" s="32"/>
      <c r="L327" s="32" t="s">
        <v>227</v>
      </c>
      <c r="M327" s="1">
        <v>0.6</v>
      </c>
      <c r="N327" s="1"/>
      <c r="O327" s="1"/>
      <c r="P327" s="1"/>
      <c r="Q327" s="1"/>
      <c r="R327" s="33"/>
      <c r="S327" s="32"/>
      <c r="T327" s="1"/>
      <c r="U327" s="33"/>
      <c r="V327" s="32"/>
      <c r="W327" s="33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33"/>
    </row>
    <row r="328" spans="11:92" ht="15" thickBot="1" x14ac:dyDescent="0.25">
      <c r="K328" s="32"/>
      <c r="L328" s="34" t="s">
        <v>230</v>
      </c>
      <c r="M328" s="47">
        <v>2443.4605434644091</v>
      </c>
      <c r="N328" s="35" t="s">
        <v>231</v>
      </c>
      <c r="O328" s="35"/>
      <c r="P328" s="35"/>
      <c r="Q328" s="35"/>
      <c r="R328" s="36"/>
      <c r="S328" s="34"/>
      <c r="T328" s="35"/>
      <c r="U328" s="36"/>
      <c r="V328" s="34"/>
      <c r="W328" s="36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33"/>
    </row>
    <row r="329" spans="11:92" x14ac:dyDescent="0.2">
      <c r="K329" s="3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33"/>
    </row>
    <row r="330" spans="11:92" x14ac:dyDescent="0.2">
      <c r="K330" s="3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33"/>
    </row>
    <row r="331" spans="11:92" x14ac:dyDescent="0.2">
      <c r="K331" s="3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33"/>
    </row>
    <row r="332" spans="11:92" x14ac:dyDescent="0.2">
      <c r="K332" s="3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33"/>
    </row>
    <row r="333" spans="11:92" ht="15" thickBot="1" x14ac:dyDescent="0.25">
      <c r="K333" s="3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33"/>
    </row>
    <row r="334" spans="11:92" ht="18.75" thickBot="1" x14ac:dyDescent="0.3">
      <c r="K334" s="32"/>
      <c r="L334" s="132" t="s">
        <v>307</v>
      </c>
      <c r="M334" s="2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33"/>
    </row>
    <row r="335" spans="11:92" x14ac:dyDescent="0.2">
      <c r="K335" s="3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33"/>
    </row>
    <row r="336" spans="11:92" ht="15" thickBot="1" x14ac:dyDescent="0.25">
      <c r="K336" s="3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33"/>
    </row>
    <row r="337" spans="11:92" ht="15" thickBot="1" x14ac:dyDescent="0.25">
      <c r="K337" s="32"/>
      <c r="L337" s="38" t="s">
        <v>167</v>
      </c>
      <c r="M337" s="2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33"/>
    </row>
    <row r="338" spans="11:92" ht="18.75" thickBot="1" x14ac:dyDescent="0.3">
      <c r="K338" s="32"/>
      <c r="L338" s="1"/>
      <c r="M338" s="84" t="s">
        <v>168</v>
      </c>
      <c r="N338" s="29"/>
      <c r="O338" s="29"/>
      <c r="P338" s="29"/>
      <c r="Q338" s="29"/>
      <c r="R338" s="29"/>
      <c r="S338" s="29" t="s">
        <v>137</v>
      </c>
      <c r="T338" s="29"/>
      <c r="U338" s="29"/>
      <c r="V338" s="29"/>
      <c r="W338" s="29"/>
      <c r="X338" s="29"/>
      <c r="Y338" s="29"/>
      <c r="Z338" s="30"/>
      <c r="AA338" s="31"/>
      <c r="AB338" s="29"/>
      <c r="AC338" s="29"/>
      <c r="AD338" s="29" t="s">
        <v>136</v>
      </c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38"/>
      <c r="AP338" s="2" t="s">
        <v>135</v>
      </c>
      <c r="AQ338" s="2"/>
      <c r="AR338" s="2"/>
      <c r="AS338" s="2"/>
      <c r="AT338" s="3"/>
      <c r="AU338" s="1"/>
      <c r="AV338" s="1"/>
      <c r="AW338" s="1"/>
      <c r="AX338" s="1" t="s">
        <v>165</v>
      </c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33"/>
    </row>
    <row r="339" spans="11:92" ht="15" thickBot="1" x14ac:dyDescent="0.25">
      <c r="K339" s="32"/>
      <c r="L339" s="1"/>
      <c r="M339" s="39"/>
      <c r="N339" s="52">
        <v>1</v>
      </c>
      <c r="O339" s="52">
        <v>2</v>
      </c>
      <c r="P339" s="52">
        <v>3</v>
      </c>
      <c r="Q339" s="52">
        <v>4</v>
      </c>
      <c r="R339" s="52">
        <v>5</v>
      </c>
      <c r="S339" s="52">
        <v>6</v>
      </c>
      <c r="T339" s="52" t="s">
        <v>20</v>
      </c>
      <c r="U339" s="52">
        <v>7</v>
      </c>
      <c r="V339" s="52">
        <v>8</v>
      </c>
      <c r="W339" s="52">
        <v>9</v>
      </c>
      <c r="X339" s="52">
        <v>10</v>
      </c>
      <c r="Y339" s="52">
        <v>11</v>
      </c>
      <c r="Z339" s="52">
        <v>12</v>
      </c>
      <c r="AA339" s="51" t="s">
        <v>21</v>
      </c>
      <c r="AB339" s="51" t="s">
        <v>22</v>
      </c>
      <c r="AC339" s="51" t="s">
        <v>23</v>
      </c>
      <c r="AD339" s="51" t="s">
        <v>24</v>
      </c>
      <c r="AE339" s="51" t="s">
        <v>99</v>
      </c>
      <c r="AF339" s="51" t="s">
        <v>100</v>
      </c>
      <c r="AG339" s="51" t="s">
        <v>26</v>
      </c>
      <c r="AH339" s="51" t="s">
        <v>27</v>
      </c>
      <c r="AI339" s="51" t="s">
        <v>28</v>
      </c>
      <c r="AJ339" s="51" t="s">
        <v>29</v>
      </c>
      <c r="AK339" s="51" t="s">
        <v>30</v>
      </c>
      <c r="AL339" s="51" t="s">
        <v>31</v>
      </c>
      <c r="AM339" s="51" t="s">
        <v>101</v>
      </c>
      <c r="AN339" s="51" t="s">
        <v>102</v>
      </c>
      <c r="AO339" s="53" t="s">
        <v>72</v>
      </c>
      <c r="AP339" s="53" t="s">
        <v>73</v>
      </c>
      <c r="AQ339" s="53" t="s">
        <v>32</v>
      </c>
      <c r="AR339" s="53" t="s">
        <v>68</v>
      </c>
      <c r="AS339" s="53" t="s">
        <v>69</v>
      </c>
      <c r="AT339" s="53" t="s">
        <v>70</v>
      </c>
      <c r="AU339" s="1"/>
      <c r="AV339" s="1"/>
      <c r="AW339" s="133" t="s">
        <v>308</v>
      </c>
      <c r="AX339" s="139" t="s">
        <v>331</v>
      </c>
      <c r="AY339" s="157" t="s">
        <v>332</v>
      </c>
      <c r="AZ339" s="140" t="s">
        <v>333</v>
      </c>
      <c r="BA339" s="157" t="s">
        <v>334</v>
      </c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33"/>
    </row>
    <row r="340" spans="11:92" x14ac:dyDescent="0.2">
      <c r="K340" s="32"/>
      <c r="L340" s="1"/>
      <c r="M340" s="6" t="s">
        <v>2</v>
      </c>
      <c r="N340" s="54">
        <v>1</v>
      </c>
      <c r="O340" s="55">
        <v>-1</v>
      </c>
      <c r="P340" s="55">
        <v>0</v>
      </c>
      <c r="Q340" s="55">
        <v>0</v>
      </c>
      <c r="R340" s="55">
        <v>0</v>
      </c>
      <c r="S340" s="55">
        <v>0</v>
      </c>
      <c r="T340" s="55">
        <v>0</v>
      </c>
      <c r="U340" s="55">
        <v>0</v>
      </c>
      <c r="V340" s="55">
        <v>0</v>
      </c>
      <c r="W340" s="55">
        <v>0</v>
      </c>
      <c r="X340" s="55">
        <v>0</v>
      </c>
      <c r="Y340" s="55">
        <v>0</v>
      </c>
      <c r="Z340" s="55">
        <v>0</v>
      </c>
      <c r="AA340" s="55">
        <v>0</v>
      </c>
      <c r="AB340" s="55">
        <v>0</v>
      </c>
      <c r="AC340" s="55">
        <v>0</v>
      </c>
      <c r="AD340" s="55">
        <v>0</v>
      </c>
      <c r="AE340" s="55">
        <v>0</v>
      </c>
      <c r="AF340" s="55">
        <v>0</v>
      </c>
      <c r="AG340" s="55">
        <v>0</v>
      </c>
      <c r="AH340" s="55">
        <v>0</v>
      </c>
      <c r="AI340" s="55">
        <v>0</v>
      </c>
      <c r="AJ340" s="55">
        <v>0</v>
      </c>
      <c r="AK340" s="55">
        <v>0</v>
      </c>
      <c r="AL340" s="55">
        <v>0</v>
      </c>
      <c r="AM340" s="55">
        <v>0</v>
      </c>
      <c r="AN340" s="55">
        <v>0</v>
      </c>
      <c r="AO340" s="55">
        <v>1</v>
      </c>
      <c r="AP340" s="55">
        <v>0</v>
      </c>
      <c r="AQ340" s="55">
        <v>0</v>
      </c>
      <c r="AR340" s="55">
        <v>0</v>
      </c>
      <c r="AS340" s="55">
        <v>0</v>
      </c>
      <c r="AT340" s="56">
        <v>0</v>
      </c>
      <c r="AU340" s="1"/>
      <c r="AV340" s="1"/>
      <c r="AW340" s="10">
        <f t="shared" ref="AW340:AW358" si="13">-BA131</f>
        <v>-5.1977419136877846E-2</v>
      </c>
      <c r="AX340" s="14">
        <v>1</v>
      </c>
      <c r="AY340" s="155">
        <v>0</v>
      </c>
      <c r="AZ340" s="1"/>
      <c r="BA340" s="141">
        <f>(AY340/BB47)*3600</f>
        <v>0</v>
      </c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33"/>
    </row>
    <row r="341" spans="11:92" x14ac:dyDescent="0.2">
      <c r="K341" s="32"/>
      <c r="L341" s="1"/>
      <c r="M341" s="7" t="s">
        <v>3</v>
      </c>
      <c r="N341" s="57">
        <v>0</v>
      </c>
      <c r="O341" s="14">
        <v>1</v>
      </c>
      <c r="P341" s="14">
        <v>-1</v>
      </c>
      <c r="Q341" s="14">
        <v>0</v>
      </c>
      <c r="R341" s="14">
        <v>0</v>
      </c>
      <c r="S341" s="14">
        <v>0</v>
      </c>
      <c r="T341" s="14">
        <v>0</v>
      </c>
      <c r="U341" s="14">
        <v>0</v>
      </c>
      <c r="V341" s="14">
        <v>0</v>
      </c>
      <c r="W341" s="14">
        <v>0</v>
      </c>
      <c r="X341" s="14">
        <v>0</v>
      </c>
      <c r="Y341" s="14">
        <v>0</v>
      </c>
      <c r="Z341" s="14">
        <v>0</v>
      </c>
      <c r="AA341" s="14">
        <v>1</v>
      </c>
      <c r="AB341" s="14">
        <v>0</v>
      </c>
      <c r="AC341" s="14">
        <v>-1</v>
      </c>
      <c r="AD341" s="14">
        <v>0</v>
      </c>
      <c r="AE341" s="14">
        <v>0</v>
      </c>
      <c r="AF341" s="14">
        <v>0</v>
      </c>
      <c r="AG341" s="14">
        <v>0</v>
      </c>
      <c r="AH341" s="14">
        <v>0</v>
      </c>
      <c r="AI341" s="14">
        <v>0</v>
      </c>
      <c r="AJ341" s="14">
        <v>0</v>
      </c>
      <c r="AK341" s="14">
        <v>0</v>
      </c>
      <c r="AL341" s="14">
        <v>0</v>
      </c>
      <c r="AM341" s="14">
        <v>0</v>
      </c>
      <c r="AN341" s="14">
        <v>0</v>
      </c>
      <c r="AO341" s="14">
        <v>0</v>
      </c>
      <c r="AP341" s="14">
        <v>0</v>
      </c>
      <c r="AQ341" s="14">
        <v>0</v>
      </c>
      <c r="AR341" s="14">
        <v>0</v>
      </c>
      <c r="AS341" s="14">
        <v>0</v>
      </c>
      <c r="AT341" s="58">
        <v>0</v>
      </c>
      <c r="AU341" s="1"/>
      <c r="AV341" s="1"/>
      <c r="AW341" s="11">
        <f t="shared" si="13"/>
        <v>-5.2560934833519703E-3</v>
      </c>
      <c r="AX341" s="14">
        <v>2</v>
      </c>
      <c r="AY341" s="142">
        <v>0.92764594700000103</v>
      </c>
      <c r="AZ341" s="1"/>
      <c r="BA341" s="142">
        <f t="shared" ref="BA341:BA371" si="14">(AY341/BB48)*3600</f>
        <v>114.40989247919717</v>
      </c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33"/>
    </row>
    <row r="342" spans="11:92" x14ac:dyDescent="0.2">
      <c r="K342" s="32"/>
      <c r="L342" s="1"/>
      <c r="M342" s="7" t="s">
        <v>4</v>
      </c>
      <c r="N342" s="57">
        <v>0</v>
      </c>
      <c r="O342" s="14">
        <v>0</v>
      </c>
      <c r="P342" s="14">
        <v>1</v>
      </c>
      <c r="Q342" s="14">
        <v>-1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0</v>
      </c>
      <c r="AG342" s="14">
        <v>0</v>
      </c>
      <c r="AH342" s="14">
        <v>0</v>
      </c>
      <c r="AI342" s="14">
        <v>0</v>
      </c>
      <c r="AJ342" s="14">
        <v>0</v>
      </c>
      <c r="AK342" s="14">
        <v>0</v>
      </c>
      <c r="AL342" s="14">
        <v>0</v>
      </c>
      <c r="AM342" s="14">
        <v>0</v>
      </c>
      <c r="AN342" s="14">
        <v>0</v>
      </c>
      <c r="AO342" s="14">
        <v>0</v>
      </c>
      <c r="AP342" s="14">
        <v>1</v>
      </c>
      <c r="AQ342" s="14">
        <v>0</v>
      </c>
      <c r="AR342" s="14">
        <v>0</v>
      </c>
      <c r="AS342" s="14">
        <v>0</v>
      </c>
      <c r="AT342" s="58">
        <v>0</v>
      </c>
      <c r="AU342" s="1"/>
      <c r="AV342" s="1"/>
      <c r="AW342" s="11">
        <f t="shared" si="13"/>
        <v>-5.4292893004962005E-2</v>
      </c>
      <c r="AX342" s="14">
        <v>3</v>
      </c>
      <c r="AY342" s="142">
        <v>0.64701114260110804</v>
      </c>
      <c r="AZ342" s="1"/>
      <c r="BA342" s="142">
        <f t="shared" si="14"/>
        <v>114.40989247222474</v>
      </c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33"/>
    </row>
    <row r="343" spans="11:92" x14ac:dyDescent="0.2">
      <c r="K343" s="32"/>
      <c r="L343" s="1"/>
      <c r="M343" s="7" t="s">
        <v>5</v>
      </c>
      <c r="N343" s="57">
        <v>0</v>
      </c>
      <c r="O343" s="14">
        <v>0</v>
      </c>
      <c r="P343" s="14">
        <v>0</v>
      </c>
      <c r="Q343" s="14">
        <v>1</v>
      </c>
      <c r="R343" s="14">
        <v>-1</v>
      </c>
      <c r="S343" s="14">
        <v>0</v>
      </c>
      <c r="T343" s="14">
        <v>0</v>
      </c>
      <c r="U343" s="14">
        <v>0</v>
      </c>
      <c r="V343" s="14">
        <v>0</v>
      </c>
      <c r="W343" s="14">
        <v>0</v>
      </c>
      <c r="X343" s="14">
        <v>0</v>
      </c>
      <c r="Y343" s="14">
        <v>0</v>
      </c>
      <c r="Z343" s="14">
        <v>0</v>
      </c>
      <c r="AA343" s="14">
        <v>0</v>
      </c>
      <c r="AB343" s="14">
        <v>1</v>
      </c>
      <c r="AC343" s="14">
        <v>0</v>
      </c>
      <c r="AD343" s="14">
        <v>-1</v>
      </c>
      <c r="AE343" s="14">
        <v>0</v>
      </c>
      <c r="AF343" s="14">
        <v>0</v>
      </c>
      <c r="AG343" s="14">
        <v>0</v>
      </c>
      <c r="AH343" s="14">
        <v>0</v>
      </c>
      <c r="AI343" s="14">
        <v>0</v>
      </c>
      <c r="AJ343" s="14">
        <v>0</v>
      </c>
      <c r="AK343" s="14">
        <v>0</v>
      </c>
      <c r="AL343" s="14">
        <v>0</v>
      </c>
      <c r="AM343" s="14">
        <v>0</v>
      </c>
      <c r="AN343" s="14">
        <v>0</v>
      </c>
      <c r="AO343" s="14">
        <v>0</v>
      </c>
      <c r="AP343" s="14">
        <v>0</v>
      </c>
      <c r="AQ343" s="14">
        <v>0</v>
      </c>
      <c r="AR343" s="14">
        <v>0</v>
      </c>
      <c r="AS343" s="14">
        <v>0</v>
      </c>
      <c r="AT343" s="58">
        <v>0</v>
      </c>
      <c r="AU343" s="1"/>
      <c r="AV343" s="1"/>
      <c r="AW343" s="11">
        <f t="shared" si="13"/>
        <v>-5.5791787937600089E-3</v>
      </c>
      <c r="AX343" s="14">
        <v>4</v>
      </c>
      <c r="AY343" s="142">
        <v>1.64294829160111</v>
      </c>
      <c r="AZ343" s="1"/>
      <c r="BA343" s="142">
        <f t="shared" si="14"/>
        <v>115.20648129325781</v>
      </c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33"/>
    </row>
    <row r="344" spans="11:92" x14ac:dyDescent="0.2">
      <c r="K344" s="32"/>
      <c r="L344" s="1"/>
      <c r="M344" s="7" t="s">
        <v>107</v>
      </c>
      <c r="N344" s="57">
        <v>0</v>
      </c>
      <c r="O344" s="14">
        <v>0</v>
      </c>
      <c r="P344" s="14">
        <v>0</v>
      </c>
      <c r="Q344" s="14">
        <v>0</v>
      </c>
      <c r="R344" s="14">
        <v>1</v>
      </c>
      <c r="S344" s="14">
        <v>-1</v>
      </c>
      <c r="T344" s="14">
        <v>0</v>
      </c>
      <c r="U344" s="14">
        <v>0</v>
      </c>
      <c r="V344" s="14">
        <v>0</v>
      </c>
      <c r="W344" s="14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0</v>
      </c>
      <c r="AC344" s="14">
        <v>0</v>
      </c>
      <c r="AD344" s="14">
        <v>0</v>
      </c>
      <c r="AE344" s="14">
        <v>0</v>
      </c>
      <c r="AF344" s="14">
        <v>0</v>
      </c>
      <c r="AG344" s="14">
        <v>0</v>
      </c>
      <c r="AH344" s="14">
        <v>0</v>
      </c>
      <c r="AI344" s="14">
        <v>0</v>
      </c>
      <c r="AJ344" s="14">
        <v>0</v>
      </c>
      <c r="AK344" s="14">
        <v>0</v>
      </c>
      <c r="AL344" s="14">
        <v>0</v>
      </c>
      <c r="AM344" s="14">
        <v>0</v>
      </c>
      <c r="AN344" s="14">
        <v>0</v>
      </c>
      <c r="AO344" s="14">
        <v>0</v>
      </c>
      <c r="AP344" s="14">
        <v>0</v>
      </c>
      <c r="AQ344" s="14">
        <v>-1</v>
      </c>
      <c r="AR344" s="14">
        <v>0</v>
      </c>
      <c r="AS344" s="14">
        <v>0</v>
      </c>
      <c r="AT344" s="58">
        <v>0</v>
      </c>
      <c r="AU344" s="1"/>
      <c r="AV344" s="1"/>
      <c r="AW344" s="11">
        <f t="shared" si="13"/>
        <v>-5.8576189805460178E-4</v>
      </c>
      <c r="AX344" s="14">
        <v>5</v>
      </c>
      <c r="AY344" s="142">
        <v>1.2790998128793201</v>
      </c>
      <c r="AZ344" s="1"/>
      <c r="BA344" s="142">
        <f t="shared" si="14"/>
        <v>115.20648132328</v>
      </c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33"/>
    </row>
    <row r="345" spans="11:92" x14ac:dyDescent="0.2">
      <c r="K345" s="32"/>
      <c r="L345" s="145" t="s">
        <v>169</v>
      </c>
      <c r="M345" s="7" t="s">
        <v>7</v>
      </c>
      <c r="N345" s="57">
        <v>0</v>
      </c>
      <c r="O345" s="14">
        <v>0</v>
      </c>
      <c r="P345" s="14">
        <v>0</v>
      </c>
      <c r="Q345" s="14">
        <v>0</v>
      </c>
      <c r="R345" s="14">
        <v>0</v>
      </c>
      <c r="S345" s="14">
        <v>1</v>
      </c>
      <c r="T345" s="14">
        <v>-1</v>
      </c>
      <c r="U345" s="14">
        <v>0</v>
      </c>
      <c r="V345" s="14">
        <v>0</v>
      </c>
      <c r="W345" s="14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4">
        <v>0</v>
      </c>
      <c r="AE345" s="14">
        <v>0</v>
      </c>
      <c r="AF345" s="14">
        <v>0</v>
      </c>
      <c r="AG345" s="14">
        <v>0</v>
      </c>
      <c r="AH345" s="14">
        <v>0</v>
      </c>
      <c r="AI345" s="14">
        <v>0</v>
      </c>
      <c r="AJ345" s="14">
        <v>0</v>
      </c>
      <c r="AK345" s="14">
        <v>0</v>
      </c>
      <c r="AL345" s="14">
        <v>0</v>
      </c>
      <c r="AM345" s="14">
        <v>0</v>
      </c>
      <c r="AN345" s="14">
        <v>0</v>
      </c>
      <c r="AO345" s="14">
        <v>0</v>
      </c>
      <c r="AP345" s="14">
        <v>0</v>
      </c>
      <c r="AQ345" s="14">
        <v>0</v>
      </c>
      <c r="AR345" s="14">
        <v>0</v>
      </c>
      <c r="AS345" s="14">
        <v>0</v>
      </c>
      <c r="AT345" s="58">
        <v>0</v>
      </c>
      <c r="AU345" s="1"/>
      <c r="AV345" s="1"/>
      <c r="AW345" s="11">
        <f t="shared" si="13"/>
        <v>-3.7331726369269347E-2</v>
      </c>
      <c r="AX345" s="14">
        <v>6</v>
      </c>
      <c r="AY345" s="142">
        <v>1.2796855748793201</v>
      </c>
      <c r="AZ345" s="1"/>
      <c r="BA345" s="142">
        <f t="shared" si="14"/>
        <v>115.35630424626544</v>
      </c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33"/>
    </row>
    <row r="346" spans="11:92" x14ac:dyDescent="0.2">
      <c r="K346" s="32"/>
      <c r="L346" s="1"/>
      <c r="M346" s="7" t="s">
        <v>8</v>
      </c>
      <c r="N346" s="57">
        <v>0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14">
        <v>1</v>
      </c>
      <c r="U346" s="14">
        <v>-1</v>
      </c>
      <c r="V346" s="14">
        <v>0</v>
      </c>
      <c r="W346" s="14">
        <v>0</v>
      </c>
      <c r="X346" s="14">
        <v>0</v>
      </c>
      <c r="Y346" s="14">
        <v>0</v>
      </c>
      <c r="Z346" s="14">
        <v>0</v>
      </c>
      <c r="AA346" s="14">
        <v>0</v>
      </c>
      <c r="AB346" s="14">
        <v>0</v>
      </c>
      <c r="AC346" s="14">
        <v>0</v>
      </c>
      <c r="AD346" s="14">
        <v>0</v>
      </c>
      <c r="AE346" s="14">
        <v>0</v>
      </c>
      <c r="AF346" s="14">
        <v>0</v>
      </c>
      <c r="AG346" s="14">
        <v>0</v>
      </c>
      <c r="AH346" s="14">
        <v>0</v>
      </c>
      <c r="AI346" s="14">
        <v>0</v>
      </c>
      <c r="AJ346" s="14">
        <v>0</v>
      </c>
      <c r="AK346" s="14">
        <v>0</v>
      </c>
      <c r="AL346" s="14">
        <v>0</v>
      </c>
      <c r="AM346" s="14">
        <v>0</v>
      </c>
      <c r="AN346" s="14">
        <v>0</v>
      </c>
      <c r="AO346" s="14">
        <v>0</v>
      </c>
      <c r="AP346" s="14">
        <v>0</v>
      </c>
      <c r="AQ346" s="14">
        <v>0</v>
      </c>
      <c r="AR346" s="14">
        <v>0</v>
      </c>
      <c r="AS346" s="14">
        <v>0</v>
      </c>
      <c r="AT346" s="58">
        <v>0</v>
      </c>
      <c r="AU346" s="1"/>
      <c r="AV346" s="1"/>
      <c r="AW346" s="11">
        <f t="shared" si="13"/>
        <v>-2.3723431997997825E-3</v>
      </c>
      <c r="AX346" s="14" t="s">
        <v>20</v>
      </c>
      <c r="AY346" s="142">
        <v>1.31701730087932</v>
      </c>
      <c r="AZ346" s="1"/>
      <c r="BA346" s="142">
        <f t="shared" si="14"/>
        <v>118.72154491712344</v>
      </c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33"/>
    </row>
    <row r="347" spans="11:92" x14ac:dyDescent="0.2">
      <c r="K347" s="32"/>
      <c r="L347" s="1"/>
      <c r="M347" s="7" t="s">
        <v>9</v>
      </c>
      <c r="N347" s="57">
        <v>0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4">
        <v>1</v>
      </c>
      <c r="V347" s="14">
        <v>-1</v>
      </c>
      <c r="W347" s="14">
        <v>0</v>
      </c>
      <c r="X347" s="14">
        <v>0</v>
      </c>
      <c r="Y347" s="14">
        <v>0</v>
      </c>
      <c r="Z347" s="14">
        <v>0</v>
      </c>
      <c r="AA347" s="14">
        <v>0</v>
      </c>
      <c r="AB347" s="14">
        <v>0</v>
      </c>
      <c r="AC347" s="14">
        <v>0</v>
      </c>
      <c r="AD347" s="14">
        <v>0</v>
      </c>
      <c r="AE347" s="14">
        <v>0</v>
      </c>
      <c r="AF347" s="14">
        <v>0</v>
      </c>
      <c r="AG347" s="14">
        <v>0</v>
      </c>
      <c r="AH347" s="14">
        <v>0</v>
      </c>
      <c r="AI347" s="14">
        <v>0</v>
      </c>
      <c r="AJ347" s="14">
        <v>0</v>
      </c>
      <c r="AK347" s="14">
        <v>1</v>
      </c>
      <c r="AL347" s="14">
        <v>-1</v>
      </c>
      <c r="AM347" s="14">
        <v>0</v>
      </c>
      <c r="AN347" s="14">
        <v>0</v>
      </c>
      <c r="AO347" s="14">
        <v>0</v>
      </c>
      <c r="AP347" s="14">
        <v>0</v>
      </c>
      <c r="AQ347" s="14">
        <v>0</v>
      </c>
      <c r="AR347" s="14">
        <v>0</v>
      </c>
      <c r="AS347" s="14">
        <v>0</v>
      </c>
      <c r="AT347" s="58">
        <v>0</v>
      </c>
      <c r="AU347" s="1"/>
      <c r="AV347" s="1"/>
      <c r="AW347" s="11">
        <f t="shared" si="13"/>
        <v>-5.4212030047554494E-4</v>
      </c>
      <c r="AX347" s="14">
        <v>7</v>
      </c>
      <c r="AY347" s="142">
        <v>1.31938964387932</v>
      </c>
      <c r="AZ347" s="1"/>
      <c r="BA347" s="142">
        <f t="shared" si="14"/>
        <v>135.69136613029261</v>
      </c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33"/>
    </row>
    <row r="348" spans="11:92" x14ac:dyDescent="0.2">
      <c r="K348" s="32"/>
      <c r="L348" s="1"/>
      <c r="M348" s="7" t="s">
        <v>10</v>
      </c>
      <c r="N348" s="57">
        <v>0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14">
        <v>0</v>
      </c>
      <c r="U348" s="14">
        <v>0</v>
      </c>
      <c r="V348" s="14">
        <v>1</v>
      </c>
      <c r="W348" s="14">
        <v>-1</v>
      </c>
      <c r="X348" s="14">
        <v>0</v>
      </c>
      <c r="Y348" s="14">
        <v>0</v>
      </c>
      <c r="Z348" s="14">
        <v>0</v>
      </c>
      <c r="AA348" s="14">
        <v>0</v>
      </c>
      <c r="AB348" s="14">
        <v>0</v>
      </c>
      <c r="AC348" s="14">
        <v>0</v>
      </c>
      <c r="AD348" s="14">
        <v>0</v>
      </c>
      <c r="AE348" s="14">
        <v>0</v>
      </c>
      <c r="AF348" s="14">
        <v>0</v>
      </c>
      <c r="AG348" s="14">
        <v>0</v>
      </c>
      <c r="AH348" s="14">
        <v>1</v>
      </c>
      <c r="AI348" s="14">
        <v>0</v>
      </c>
      <c r="AJ348" s="14">
        <v>-1</v>
      </c>
      <c r="AK348" s="14">
        <v>0</v>
      </c>
      <c r="AL348" s="14">
        <v>0</v>
      </c>
      <c r="AM348" s="14">
        <v>0</v>
      </c>
      <c r="AN348" s="14">
        <v>0</v>
      </c>
      <c r="AO348" s="14">
        <v>0</v>
      </c>
      <c r="AP348" s="14">
        <v>0</v>
      </c>
      <c r="AQ348" s="14">
        <v>0</v>
      </c>
      <c r="AR348" s="14">
        <v>0</v>
      </c>
      <c r="AS348" s="14">
        <v>0</v>
      </c>
      <c r="AT348" s="58">
        <v>0</v>
      </c>
      <c r="AU348" s="1"/>
      <c r="AV348" s="1"/>
      <c r="AW348" s="11">
        <f t="shared" si="13"/>
        <v>-2.9690611417565139E-3</v>
      </c>
      <c r="AX348" s="14">
        <v>8</v>
      </c>
      <c r="AY348" s="142">
        <v>1.34280903170479</v>
      </c>
      <c r="AZ348" s="1"/>
      <c r="BA348" s="142">
        <f t="shared" si="14"/>
        <v>137.70901350058494</v>
      </c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33"/>
    </row>
    <row r="349" spans="11:92" x14ac:dyDescent="0.2">
      <c r="K349" s="32"/>
      <c r="L349" s="1"/>
      <c r="M349" s="7" t="s">
        <v>11</v>
      </c>
      <c r="N349" s="57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14">
        <v>0</v>
      </c>
      <c r="U349" s="14">
        <v>0</v>
      </c>
      <c r="V349" s="14">
        <v>0</v>
      </c>
      <c r="W349" s="14">
        <v>1</v>
      </c>
      <c r="X349" s="14">
        <v>-1</v>
      </c>
      <c r="Y349" s="14">
        <v>0</v>
      </c>
      <c r="Z349" s="14">
        <v>0</v>
      </c>
      <c r="AA349" s="14">
        <v>0</v>
      </c>
      <c r="AB349" s="14">
        <v>0</v>
      </c>
      <c r="AC349" s="14">
        <v>0</v>
      </c>
      <c r="AD349" s="14">
        <v>0</v>
      </c>
      <c r="AE349" s="14">
        <v>0</v>
      </c>
      <c r="AF349" s="14">
        <v>0</v>
      </c>
      <c r="AG349" s="14">
        <v>0</v>
      </c>
      <c r="AH349" s="14">
        <v>0</v>
      </c>
      <c r="AI349" s="14">
        <v>0</v>
      </c>
      <c r="AJ349" s="14">
        <v>0</v>
      </c>
      <c r="AK349" s="14">
        <v>0</v>
      </c>
      <c r="AL349" s="14">
        <v>0</v>
      </c>
      <c r="AM349" s="14">
        <v>0</v>
      </c>
      <c r="AN349" s="14">
        <v>0</v>
      </c>
      <c r="AO349" s="14">
        <v>0</v>
      </c>
      <c r="AP349" s="14">
        <v>0</v>
      </c>
      <c r="AQ349" s="14">
        <v>0</v>
      </c>
      <c r="AR349" s="14">
        <v>-1</v>
      </c>
      <c r="AS349" s="14">
        <v>0</v>
      </c>
      <c r="AT349" s="58">
        <v>0</v>
      </c>
      <c r="AU349" s="1"/>
      <c r="AV349" s="1"/>
      <c r="AW349" s="11">
        <f t="shared" si="13"/>
        <v>-3.3781551782518834E-2</v>
      </c>
      <c r="AX349" s="14">
        <v>9</v>
      </c>
      <c r="AY349" s="142">
        <v>1.6842273658881799</v>
      </c>
      <c r="AZ349" s="1"/>
      <c r="BA349" s="142">
        <f t="shared" si="14"/>
        <v>151.08005005827741</v>
      </c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33"/>
    </row>
    <row r="350" spans="11:92" x14ac:dyDescent="0.2">
      <c r="K350" s="32"/>
      <c r="L350" s="1"/>
      <c r="M350" s="7" t="s">
        <v>12</v>
      </c>
      <c r="N350" s="57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1</v>
      </c>
      <c r="Y350" s="14">
        <v>-1</v>
      </c>
      <c r="Z350" s="14">
        <v>0</v>
      </c>
      <c r="AA350" s="14">
        <v>0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1</v>
      </c>
      <c r="AH350" s="14">
        <v>0</v>
      </c>
      <c r="AI350" s="14">
        <v>-1</v>
      </c>
      <c r="AJ350" s="14">
        <v>0</v>
      </c>
      <c r="AK350" s="14">
        <v>0</v>
      </c>
      <c r="AL350" s="14">
        <v>0</v>
      </c>
      <c r="AM350" s="14">
        <v>0</v>
      </c>
      <c r="AN350" s="14">
        <v>0</v>
      </c>
      <c r="AO350" s="14">
        <v>0</v>
      </c>
      <c r="AP350" s="14">
        <v>0</v>
      </c>
      <c r="AQ350" s="14">
        <v>0</v>
      </c>
      <c r="AR350" s="14">
        <v>0</v>
      </c>
      <c r="AS350" s="14">
        <v>0</v>
      </c>
      <c r="AT350" s="58">
        <v>0</v>
      </c>
      <c r="AU350" s="1"/>
      <c r="AV350" s="1"/>
      <c r="AW350" s="11">
        <f t="shared" si="13"/>
        <v>-3.5396170510274892E-3</v>
      </c>
      <c r="AX350" s="14">
        <v>10</v>
      </c>
      <c r="AY350" s="142">
        <v>0.97867333547948698</v>
      </c>
      <c r="AZ350" s="1"/>
      <c r="BA350" s="142">
        <f t="shared" si="14"/>
        <v>151.08005006526716</v>
      </c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33"/>
    </row>
    <row r="351" spans="11:92" x14ac:dyDescent="0.2">
      <c r="K351" s="32"/>
      <c r="L351" s="1"/>
      <c r="M351" s="7" t="s">
        <v>13</v>
      </c>
      <c r="N351" s="57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14">
        <v>0</v>
      </c>
      <c r="U351" s="14">
        <v>0</v>
      </c>
      <c r="V351" s="14">
        <v>0</v>
      </c>
      <c r="W351" s="14">
        <v>0</v>
      </c>
      <c r="X351" s="14">
        <v>0</v>
      </c>
      <c r="Y351" s="14">
        <v>1</v>
      </c>
      <c r="Z351" s="14">
        <v>-1</v>
      </c>
      <c r="AA351" s="14">
        <v>0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4">
        <v>0</v>
      </c>
      <c r="AK351" s="14">
        <v>0</v>
      </c>
      <c r="AL351" s="14">
        <v>0</v>
      </c>
      <c r="AM351" s="14">
        <v>0</v>
      </c>
      <c r="AN351" s="14">
        <v>0</v>
      </c>
      <c r="AO351" s="14">
        <v>0</v>
      </c>
      <c r="AP351" s="14">
        <v>0</v>
      </c>
      <c r="AQ351" s="14">
        <v>0</v>
      </c>
      <c r="AR351" s="14">
        <v>0</v>
      </c>
      <c r="AS351" s="14">
        <v>-1</v>
      </c>
      <c r="AT351" s="58">
        <v>0</v>
      </c>
      <c r="AU351" s="1"/>
      <c r="AV351" s="1"/>
      <c r="AW351" s="11">
        <f t="shared" si="13"/>
        <v>-4.5023535763298983E-2</v>
      </c>
      <c r="AX351" s="14">
        <v>11</v>
      </c>
      <c r="AY351" s="142">
        <v>1.28717124859131</v>
      </c>
      <c r="AZ351" s="1"/>
      <c r="BA351" s="142">
        <f t="shared" si="14"/>
        <v>162.43350797703729</v>
      </c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33"/>
    </row>
    <row r="352" spans="11:92" x14ac:dyDescent="0.2">
      <c r="K352" s="32"/>
      <c r="L352" s="1"/>
      <c r="M352" s="7" t="s">
        <v>14</v>
      </c>
      <c r="N352" s="57">
        <v>0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1</v>
      </c>
      <c r="AD352" s="14">
        <v>1</v>
      </c>
      <c r="AE352" s="14">
        <v>-1</v>
      </c>
      <c r="AF352" s="14">
        <v>0</v>
      </c>
      <c r="AG352" s="14">
        <v>0</v>
      </c>
      <c r="AH352" s="14">
        <v>0</v>
      </c>
      <c r="AI352" s="14">
        <v>0</v>
      </c>
      <c r="AJ352" s="14">
        <v>0</v>
      </c>
      <c r="AK352" s="14">
        <v>0</v>
      </c>
      <c r="AL352" s="14">
        <v>0</v>
      </c>
      <c r="AM352" s="14">
        <v>0</v>
      </c>
      <c r="AN352" s="14">
        <v>0</v>
      </c>
      <c r="AO352" s="14">
        <v>0</v>
      </c>
      <c r="AP352" s="14">
        <v>0</v>
      </c>
      <c r="AQ352" s="14">
        <v>0</v>
      </c>
      <c r="AR352" s="14">
        <v>0</v>
      </c>
      <c r="AS352" s="14">
        <v>0</v>
      </c>
      <c r="AT352" s="58">
        <v>0</v>
      </c>
      <c r="AU352" s="1"/>
      <c r="AV352" s="1"/>
      <c r="AW352" s="11">
        <f t="shared" si="13"/>
        <v>0</v>
      </c>
      <c r="AX352" s="14">
        <v>12</v>
      </c>
      <c r="AY352" s="156">
        <v>0</v>
      </c>
      <c r="AZ352" s="1"/>
      <c r="BA352" s="142">
        <f t="shared" si="14"/>
        <v>0</v>
      </c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33"/>
    </row>
    <row r="353" spans="11:92" x14ac:dyDescent="0.2">
      <c r="K353" s="32"/>
      <c r="L353" s="1"/>
      <c r="M353" s="7" t="s">
        <v>132</v>
      </c>
      <c r="N353" s="57">
        <v>0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>
        <v>0</v>
      </c>
      <c r="Y353" s="14">
        <v>0</v>
      </c>
      <c r="Z353" s="14">
        <v>0</v>
      </c>
      <c r="AA353" s="14">
        <v>0</v>
      </c>
      <c r="AB353" s="14">
        <v>0</v>
      </c>
      <c r="AC353" s="14">
        <v>0</v>
      </c>
      <c r="AD353" s="14">
        <v>0</v>
      </c>
      <c r="AE353" s="14">
        <v>1</v>
      </c>
      <c r="AF353" s="14">
        <v>-1</v>
      </c>
      <c r="AG353" s="14">
        <v>0</v>
      </c>
      <c r="AH353" s="14">
        <v>0</v>
      </c>
      <c r="AI353" s="14">
        <v>0</v>
      </c>
      <c r="AJ353" s="14">
        <v>0</v>
      </c>
      <c r="AK353" s="14">
        <v>0</v>
      </c>
      <c r="AL353" s="14">
        <v>0</v>
      </c>
      <c r="AM353" s="14">
        <v>0</v>
      </c>
      <c r="AN353" s="14">
        <v>0</v>
      </c>
      <c r="AO353" s="14">
        <v>0</v>
      </c>
      <c r="AP353" s="14">
        <v>0</v>
      </c>
      <c r="AQ353" s="14">
        <v>0</v>
      </c>
      <c r="AR353" s="14">
        <v>0</v>
      </c>
      <c r="AS353" s="14">
        <v>0</v>
      </c>
      <c r="AT353" s="58">
        <v>0</v>
      </c>
      <c r="AU353" s="1"/>
      <c r="AV353" s="1"/>
      <c r="AW353" s="11">
        <f t="shared" si="13"/>
        <v>-5.483140723225032E-3</v>
      </c>
      <c r="AX353" s="14" t="s">
        <v>21</v>
      </c>
      <c r="AY353" s="142">
        <v>0.14473647308733201</v>
      </c>
      <c r="AZ353" s="1"/>
      <c r="BA353" s="142">
        <f t="shared" si="14"/>
        <v>373.76198516590949</v>
      </c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33"/>
    </row>
    <row r="354" spans="11:92" x14ac:dyDescent="0.2">
      <c r="K354" s="32"/>
      <c r="L354" s="1"/>
      <c r="M354" s="7" t="s">
        <v>15</v>
      </c>
      <c r="N354" s="57">
        <v>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0</v>
      </c>
      <c r="AA354" s="14">
        <v>0</v>
      </c>
      <c r="AB354" s="14">
        <v>0</v>
      </c>
      <c r="AC354" s="14">
        <v>0</v>
      </c>
      <c r="AD354" s="14">
        <v>0</v>
      </c>
      <c r="AE354" s="14">
        <v>0</v>
      </c>
      <c r="AF354" s="14">
        <v>1</v>
      </c>
      <c r="AG354" s="14">
        <v>-1</v>
      </c>
      <c r="AH354" s="14">
        <v>-1</v>
      </c>
      <c r="AI354" s="14">
        <v>0</v>
      </c>
      <c r="AJ354" s="14">
        <v>0</v>
      </c>
      <c r="AK354" s="14">
        <v>0</v>
      </c>
      <c r="AL354" s="14">
        <v>0</v>
      </c>
      <c r="AM354" s="14">
        <v>0</v>
      </c>
      <c r="AN354" s="14">
        <v>0</v>
      </c>
      <c r="AO354" s="14">
        <v>0</v>
      </c>
      <c r="AP354" s="14">
        <v>0</v>
      </c>
      <c r="AQ354" s="14">
        <v>0</v>
      </c>
      <c r="AR354" s="14">
        <v>0</v>
      </c>
      <c r="AS354" s="14">
        <v>0</v>
      </c>
      <c r="AT354" s="58">
        <v>0</v>
      </c>
      <c r="AU354" s="1"/>
      <c r="AV354" s="1"/>
      <c r="AW354" s="11">
        <f t="shared" si="13"/>
        <v>0</v>
      </c>
      <c r="AX354" s="14" t="s">
        <v>22</v>
      </c>
      <c r="AY354" s="142">
        <v>0.17368376770479901</v>
      </c>
      <c r="AZ354" s="1"/>
      <c r="BA354" s="142">
        <f t="shared" si="14"/>
        <v>373.76198516591086</v>
      </c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33"/>
    </row>
    <row r="355" spans="11:92" x14ac:dyDescent="0.2">
      <c r="K355" s="32"/>
      <c r="L355" s="1"/>
      <c r="M355" s="7" t="s">
        <v>16</v>
      </c>
      <c r="N355" s="57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0</v>
      </c>
      <c r="AA355" s="14">
        <v>0</v>
      </c>
      <c r="AB355" s="14">
        <v>0</v>
      </c>
      <c r="AC355" s="14">
        <v>0</v>
      </c>
      <c r="AD355" s="14">
        <v>0</v>
      </c>
      <c r="AE355" s="14">
        <v>0</v>
      </c>
      <c r="AF355" s="14">
        <v>0</v>
      </c>
      <c r="AG355" s="14">
        <v>0</v>
      </c>
      <c r="AH355" s="14">
        <v>0</v>
      </c>
      <c r="AI355" s="14">
        <v>1</v>
      </c>
      <c r="AJ355" s="14">
        <v>1</v>
      </c>
      <c r="AK355" s="14">
        <v>-1</v>
      </c>
      <c r="AL355" s="14">
        <v>0</v>
      </c>
      <c r="AM355" s="14">
        <v>0</v>
      </c>
      <c r="AN355" s="14">
        <v>0</v>
      </c>
      <c r="AO355" s="14">
        <v>0</v>
      </c>
      <c r="AP355" s="14">
        <v>0</v>
      </c>
      <c r="AQ355" s="14">
        <v>0</v>
      </c>
      <c r="AR355" s="14">
        <v>0</v>
      </c>
      <c r="AS355" s="14">
        <v>0</v>
      </c>
      <c r="AT355" s="58">
        <v>0</v>
      </c>
      <c r="AU355" s="1"/>
      <c r="AV355" s="1"/>
      <c r="AW355" s="11">
        <f t="shared" si="13"/>
        <v>0</v>
      </c>
      <c r="AX355" s="14" t="s">
        <v>23</v>
      </c>
      <c r="AY355" s="142">
        <v>0.43062737048622501</v>
      </c>
      <c r="AZ355" s="1"/>
      <c r="BA355" s="142">
        <f t="shared" si="14"/>
        <v>171.72584557464617</v>
      </c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33"/>
    </row>
    <row r="356" spans="11:92" x14ac:dyDescent="0.2">
      <c r="K356" s="32"/>
      <c r="L356" s="1"/>
      <c r="M356" s="7" t="s">
        <v>67</v>
      </c>
      <c r="N356" s="57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14">
        <v>0</v>
      </c>
      <c r="AJ356" s="14">
        <v>0</v>
      </c>
      <c r="AK356" s="14">
        <v>0</v>
      </c>
      <c r="AL356" s="14">
        <v>1</v>
      </c>
      <c r="AM356" s="14">
        <v>-1</v>
      </c>
      <c r="AN356" s="14">
        <v>0</v>
      </c>
      <c r="AO356" s="14">
        <v>0</v>
      </c>
      <c r="AP356" s="14">
        <v>0</v>
      </c>
      <c r="AQ356" s="14">
        <v>0</v>
      </c>
      <c r="AR356" s="14">
        <v>0</v>
      </c>
      <c r="AS356" s="14">
        <v>0</v>
      </c>
      <c r="AT356" s="58">
        <v>-1</v>
      </c>
      <c r="AU356" s="1"/>
      <c r="AV356" s="1"/>
      <c r="AW356" s="11">
        <f t="shared" si="13"/>
        <v>0</v>
      </c>
      <c r="AX356" s="14" t="s">
        <v>24</v>
      </c>
      <c r="AY356" s="142">
        <v>0.54311142542658397</v>
      </c>
      <c r="AZ356" s="1"/>
      <c r="BA356" s="142">
        <f t="shared" si="14"/>
        <v>179.94027049631001</v>
      </c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33"/>
    </row>
    <row r="357" spans="11:92" x14ac:dyDescent="0.2">
      <c r="K357" s="32"/>
      <c r="L357" s="1"/>
      <c r="M357" s="7" t="s">
        <v>131</v>
      </c>
      <c r="N357" s="57">
        <v>0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4">
        <v>0</v>
      </c>
      <c r="AB357" s="14">
        <v>0</v>
      </c>
      <c r="AC357" s="14">
        <v>0</v>
      </c>
      <c r="AD357" s="14">
        <v>0</v>
      </c>
      <c r="AE357" s="14">
        <v>0</v>
      </c>
      <c r="AF357" s="14">
        <v>0</v>
      </c>
      <c r="AG357" s="14">
        <v>0</v>
      </c>
      <c r="AH357" s="14">
        <v>0</v>
      </c>
      <c r="AI357" s="14">
        <v>0</v>
      </c>
      <c r="AJ357" s="14">
        <v>0</v>
      </c>
      <c r="AK357" s="14">
        <v>0</v>
      </c>
      <c r="AL357" s="14">
        <v>0</v>
      </c>
      <c r="AM357" s="14">
        <v>1</v>
      </c>
      <c r="AN357" s="14">
        <v>-1</v>
      </c>
      <c r="AO357" s="14">
        <v>0</v>
      </c>
      <c r="AP357" s="14">
        <v>0</v>
      </c>
      <c r="AQ357" s="14">
        <v>0</v>
      </c>
      <c r="AR357" s="14">
        <v>0</v>
      </c>
      <c r="AS357" s="14">
        <v>0</v>
      </c>
      <c r="AT357" s="58">
        <v>0</v>
      </c>
      <c r="AU357" s="1"/>
      <c r="AV357" s="1"/>
      <c r="AW357" s="11">
        <f t="shared" si="13"/>
        <v>-5.483140723225032E-3</v>
      </c>
      <c r="AX357" s="14" t="s">
        <v>99</v>
      </c>
      <c r="AY357" s="142">
        <v>0.97373879591280899</v>
      </c>
      <c r="AZ357" s="1"/>
      <c r="BA357" s="142">
        <f t="shared" si="14"/>
        <v>176.21266677348953</v>
      </c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33"/>
    </row>
    <row r="358" spans="11:92" ht="15" thickBot="1" x14ac:dyDescent="0.25">
      <c r="K358" s="32"/>
      <c r="L358" s="1"/>
      <c r="M358" s="39" t="s">
        <v>17</v>
      </c>
      <c r="N358" s="59">
        <v>0</v>
      </c>
      <c r="O358" s="60">
        <v>0</v>
      </c>
      <c r="P358" s="60">
        <v>0</v>
      </c>
      <c r="Q358" s="60">
        <v>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-1</v>
      </c>
      <c r="AB358" s="60">
        <v>-1</v>
      </c>
      <c r="AC358" s="60">
        <v>0</v>
      </c>
      <c r="AD358" s="60">
        <v>0</v>
      </c>
      <c r="AE358" s="60">
        <v>0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>
        <v>0</v>
      </c>
      <c r="AM358" s="60">
        <v>0</v>
      </c>
      <c r="AN358" s="60">
        <v>1</v>
      </c>
      <c r="AO358" s="60">
        <v>0</v>
      </c>
      <c r="AP358" s="60">
        <v>0</v>
      </c>
      <c r="AQ358" s="60">
        <v>0</v>
      </c>
      <c r="AR358" s="60">
        <v>0</v>
      </c>
      <c r="AS358" s="60">
        <v>0</v>
      </c>
      <c r="AT358" s="91">
        <v>0</v>
      </c>
      <c r="AU358" s="1"/>
      <c r="AV358" s="1"/>
      <c r="AW358" s="11">
        <f t="shared" si="13"/>
        <v>0</v>
      </c>
      <c r="AX358" s="14" t="s">
        <v>100</v>
      </c>
      <c r="AY358" s="142">
        <v>0.97922193691280901</v>
      </c>
      <c r="AZ358" s="1"/>
      <c r="BA358" s="142">
        <f t="shared" si="14"/>
        <v>177.204923528546</v>
      </c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33"/>
    </row>
    <row r="359" spans="11:92" x14ac:dyDescent="0.2">
      <c r="K359" s="32"/>
      <c r="L359" s="1"/>
      <c r="M359" s="86" t="s">
        <v>171</v>
      </c>
      <c r="N359" s="136">
        <v>1</v>
      </c>
      <c r="O359" s="137">
        <v>0</v>
      </c>
      <c r="P359" s="137">
        <v>0</v>
      </c>
      <c r="Q359" s="137">
        <v>0</v>
      </c>
      <c r="R359" s="137">
        <v>0</v>
      </c>
      <c r="S359" s="137">
        <v>0</v>
      </c>
      <c r="T359" s="137">
        <v>0</v>
      </c>
      <c r="U359" s="137">
        <v>0</v>
      </c>
      <c r="V359" s="137">
        <v>0</v>
      </c>
      <c r="W359" s="137">
        <v>0</v>
      </c>
      <c r="X359" s="137">
        <v>0</v>
      </c>
      <c r="Y359" s="137">
        <v>0</v>
      </c>
      <c r="Z359" s="137">
        <v>0</v>
      </c>
      <c r="AA359" s="137">
        <v>0</v>
      </c>
      <c r="AB359" s="137">
        <v>0</v>
      </c>
      <c r="AC359" s="137">
        <v>0</v>
      </c>
      <c r="AD359" s="137">
        <v>0</v>
      </c>
      <c r="AE359" s="137">
        <v>0</v>
      </c>
      <c r="AF359" s="137">
        <v>0</v>
      </c>
      <c r="AG359" s="137">
        <v>0</v>
      </c>
      <c r="AH359" s="137">
        <v>0</v>
      </c>
      <c r="AI359" s="137">
        <v>0</v>
      </c>
      <c r="AJ359" s="137">
        <v>0</v>
      </c>
      <c r="AK359" s="137">
        <v>0</v>
      </c>
      <c r="AL359" s="137">
        <v>0</v>
      </c>
      <c r="AM359" s="137">
        <v>0</v>
      </c>
      <c r="AN359" s="137">
        <v>0</v>
      </c>
      <c r="AO359" s="137">
        <v>0</v>
      </c>
      <c r="AP359" s="137">
        <v>0</v>
      </c>
      <c r="AQ359" s="137">
        <v>0</v>
      </c>
      <c r="AR359" s="137">
        <v>0</v>
      </c>
      <c r="AS359" s="137">
        <v>0</v>
      </c>
      <c r="AT359" s="64">
        <v>0</v>
      </c>
      <c r="AU359" s="1"/>
      <c r="AV359" s="1"/>
      <c r="AW359" s="11">
        <v>0</v>
      </c>
      <c r="AX359" s="14" t="s">
        <v>26</v>
      </c>
      <c r="AY359" s="142">
        <v>0.48961096845640401</v>
      </c>
      <c r="AZ359" s="1"/>
      <c r="BA359" s="142">
        <f t="shared" si="14"/>
        <v>177.20492352854583</v>
      </c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33"/>
    </row>
    <row r="360" spans="11:92" x14ac:dyDescent="0.2">
      <c r="K360" s="32"/>
      <c r="L360" s="1"/>
      <c r="M360" s="85" t="s">
        <v>175</v>
      </c>
      <c r="N360" s="21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1</v>
      </c>
      <c r="AP360" s="15">
        <v>0</v>
      </c>
      <c r="AQ360" s="15">
        <v>0</v>
      </c>
      <c r="AR360" s="15">
        <v>0</v>
      </c>
      <c r="AS360" s="15">
        <v>0</v>
      </c>
      <c r="AT360" s="65">
        <v>0</v>
      </c>
      <c r="AU360" s="1"/>
      <c r="AV360" s="1"/>
      <c r="AW360" s="11">
        <f>(N380*L33)/3600</f>
        <v>0.87566852813999996</v>
      </c>
      <c r="AX360" s="14" t="s">
        <v>27</v>
      </c>
      <c r="AY360" s="142">
        <v>0.48961096845640401</v>
      </c>
      <c r="AZ360" s="1"/>
      <c r="BA360" s="142">
        <f t="shared" si="14"/>
        <v>177.20492352854583</v>
      </c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33"/>
    </row>
    <row r="361" spans="11:92" x14ac:dyDescent="0.2">
      <c r="K361" s="32"/>
      <c r="L361" s="1"/>
      <c r="M361" s="85" t="s">
        <v>177</v>
      </c>
      <c r="N361" s="21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1</v>
      </c>
      <c r="AQ361" s="15">
        <v>0</v>
      </c>
      <c r="AR361" s="15">
        <v>0</v>
      </c>
      <c r="AS361" s="15">
        <v>0</v>
      </c>
      <c r="AT361" s="65">
        <v>0</v>
      </c>
      <c r="AU361" s="1"/>
      <c r="AV361" s="1"/>
      <c r="AW361" s="11">
        <f>(N380*M33)/3600</f>
        <v>0.94164425638888882</v>
      </c>
      <c r="AX361" s="14" t="s">
        <v>28</v>
      </c>
      <c r="AY361" s="142">
        <v>0.18465267234458399</v>
      </c>
      <c r="AZ361" s="1"/>
      <c r="BA361" s="142">
        <f t="shared" si="14"/>
        <v>177.20492359999372</v>
      </c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33"/>
    </row>
    <row r="362" spans="11:92" ht="15" thickBot="1" x14ac:dyDescent="0.25">
      <c r="K362" s="32"/>
      <c r="L362" s="1"/>
      <c r="M362" s="85" t="s">
        <v>179</v>
      </c>
      <c r="N362" s="21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15">
        <v>1</v>
      </c>
      <c r="AR362" s="15">
        <v>0</v>
      </c>
      <c r="AS362" s="15">
        <v>0</v>
      </c>
      <c r="AT362" s="65">
        <v>0</v>
      </c>
      <c r="AU362" s="1"/>
      <c r="AV362" s="1"/>
      <c r="AW362" s="11">
        <v>0</v>
      </c>
      <c r="AX362" s="14" t="s">
        <v>29</v>
      </c>
      <c r="AY362" s="142">
        <v>0.15116169527301801</v>
      </c>
      <c r="AZ362" s="1"/>
      <c r="BA362" s="142">
        <f t="shared" si="14"/>
        <v>177.20492332837972</v>
      </c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33"/>
    </row>
    <row r="363" spans="11:92" x14ac:dyDescent="0.2">
      <c r="K363" s="32"/>
      <c r="L363" s="1"/>
      <c r="M363" s="85" t="s">
        <v>181</v>
      </c>
      <c r="N363" s="15">
        <v>0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5">
        <v>0</v>
      </c>
      <c r="V363" s="15">
        <v>0</v>
      </c>
      <c r="W363" s="15">
        <v>0</v>
      </c>
      <c r="X363" s="15">
        <v>0</v>
      </c>
      <c r="Y363" s="15">
        <v>0</v>
      </c>
      <c r="Z363" s="15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0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65">
        <v>1</v>
      </c>
      <c r="AU363" s="1"/>
      <c r="AV363" s="1"/>
      <c r="AW363" s="11">
        <v>0</v>
      </c>
      <c r="AX363" s="14" t="s">
        <v>30</v>
      </c>
      <c r="AY363" s="142">
        <v>0.33581436761760203</v>
      </c>
      <c r="AZ363" s="1"/>
      <c r="BA363" s="142">
        <f t="shared" si="14"/>
        <v>177.85284199289546</v>
      </c>
      <c r="BB363" s="1"/>
      <c r="BC363" s="1"/>
      <c r="BD363" s="1"/>
      <c r="BE363" s="31"/>
      <c r="BF363" s="29"/>
      <c r="BG363" s="29"/>
      <c r="BH363" s="29"/>
      <c r="BI363" s="30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33"/>
    </row>
    <row r="364" spans="11:92" x14ac:dyDescent="0.2">
      <c r="K364" s="32"/>
      <c r="L364" s="1"/>
      <c r="M364" s="85" t="s">
        <v>183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1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65">
        <v>0</v>
      </c>
      <c r="AU364" s="1"/>
      <c r="AV364" s="1"/>
      <c r="AW364" s="11">
        <v>0</v>
      </c>
      <c r="AX364" s="14" t="s">
        <v>31</v>
      </c>
      <c r="AY364" s="142">
        <v>0.31293709979213102</v>
      </c>
      <c r="AZ364" s="1"/>
      <c r="BA364" s="142">
        <f t="shared" si="14"/>
        <v>177.85284205758552</v>
      </c>
      <c r="BB364" s="1"/>
      <c r="BC364" s="1"/>
      <c r="BD364" s="1"/>
      <c r="BE364" s="158" t="s">
        <v>344</v>
      </c>
      <c r="BF364" s="1"/>
      <c r="BG364" s="1"/>
      <c r="BH364" s="1"/>
      <c r="BI364" s="33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33"/>
    </row>
    <row r="365" spans="11:92" x14ac:dyDescent="0.2">
      <c r="K365" s="32"/>
      <c r="L365" s="1"/>
      <c r="M365" s="89" t="s">
        <v>185</v>
      </c>
      <c r="N365" s="15">
        <v>0</v>
      </c>
      <c r="O365" s="1">
        <f>-(BB49/BB48)</f>
        <v>-0.69747638604250561</v>
      </c>
      <c r="P365" s="15">
        <v>1</v>
      </c>
      <c r="Q365" s="15">
        <v>0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  <c r="W365" s="15">
        <v>0</v>
      </c>
      <c r="X365" s="15">
        <v>0</v>
      </c>
      <c r="Y365" s="15">
        <v>0</v>
      </c>
      <c r="Z365" s="15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0</v>
      </c>
      <c r="AO365" s="15">
        <v>0</v>
      </c>
      <c r="AP365" s="15">
        <v>0</v>
      </c>
      <c r="AQ365" s="15">
        <v>0</v>
      </c>
      <c r="AR365" s="15">
        <v>0</v>
      </c>
      <c r="AS365" s="15">
        <v>0</v>
      </c>
      <c r="AT365" s="65">
        <v>0</v>
      </c>
      <c r="AU365" s="1"/>
      <c r="AV365" s="1"/>
      <c r="AW365" s="11">
        <v>0</v>
      </c>
      <c r="AX365" s="14" t="s">
        <v>101</v>
      </c>
      <c r="AY365" s="142">
        <v>0.31293709979213102</v>
      </c>
      <c r="AZ365" s="1"/>
      <c r="BA365" s="142">
        <f t="shared" si="14"/>
        <v>367.32586898181859</v>
      </c>
      <c r="BB365" s="1"/>
      <c r="BC365" s="1"/>
      <c r="BD365" s="1"/>
      <c r="BE365" s="32" t="s">
        <v>345</v>
      </c>
      <c r="BF365" s="1"/>
      <c r="BG365" s="1"/>
      <c r="BH365" s="1">
        <f>BB77*AX131*AZ131</f>
        <v>75243.818519999986</v>
      </c>
      <c r="BI365" s="33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33"/>
    </row>
    <row r="366" spans="11:92" x14ac:dyDescent="0.2">
      <c r="K366" s="32"/>
      <c r="L366" s="1"/>
      <c r="M366" s="89" t="s">
        <v>185</v>
      </c>
      <c r="N366" s="15">
        <v>0</v>
      </c>
      <c r="O366" s="15">
        <v>0</v>
      </c>
      <c r="P366" s="15">
        <v>0</v>
      </c>
      <c r="Q366" s="1">
        <f>-(BB51/BB50)</f>
        <v>-0.77853929979711434</v>
      </c>
      <c r="R366" s="15">
        <v>1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15">
        <v>0</v>
      </c>
      <c r="AR366" s="15">
        <v>0</v>
      </c>
      <c r="AS366" s="15">
        <v>0</v>
      </c>
      <c r="AT366" s="65">
        <v>0</v>
      </c>
      <c r="AU366" s="1"/>
      <c r="AV366" s="1"/>
      <c r="AW366" s="12">
        <v>0</v>
      </c>
      <c r="AX366" s="14" t="s">
        <v>102</v>
      </c>
      <c r="AY366" s="142">
        <v>0.31842024079213099</v>
      </c>
      <c r="AZ366" s="1"/>
      <c r="BA366" s="142">
        <f t="shared" si="14"/>
        <v>373.76198516591018</v>
      </c>
      <c r="BB366" s="1"/>
      <c r="BC366" s="1"/>
      <c r="BD366" s="1"/>
      <c r="BE366" s="32" t="s">
        <v>346</v>
      </c>
      <c r="BF366" s="1"/>
      <c r="BG366" s="1"/>
      <c r="BH366" s="1">
        <f>BB78*AX131*AZ131</f>
        <v>121451.85842399999</v>
      </c>
      <c r="BI366" s="33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33"/>
    </row>
    <row r="367" spans="11:92" x14ac:dyDescent="0.2">
      <c r="K367" s="32"/>
      <c r="L367" s="1"/>
      <c r="M367" s="89" t="s">
        <v>187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">
        <f>-(BB71/BB70)</f>
        <v>-0.93187525566105089</v>
      </c>
      <c r="AL367" s="15">
        <v>1</v>
      </c>
      <c r="AM367" s="15">
        <v>0</v>
      </c>
      <c r="AN367" s="15">
        <v>0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65">
        <v>0</v>
      </c>
      <c r="AU367" s="1"/>
      <c r="AV367" s="1"/>
      <c r="AW367" s="12">
        <v>0</v>
      </c>
      <c r="AX367" s="14" t="s">
        <v>72</v>
      </c>
      <c r="AY367" s="142">
        <v>0.87566852799999995</v>
      </c>
      <c r="AZ367" s="1"/>
      <c r="BA367" s="142">
        <f t="shared" si="14"/>
        <v>101.86399998371419</v>
      </c>
      <c r="BB367" s="1"/>
      <c r="BC367" s="1"/>
      <c r="BD367" s="1"/>
      <c r="BE367" s="40" t="s">
        <v>347</v>
      </c>
      <c r="BF367" s="1"/>
      <c r="BG367" s="1"/>
      <c r="BH367" s="104">
        <f>(BA370*BH365+BA371*BH366)/(BH365+BH366)</f>
        <v>199.27570143489581</v>
      </c>
      <c r="BI367" s="33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33"/>
    </row>
    <row r="368" spans="11:92" x14ac:dyDescent="0.2">
      <c r="K368" s="32"/>
      <c r="L368" s="1"/>
      <c r="M368" s="89" t="s">
        <v>191</v>
      </c>
      <c r="N368" s="15">
        <v>0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">
        <f>-(BB69/BB67)</f>
        <v>-0.30873837634874418</v>
      </c>
      <c r="AI368" s="15">
        <v>0</v>
      </c>
      <c r="AJ368" s="15">
        <v>1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15">
        <v>0</v>
      </c>
      <c r="AR368" s="15">
        <v>0</v>
      </c>
      <c r="AS368" s="15">
        <v>0</v>
      </c>
      <c r="AT368" s="65">
        <v>0</v>
      </c>
      <c r="AU368" s="1"/>
      <c r="AV368" s="1"/>
      <c r="AW368" s="12">
        <v>0</v>
      </c>
      <c r="AX368" s="14" t="s">
        <v>73</v>
      </c>
      <c r="AY368" s="142">
        <v>0.94164425600000001</v>
      </c>
      <c r="AZ368" s="1"/>
      <c r="BA368" s="142">
        <f t="shared" si="14"/>
        <v>101.86399995793128</v>
      </c>
      <c r="BB368" s="1"/>
      <c r="BC368" s="1"/>
      <c r="BD368" s="1"/>
      <c r="BE368" s="32"/>
      <c r="BF368" s="1"/>
      <c r="BG368" s="1"/>
      <c r="BH368" s="1"/>
      <c r="BI368" s="33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33"/>
    </row>
    <row r="369" spans="11:92" ht="15" thickBot="1" x14ac:dyDescent="0.25">
      <c r="K369" s="32"/>
      <c r="L369" s="1"/>
      <c r="M369" s="89" t="s">
        <v>193</v>
      </c>
      <c r="N369" s="15">
        <v>0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0</v>
      </c>
      <c r="U369" s="15">
        <v>0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">
        <f>-(BB68/BB66)</f>
        <v>-0.37714161684793851</v>
      </c>
      <c r="AH369" s="15">
        <v>0</v>
      </c>
      <c r="AI369" s="15">
        <v>1</v>
      </c>
      <c r="AJ369" s="15">
        <v>0</v>
      </c>
      <c r="AK369" s="15">
        <v>0</v>
      </c>
      <c r="AL369" s="15">
        <v>0</v>
      </c>
      <c r="AM369" s="15">
        <v>0</v>
      </c>
      <c r="AN369" s="15">
        <v>0</v>
      </c>
      <c r="AO369" s="15">
        <v>0</v>
      </c>
      <c r="AP369" s="15">
        <v>0</v>
      </c>
      <c r="AQ369" s="15">
        <v>0</v>
      </c>
      <c r="AR369" s="15">
        <v>0</v>
      </c>
      <c r="AS369" s="15">
        <v>0</v>
      </c>
      <c r="AT369" s="65">
        <v>0</v>
      </c>
      <c r="AU369" s="1"/>
      <c r="AV369" s="1"/>
      <c r="AW369" s="12">
        <v>0</v>
      </c>
      <c r="AX369" s="14" t="s">
        <v>32</v>
      </c>
      <c r="AY369" s="142">
        <v>0</v>
      </c>
      <c r="AZ369" s="1"/>
      <c r="BA369" s="142">
        <v>0</v>
      </c>
      <c r="BB369" s="1"/>
      <c r="BC369" s="1"/>
      <c r="BD369" s="1"/>
      <c r="BE369" s="34"/>
      <c r="BF369" s="35"/>
      <c r="BG369" s="35"/>
      <c r="BH369" s="35"/>
      <c r="BI369" s="36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33"/>
    </row>
    <row r="370" spans="11:92" x14ac:dyDescent="0.2">
      <c r="K370" s="32"/>
      <c r="L370" s="1"/>
      <c r="M370" s="89" t="s">
        <v>195</v>
      </c>
      <c r="N370" s="15">
        <v>0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">
        <f>-(BB57/BB56)</f>
        <v>-0.58108148297311613</v>
      </c>
      <c r="X370" s="15">
        <v>1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15">
        <v>0</v>
      </c>
      <c r="AR370" s="15">
        <v>0</v>
      </c>
      <c r="AS370" s="15">
        <v>0</v>
      </c>
      <c r="AT370" s="65">
        <v>0</v>
      </c>
      <c r="AU370" s="1"/>
      <c r="AV370" s="1"/>
      <c r="AW370" s="12">
        <v>0</v>
      </c>
      <c r="AX370" s="153" t="s">
        <v>68</v>
      </c>
      <c r="AY370" s="154">
        <v>0.73933558240869302</v>
      </c>
      <c r="AZ370" s="104"/>
      <c r="BA370" s="154">
        <f t="shared" si="14"/>
        <v>185.92108204059187</v>
      </c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33"/>
    </row>
    <row r="371" spans="11:92" x14ac:dyDescent="0.2">
      <c r="K371" s="32"/>
      <c r="L371" s="1"/>
      <c r="M371" s="89" t="s">
        <v>197</v>
      </c>
      <c r="N371" s="15">
        <v>0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5">
        <v>0</v>
      </c>
      <c r="V371" s="15">
        <v>0</v>
      </c>
      <c r="W371" s="15">
        <v>0</v>
      </c>
      <c r="X371" s="15">
        <v>0</v>
      </c>
      <c r="Y371" s="15">
        <v>0</v>
      </c>
      <c r="Z371" s="15">
        <v>0</v>
      </c>
      <c r="AA371" s="15">
        <f>-(BB61/BB60)</f>
        <v>-1.2</v>
      </c>
      <c r="AB371" s="15">
        <v>1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0</v>
      </c>
      <c r="AO371" s="15">
        <v>0</v>
      </c>
      <c r="AP371" s="15">
        <v>0</v>
      </c>
      <c r="AQ371" s="15">
        <v>0</v>
      </c>
      <c r="AR371" s="15">
        <v>0</v>
      </c>
      <c r="AS371" s="15">
        <v>0</v>
      </c>
      <c r="AT371" s="65">
        <v>0</v>
      </c>
      <c r="AU371" s="1"/>
      <c r="AV371" s="1"/>
      <c r="AW371" s="12">
        <v>0</v>
      </c>
      <c r="AX371" s="153" t="s">
        <v>69</v>
      </c>
      <c r="AY371" s="154">
        <v>1.33219478459131</v>
      </c>
      <c r="AZ371" s="104"/>
      <c r="BA371" s="154">
        <f t="shared" si="14"/>
        <v>207.54937111066675</v>
      </c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33"/>
    </row>
    <row r="372" spans="11:92" ht="15" thickBot="1" x14ac:dyDescent="0.25">
      <c r="K372" s="32"/>
      <c r="L372" s="1"/>
      <c r="M372" s="90" t="s">
        <v>198</v>
      </c>
      <c r="N372" s="138">
        <v>0</v>
      </c>
      <c r="O372" s="138">
        <v>0</v>
      </c>
      <c r="P372" s="138">
        <v>0</v>
      </c>
      <c r="Q372" s="138">
        <v>0</v>
      </c>
      <c r="R372" s="138">
        <v>0</v>
      </c>
      <c r="S372" s="138">
        <v>0</v>
      </c>
      <c r="T372" s="138">
        <v>0</v>
      </c>
      <c r="U372" s="138">
        <v>0</v>
      </c>
      <c r="V372" s="138">
        <v>0</v>
      </c>
      <c r="W372" s="138">
        <v>0</v>
      </c>
      <c r="X372" s="138">
        <v>0</v>
      </c>
      <c r="Y372" s="138">
        <v>0</v>
      </c>
      <c r="Z372" s="138">
        <v>0</v>
      </c>
      <c r="AA372" s="138">
        <v>0</v>
      </c>
      <c r="AB372" s="138">
        <v>0</v>
      </c>
      <c r="AC372" s="138">
        <v>0</v>
      </c>
      <c r="AD372" s="138">
        <v>0</v>
      </c>
      <c r="AE372" s="138">
        <v>0</v>
      </c>
      <c r="AF372" s="138">
        <v>0</v>
      </c>
      <c r="AG372" s="35">
        <f>-(BB67/BB66)</f>
        <v>-1</v>
      </c>
      <c r="AH372" s="138">
        <v>1</v>
      </c>
      <c r="AI372" s="138">
        <v>0</v>
      </c>
      <c r="AJ372" s="138">
        <v>0</v>
      </c>
      <c r="AK372" s="138">
        <v>0</v>
      </c>
      <c r="AL372" s="138">
        <v>0</v>
      </c>
      <c r="AM372" s="138">
        <v>0</v>
      </c>
      <c r="AN372" s="138">
        <v>0</v>
      </c>
      <c r="AO372" s="138">
        <v>0</v>
      </c>
      <c r="AP372" s="138">
        <v>0</v>
      </c>
      <c r="AQ372" s="138">
        <v>0</v>
      </c>
      <c r="AR372" s="138">
        <v>0</v>
      </c>
      <c r="AS372" s="138">
        <v>0</v>
      </c>
      <c r="AT372" s="66">
        <v>0</v>
      </c>
      <c r="AU372" s="1"/>
      <c r="AV372" s="1"/>
      <c r="AW372" s="13">
        <v>0</v>
      </c>
      <c r="AX372" s="14" t="s">
        <v>70</v>
      </c>
      <c r="AY372" s="143">
        <v>0</v>
      </c>
      <c r="AZ372" s="1"/>
      <c r="BA372" s="143">
        <v>0</v>
      </c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33"/>
    </row>
    <row r="373" spans="11:92" x14ac:dyDescent="0.2">
      <c r="K373" s="3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33"/>
    </row>
    <row r="374" spans="11:92" x14ac:dyDescent="0.2">
      <c r="K374" s="3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33"/>
    </row>
    <row r="375" spans="11:92" x14ac:dyDescent="0.2">
      <c r="K375" s="3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33"/>
    </row>
    <row r="376" spans="11:92" ht="15" thickBot="1" x14ac:dyDescent="0.25">
      <c r="K376" s="3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33"/>
    </row>
    <row r="377" spans="11:92" ht="18.75" thickBot="1" x14ac:dyDescent="0.3">
      <c r="K377" s="32"/>
      <c r="L377" s="1"/>
      <c r="M377" s="134" t="s">
        <v>309</v>
      </c>
      <c r="N377" s="30"/>
      <c r="O377" s="1"/>
      <c r="P377" s="38" t="s">
        <v>170</v>
      </c>
      <c r="Q377" s="3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33"/>
    </row>
    <row r="378" spans="11:92" x14ac:dyDescent="0.2">
      <c r="K378" s="32"/>
      <c r="L378" s="1"/>
      <c r="M378" s="31"/>
      <c r="N378" s="30" t="s">
        <v>310</v>
      </c>
      <c r="O378" s="1"/>
      <c r="P378" s="31" t="s">
        <v>171</v>
      </c>
      <c r="Q378" s="30" t="s">
        <v>312</v>
      </c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33"/>
    </row>
    <row r="379" spans="11:92" x14ac:dyDescent="0.2">
      <c r="K379" s="32"/>
      <c r="L379" s="1"/>
      <c r="M379" s="32" t="s">
        <v>317</v>
      </c>
      <c r="N379" s="135">
        <v>8.5599999999999996E-2</v>
      </c>
      <c r="O379" s="1"/>
      <c r="P379" s="32" t="s">
        <v>175</v>
      </c>
      <c r="Q379" s="33" t="s">
        <v>313</v>
      </c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33"/>
    </row>
    <row r="380" spans="11:92" ht="15" thickBot="1" x14ac:dyDescent="0.25">
      <c r="K380" s="32"/>
      <c r="L380" s="1"/>
      <c r="M380" s="34" t="s">
        <v>311</v>
      </c>
      <c r="N380" s="48">
        <f>N379*N381*1000</f>
        <v>101.86399999999999</v>
      </c>
      <c r="O380" s="1"/>
      <c r="P380" s="32" t="s">
        <v>177</v>
      </c>
      <c r="Q380" s="33" t="s">
        <v>318</v>
      </c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33"/>
    </row>
    <row r="381" spans="11:92" x14ac:dyDescent="0.2">
      <c r="K381" s="32"/>
      <c r="L381" s="1"/>
      <c r="M381" s="31" t="s">
        <v>314</v>
      </c>
      <c r="N381" s="29">
        <v>1.19</v>
      </c>
      <c r="O381" s="29" t="s">
        <v>231</v>
      </c>
      <c r="P381" s="32" t="s">
        <v>179</v>
      </c>
      <c r="Q381" s="33" t="s">
        <v>319</v>
      </c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33"/>
    </row>
    <row r="382" spans="11:92" ht="15" thickBot="1" x14ac:dyDescent="0.25">
      <c r="K382" s="32"/>
      <c r="L382" s="1"/>
      <c r="M382" s="34" t="s">
        <v>315</v>
      </c>
      <c r="N382" s="35">
        <v>0.28000000000000003</v>
      </c>
      <c r="O382" s="35" t="s">
        <v>316</v>
      </c>
      <c r="P382" s="32" t="s">
        <v>181</v>
      </c>
      <c r="Q382" s="33" t="s">
        <v>320</v>
      </c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33"/>
    </row>
    <row r="383" spans="11:92" x14ac:dyDescent="0.2">
      <c r="K383" s="32"/>
      <c r="L383" s="1"/>
      <c r="M383" s="1"/>
      <c r="N383" s="1"/>
      <c r="O383" s="1"/>
      <c r="P383" s="32" t="s">
        <v>183</v>
      </c>
      <c r="Q383" s="33" t="s">
        <v>321</v>
      </c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33"/>
    </row>
    <row r="384" spans="11:92" x14ac:dyDescent="0.2">
      <c r="K384" s="32"/>
      <c r="L384" s="1"/>
      <c r="M384" s="1"/>
      <c r="N384" s="1"/>
      <c r="O384" s="1"/>
      <c r="P384" s="32" t="s">
        <v>185</v>
      </c>
      <c r="Q384" s="33" t="s">
        <v>322</v>
      </c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33"/>
    </row>
    <row r="385" spans="11:92" x14ac:dyDescent="0.2">
      <c r="K385" s="32"/>
      <c r="L385" s="1"/>
      <c r="M385" s="1"/>
      <c r="N385" s="1"/>
      <c r="O385" s="1"/>
      <c r="P385" s="32" t="s">
        <v>186</v>
      </c>
      <c r="Q385" s="33" t="s">
        <v>323</v>
      </c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33"/>
    </row>
    <row r="386" spans="11:92" x14ac:dyDescent="0.2">
      <c r="K386" s="32"/>
      <c r="L386" s="1"/>
      <c r="M386" s="1"/>
      <c r="N386" s="1"/>
      <c r="O386" s="1"/>
      <c r="P386" s="32" t="s">
        <v>187</v>
      </c>
      <c r="Q386" s="33" t="s">
        <v>324</v>
      </c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33"/>
    </row>
    <row r="387" spans="11:92" x14ac:dyDescent="0.2">
      <c r="K387" s="32"/>
      <c r="L387" s="1"/>
      <c r="M387" s="1"/>
      <c r="N387" s="1"/>
      <c r="O387" s="1"/>
      <c r="P387" s="32" t="s">
        <v>191</v>
      </c>
      <c r="Q387" s="33" t="s">
        <v>325</v>
      </c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33"/>
    </row>
    <row r="388" spans="11:92" x14ac:dyDescent="0.2">
      <c r="K388" s="32"/>
      <c r="L388" s="1"/>
      <c r="M388" s="1"/>
      <c r="N388" s="1"/>
      <c r="O388" s="1"/>
      <c r="P388" s="32" t="s">
        <v>193</v>
      </c>
      <c r="Q388" s="33" t="s">
        <v>326</v>
      </c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33"/>
    </row>
    <row r="389" spans="11:92" x14ac:dyDescent="0.2">
      <c r="K389" s="32"/>
      <c r="L389" s="1"/>
      <c r="M389" s="1"/>
      <c r="N389" s="1"/>
      <c r="O389" s="1"/>
      <c r="P389" s="32" t="s">
        <v>195</v>
      </c>
      <c r="Q389" s="33" t="s">
        <v>327</v>
      </c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33"/>
    </row>
    <row r="390" spans="11:92" x14ac:dyDescent="0.2">
      <c r="K390" s="32"/>
      <c r="L390" s="1"/>
      <c r="M390" s="1"/>
      <c r="N390" s="1"/>
      <c r="O390" s="1"/>
      <c r="P390" s="32" t="s">
        <v>197</v>
      </c>
      <c r="Q390" s="33" t="s">
        <v>329</v>
      </c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33"/>
    </row>
    <row r="391" spans="11:92" ht="15" thickBot="1" x14ac:dyDescent="0.25">
      <c r="K391" s="32"/>
      <c r="L391" s="1"/>
      <c r="M391" s="1"/>
      <c r="N391" s="1"/>
      <c r="O391" s="1"/>
      <c r="P391" s="34" t="s">
        <v>198</v>
      </c>
      <c r="Q391" s="36" t="s">
        <v>330</v>
      </c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33"/>
    </row>
    <row r="392" spans="11:92" ht="15" thickBot="1" x14ac:dyDescent="0.25"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  <c r="CN392" s="36"/>
    </row>
    <row r="395" spans="11:92" ht="15" thickBot="1" x14ac:dyDescent="0.25"/>
    <row r="396" spans="11:92" ht="18.75" thickBot="1" x14ac:dyDescent="0.3">
      <c r="K396" s="144" t="s">
        <v>335</v>
      </c>
    </row>
    <row r="397" spans="11:92" ht="15" thickBot="1" x14ac:dyDescent="0.25">
      <c r="K397" s="31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30"/>
    </row>
    <row r="398" spans="11:92" ht="15" thickBot="1" x14ac:dyDescent="0.25">
      <c r="K398" s="149" t="s">
        <v>1</v>
      </c>
      <c r="L398" s="150" t="s">
        <v>336</v>
      </c>
      <c r="M398" s="149"/>
      <c r="N398" s="150" t="s">
        <v>337</v>
      </c>
      <c r="O398" s="151"/>
      <c r="P398" s="150" t="s">
        <v>338</v>
      </c>
      <c r="Q398" s="151"/>
      <c r="R398" s="152" t="s">
        <v>339</v>
      </c>
      <c r="S398" s="151"/>
      <c r="T398" s="150" t="s">
        <v>340</v>
      </c>
      <c r="U398" s="151"/>
      <c r="V398" s="150" t="s">
        <v>341</v>
      </c>
      <c r="W398" s="151"/>
      <c r="X398" s="150" t="s">
        <v>342</v>
      </c>
      <c r="Y398" s="151"/>
      <c r="Z398" s="133" t="s">
        <v>1</v>
      </c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33"/>
    </row>
    <row r="399" spans="11:92" x14ac:dyDescent="0.2">
      <c r="K399" s="6" t="s">
        <v>2</v>
      </c>
      <c r="L399" s="31"/>
      <c r="M399" s="30">
        <f>BA367</f>
        <v>101.86399998371419</v>
      </c>
      <c r="N399" s="31"/>
      <c r="O399" s="30">
        <f>(BA340*BB47-BB48*BA341)/(BB47-BB48)</f>
        <v>116.32686087960512</v>
      </c>
      <c r="P399" s="31"/>
      <c r="Q399" s="30">
        <f>BA131</f>
        <v>5.1977419136877846E-2</v>
      </c>
      <c r="R399" s="31"/>
      <c r="S399" s="30">
        <f>BI47</f>
        <v>2.239091621</v>
      </c>
      <c r="T399" s="31"/>
      <c r="U399" s="30">
        <f>(M399*S399)/3600</f>
        <v>6.3356341345855161E-2</v>
      </c>
      <c r="V399" s="31"/>
      <c r="W399" s="30">
        <f>(O399-M399)/M399</f>
        <v>0.14198206332171542</v>
      </c>
      <c r="X399" s="31"/>
      <c r="Y399" s="30">
        <f>Q399/(Q399+M399*S399)</f>
        <v>2.2783642701447294E-4</v>
      </c>
      <c r="Z399" s="10" t="s">
        <v>2</v>
      </c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33"/>
    </row>
    <row r="400" spans="11:92" x14ac:dyDescent="0.2">
      <c r="K400" s="7" t="s">
        <v>3</v>
      </c>
      <c r="L400" s="32"/>
      <c r="M400" s="33">
        <f>BA341</f>
        <v>114.40989247919717</v>
      </c>
      <c r="N400" s="32"/>
      <c r="O400" s="33">
        <f>(BA353*BB60-BA355*BB62)/(BB60-BB62)</f>
        <v>134.82862202252454</v>
      </c>
      <c r="P400" s="32"/>
      <c r="Q400" s="33">
        <f t="shared" ref="Q400:Q417" si="15">BA132</f>
        <v>5.2560934833519703E-3</v>
      </c>
      <c r="R400" s="32"/>
      <c r="S400" s="33">
        <f t="shared" ref="S400:S417" si="16">BI48</f>
        <v>1.19695391</v>
      </c>
      <c r="T400" s="32"/>
      <c r="U400" s="33">
        <f t="shared" ref="U400:U417" si="17">(M400*S400)/3600</f>
        <v>3.8039824484904061E-2</v>
      </c>
      <c r="V400" s="32"/>
      <c r="W400" s="33">
        <f t="shared" ref="W400:W417" si="18">(O400-M400)/M400</f>
        <v>0.17846996532262324</v>
      </c>
      <c r="X400" s="32"/>
      <c r="Y400" s="33">
        <f t="shared" ref="Y400:Y416" si="19">Q400/(Q400+M400*S400)</f>
        <v>3.8380038591507467E-5</v>
      </c>
      <c r="Z400" s="11" t="s">
        <v>3</v>
      </c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33"/>
    </row>
    <row r="401" spans="11:92" x14ac:dyDescent="0.2">
      <c r="K401" s="7" t="s">
        <v>4</v>
      </c>
      <c r="L401" s="32"/>
      <c r="M401" s="33">
        <f>BA368</f>
        <v>101.86399995793128</v>
      </c>
      <c r="N401" s="32"/>
      <c r="O401" s="33">
        <f>((BB49*BA342-BB50*BA343)/(BB49-BB50))</f>
        <v>115.72995665823942</v>
      </c>
      <c r="P401" s="32"/>
      <c r="Q401" s="33">
        <f t="shared" si="15"/>
        <v>5.4292893004962005E-2</v>
      </c>
      <c r="R401" s="32"/>
      <c r="S401" s="33">
        <f t="shared" si="16"/>
        <v>2.2983593299999998</v>
      </c>
      <c r="T401" s="32"/>
      <c r="U401" s="33">
        <f t="shared" si="17"/>
        <v>6.5033354081786385E-2</v>
      </c>
      <c r="V401" s="32"/>
      <c r="W401" s="33">
        <f t="shared" si="18"/>
        <v>0.13612224835108203</v>
      </c>
      <c r="X401" s="32"/>
      <c r="Y401" s="33">
        <f t="shared" si="19"/>
        <v>2.3184814616693751E-4</v>
      </c>
      <c r="Z401" s="11" t="s">
        <v>4</v>
      </c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33"/>
    </row>
    <row r="402" spans="11:92" x14ac:dyDescent="0.2">
      <c r="K402" s="7" t="s">
        <v>5</v>
      </c>
      <c r="L402" s="32"/>
      <c r="M402" s="33">
        <f>BA344</f>
        <v>115.20648132328</v>
      </c>
      <c r="N402" s="32"/>
      <c r="O402" s="33">
        <f>(BA354*BB61-BA356*BB63)/(BB61-BB63)</f>
        <v>144.66955470066711</v>
      </c>
      <c r="P402" s="32"/>
      <c r="Q402" s="33">
        <f t="shared" si="15"/>
        <v>5.5791787937600089E-3</v>
      </c>
      <c r="R402" s="32"/>
      <c r="S402" s="33">
        <f t="shared" si="16"/>
        <v>2.1766781740000001</v>
      </c>
      <c r="T402" s="32"/>
      <c r="U402" s="33">
        <f t="shared" si="17"/>
        <v>6.9657620388811722E-2</v>
      </c>
      <c r="V402" s="32"/>
      <c r="W402" s="33">
        <f t="shared" si="18"/>
        <v>0.25574145689521588</v>
      </c>
      <c r="X402" s="32"/>
      <c r="Y402" s="33">
        <f t="shared" si="19"/>
        <v>2.2247923476267972E-5</v>
      </c>
      <c r="Z402" s="11" t="s">
        <v>5</v>
      </c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33"/>
    </row>
    <row r="403" spans="11:92" x14ac:dyDescent="0.2">
      <c r="K403" s="7" t="s">
        <v>107</v>
      </c>
      <c r="L403" s="32"/>
      <c r="M403" s="33">
        <f>BA344</f>
        <v>115.20648132328</v>
      </c>
      <c r="N403" s="32"/>
      <c r="O403" s="33">
        <f>BA345</f>
        <v>115.35630424626544</v>
      </c>
      <c r="P403" s="32"/>
      <c r="Q403" s="33">
        <f t="shared" si="15"/>
        <v>5.8576189805460178E-4</v>
      </c>
      <c r="R403" s="32"/>
      <c r="S403" s="33">
        <f t="shared" si="16"/>
        <v>3.3631639999995903E-2</v>
      </c>
      <c r="T403" s="32"/>
      <c r="U403" s="33">
        <f t="shared" si="17"/>
        <v>1.0762730293141125E-3</v>
      </c>
      <c r="V403" s="32"/>
      <c r="W403" s="33">
        <f t="shared" si="18"/>
        <v>1.3004730399240217E-3</v>
      </c>
      <c r="X403" s="32"/>
      <c r="Y403" s="33">
        <f t="shared" si="19"/>
        <v>1.5115778133168323E-4</v>
      </c>
      <c r="Z403" s="11" t="s">
        <v>107</v>
      </c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33"/>
    </row>
    <row r="404" spans="11:92" x14ac:dyDescent="0.2">
      <c r="K404" s="7" t="s">
        <v>7</v>
      </c>
      <c r="L404" s="32"/>
      <c r="M404" s="33">
        <f>BA345</f>
        <v>115.35630424626544</v>
      </c>
      <c r="N404" s="32"/>
      <c r="O404" s="33">
        <f>BA346</f>
        <v>118.72154491712344</v>
      </c>
      <c r="P404" s="32"/>
      <c r="Q404" s="33">
        <f t="shared" si="15"/>
        <v>3.7331726369269347E-2</v>
      </c>
      <c r="R404" s="32"/>
      <c r="S404" s="33">
        <f t="shared" si="16"/>
        <v>0</v>
      </c>
      <c r="T404" s="32"/>
      <c r="U404" s="33">
        <f t="shared" si="17"/>
        <v>0</v>
      </c>
      <c r="V404" s="32"/>
      <c r="W404" s="33">
        <f t="shared" si="18"/>
        <v>2.9172577024258708E-2</v>
      </c>
      <c r="X404" s="32"/>
      <c r="Y404" s="33">
        <f t="shared" si="19"/>
        <v>1</v>
      </c>
      <c r="Z404" s="11" t="s">
        <v>7</v>
      </c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33"/>
    </row>
    <row r="405" spans="11:92" x14ac:dyDescent="0.2">
      <c r="K405" s="7" t="s">
        <v>8</v>
      </c>
      <c r="L405" s="32"/>
      <c r="M405" s="33">
        <f>BA346</f>
        <v>118.72154491712344</v>
      </c>
      <c r="N405" s="32"/>
      <c r="O405" s="33">
        <f>BA347</f>
        <v>135.69136613029261</v>
      </c>
      <c r="P405" s="32"/>
      <c r="Q405" s="33">
        <f t="shared" si="15"/>
        <v>2.3723431997997825E-3</v>
      </c>
      <c r="R405" s="32"/>
      <c r="S405" s="33">
        <f t="shared" si="16"/>
        <v>4.9315308199999999</v>
      </c>
      <c r="T405" s="32"/>
      <c r="U405" s="33">
        <f t="shared" si="17"/>
        <v>0.1626330438213357</v>
      </c>
      <c r="V405" s="32"/>
      <c r="W405" s="33">
        <f t="shared" si="18"/>
        <v>0.14293800864043152</v>
      </c>
      <c r="X405" s="32"/>
      <c r="Y405" s="33">
        <f t="shared" si="19"/>
        <v>4.051953628298537E-6</v>
      </c>
      <c r="Z405" s="11" t="s">
        <v>8</v>
      </c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33"/>
    </row>
    <row r="406" spans="11:92" x14ac:dyDescent="0.2">
      <c r="K406" s="7" t="s">
        <v>9</v>
      </c>
      <c r="L406" s="32"/>
      <c r="M406" s="33">
        <f>BA363</f>
        <v>177.85284199289546</v>
      </c>
      <c r="N406" s="32"/>
      <c r="O406" s="33">
        <f>(BA347*BB54-BA348*BB55)/(BB54-BB55)</f>
        <v>848.50522220349046</v>
      </c>
      <c r="P406" s="32"/>
      <c r="Q406" s="33">
        <f t="shared" si="15"/>
        <v>5.4212030047554494E-4</v>
      </c>
      <c r="R406" s="32"/>
      <c r="S406" s="33">
        <f t="shared" si="16"/>
        <v>0.363706421000004</v>
      </c>
      <c r="T406" s="32"/>
      <c r="U406" s="33">
        <f t="shared" si="17"/>
        <v>1.7968394618309784E-2</v>
      </c>
      <c r="V406" s="32"/>
      <c r="W406" s="33">
        <f t="shared" si="18"/>
        <v>3.7708274587896939</v>
      </c>
      <c r="X406" s="32"/>
      <c r="Y406" s="33">
        <f t="shared" si="19"/>
        <v>8.3806991950182263E-6</v>
      </c>
      <c r="Z406" s="11" t="s">
        <v>9</v>
      </c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33"/>
    </row>
    <row r="407" spans="11:92" x14ac:dyDescent="0.2">
      <c r="K407" s="7" t="s">
        <v>10</v>
      </c>
      <c r="L407" s="32"/>
      <c r="M407" s="33">
        <f>BA362</f>
        <v>177.20492332837972</v>
      </c>
      <c r="N407" s="32"/>
      <c r="O407" s="33">
        <f>(BA348*BB55-BA349*BB56)/(BB55-BB56)</f>
        <v>244.41975652534589</v>
      </c>
      <c r="P407" s="32"/>
      <c r="Q407" s="33">
        <f t="shared" si="15"/>
        <v>2.9690611417565139E-3</v>
      </c>
      <c r="R407" s="32"/>
      <c r="S407" s="33">
        <f t="shared" si="16"/>
        <v>1.84708476499999</v>
      </c>
      <c r="T407" s="32"/>
      <c r="U407" s="33">
        <f t="shared" si="17"/>
        <v>9.0920142823011529E-2</v>
      </c>
      <c r="V407" s="32"/>
      <c r="W407" s="33">
        <f t="shared" si="18"/>
        <v>0.37930567579327285</v>
      </c>
      <c r="X407" s="32"/>
      <c r="Y407" s="33">
        <f t="shared" si="19"/>
        <v>9.0709462091800081E-6</v>
      </c>
      <c r="Z407" s="11" t="s">
        <v>10</v>
      </c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33"/>
    </row>
    <row r="408" spans="11:92" x14ac:dyDescent="0.2">
      <c r="K408" s="7" t="s">
        <v>11</v>
      </c>
      <c r="L408" s="32"/>
      <c r="M408" s="33">
        <f>BA350</f>
        <v>151.08005006526716</v>
      </c>
      <c r="N408" s="32"/>
      <c r="O408" s="33">
        <f>BA370</f>
        <v>185.92108204059187</v>
      </c>
      <c r="P408" s="32"/>
      <c r="Q408" s="33">
        <f t="shared" si="15"/>
        <v>3.3781551782518834E-2</v>
      </c>
      <c r="R408" s="32"/>
      <c r="S408" s="33">
        <f t="shared" si="16"/>
        <v>2.4964479700000002</v>
      </c>
      <c r="T408" s="32"/>
      <c r="U408" s="33">
        <f t="shared" si="17"/>
        <v>0.10476763452581517</v>
      </c>
      <c r="V408" s="32"/>
      <c r="W408" s="33">
        <f t="shared" si="18"/>
        <v>0.2306130555309801</v>
      </c>
      <c r="X408" s="32"/>
      <c r="Y408" s="33">
        <f t="shared" si="19"/>
        <v>8.9559376065111439E-5</v>
      </c>
      <c r="Z408" s="11" t="s">
        <v>11</v>
      </c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33"/>
    </row>
    <row r="409" spans="11:92" x14ac:dyDescent="0.2">
      <c r="K409" s="7" t="s">
        <v>12</v>
      </c>
      <c r="L409" s="32"/>
      <c r="M409" s="33">
        <f>BA359</f>
        <v>177.20492352854583</v>
      </c>
      <c r="N409" s="32"/>
      <c r="O409" s="33">
        <f>(BA350*BB57-BA351*BB58)/(BB57-BB58)</f>
        <v>213.2793383674217</v>
      </c>
      <c r="P409" s="32"/>
      <c r="Q409" s="33">
        <f t="shared" si="15"/>
        <v>3.5396170510274892E-3</v>
      </c>
      <c r="R409" s="32"/>
      <c r="S409" s="33">
        <f t="shared" si="16"/>
        <v>0.98814862699999795</v>
      </c>
      <c r="T409" s="32"/>
      <c r="U409" s="33">
        <f t="shared" si="17"/>
        <v>4.8640222745103386E-2</v>
      </c>
      <c r="V409" s="32"/>
      <c r="W409" s="33">
        <f t="shared" si="18"/>
        <v>0.20357456283128986</v>
      </c>
      <c r="X409" s="32"/>
      <c r="Y409" s="33">
        <f t="shared" si="19"/>
        <v>2.0213868858092909E-5</v>
      </c>
      <c r="Z409" s="11" t="s">
        <v>12</v>
      </c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33"/>
    </row>
    <row r="410" spans="11:92" x14ac:dyDescent="0.2">
      <c r="K410" s="7" t="s">
        <v>13</v>
      </c>
      <c r="L410" s="32"/>
      <c r="M410" s="33">
        <f>BA351</f>
        <v>162.43350797703729</v>
      </c>
      <c r="N410" s="32"/>
      <c r="O410" s="33">
        <f>BA371</f>
        <v>207.54937111066675</v>
      </c>
      <c r="P410" s="32"/>
      <c r="Q410" s="33">
        <f t="shared" si="15"/>
        <v>4.5023535763298983E-2</v>
      </c>
      <c r="R410" s="32"/>
      <c r="S410" s="33">
        <f t="shared" si="16"/>
        <v>4.9389934440000003</v>
      </c>
      <c r="T410" s="32"/>
      <c r="U410" s="33">
        <f t="shared" si="17"/>
        <v>0.22284945305125251</v>
      </c>
      <c r="V410" s="32"/>
      <c r="W410" s="33">
        <f t="shared" si="18"/>
        <v>0.27774973092379035</v>
      </c>
      <c r="X410" s="32"/>
      <c r="Y410" s="33">
        <f t="shared" si="19"/>
        <v>5.6117866571279949E-5</v>
      </c>
      <c r="Z410" s="11" t="s">
        <v>13</v>
      </c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33"/>
    </row>
    <row r="411" spans="11:92" x14ac:dyDescent="0.2">
      <c r="K411" s="7" t="s">
        <v>14</v>
      </c>
      <c r="L411" s="32"/>
      <c r="M411" s="33">
        <f>(BA355*BB62+BA356*BB63)/(BB62+BB63)</f>
        <v>176.21259915721646</v>
      </c>
      <c r="N411" s="32"/>
      <c r="O411" s="33">
        <f>BA357</f>
        <v>176.21266677348953</v>
      </c>
      <c r="P411" s="32"/>
      <c r="Q411" s="33">
        <f t="shared" si="15"/>
        <v>0</v>
      </c>
      <c r="R411" s="32"/>
      <c r="S411" s="33">
        <f t="shared" si="16"/>
        <v>0</v>
      </c>
      <c r="T411" s="32"/>
      <c r="U411" s="33">
        <f t="shared" si="17"/>
        <v>0</v>
      </c>
      <c r="V411" s="32"/>
      <c r="W411" s="33">
        <f t="shared" si="18"/>
        <v>3.8371985541711068E-7</v>
      </c>
      <c r="X411" s="32"/>
      <c r="Y411" s="33">
        <v>0</v>
      </c>
      <c r="Z411" s="11" t="s">
        <v>14</v>
      </c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33"/>
    </row>
    <row r="412" spans="11:92" x14ac:dyDescent="0.2">
      <c r="K412" s="7" t="s">
        <v>132</v>
      </c>
      <c r="L412" s="32"/>
      <c r="M412" s="33">
        <f>BA357</f>
        <v>176.21266677348953</v>
      </c>
      <c r="N412" s="32"/>
      <c r="O412" s="33">
        <f>BA358</f>
        <v>177.204923528546</v>
      </c>
      <c r="P412" s="32"/>
      <c r="Q412" s="33">
        <f t="shared" si="15"/>
        <v>5.483140723225032E-3</v>
      </c>
      <c r="R412" s="32"/>
      <c r="S412" s="33">
        <f t="shared" si="16"/>
        <v>0</v>
      </c>
      <c r="T412" s="32"/>
      <c r="U412" s="33">
        <f t="shared" si="17"/>
        <v>0</v>
      </c>
      <c r="V412" s="32"/>
      <c r="W412" s="33">
        <f t="shared" si="18"/>
        <v>5.6310183213557413E-3</v>
      </c>
      <c r="X412" s="32"/>
      <c r="Y412" s="33">
        <f t="shared" si="19"/>
        <v>1</v>
      </c>
      <c r="Z412" s="11" t="s">
        <v>132</v>
      </c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33"/>
    </row>
    <row r="413" spans="11:92" x14ac:dyDescent="0.2">
      <c r="K413" s="7" t="s">
        <v>15</v>
      </c>
      <c r="L413" s="32"/>
      <c r="M413" s="33">
        <f>BA358</f>
        <v>177.204923528546</v>
      </c>
      <c r="N413" s="32"/>
      <c r="O413" s="33">
        <f>BA359</f>
        <v>177.20492352854583</v>
      </c>
      <c r="P413" s="32"/>
      <c r="Q413" s="33">
        <f t="shared" si="15"/>
        <v>0</v>
      </c>
      <c r="R413" s="32"/>
      <c r="S413" s="33">
        <f t="shared" si="16"/>
        <v>0</v>
      </c>
      <c r="T413" s="32"/>
      <c r="U413" s="33">
        <f t="shared" si="17"/>
        <v>0</v>
      </c>
      <c r="V413" s="32"/>
      <c r="W413" s="33">
        <f t="shared" si="18"/>
        <v>-9.6233362587667191E-16</v>
      </c>
      <c r="X413" s="32"/>
      <c r="Y413" s="33">
        <v>0</v>
      </c>
      <c r="Z413" s="11" t="s">
        <v>15</v>
      </c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33"/>
    </row>
    <row r="414" spans="11:92" x14ac:dyDescent="0.2">
      <c r="K414" s="7" t="s">
        <v>16</v>
      </c>
      <c r="L414" s="32"/>
      <c r="M414" s="33">
        <f>(BA361*BB68+BA362*BB69)/(BB68+BB69)</f>
        <v>177.20492347773083</v>
      </c>
      <c r="N414" s="32"/>
      <c r="O414" s="33">
        <f>BA363</f>
        <v>177.85284199289546</v>
      </c>
      <c r="P414" s="32"/>
      <c r="Q414" s="33">
        <f t="shared" si="15"/>
        <v>0</v>
      </c>
      <c r="R414" s="32"/>
      <c r="S414" s="33">
        <f t="shared" si="16"/>
        <v>0</v>
      </c>
      <c r="T414" s="32"/>
      <c r="U414" s="33">
        <f t="shared" si="17"/>
        <v>0</v>
      </c>
      <c r="V414" s="32"/>
      <c r="W414" s="33">
        <f t="shared" si="18"/>
        <v>3.6563234386998095E-3</v>
      </c>
      <c r="X414" s="32"/>
      <c r="Y414" s="33">
        <v>0</v>
      </c>
      <c r="Z414" s="11" t="s">
        <v>16</v>
      </c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33"/>
    </row>
    <row r="415" spans="11:92" x14ac:dyDescent="0.2">
      <c r="K415" s="7" t="s">
        <v>67</v>
      </c>
      <c r="L415" s="32"/>
      <c r="M415" s="33">
        <f>BA364</f>
        <v>177.85284205758552</v>
      </c>
      <c r="N415" s="32"/>
      <c r="O415" s="33">
        <f>BA365</f>
        <v>367.32586898181859</v>
      </c>
      <c r="P415" s="32"/>
      <c r="Q415" s="33">
        <f t="shared" si="15"/>
        <v>0</v>
      </c>
      <c r="R415" s="32"/>
      <c r="S415" s="33">
        <f t="shared" si="16"/>
        <v>3.2673422080000001</v>
      </c>
      <c r="T415" s="32"/>
      <c r="U415" s="33">
        <f t="shared" si="17"/>
        <v>0.16141836046319633</v>
      </c>
      <c r="V415" s="32"/>
      <c r="W415" s="33">
        <f t="shared" si="18"/>
        <v>1.0653359526460935</v>
      </c>
      <c r="X415" s="32"/>
      <c r="Y415" s="33">
        <f t="shared" si="19"/>
        <v>0</v>
      </c>
      <c r="Z415" s="11" t="s">
        <v>67</v>
      </c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33"/>
    </row>
    <row r="416" spans="11:92" x14ac:dyDescent="0.2">
      <c r="K416" s="7" t="s">
        <v>131</v>
      </c>
      <c r="L416" s="32"/>
      <c r="M416" s="33">
        <f>BA365</f>
        <v>367.32586898181859</v>
      </c>
      <c r="N416" s="32"/>
      <c r="O416" s="33">
        <f>BA366</f>
        <v>373.76198516591018</v>
      </c>
      <c r="P416" s="32"/>
      <c r="Q416" s="33">
        <f t="shared" si="15"/>
        <v>5.483140723225032E-3</v>
      </c>
      <c r="R416" s="32"/>
      <c r="S416" s="33">
        <f t="shared" si="16"/>
        <v>0</v>
      </c>
      <c r="T416" s="32"/>
      <c r="U416" s="33">
        <f t="shared" si="17"/>
        <v>0</v>
      </c>
      <c r="V416" s="32"/>
      <c r="W416" s="33">
        <f t="shared" si="18"/>
        <v>1.7521543478360775E-2</v>
      </c>
      <c r="X416" s="32"/>
      <c r="Y416" s="33">
        <f t="shared" si="19"/>
        <v>1</v>
      </c>
      <c r="Z416" s="11" t="s">
        <v>131</v>
      </c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33"/>
    </row>
    <row r="417" spans="11:92" ht="15" thickBot="1" x14ac:dyDescent="0.25">
      <c r="K417" s="39" t="s">
        <v>17</v>
      </c>
      <c r="L417" s="34"/>
      <c r="M417" s="36">
        <f>BA366</f>
        <v>373.76198516591018</v>
      </c>
      <c r="N417" s="34"/>
      <c r="O417" s="36">
        <f>BA353</f>
        <v>373.76198516590949</v>
      </c>
      <c r="P417" s="34"/>
      <c r="Q417" s="36">
        <f t="shared" si="15"/>
        <v>0</v>
      </c>
      <c r="R417" s="34"/>
      <c r="S417" s="36">
        <f t="shared" si="16"/>
        <v>0</v>
      </c>
      <c r="T417" s="34"/>
      <c r="U417" s="36">
        <f t="shared" si="17"/>
        <v>0</v>
      </c>
      <c r="V417" s="34"/>
      <c r="W417" s="36">
        <f t="shared" si="18"/>
        <v>-1.8250144567990447E-15</v>
      </c>
      <c r="X417" s="34"/>
      <c r="Y417" s="36">
        <v>0</v>
      </c>
      <c r="Z417" s="159" t="s">
        <v>17</v>
      </c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33"/>
    </row>
    <row r="418" spans="11:92" ht="15" thickBot="1" x14ac:dyDescent="0.25">
      <c r="K418" s="3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33"/>
    </row>
    <row r="419" spans="11:92" ht="15" thickBot="1" x14ac:dyDescent="0.25">
      <c r="K419" s="149" t="s">
        <v>1</v>
      </c>
      <c r="L419" s="4" t="s">
        <v>343</v>
      </c>
      <c r="M419" s="37" t="s">
        <v>349</v>
      </c>
      <c r="N419" s="1"/>
      <c r="O419" s="4" t="s">
        <v>1</v>
      </c>
      <c r="P419" s="4" t="s">
        <v>343</v>
      </c>
      <c r="Q419" s="37" t="s">
        <v>349</v>
      </c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33"/>
    </row>
    <row r="420" spans="11:92" x14ac:dyDescent="0.2">
      <c r="K420" s="6" t="s">
        <v>2</v>
      </c>
      <c r="L420" s="6">
        <f>Q399+M399*S399</f>
        <v>228.13480626421546</v>
      </c>
      <c r="M420" s="6">
        <v>0.14198206332171542</v>
      </c>
      <c r="N420" s="5"/>
      <c r="O420" s="160" t="s">
        <v>13</v>
      </c>
      <c r="P420" s="161">
        <v>802.30305452027233</v>
      </c>
      <c r="Q420" s="162">
        <v>0.27774973092379035</v>
      </c>
      <c r="R420" s="1"/>
      <c r="S420" s="166" t="s">
        <v>350</v>
      </c>
      <c r="T420" s="166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33"/>
    </row>
    <row r="421" spans="11:92" x14ac:dyDescent="0.2">
      <c r="K421" s="7" t="s">
        <v>3</v>
      </c>
      <c r="L421" s="7">
        <f t="shared" ref="L421:L438" si="20">Q400+M400*S400</f>
        <v>136.94862423913798</v>
      </c>
      <c r="M421" s="7">
        <v>0.17846996532262324</v>
      </c>
      <c r="N421" s="5"/>
      <c r="O421" s="40" t="s">
        <v>8</v>
      </c>
      <c r="P421" s="7">
        <v>585.48133010000834</v>
      </c>
      <c r="Q421" s="33">
        <v>0.14293800864043152</v>
      </c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33"/>
    </row>
    <row r="422" spans="11:92" x14ac:dyDescent="0.2">
      <c r="K422" s="7" t="s">
        <v>4</v>
      </c>
      <c r="L422" s="7">
        <f t="shared" si="20"/>
        <v>234.17436758743594</v>
      </c>
      <c r="M422" s="7">
        <v>0.13612224835108203</v>
      </c>
      <c r="N422" s="5"/>
      <c r="O422" s="163" t="s">
        <v>67</v>
      </c>
      <c r="P422" s="164">
        <v>581.10609766750679</v>
      </c>
      <c r="Q422" s="165">
        <v>1.0653359526460935</v>
      </c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33"/>
    </row>
    <row r="423" spans="11:92" x14ac:dyDescent="0.2">
      <c r="K423" s="7" t="s">
        <v>5</v>
      </c>
      <c r="L423" s="7">
        <f t="shared" si="20"/>
        <v>250.77301257851599</v>
      </c>
      <c r="M423" s="7">
        <v>0.25574145689521588</v>
      </c>
      <c r="N423" s="5"/>
      <c r="O423" s="163" t="s">
        <v>11</v>
      </c>
      <c r="P423" s="164">
        <v>377.19726584471709</v>
      </c>
      <c r="Q423" s="165">
        <v>0.2306130555309801</v>
      </c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33"/>
    </row>
    <row r="424" spans="11:92" x14ac:dyDescent="0.2">
      <c r="K424" s="7" t="s">
        <v>107</v>
      </c>
      <c r="L424" s="7">
        <f t="shared" si="20"/>
        <v>3.8751686674288592</v>
      </c>
      <c r="M424" s="7">
        <v>1.3004730399240217E-3</v>
      </c>
      <c r="N424" s="5"/>
      <c r="O424" s="40" t="s">
        <v>10</v>
      </c>
      <c r="P424" s="7">
        <v>327.31548322398328</v>
      </c>
      <c r="Q424" s="33">
        <v>0.37930567579327285</v>
      </c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33"/>
    </row>
    <row r="425" spans="11:92" x14ac:dyDescent="0.2">
      <c r="K425" s="7" t="s">
        <v>7</v>
      </c>
      <c r="L425" s="7">
        <f t="shared" si="20"/>
        <v>3.7331726369269347E-2</v>
      </c>
      <c r="M425" s="7">
        <v>2.9172577024258708E-2</v>
      </c>
      <c r="N425" s="5"/>
      <c r="O425" s="40" t="s">
        <v>5</v>
      </c>
      <c r="P425" s="7">
        <v>250.77301257851599</v>
      </c>
      <c r="Q425" s="33">
        <v>0.25574145689521588</v>
      </c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33"/>
    </row>
    <row r="426" spans="11:92" x14ac:dyDescent="0.2">
      <c r="K426" s="7" t="s">
        <v>8</v>
      </c>
      <c r="L426" s="7">
        <f t="shared" si="20"/>
        <v>585.48133010000834</v>
      </c>
      <c r="M426" s="7">
        <v>0.14293800864043152</v>
      </c>
      <c r="N426" s="5"/>
      <c r="O426" s="40" t="s">
        <v>4</v>
      </c>
      <c r="P426" s="7">
        <v>234.17436758743594</v>
      </c>
      <c r="Q426" s="33">
        <v>0.13612224835108203</v>
      </c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33"/>
    </row>
    <row r="427" spans="11:92" x14ac:dyDescent="0.2">
      <c r="K427" s="7" t="s">
        <v>9</v>
      </c>
      <c r="L427" s="7">
        <f t="shared" si="20"/>
        <v>64.686762746215706</v>
      </c>
      <c r="M427" s="7">
        <v>3.7708274587896939</v>
      </c>
      <c r="N427" s="5"/>
      <c r="O427" s="40" t="s">
        <v>2</v>
      </c>
      <c r="P427" s="7">
        <v>228.13480626421546</v>
      </c>
      <c r="Q427" s="33">
        <v>0.14198206332171542</v>
      </c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33"/>
    </row>
    <row r="428" spans="11:92" x14ac:dyDescent="0.2">
      <c r="K428" s="7" t="s">
        <v>10</v>
      </c>
      <c r="L428" s="7">
        <f t="shared" si="20"/>
        <v>327.31548322398328</v>
      </c>
      <c r="M428" s="7">
        <v>0.37930567579327285</v>
      </c>
      <c r="N428" s="5"/>
      <c r="O428" s="40" t="s">
        <v>12</v>
      </c>
      <c r="P428" s="7">
        <v>175.1083414994232</v>
      </c>
      <c r="Q428" s="33">
        <v>0.20357456283128986</v>
      </c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33"/>
    </row>
    <row r="429" spans="11:92" x14ac:dyDescent="0.2">
      <c r="K429" s="7" t="s">
        <v>11</v>
      </c>
      <c r="L429" s="7">
        <f t="shared" si="20"/>
        <v>377.19726584471709</v>
      </c>
      <c r="M429" s="7">
        <v>0.2306130555309801</v>
      </c>
      <c r="N429" s="5"/>
      <c r="O429" s="40" t="s">
        <v>3</v>
      </c>
      <c r="P429" s="7">
        <v>136.94862423913798</v>
      </c>
      <c r="Q429" s="33">
        <v>0.17846996532262324</v>
      </c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33"/>
    </row>
    <row r="430" spans="11:92" x14ac:dyDescent="0.2">
      <c r="K430" s="7" t="s">
        <v>12</v>
      </c>
      <c r="L430" s="7">
        <f t="shared" si="20"/>
        <v>175.1083414994232</v>
      </c>
      <c r="M430" s="7">
        <v>0.20357456283128986</v>
      </c>
      <c r="N430" s="5"/>
      <c r="O430" s="40" t="s">
        <v>9</v>
      </c>
      <c r="P430" s="7">
        <v>64.686762746215706</v>
      </c>
      <c r="Q430" s="33">
        <v>3.7708274587896939</v>
      </c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33"/>
    </row>
    <row r="431" spans="11:92" x14ac:dyDescent="0.2">
      <c r="K431" s="7" t="s">
        <v>13</v>
      </c>
      <c r="L431" s="7">
        <f t="shared" si="20"/>
        <v>802.30305452027233</v>
      </c>
      <c r="M431" s="7">
        <v>0.27774973092379035</v>
      </c>
      <c r="N431" s="5"/>
      <c r="O431" s="40" t="s">
        <v>107</v>
      </c>
      <c r="P431" s="7">
        <v>3.8751686674288592</v>
      </c>
      <c r="Q431" s="33">
        <v>1.3004730399240217E-3</v>
      </c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33"/>
    </row>
    <row r="432" spans="11:92" x14ac:dyDescent="0.2">
      <c r="K432" s="7" t="s">
        <v>14</v>
      </c>
      <c r="L432" s="7">
        <f t="shared" si="20"/>
        <v>0</v>
      </c>
      <c r="M432" s="7">
        <v>3.8371985541711068E-7</v>
      </c>
      <c r="N432" s="5"/>
      <c r="O432" s="40" t="s">
        <v>7</v>
      </c>
      <c r="P432" s="7">
        <v>3.7331726369269347E-2</v>
      </c>
      <c r="Q432" s="33">
        <v>2.9172577024258708E-2</v>
      </c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33"/>
    </row>
    <row r="433" spans="11:92" x14ac:dyDescent="0.2">
      <c r="K433" s="7" t="s">
        <v>132</v>
      </c>
      <c r="L433" s="7">
        <f t="shared" si="20"/>
        <v>5.483140723225032E-3</v>
      </c>
      <c r="M433" s="7">
        <v>5.6310183213557413E-3</v>
      </c>
      <c r="N433" s="5"/>
      <c r="O433" s="40" t="s">
        <v>132</v>
      </c>
      <c r="P433" s="7">
        <v>5.483140723225032E-3</v>
      </c>
      <c r="Q433" s="33">
        <v>5.6310183213557413E-3</v>
      </c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33"/>
    </row>
    <row r="434" spans="11:92" x14ac:dyDescent="0.2">
      <c r="K434" s="7" t="s">
        <v>15</v>
      </c>
      <c r="L434" s="7">
        <f t="shared" si="20"/>
        <v>0</v>
      </c>
      <c r="M434" s="7">
        <v>-9.6233362587667191E-16</v>
      </c>
      <c r="N434" s="5"/>
      <c r="O434" s="40" t="s">
        <v>131</v>
      </c>
      <c r="P434" s="7">
        <v>5.483140723225032E-3</v>
      </c>
      <c r="Q434" s="33">
        <v>1.7521543478360775E-2</v>
      </c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33"/>
    </row>
    <row r="435" spans="11:92" x14ac:dyDescent="0.2">
      <c r="K435" s="7" t="s">
        <v>16</v>
      </c>
      <c r="L435" s="7">
        <f t="shared" si="20"/>
        <v>0</v>
      </c>
      <c r="M435" s="7">
        <v>3.6563234386998095E-3</v>
      </c>
      <c r="N435" s="5"/>
      <c r="O435" s="40" t="s">
        <v>14</v>
      </c>
      <c r="P435" s="7">
        <v>0</v>
      </c>
      <c r="Q435" s="33">
        <v>3.8371985541711068E-7</v>
      </c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33"/>
    </row>
    <row r="436" spans="11:92" x14ac:dyDescent="0.2">
      <c r="K436" s="7" t="s">
        <v>67</v>
      </c>
      <c r="L436" s="7">
        <f t="shared" si="20"/>
        <v>581.10609766750679</v>
      </c>
      <c r="M436" s="7">
        <v>1.0653359526460935</v>
      </c>
      <c r="N436" s="5"/>
      <c r="O436" s="40" t="s">
        <v>15</v>
      </c>
      <c r="P436" s="7">
        <v>0</v>
      </c>
      <c r="Q436" s="33">
        <v>-9.6233362587667191E-16</v>
      </c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33"/>
    </row>
    <row r="437" spans="11:92" x14ac:dyDescent="0.2">
      <c r="K437" s="7" t="s">
        <v>131</v>
      </c>
      <c r="L437" s="7">
        <f t="shared" si="20"/>
        <v>5.483140723225032E-3</v>
      </c>
      <c r="M437" s="7">
        <v>1.7521543478360775E-2</v>
      </c>
      <c r="N437" s="5"/>
      <c r="O437" s="40" t="s">
        <v>16</v>
      </c>
      <c r="P437" s="7">
        <v>0</v>
      </c>
      <c r="Q437" s="33">
        <v>3.6563234386998095E-3</v>
      </c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33"/>
    </row>
    <row r="438" spans="11:92" ht="15" thickBot="1" x14ac:dyDescent="0.25">
      <c r="K438" s="39" t="s">
        <v>17</v>
      </c>
      <c r="L438" s="39">
        <f t="shared" si="20"/>
        <v>0</v>
      </c>
      <c r="M438" s="39">
        <v>-1.8250144567990447E-15</v>
      </c>
      <c r="N438" s="5"/>
      <c r="O438" s="42" t="s">
        <v>17</v>
      </c>
      <c r="P438" s="39">
        <v>0</v>
      </c>
      <c r="Q438" s="36">
        <v>-1.8250144567990447E-15</v>
      </c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33"/>
    </row>
    <row r="439" spans="11:92" ht="15" thickBot="1" x14ac:dyDescent="0.25"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  <c r="CB439" s="35"/>
      <c r="CC439" s="35"/>
      <c r="CD439" s="35"/>
      <c r="CE439" s="35"/>
      <c r="CF439" s="35"/>
      <c r="CG439" s="35"/>
      <c r="CH439" s="35"/>
      <c r="CI439" s="35"/>
      <c r="CJ439" s="35"/>
      <c r="CK439" s="35"/>
      <c r="CL439" s="35"/>
      <c r="CM439" s="35"/>
      <c r="CN439" s="36"/>
    </row>
  </sheetData>
  <sortState xmlns:xlrd2="http://schemas.microsoft.com/office/spreadsheetml/2017/richdata2" ref="O420:Q438">
    <sortCondition descending="1" ref="P420:P438"/>
  </sortState>
  <phoneticPr fontId="1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9884-7BA9-459B-A38B-38B8FBCC9D4B}">
  <dimension ref="A1:Q40"/>
  <sheetViews>
    <sheetView zoomScale="85" zoomScaleNormal="85" workbookViewId="0">
      <selection activeCell="B11" sqref="B11"/>
    </sheetView>
  </sheetViews>
  <sheetFormatPr defaultRowHeight="14.25" x14ac:dyDescent="0.2"/>
  <cols>
    <col min="1" max="1" width="44.125" bestFit="1" customWidth="1"/>
    <col min="2" max="2" width="17" bestFit="1" customWidth="1"/>
    <col min="4" max="4" width="24.625" bestFit="1" customWidth="1"/>
    <col min="6" max="6" width="15.75" customWidth="1"/>
    <col min="7" max="7" width="21.875" bestFit="1" customWidth="1"/>
    <col min="8" max="8" width="13.875" customWidth="1"/>
    <col min="14" max="14" width="10.125" bestFit="1" customWidth="1"/>
    <col min="17" max="17" width="11.5" bestFit="1" customWidth="1"/>
  </cols>
  <sheetData>
    <row r="1" spans="1:17" ht="39.6" customHeight="1" thickBot="1" x14ac:dyDescent="0.25">
      <c r="A1" s="179" t="s">
        <v>351</v>
      </c>
      <c r="E1" s="38"/>
      <c r="F1" s="173" t="s">
        <v>370</v>
      </c>
      <c r="G1" s="3"/>
      <c r="H1" s="177">
        <f>G40+F3</f>
        <v>95969125.409553409</v>
      </c>
      <c r="J1" s="178" t="s">
        <v>372</v>
      </c>
      <c r="K1" s="177">
        <f>-G40/F3</f>
        <v>2.2222976476623333</v>
      </c>
      <c r="M1" s="178" t="s">
        <v>373</v>
      </c>
      <c r="N1" s="185">
        <v>0.13450000000000001</v>
      </c>
      <c r="P1" s="178" t="s">
        <v>374</v>
      </c>
      <c r="Q1" s="177">
        <v>9</v>
      </c>
    </row>
    <row r="2" spans="1:17" x14ac:dyDescent="0.2">
      <c r="A2" s="31" t="s">
        <v>367</v>
      </c>
      <c r="B2" s="30">
        <f>Foglio1!N380</f>
        <v>101.86399999999999</v>
      </c>
      <c r="E2" s="174" t="s">
        <v>360</v>
      </c>
      <c r="F2" s="175" t="s">
        <v>361</v>
      </c>
      <c r="G2" s="176" t="s">
        <v>362</v>
      </c>
      <c r="P2" s="54">
        <v>0</v>
      </c>
      <c r="Q2" s="56">
        <f>G3</f>
        <v>-78515348.199430913</v>
      </c>
    </row>
    <row r="3" spans="1:17" x14ac:dyDescent="0.2">
      <c r="A3" s="32" t="s">
        <v>352</v>
      </c>
      <c r="B3" s="33">
        <f>Foglio1!BH367</f>
        <v>199.27570143489581</v>
      </c>
      <c r="D3" s="172" t="s">
        <v>368</v>
      </c>
      <c r="E3" s="57">
        <v>0</v>
      </c>
      <c r="F3" s="14">
        <f>-Foglio1!AJ152</f>
        <v>-78515348.199430913</v>
      </c>
      <c r="G3" s="58">
        <f>F3/((1+$B$16)^E3)</f>
        <v>-78515348.199430913</v>
      </c>
      <c r="P3" s="57">
        <v>1</v>
      </c>
      <c r="Q3" s="58">
        <f>Q2+G4</f>
        <v>-68337101.346472532</v>
      </c>
    </row>
    <row r="4" spans="1:17" x14ac:dyDescent="0.2">
      <c r="A4" s="180" t="s">
        <v>353</v>
      </c>
      <c r="B4" s="181">
        <v>0.15</v>
      </c>
      <c r="D4" s="172" t="s">
        <v>369</v>
      </c>
      <c r="E4" s="57">
        <v>1</v>
      </c>
      <c r="F4" s="14">
        <f t="shared" ref="F4:F38" si="0">$B$11-$B$15</f>
        <v>10689703.757319532</v>
      </c>
      <c r="G4" s="58">
        <f t="shared" ref="G4:G38" si="1">F4/((1+$B$16)^E4)</f>
        <v>10178246.852958376</v>
      </c>
      <c r="P4" s="57">
        <v>2</v>
      </c>
      <c r="Q4" s="58">
        <f t="shared" ref="Q4:Q37" si="2">Q3+G5</f>
        <v>-58645840.358176053</v>
      </c>
    </row>
    <row r="5" spans="1:17" x14ac:dyDescent="0.2">
      <c r="A5" s="32" t="s">
        <v>366</v>
      </c>
      <c r="B5" s="33">
        <f>B3+B4*B3</f>
        <v>229.16705665013018</v>
      </c>
      <c r="E5" s="57">
        <v>2</v>
      </c>
      <c r="F5" s="14">
        <f t="shared" si="0"/>
        <v>10689703.757319532</v>
      </c>
      <c r="G5" s="58">
        <f t="shared" si="1"/>
        <v>9691260.988296479</v>
      </c>
      <c r="P5" s="57">
        <v>3</v>
      </c>
      <c r="Q5" s="58">
        <f t="shared" si="2"/>
        <v>-49418265.030114658</v>
      </c>
    </row>
    <row r="6" spans="1:17" x14ac:dyDescent="0.2">
      <c r="A6" s="32" t="s">
        <v>354</v>
      </c>
      <c r="B6" s="182">
        <v>0.6</v>
      </c>
      <c r="E6" s="57">
        <v>3</v>
      </c>
      <c r="F6" s="14">
        <f t="shared" si="0"/>
        <v>10689703.757319532</v>
      </c>
      <c r="G6" s="58">
        <f t="shared" si="1"/>
        <v>9227575.3280613944</v>
      </c>
      <c r="P6" s="57">
        <v>4</v>
      </c>
      <c r="Q6" s="58">
        <f t="shared" si="2"/>
        <v>-40632189.97364106</v>
      </c>
    </row>
    <row r="7" spans="1:17" ht="15" thickBot="1" x14ac:dyDescent="0.25">
      <c r="A7" s="32" t="s">
        <v>355</v>
      </c>
      <c r="B7" s="33">
        <v>35</v>
      </c>
      <c r="E7" s="57">
        <v>4</v>
      </c>
      <c r="F7" s="14">
        <f t="shared" si="0"/>
        <v>10689703.757319532</v>
      </c>
      <c r="G7" s="58">
        <f t="shared" si="1"/>
        <v>8786075.056473596</v>
      </c>
      <c r="P7" s="57">
        <v>5</v>
      </c>
      <c r="Q7" s="58">
        <f t="shared" si="2"/>
        <v>-32266491.276689291</v>
      </c>
    </row>
    <row r="8" spans="1:17" x14ac:dyDescent="0.2">
      <c r="A8" s="167" t="s">
        <v>356</v>
      </c>
      <c r="B8" s="168">
        <f>Foglio1!BH365</f>
        <v>75243.818519999986</v>
      </c>
      <c r="E8" s="57">
        <v>5</v>
      </c>
      <c r="F8" s="14">
        <f t="shared" si="0"/>
        <v>10689703.757319532</v>
      </c>
      <c r="G8" s="58">
        <f t="shared" si="1"/>
        <v>8365698.6969517702</v>
      </c>
      <c r="P8" s="57">
        <v>6</v>
      </c>
      <c r="Q8" s="58">
        <f t="shared" si="2"/>
        <v>-24301055.716630474</v>
      </c>
    </row>
    <row r="9" spans="1:17" x14ac:dyDescent="0.2">
      <c r="A9" s="169" t="s">
        <v>357</v>
      </c>
      <c r="B9" s="105">
        <f>Foglio1!BH366</f>
        <v>121451.85842399999</v>
      </c>
      <c r="E9" s="57">
        <v>6</v>
      </c>
      <c r="F9" s="14">
        <f t="shared" si="0"/>
        <v>10689703.757319532</v>
      </c>
      <c r="G9" s="58">
        <f t="shared" si="1"/>
        <v>7965435.5600588163</v>
      </c>
      <c r="P9" s="57">
        <v>7</v>
      </c>
      <c r="Q9" s="58">
        <f t="shared" si="2"/>
        <v>-16716732.403077684</v>
      </c>
    </row>
    <row r="10" spans="1:17" x14ac:dyDescent="0.2">
      <c r="A10" s="169" t="s">
        <v>377</v>
      </c>
      <c r="B10" s="105">
        <f>B8+B9</f>
        <v>196695.67694399998</v>
      </c>
      <c r="E10" s="57">
        <v>7</v>
      </c>
      <c r="F10" s="14">
        <f t="shared" si="0"/>
        <v>10689703.757319532</v>
      </c>
      <c r="G10" s="58">
        <f t="shared" si="1"/>
        <v>7584323.3135527894</v>
      </c>
      <c r="P10" s="57">
        <v>8</v>
      </c>
      <c r="Q10" s="58">
        <f t="shared" si="2"/>
        <v>-9495286.7343770992</v>
      </c>
    </row>
    <row r="11" spans="1:17" ht="15" thickBot="1" x14ac:dyDescent="0.25">
      <c r="A11" s="46" t="s">
        <v>364</v>
      </c>
      <c r="B11" s="48">
        <f>(B8+B9)*B5</f>
        <v>45076169.341061346</v>
      </c>
      <c r="E11" s="57">
        <v>8</v>
      </c>
      <c r="F11" s="14">
        <f t="shared" si="0"/>
        <v>10689703.757319532</v>
      </c>
      <c r="G11" s="58">
        <f t="shared" si="1"/>
        <v>7221445.6687005851</v>
      </c>
      <c r="P11" s="57">
        <v>9</v>
      </c>
      <c r="Q11" s="58">
        <f t="shared" si="2"/>
        <v>-2619356.5570854191</v>
      </c>
    </row>
    <row r="12" spans="1:17" x14ac:dyDescent="0.2">
      <c r="A12" s="160" t="s">
        <v>358</v>
      </c>
      <c r="B12" s="162">
        <f>Foglio1!L33*'Economic ass.'!B6*8760</f>
        <v>162658.541016</v>
      </c>
      <c r="E12" s="57">
        <v>9</v>
      </c>
      <c r="F12" s="14">
        <f t="shared" si="0"/>
        <v>10689703.757319532</v>
      </c>
      <c r="G12" s="58">
        <f t="shared" si="1"/>
        <v>6875930.1772916801</v>
      </c>
      <c r="P12" s="57">
        <v>10</v>
      </c>
      <c r="Q12" s="58">
        <f t="shared" si="2"/>
        <v>3927589.5769699775</v>
      </c>
    </row>
    <row r="13" spans="1:17" x14ac:dyDescent="0.2">
      <c r="A13" s="163" t="s">
        <v>359</v>
      </c>
      <c r="B13" s="165">
        <f>Foglio1!M33*'Economic ass.'!B6*8760</f>
        <v>174913.76699999999</v>
      </c>
      <c r="E13" s="57">
        <v>10</v>
      </c>
      <c r="F13" s="14">
        <f t="shared" si="0"/>
        <v>10689703.757319532</v>
      </c>
      <c r="G13" s="58">
        <f t="shared" si="1"/>
        <v>6546946.1340553965</v>
      </c>
      <c r="P13" s="57">
        <v>11</v>
      </c>
      <c r="Q13" s="58">
        <f t="shared" si="2"/>
        <v>10161292.156408586</v>
      </c>
    </row>
    <row r="14" spans="1:17" x14ac:dyDescent="0.2">
      <c r="A14" s="163" t="s">
        <v>376</v>
      </c>
      <c r="B14" s="165">
        <f>B12+B13</f>
        <v>337572.30801599997</v>
      </c>
      <c r="E14" s="57">
        <v>11</v>
      </c>
      <c r="F14" s="14">
        <f t="shared" si="0"/>
        <v>10689703.757319532</v>
      </c>
      <c r="G14" s="58">
        <f t="shared" si="1"/>
        <v>6233702.5794386072</v>
      </c>
      <c r="P14" s="57">
        <v>12</v>
      </c>
      <c r="Q14" s="58">
        <f t="shared" si="2"/>
        <v>16096738.554350607</v>
      </c>
    </row>
    <row r="15" spans="1:17" ht="15" thickBot="1" x14ac:dyDescent="0.25">
      <c r="A15" s="170" t="s">
        <v>365</v>
      </c>
      <c r="B15" s="171">
        <f>(B12+B13)*B2</f>
        <v>34386465.583741814</v>
      </c>
      <c r="E15" s="57">
        <v>12</v>
      </c>
      <c r="F15" s="14">
        <f t="shared" si="0"/>
        <v>10689703.757319532</v>
      </c>
      <c r="G15" s="58">
        <f t="shared" si="1"/>
        <v>5935446.3979420206</v>
      </c>
      <c r="P15" s="57">
        <v>13</v>
      </c>
      <c r="Q15" s="58">
        <f t="shared" si="2"/>
        <v>21748199.061793618</v>
      </c>
    </row>
    <row r="16" spans="1:17" ht="15" thickBot="1" x14ac:dyDescent="0.25">
      <c r="A16" s="183" t="s">
        <v>363</v>
      </c>
      <c r="B16" s="184">
        <f>Foglio1!AU131</f>
        <v>5.0250000000000003E-2</v>
      </c>
      <c r="E16" s="57">
        <v>13</v>
      </c>
      <c r="F16" s="14">
        <f t="shared" si="0"/>
        <v>10689703.757319532</v>
      </c>
      <c r="G16" s="58">
        <f t="shared" si="1"/>
        <v>5651460.5074430099</v>
      </c>
      <c r="P16" s="57">
        <v>14</v>
      </c>
      <c r="Q16" s="58">
        <f t="shared" si="2"/>
        <v>27129261.196945257</v>
      </c>
    </row>
    <row r="17" spans="5:17" x14ac:dyDescent="0.2">
      <c r="E17" s="57">
        <v>14</v>
      </c>
      <c r="F17" s="14">
        <f t="shared" si="0"/>
        <v>10689703.757319532</v>
      </c>
      <c r="G17" s="58">
        <f t="shared" si="1"/>
        <v>5381062.1351516414</v>
      </c>
      <c r="P17" s="57">
        <v>15</v>
      </c>
      <c r="Q17" s="58">
        <f t="shared" si="2"/>
        <v>32252862.373000141</v>
      </c>
    </row>
    <row r="18" spans="5:17" x14ac:dyDescent="0.2">
      <c r="E18" s="57">
        <v>15</v>
      </c>
      <c r="F18" s="14">
        <f t="shared" si="0"/>
        <v>10689703.757319532</v>
      </c>
      <c r="G18" s="58">
        <f t="shared" si="1"/>
        <v>5123601.1760548837</v>
      </c>
      <c r="P18" s="57">
        <v>16</v>
      </c>
      <c r="Q18" s="58">
        <f t="shared" si="2"/>
        <v>37131321.002902433</v>
      </c>
    </row>
    <row r="19" spans="5:17" x14ac:dyDescent="0.2">
      <c r="E19" s="57">
        <v>16</v>
      </c>
      <c r="F19" s="14">
        <f t="shared" si="0"/>
        <v>10689703.757319532</v>
      </c>
      <c r="G19" s="58">
        <f t="shared" si="1"/>
        <v>4878458.629902293</v>
      </c>
      <c r="P19" s="57">
        <v>17</v>
      </c>
      <c r="Q19" s="58">
        <f t="shared" si="2"/>
        <v>41776366.115877718</v>
      </c>
    </row>
    <row r="20" spans="5:17" x14ac:dyDescent="0.2">
      <c r="E20" s="57">
        <v>17</v>
      </c>
      <c r="F20" s="14">
        <f t="shared" si="0"/>
        <v>10689703.757319532</v>
      </c>
      <c r="G20" s="58">
        <f t="shared" si="1"/>
        <v>4645045.1129752863</v>
      </c>
      <c r="P20" s="57">
        <v>18</v>
      </c>
      <c r="Q20" s="58">
        <f t="shared" si="2"/>
        <v>46199165.556939639</v>
      </c>
    </row>
    <row r="21" spans="5:17" x14ac:dyDescent="0.2">
      <c r="E21" s="57">
        <v>18</v>
      </c>
      <c r="F21" s="14">
        <f t="shared" si="0"/>
        <v>10689703.757319532</v>
      </c>
      <c r="G21" s="58">
        <f t="shared" si="1"/>
        <v>4422799.4410619242</v>
      </c>
      <c r="P21" s="57">
        <v>19</v>
      </c>
      <c r="Q21" s="58">
        <f t="shared" si="2"/>
        <v>50410352.83716999</v>
      </c>
    </row>
    <row r="22" spans="5:17" x14ac:dyDescent="0.2">
      <c r="E22" s="57">
        <v>19</v>
      </c>
      <c r="F22" s="14">
        <f t="shared" si="0"/>
        <v>10689703.757319532</v>
      </c>
      <c r="G22" s="58">
        <f t="shared" si="1"/>
        <v>4211187.2802303499</v>
      </c>
      <c r="P22" s="57">
        <v>20</v>
      </c>
      <c r="Q22" s="58">
        <f t="shared" si="2"/>
        <v>54420052.699326955</v>
      </c>
    </row>
    <row r="23" spans="5:17" x14ac:dyDescent="0.2">
      <c r="E23" s="57">
        <v>20</v>
      </c>
      <c r="F23" s="14">
        <f t="shared" si="0"/>
        <v>10689703.757319532</v>
      </c>
      <c r="G23" s="58">
        <f t="shared" si="1"/>
        <v>4009699.8621569625</v>
      </c>
      <c r="P23" s="57">
        <v>21</v>
      </c>
      <c r="Q23" s="58">
        <f t="shared" si="2"/>
        <v>58237905.460247651</v>
      </c>
    </row>
    <row r="24" spans="5:17" x14ac:dyDescent="0.2">
      <c r="E24" s="57">
        <v>21</v>
      </c>
      <c r="F24" s="14">
        <f t="shared" si="0"/>
        <v>10689703.757319532</v>
      </c>
      <c r="G24" s="58">
        <f t="shared" si="1"/>
        <v>3817852.7609206978</v>
      </c>
      <c r="P24" s="57">
        <v>22</v>
      </c>
      <c r="Q24" s="58">
        <f t="shared" si="2"/>
        <v>61873090.188570142</v>
      </c>
    </row>
    <row r="25" spans="5:17" x14ac:dyDescent="0.2">
      <c r="E25" s="57">
        <v>22</v>
      </c>
      <c r="F25" s="14">
        <f t="shared" si="0"/>
        <v>10689703.757319532</v>
      </c>
      <c r="G25" s="58">
        <f t="shared" si="1"/>
        <v>3635184.7283224934</v>
      </c>
      <c r="P25" s="57">
        <v>23</v>
      </c>
      <c r="Q25" s="58">
        <f t="shared" si="2"/>
        <v>65334346.773499914</v>
      </c>
    </row>
    <row r="26" spans="5:17" x14ac:dyDescent="0.2">
      <c r="E26" s="57">
        <v>23</v>
      </c>
      <c r="F26" s="14">
        <f t="shared" si="0"/>
        <v>10689703.757319532</v>
      </c>
      <c r="G26" s="58">
        <f t="shared" si="1"/>
        <v>3461256.5849297727</v>
      </c>
      <c r="P26" s="57">
        <v>24</v>
      </c>
      <c r="Q26" s="58">
        <f t="shared" si="2"/>
        <v>68629996.937679648</v>
      </c>
    </row>
    <row r="27" spans="5:17" x14ac:dyDescent="0.2">
      <c r="E27" s="57">
        <v>24</v>
      </c>
      <c r="F27" s="14">
        <f t="shared" si="0"/>
        <v>10689703.757319532</v>
      </c>
      <c r="G27" s="58">
        <f t="shared" si="1"/>
        <v>3295650.1641797409</v>
      </c>
      <c r="P27" s="57">
        <v>25</v>
      </c>
      <c r="Q27" s="58">
        <f t="shared" si="2"/>
        <v>71767964.244682491</v>
      </c>
    </row>
    <row r="28" spans="5:17" x14ac:dyDescent="0.2">
      <c r="E28" s="57">
        <v>25</v>
      </c>
      <c r="F28" s="14">
        <f t="shared" si="0"/>
        <v>10689703.757319532</v>
      </c>
      <c r="G28" s="58">
        <f t="shared" si="1"/>
        <v>3137967.3070028485</v>
      </c>
      <c r="P28" s="57">
        <v>26</v>
      </c>
      <c r="Q28" s="58">
        <f t="shared" si="2"/>
        <v>74755793.149231732</v>
      </c>
    </row>
    <row r="29" spans="5:17" x14ac:dyDescent="0.2">
      <c r="E29" s="57">
        <v>26</v>
      </c>
      <c r="F29" s="14">
        <f t="shared" si="0"/>
        <v>10689703.757319532</v>
      </c>
      <c r="G29" s="58">
        <f t="shared" si="1"/>
        <v>2987828.9045492485</v>
      </c>
      <c r="P29" s="57">
        <v>27</v>
      </c>
      <c r="Q29" s="58">
        <f t="shared" si="2"/>
        <v>77600667.135948464</v>
      </c>
    </row>
    <row r="30" spans="5:17" x14ac:dyDescent="0.2">
      <c r="E30" s="57">
        <v>27</v>
      </c>
      <c r="F30" s="14">
        <f t="shared" si="0"/>
        <v>10689703.757319532</v>
      </c>
      <c r="G30" s="58">
        <f t="shared" si="1"/>
        <v>2844873.9867167328</v>
      </c>
      <c r="P30" s="57">
        <v>28</v>
      </c>
      <c r="Q30" s="58">
        <f t="shared" si="2"/>
        <v>80309425.990237191</v>
      </c>
    </row>
    <row r="31" spans="5:17" x14ac:dyDescent="0.2">
      <c r="E31" s="57">
        <v>28</v>
      </c>
      <c r="F31" s="14">
        <f t="shared" si="0"/>
        <v>10689703.757319532</v>
      </c>
      <c r="G31" s="58">
        <f t="shared" si="1"/>
        <v>2708758.8542887247</v>
      </c>
      <c r="P31" s="57">
        <v>29</v>
      </c>
      <c r="Q31" s="58">
        <f t="shared" si="2"/>
        <v>82888582.242832974</v>
      </c>
    </row>
    <row r="32" spans="5:17" x14ac:dyDescent="0.2">
      <c r="E32" s="57">
        <v>29</v>
      </c>
      <c r="F32" s="14">
        <f t="shared" si="0"/>
        <v>10689703.757319532</v>
      </c>
      <c r="G32" s="58">
        <f t="shared" si="1"/>
        <v>2579156.2525957865</v>
      </c>
      <c r="P32" s="57">
        <v>30</v>
      </c>
      <c r="Q32" s="58">
        <f t="shared" si="2"/>
        <v>85344336.82754688</v>
      </c>
    </row>
    <row r="33" spans="5:17" x14ac:dyDescent="0.2">
      <c r="E33" s="57">
        <v>30</v>
      </c>
      <c r="F33" s="14">
        <f t="shared" si="0"/>
        <v>10689703.757319532</v>
      </c>
      <c r="G33" s="58">
        <f t="shared" si="1"/>
        <v>2455754.584713913</v>
      </c>
      <c r="P33" s="57">
        <v>31</v>
      </c>
      <c r="Q33" s="58">
        <f t="shared" si="2"/>
        <v>87682593.989854813</v>
      </c>
    </row>
    <row r="34" spans="5:17" x14ac:dyDescent="0.2">
      <c r="E34" s="57">
        <v>31</v>
      </c>
      <c r="F34" s="14">
        <f t="shared" si="0"/>
        <v>10689703.757319532</v>
      </c>
      <c r="G34" s="58">
        <f t="shared" si="1"/>
        <v>2338257.1623079395</v>
      </c>
      <c r="P34" s="57">
        <v>32</v>
      </c>
      <c r="Q34" s="58">
        <f t="shared" si="2"/>
        <v>89908975.482173726</v>
      </c>
    </row>
    <row r="35" spans="5:17" x14ac:dyDescent="0.2">
      <c r="E35" s="57">
        <v>32</v>
      </c>
      <c r="F35" s="14">
        <f t="shared" si="0"/>
        <v>10689703.757319532</v>
      </c>
      <c r="G35" s="58">
        <f t="shared" si="1"/>
        <v>2226381.4923189138</v>
      </c>
      <c r="P35" s="57">
        <v>33</v>
      </c>
      <c r="Q35" s="58">
        <f t="shared" si="2"/>
        <v>92028834.079954177</v>
      </c>
    </row>
    <row r="36" spans="5:17" x14ac:dyDescent="0.2">
      <c r="E36" s="57">
        <v>33</v>
      </c>
      <c r="F36" s="14">
        <f t="shared" si="0"/>
        <v>10689703.757319532</v>
      </c>
      <c r="G36" s="58">
        <f t="shared" si="1"/>
        <v>2119858.597780447</v>
      </c>
      <c r="P36" s="57">
        <v>34</v>
      </c>
      <c r="Q36" s="58">
        <f t="shared" si="2"/>
        <v>94047266.451085284</v>
      </c>
    </row>
    <row r="37" spans="5:17" ht="15" thickBot="1" x14ac:dyDescent="0.25">
      <c r="E37" s="57">
        <v>34</v>
      </c>
      <c r="F37" s="14">
        <f t="shared" si="0"/>
        <v>10689703.757319532</v>
      </c>
      <c r="G37" s="58">
        <f t="shared" si="1"/>
        <v>2018432.3711311088</v>
      </c>
      <c r="P37" s="59">
        <v>35</v>
      </c>
      <c r="Q37" s="91">
        <f t="shared" si="2"/>
        <v>95969125.409553379</v>
      </c>
    </row>
    <row r="38" spans="5:17" x14ac:dyDescent="0.2">
      <c r="E38" s="57">
        <v>35</v>
      </c>
      <c r="F38" s="14">
        <f t="shared" si="0"/>
        <v>10689703.757319532</v>
      </c>
      <c r="G38" s="58">
        <f t="shared" si="1"/>
        <v>1921858.9584680875</v>
      </c>
    </row>
    <row r="39" spans="5:17" x14ac:dyDescent="0.2">
      <c r="E39" s="32"/>
      <c r="F39" s="1"/>
      <c r="G39" s="58" t="s">
        <v>371</v>
      </c>
    </row>
    <row r="40" spans="5:17" ht="15" thickBot="1" x14ac:dyDescent="0.25">
      <c r="E40" s="34"/>
      <c r="F40" s="35"/>
      <c r="G40" s="91">
        <f>SUM(G4:G38)</f>
        <v>174484473.60898432</v>
      </c>
    </row>
  </sheetData>
  <phoneticPr fontId="1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DFCE-2246-4552-9AD6-85A6C2C95A03}">
  <dimension ref="A1"/>
  <sheetViews>
    <sheetView workbookViewId="0"/>
  </sheetViews>
  <sheetFormatPr defaultRowHeight="14.25" x14ac:dyDescent="0.2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Foglio1</vt:lpstr>
      <vt:lpstr>Economic ass.</vt:lpstr>
      <vt:lpstr>Chemical exergy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Vair</dc:creator>
  <cp:lastModifiedBy>Administrator</cp:lastModifiedBy>
  <dcterms:created xsi:type="dcterms:W3CDTF">2020-12-19T16:48:10Z</dcterms:created>
  <dcterms:modified xsi:type="dcterms:W3CDTF">2021-02-09T17:07:28Z</dcterms:modified>
</cp:coreProperties>
</file>